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5B7C9B9-079E-4C1F-BC5D-3D9575BBFEA2}" xr6:coauthVersionLast="47" xr6:coauthVersionMax="47" xr10:uidLastSave="{00000000-0000-0000-0000-000000000000}"/>
  <bookViews>
    <workbookView xWindow="-120" yWindow="-120" windowWidth="20730" windowHeight="11160" firstSheet="28" activeTab="33" xr2:uid="{9EA4B1FA-7DD5-4CCE-97E0-9A7AE5A0A6E4}"/>
  </bookViews>
  <sheets>
    <sheet name="Home" sheetId="31" r:id="rId1"/>
    <sheet name="Stock" sheetId="32" r:id="rId2"/>
    <sheet name="Daily_Consumption" sheetId="30" r:id="rId3"/>
    <sheet name="Cost of raw materials" sheetId="29" r:id="rId4"/>
    <sheet name="Puffs_Sweetna" sheetId="2" r:id="rId5"/>
    <sheet name="Masala" sheetId="38" r:id="rId6"/>
    <sheet name="Bread_Bun" sheetId="6" r:id="rId7"/>
    <sheet name="Fruit_ButterBread_Donut" sheetId="8" r:id="rId8"/>
    <sheet name="Tea_Cake" sheetId="10" r:id="rId9"/>
    <sheet name="Plum_Cake" sheetId="9" r:id="rId10"/>
    <sheet name="Pineapple_Cake" sheetId="11" r:id="rId11"/>
    <sheet name="Carrot_Dates_Cake" sheetId="12" r:id="rId12"/>
    <sheet name="Cream" sheetId="14" r:id="rId13"/>
    <sheet name="Spunge_Cake" sheetId="13" r:id="rId14"/>
    <sheet name="Black_Forest" sheetId="15" r:id="rId15"/>
    <sheet name="White_Forest" sheetId="16" r:id="rId16"/>
    <sheet name="Red_Velvet" sheetId="17" r:id="rId17"/>
    <sheet name="Ghee_Cake" sheetId="18" r:id="rId18"/>
    <sheet name="Sandwitch_Pizza" sheetId="3" r:id="rId19"/>
    <sheet name="Tea_Rusk" sheetId="19" r:id="rId20"/>
    <sheet name="White_Rusk" sheetId="20" r:id="rId21"/>
    <sheet name="Beans_Biscuit" sheetId="21" r:id="rId22"/>
    <sheet name="Pineapple_Cookies" sheetId="22" r:id="rId23"/>
    <sheet name="Orange_Cookies" sheetId="23" r:id="rId24"/>
    <sheet name="Strawberry_Cookies" sheetId="24" r:id="rId25"/>
    <sheet name="Pista_Cookies" sheetId="25" r:id="rId26"/>
    <sheet name="Semia_Cookies" sheetId="26" r:id="rId27"/>
    <sheet name="Coconut_Cookies" sheetId="27" r:id="rId28"/>
    <sheet name="Masala_Cookies" sheetId="28" r:id="rId29"/>
    <sheet name="Muffins" sheetId="34" r:id="rId30"/>
    <sheet name="Chocolate_Muffin" sheetId="36" r:id="rId31"/>
    <sheet name="Cherry Cake" sheetId="37" r:id="rId32"/>
    <sheet name="RawMaterials" sheetId="40" r:id="rId33"/>
    <sheet name="Products" sheetId="41" r:id="rId34"/>
  </sheets>
  <externalReferences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1" l="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5" i="31"/>
  <c r="H71" i="40"/>
  <c r="H7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2" i="40"/>
  <c r="E69" i="40"/>
  <c r="E68" i="40"/>
  <c r="E67" i="40"/>
  <c r="E66" i="40"/>
  <c r="H66" i="40" s="1"/>
  <c r="E65" i="40"/>
  <c r="E64" i="40"/>
  <c r="E63" i="40"/>
  <c r="E62" i="40"/>
  <c r="H62" i="40" s="1"/>
  <c r="E61" i="40"/>
  <c r="E60" i="40"/>
  <c r="E59" i="40"/>
  <c r="C74" i="29"/>
  <c r="C73" i="29"/>
  <c r="C72" i="29"/>
  <c r="C71" i="29"/>
  <c r="C70" i="29"/>
  <c r="C69" i="29"/>
  <c r="C68" i="29"/>
  <c r="C67" i="29"/>
  <c r="C66" i="29"/>
  <c r="C65" i="29"/>
  <c r="C64" i="29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3" i="40"/>
  <c r="H64" i="40"/>
  <c r="H65" i="40"/>
  <c r="H67" i="40"/>
  <c r="H68" i="40"/>
  <c r="H69" i="40"/>
  <c r="H70" i="40"/>
  <c r="H2" i="40"/>
  <c r="Q23" i="38"/>
  <c r="P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J8" i="38"/>
  <c r="I8" i="38"/>
  <c r="H8" i="38"/>
  <c r="G8" i="38"/>
  <c r="F8" i="38"/>
  <c r="E8" i="38"/>
  <c r="D8" i="38"/>
  <c r="C8" i="38"/>
  <c r="B8" i="38"/>
  <c r="U35" i="2"/>
  <c r="B35" i="2"/>
  <c r="I29" i="2"/>
  <c r="D32" i="2"/>
  <c r="G32" i="2" s="1"/>
  <c r="C30" i="2"/>
  <c r="D30" i="2" s="1"/>
  <c r="K30" i="2" s="1"/>
  <c r="G29" i="2"/>
  <c r="G28" i="2"/>
  <c r="M3" i="37"/>
  <c r="L3" i="37"/>
  <c r="K3" i="37"/>
  <c r="J3" i="37"/>
  <c r="I3" i="37"/>
  <c r="H3" i="37"/>
  <c r="G3" i="37"/>
  <c r="F3" i="37"/>
  <c r="E3" i="37"/>
  <c r="D3" i="37"/>
  <c r="C3" i="37"/>
  <c r="D3" i="36"/>
  <c r="D5" i="36" s="1"/>
  <c r="C3" i="36"/>
  <c r="C5" i="36" s="1"/>
  <c r="B5" i="36"/>
  <c r="R18" i="30" s="1"/>
  <c r="S18" i="30" s="1"/>
  <c r="E6" i="34"/>
  <c r="B6" i="34"/>
  <c r="R17" i="30" s="1"/>
  <c r="S17" i="30" s="1"/>
  <c r="F4" i="34"/>
  <c r="F6" i="34" s="1"/>
  <c r="D4" i="34"/>
  <c r="C4" i="34"/>
  <c r="E3" i="34"/>
  <c r="D3" i="34"/>
  <c r="D6" i="34" s="1"/>
  <c r="C3" i="34"/>
  <c r="C6" i="34" s="1"/>
  <c r="E11" i="10"/>
  <c r="D12" i="10"/>
  <c r="C10" i="10"/>
  <c r="C11" i="10"/>
  <c r="C12" i="10"/>
  <c r="C9" i="10"/>
  <c r="L12" i="6"/>
  <c r="K12" i="6"/>
  <c r="J12" i="6"/>
  <c r="I12" i="6"/>
  <c r="H12" i="6"/>
  <c r="G12" i="6"/>
  <c r="F12" i="6"/>
  <c r="E12" i="6"/>
  <c r="D12" i="6"/>
  <c r="O3" i="12"/>
  <c r="O5" i="12" s="1"/>
  <c r="C35" i="2" l="1"/>
  <c r="D35" i="2"/>
  <c r="G30" i="2"/>
  <c r="W30" i="2" s="1"/>
  <c r="W35" i="2" s="1"/>
  <c r="O32" i="2"/>
  <c r="N32" i="2"/>
  <c r="F32" i="2"/>
  <c r="E32" i="2"/>
  <c r="E35" i="2" s="1"/>
  <c r="T32" i="2"/>
  <c r="L32" i="2"/>
  <c r="L35" i="2" s="1"/>
  <c r="S32" i="2"/>
  <c r="K32" i="2"/>
  <c r="K35" i="2" s="1"/>
  <c r="Q32" i="2"/>
  <c r="Q35" i="2" s="1"/>
  <c r="I32" i="2"/>
  <c r="P32" i="2"/>
  <c r="P35" i="2" s="1"/>
  <c r="R32" i="2"/>
  <c r="J32" i="2"/>
  <c r="E33" i="2"/>
  <c r="H33" i="2" s="1"/>
  <c r="I28" i="2"/>
  <c r="X30" i="2"/>
  <c r="X35" i="2" s="1"/>
  <c r="O30" i="2"/>
  <c r="N30" i="2"/>
  <c r="N35" i="2" s="1"/>
  <c r="F30" i="2"/>
  <c r="M30" i="2"/>
  <c r="M35" i="2" s="1"/>
  <c r="T30" i="2"/>
  <c r="T35" i="2" s="1"/>
  <c r="S30" i="2"/>
  <c r="R30" i="2"/>
  <c r="J30" i="2"/>
  <c r="I30" i="2"/>
  <c r="J31" i="2"/>
  <c r="I31" i="2"/>
  <c r="Y32" i="2" s="1"/>
  <c r="Y35" i="2" s="1"/>
  <c r="J26" i="2"/>
  <c r="B3" i="10"/>
  <c r="E5" i="37"/>
  <c r="C5" i="37"/>
  <c r="L5" i="37"/>
  <c r="H5" i="37"/>
  <c r="D5" i="37"/>
  <c r="F5" i="37"/>
  <c r="M5" i="37"/>
  <c r="K5" i="37"/>
  <c r="G5" i="37"/>
  <c r="J5" i="37"/>
  <c r="I5" i="37"/>
  <c r="C22" i="2"/>
  <c r="C21" i="2"/>
  <c r="F20" i="2"/>
  <c r="C20" i="2"/>
  <c r="E19" i="2"/>
  <c r="C19" i="2"/>
  <c r="D18" i="2"/>
  <c r="C18" i="2"/>
  <c r="M8" i="2"/>
  <c r="L8" i="2"/>
  <c r="K8" i="2"/>
  <c r="C8" i="2"/>
  <c r="D8" i="2" s="1"/>
  <c r="C7" i="2"/>
  <c r="D7" i="2" s="1"/>
  <c r="C6" i="2"/>
  <c r="D6" i="2" s="1"/>
  <c r="C5" i="2"/>
  <c r="D5" i="2" s="1"/>
  <c r="L4" i="2"/>
  <c r="K4" i="2"/>
  <c r="C4" i="2"/>
  <c r="D4" i="2" s="1"/>
  <c r="B10" i="2"/>
  <c r="S12" i="32"/>
  <c r="S14" i="32"/>
  <c r="S16" i="32"/>
  <c r="N5" i="32"/>
  <c r="N4" i="32"/>
  <c r="I11" i="32"/>
  <c r="I24" i="32"/>
  <c r="I25" i="32"/>
  <c r="D20" i="32"/>
  <c r="O18" i="29"/>
  <c r="O17" i="29"/>
  <c r="O16" i="29"/>
  <c r="O15" i="29"/>
  <c r="S12" i="30" s="1"/>
  <c r="O14" i="29"/>
  <c r="O13" i="29"/>
  <c r="O12" i="29"/>
  <c r="O11" i="29"/>
  <c r="O10" i="29"/>
  <c r="O8" i="29"/>
  <c r="O9" i="29"/>
  <c r="S14" i="30"/>
  <c r="S16" i="30"/>
  <c r="N5" i="30"/>
  <c r="N17" i="30"/>
  <c r="N4" i="30"/>
  <c r="I11" i="30"/>
  <c r="I24" i="30"/>
  <c r="I25" i="30"/>
  <c r="D20" i="30"/>
  <c r="M15" i="30"/>
  <c r="N15" i="32" s="1"/>
  <c r="L13" i="6"/>
  <c r="K13" i="6"/>
  <c r="J13" i="6"/>
  <c r="I13" i="6"/>
  <c r="H13" i="6"/>
  <c r="G13" i="6"/>
  <c r="F13" i="6"/>
  <c r="E13" i="6"/>
  <c r="D13" i="6"/>
  <c r="B13" i="6"/>
  <c r="R3" i="28"/>
  <c r="R5" i="28" s="1"/>
  <c r="P3" i="28"/>
  <c r="P5" i="28" s="1"/>
  <c r="Q3" i="28"/>
  <c r="Q5" i="28" s="1"/>
  <c r="O3" i="28"/>
  <c r="O5" i="28" s="1"/>
  <c r="N3" i="28"/>
  <c r="N5" i="28" s="1"/>
  <c r="M3" i="28"/>
  <c r="M5" i="28" s="1"/>
  <c r="L3" i="28"/>
  <c r="L5" i="28" s="1"/>
  <c r="K3" i="28"/>
  <c r="J3" i="28"/>
  <c r="J5" i="28" s="1"/>
  <c r="G3" i="28"/>
  <c r="G5" i="28" s="1"/>
  <c r="F3" i="28"/>
  <c r="F5" i="28" s="1"/>
  <c r="H3" i="28"/>
  <c r="H5" i="28" s="1"/>
  <c r="I3" i="28"/>
  <c r="I5" i="28" s="1"/>
  <c r="E3" i="28"/>
  <c r="E5" i="28" s="1"/>
  <c r="C3" i="28"/>
  <c r="F3" i="27"/>
  <c r="F5" i="27" s="1"/>
  <c r="E3" i="27"/>
  <c r="D3" i="27"/>
  <c r="D5" i="27" s="1"/>
  <c r="C3" i="27"/>
  <c r="C5" i="27" s="1"/>
  <c r="C3" i="26"/>
  <c r="C5" i="26" s="1"/>
  <c r="K5" i="28"/>
  <c r="C5" i="28"/>
  <c r="B5" i="28"/>
  <c r="D3" i="28"/>
  <c r="D5" i="28" s="1"/>
  <c r="B5" i="27"/>
  <c r="E5" i="27"/>
  <c r="B5" i="26"/>
  <c r="N3" i="26"/>
  <c r="N5" i="26" s="1"/>
  <c r="M3" i="26"/>
  <c r="M5" i="26" s="1"/>
  <c r="L3" i="26"/>
  <c r="L5" i="26" s="1"/>
  <c r="K3" i="26"/>
  <c r="K5" i="26" s="1"/>
  <c r="J3" i="26"/>
  <c r="J5" i="26" s="1"/>
  <c r="I3" i="26"/>
  <c r="I5" i="26" s="1"/>
  <c r="H3" i="26"/>
  <c r="H5" i="26" s="1"/>
  <c r="G3" i="26"/>
  <c r="G5" i="26" s="1"/>
  <c r="F3" i="26"/>
  <c r="F5" i="26" s="1"/>
  <c r="E3" i="26"/>
  <c r="E5" i="26" s="1"/>
  <c r="D3" i="26"/>
  <c r="D5" i="26" s="1"/>
  <c r="K3" i="25"/>
  <c r="K5" i="25" s="1"/>
  <c r="J3" i="25"/>
  <c r="J5" i="25" s="1"/>
  <c r="I5" i="24"/>
  <c r="I3" i="24"/>
  <c r="M3" i="23"/>
  <c r="M5" i="23" s="1"/>
  <c r="K3" i="23"/>
  <c r="K5" i="23" s="1"/>
  <c r="J3" i="23"/>
  <c r="B5" i="25"/>
  <c r="N3" i="25"/>
  <c r="N5" i="25" s="1"/>
  <c r="M3" i="25"/>
  <c r="M5" i="25" s="1"/>
  <c r="L3" i="25"/>
  <c r="L5" i="25" s="1"/>
  <c r="I3" i="25"/>
  <c r="I5" i="25" s="1"/>
  <c r="H3" i="25"/>
  <c r="H5" i="25" s="1"/>
  <c r="G3" i="25"/>
  <c r="G5" i="25" s="1"/>
  <c r="F3" i="25"/>
  <c r="F5" i="25" s="1"/>
  <c r="E3" i="25"/>
  <c r="E5" i="25" s="1"/>
  <c r="D3" i="25"/>
  <c r="D5" i="25" s="1"/>
  <c r="C3" i="25"/>
  <c r="C5" i="25" s="1"/>
  <c r="J5" i="24"/>
  <c r="B5" i="24"/>
  <c r="N3" i="24"/>
  <c r="N5" i="24" s="1"/>
  <c r="M3" i="24"/>
  <c r="M5" i="24" s="1"/>
  <c r="L3" i="24"/>
  <c r="L5" i="24" s="1"/>
  <c r="K3" i="24"/>
  <c r="K5" i="24" s="1"/>
  <c r="J3" i="24"/>
  <c r="H3" i="24"/>
  <c r="H5" i="24" s="1"/>
  <c r="G3" i="24"/>
  <c r="G5" i="24" s="1"/>
  <c r="F3" i="24"/>
  <c r="F5" i="24" s="1"/>
  <c r="E3" i="24"/>
  <c r="E5" i="24" s="1"/>
  <c r="D3" i="24"/>
  <c r="D5" i="24" s="1"/>
  <c r="C3" i="24"/>
  <c r="C5" i="24" s="1"/>
  <c r="B5" i="23"/>
  <c r="L3" i="23"/>
  <c r="L5" i="23" s="1"/>
  <c r="J5" i="23"/>
  <c r="I3" i="23"/>
  <c r="I5" i="23" s="1"/>
  <c r="H3" i="23"/>
  <c r="H5" i="23" s="1"/>
  <c r="G3" i="23"/>
  <c r="G5" i="23" s="1"/>
  <c r="F3" i="23"/>
  <c r="F5" i="23" s="1"/>
  <c r="E3" i="23"/>
  <c r="E5" i="23" s="1"/>
  <c r="D3" i="23"/>
  <c r="D5" i="23" s="1"/>
  <c r="C3" i="23"/>
  <c r="C5" i="23" s="1"/>
  <c r="G3" i="22"/>
  <c r="G5" i="22" s="1"/>
  <c r="M3" i="22"/>
  <c r="L3" i="22"/>
  <c r="L5" i="22" s="1"/>
  <c r="K3" i="22"/>
  <c r="K5" i="22" s="1"/>
  <c r="J3" i="22"/>
  <c r="J5" i="22" s="1"/>
  <c r="I3" i="22"/>
  <c r="I5" i="22" s="1"/>
  <c r="H3" i="22"/>
  <c r="H5" i="22" s="1"/>
  <c r="F3" i="22"/>
  <c r="F5" i="22" s="1"/>
  <c r="E3" i="22"/>
  <c r="E5" i="22" s="1"/>
  <c r="D3" i="22"/>
  <c r="C3" i="22"/>
  <c r="C5" i="22" s="1"/>
  <c r="B5" i="22"/>
  <c r="M5" i="22"/>
  <c r="D5" i="22"/>
  <c r="F3" i="21"/>
  <c r="F5" i="21" s="1"/>
  <c r="E3" i="21"/>
  <c r="E5" i="21" s="1"/>
  <c r="D3" i="21"/>
  <c r="C3" i="21"/>
  <c r="C5" i="21" s="1"/>
  <c r="B5" i="21"/>
  <c r="D5" i="21"/>
  <c r="K3" i="20"/>
  <c r="K5" i="20" s="1"/>
  <c r="J3" i="20"/>
  <c r="J5" i="20" s="1"/>
  <c r="N3" i="20"/>
  <c r="N5" i="20" s="1"/>
  <c r="M3" i="20"/>
  <c r="M5" i="20" s="1"/>
  <c r="O3" i="20"/>
  <c r="O5" i="20" s="1"/>
  <c r="I3" i="20"/>
  <c r="I5" i="20" s="1"/>
  <c r="H3" i="20"/>
  <c r="H5" i="20" s="1"/>
  <c r="G3" i="20"/>
  <c r="G5" i="20" s="1"/>
  <c r="L3" i="20"/>
  <c r="L5" i="20" s="1"/>
  <c r="F3" i="20"/>
  <c r="F5" i="20" s="1"/>
  <c r="E3" i="20"/>
  <c r="E5" i="20" s="1"/>
  <c r="D3" i="20"/>
  <c r="D5" i="20" s="1"/>
  <c r="C3" i="20"/>
  <c r="C5" i="20" s="1"/>
  <c r="B5" i="20"/>
  <c r="N3" i="19"/>
  <c r="N5" i="19" s="1"/>
  <c r="K3" i="19"/>
  <c r="K5" i="19" s="1"/>
  <c r="J3" i="19"/>
  <c r="J5" i="19" s="1"/>
  <c r="G3" i="19"/>
  <c r="G5" i="19" s="1"/>
  <c r="P3" i="19"/>
  <c r="P5" i="19" s="1"/>
  <c r="Q3" i="19"/>
  <c r="Q5" i="19" s="1"/>
  <c r="R13" i="30" s="1"/>
  <c r="S13" i="32" s="1"/>
  <c r="O3" i="19"/>
  <c r="O5" i="19" s="1"/>
  <c r="M3" i="19"/>
  <c r="M5" i="19" s="1"/>
  <c r="L3" i="19"/>
  <c r="L5" i="19" s="1"/>
  <c r="I3" i="19"/>
  <c r="I5" i="19" s="1"/>
  <c r="H3" i="19"/>
  <c r="H5" i="19" s="1"/>
  <c r="E3" i="19"/>
  <c r="E5" i="19" s="1"/>
  <c r="F3" i="19"/>
  <c r="F5" i="19" s="1"/>
  <c r="D3" i="19"/>
  <c r="D5" i="19" s="1"/>
  <c r="C3" i="19"/>
  <c r="C5" i="19" s="1"/>
  <c r="B5" i="19"/>
  <c r="C17" i="3"/>
  <c r="D17" i="3" s="1"/>
  <c r="M17" i="3" s="1"/>
  <c r="C16" i="3"/>
  <c r="D16" i="3" s="1"/>
  <c r="C9" i="3"/>
  <c r="D9" i="3"/>
  <c r="L9" i="3" s="1"/>
  <c r="D15" i="3"/>
  <c r="L15" i="3" s="1"/>
  <c r="C14" i="3"/>
  <c r="D14" i="3"/>
  <c r="L14" i="3" s="1"/>
  <c r="J14" i="3"/>
  <c r="C13" i="3"/>
  <c r="D13" i="3"/>
  <c r="L13" i="3" s="1"/>
  <c r="F13" i="3"/>
  <c r="C12" i="3"/>
  <c r="D12" i="3"/>
  <c r="G12" i="3" s="1"/>
  <c r="C11" i="3"/>
  <c r="D11" i="3"/>
  <c r="L11" i="3" s="1"/>
  <c r="F11" i="3"/>
  <c r="I11" i="3"/>
  <c r="C10" i="3"/>
  <c r="D10" i="3" s="1"/>
  <c r="C8" i="3"/>
  <c r="D8" i="3"/>
  <c r="L8" i="3" s="1"/>
  <c r="C7" i="3"/>
  <c r="D7" i="3" s="1"/>
  <c r="C6" i="3"/>
  <c r="D6" i="3" s="1"/>
  <c r="C5" i="3"/>
  <c r="D5" i="3" s="1"/>
  <c r="H5" i="3" s="1"/>
  <c r="D4" i="3"/>
  <c r="L4" i="3" s="1"/>
  <c r="C3" i="3"/>
  <c r="B19" i="3"/>
  <c r="E3" i="18"/>
  <c r="E5" i="18" s="1"/>
  <c r="G3" i="18"/>
  <c r="G5" i="18" s="1"/>
  <c r="F3" i="18"/>
  <c r="D3" i="18"/>
  <c r="D5" i="18" s="1"/>
  <c r="C3" i="18"/>
  <c r="C5" i="18" s="1"/>
  <c r="B5" i="18"/>
  <c r="F5" i="18"/>
  <c r="E3" i="17"/>
  <c r="F3" i="17"/>
  <c r="F5" i="17" s="1"/>
  <c r="C3" i="17"/>
  <c r="B5" i="17"/>
  <c r="M20" i="30" s="1"/>
  <c r="E5" i="17"/>
  <c r="D3" i="17"/>
  <c r="D5" i="17" s="1"/>
  <c r="C5" i="17"/>
  <c r="E3" i="16"/>
  <c r="E5" i="16" s="1"/>
  <c r="B5" i="16"/>
  <c r="M19" i="30" s="1"/>
  <c r="F3" i="16"/>
  <c r="F5" i="16" s="1"/>
  <c r="D3" i="16"/>
  <c r="D5" i="16" s="1"/>
  <c r="C3" i="16"/>
  <c r="C5" i="16" s="1"/>
  <c r="F5" i="15"/>
  <c r="E3" i="15"/>
  <c r="E5" i="15" s="1"/>
  <c r="D3" i="15"/>
  <c r="D5" i="15" s="1"/>
  <c r="F3" i="15"/>
  <c r="C3" i="15"/>
  <c r="C5" i="15" s="1"/>
  <c r="B5" i="15"/>
  <c r="M18" i="30" s="1"/>
  <c r="D3" i="14"/>
  <c r="D5" i="14" s="1"/>
  <c r="C3" i="14"/>
  <c r="C5" i="14" s="1"/>
  <c r="B5" i="14"/>
  <c r="H8" i="30" s="1"/>
  <c r="I8" i="32" s="1"/>
  <c r="H3" i="13"/>
  <c r="H5" i="13" s="1"/>
  <c r="G3" i="13"/>
  <c r="G5" i="13" s="1"/>
  <c r="M3" i="13"/>
  <c r="M5" i="13" s="1"/>
  <c r="L3" i="13"/>
  <c r="L5" i="13" s="1"/>
  <c r="K3" i="13"/>
  <c r="J3" i="13"/>
  <c r="J5" i="13" s="1"/>
  <c r="I3" i="13"/>
  <c r="I5" i="13" s="1"/>
  <c r="E3" i="13"/>
  <c r="E5" i="13" s="1"/>
  <c r="F3" i="13"/>
  <c r="F5" i="13" s="1"/>
  <c r="D3" i="13"/>
  <c r="D5" i="13" s="1"/>
  <c r="D3" i="12"/>
  <c r="D5" i="12" s="1"/>
  <c r="B5" i="13"/>
  <c r="K5" i="13"/>
  <c r="C3" i="13"/>
  <c r="C5" i="13" s="1"/>
  <c r="N3" i="12"/>
  <c r="N5" i="12" s="1"/>
  <c r="H16" i="30" s="1"/>
  <c r="M3" i="12"/>
  <c r="L3" i="12"/>
  <c r="L5" i="12" s="1"/>
  <c r="K3" i="12"/>
  <c r="K5" i="12" s="1"/>
  <c r="J3" i="12"/>
  <c r="J5" i="12" s="1"/>
  <c r="I3" i="12"/>
  <c r="I5" i="12" s="1"/>
  <c r="M7" i="30" s="1"/>
  <c r="H3" i="12"/>
  <c r="G3" i="12"/>
  <c r="F3" i="12"/>
  <c r="E3" i="12"/>
  <c r="E5" i="12" s="1"/>
  <c r="B5" i="12"/>
  <c r="M5" i="12"/>
  <c r="H19" i="30" s="1"/>
  <c r="H5" i="12"/>
  <c r="G5" i="12"/>
  <c r="F5" i="12"/>
  <c r="C3" i="12"/>
  <c r="C5" i="12" s="1"/>
  <c r="P3" i="11"/>
  <c r="P5" i="11" s="1"/>
  <c r="O3" i="11"/>
  <c r="O5" i="11" s="1"/>
  <c r="N3" i="11"/>
  <c r="N5" i="11" s="1"/>
  <c r="M3" i="11"/>
  <c r="M5" i="11" s="1"/>
  <c r="M16" i="30" s="1"/>
  <c r="L3" i="11"/>
  <c r="K3" i="11"/>
  <c r="K5" i="11" s="1"/>
  <c r="J3" i="11"/>
  <c r="J5" i="11" s="1"/>
  <c r="I3" i="11"/>
  <c r="I5" i="11" s="1"/>
  <c r="H3" i="11"/>
  <c r="G3" i="11"/>
  <c r="E3" i="11"/>
  <c r="F3" i="11"/>
  <c r="D3" i="11"/>
  <c r="C3" i="11"/>
  <c r="N3" i="10"/>
  <c r="N5" i="10" s="1"/>
  <c r="M3" i="10"/>
  <c r="M5" i="10" s="1"/>
  <c r="L3" i="10"/>
  <c r="L5" i="10" s="1"/>
  <c r="K3" i="10"/>
  <c r="K5" i="10" s="1"/>
  <c r="H23" i="30" s="1"/>
  <c r="J3" i="10"/>
  <c r="J5" i="10" s="1"/>
  <c r="I3" i="10"/>
  <c r="I5" i="10" s="1"/>
  <c r="H3" i="10"/>
  <c r="H5" i="10" s="1"/>
  <c r="G3" i="10"/>
  <c r="G5" i="10" s="1"/>
  <c r="F3" i="10"/>
  <c r="F5" i="10" s="1"/>
  <c r="E3" i="10"/>
  <c r="E5" i="10" s="1"/>
  <c r="D3" i="10"/>
  <c r="C3" i="10"/>
  <c r="C5" i="10" s="1"/>
  <c r="E13" i="9"/>
  <c r="E14" i="9" s="1"/>
  <c r="F13" i="9"/>
  <c r="F14" i="9" s="1"/>
  <c r="G13" i="9"/>
  <c r="G14" i="9" s="1"/>
  <c r="M8" i="30" s="1"/>
  <c r="H13" i="9"/>
  <c r="H14" i="9" s="1"/>
  <c r="M9" i="30" s="1"/>
  <c r="I13" i="9"/>
  <c r="I14" i="9" s="1"/>
  <c r="J13" i="9"/>
  <c r="J14" i="9" s="1"/>
  <c r="K13" i="9"/>
  <c r="K14" i="9" s="1"/>
  <c r="L13" i="9"/>
  <c r="L14" i="9" s="1"/>
  <c r="M13" i="9"/>
  <c r="M14" i="9" s="1"/>
  <c r="M10" i="30" s="1"/>
  <c r="N10" i="30" s="1"/>
  <c r="N13" i="9"/>
  <c r="N14" i="9" s="1"/>
  <c r="M11" i="30" s="1"/>
  <c r="O13" i="9"/>
  <c r="O14" i="9" s="1"/>
  <c r="M12" i="30" s="1"/>
  <c r="P13" i="9"/>
  <c r="P14" i="9" s="1"/>
  <c r="R10" i="30" s="1"/>
  <c r="S10" i="32" s="1"/>
  <c r="D13" i="9"/>
  <c r="D14" i="9" s="1"/>
  <c r="C13" i="9"/>
  <c r="C14" i="9" s="1"/>
  <c r="J9" i="9"/>
  <c r="R11" i="30" s="1"/>
  <c r="I9" i="9"/>
  <c r="F9" i="9"/>
  <c r="E9" i="9"/>
  <c r="D9" i="9"/>
  <c r="R9" i="30" s="1"/>
  <c r="C9" i="9"/>
  <c r="R8" i="30" s="1"/>
  <c r="B9" i="9"/>
  <c r="Q3" i="9"/>
  <c r="Q5" i="9" s="1"/>
  <c r="P3" i="9"/>
  <c r="P5" i="9" s="1"/>
  <c r="O3" i="9"/>
  <c r="O5" i="9" s="1"/>
  <c r="N3" i="9"/>
  <c r="N5" i="9" s="1"/>
  <c r="H20" i="30" s="1"/>
  <c r="M3" i="9"/>
  <c r="M5" i="9" s="1"/>
  <c r="L3" i="9"/>
  <c r="L5" i="9" s="1"/>
  <c r="H15" i="30" s="1"/>
  <c r="K3" i="9"/>
  <c r="K5" i="9" s="1"/>
  <c r="J3" i="9"/>
  <c r="I3" i="9"/>
  <c r="H3" i="9"/>
  <c r="G3" i="9"/>
  <c r="F3" i="9"/>
  <c r="E3" i="9"/>
  <c r="D3" i="9"/>
  <c r="C3" i="9"/>
  <c r="L5" i="11"/>
  <c r="M3" i="8"/>
  <c r="M7" i="8" s="1"/>
  <c r="J3" i="8"/>
  <c r="C5" i="8"/>
  <c r="D5" i="8" s="1"/>
  <c r="G5" i="8" s="1"/>
  <c r="C4" i="8"/>
  <c r="D4" i="8" s="1"/>
  <c r="I4" i="8" s="1"/>
  <c r="B7" i="8"/>
  <c r="D3" i="8"/>
  <c r="H3" i="8" s="1"/>
  <c r="P5" i="6"/>
  <c r="P8" i="6" s="1"/>
  <c r="C12" i="6"/>
  <c r="C13" i="6" s="1"/>
  <c r="C6" i="6"/>
  <c r="D6" i="6" s="1"/>
  <c r="C5" i="6"/>
  <c r="D5" i="6" s="1"/>
  <c r="E5" i="6" s="1"/>
  <c r="D4" i="6"/>
  <c r="M4" i="6" s="1"/>
  <c r="D3" i="6"/>
  <c r="G3" i="6" s="1"/>
  <c r="C3" i="6"/>
  <c r="B8" i="6"/>
  <c r="S35" i="2" l="1"/>
  <c r="O35" i="2"/>
  <c r="R35" i="2"/>
  <c r="I35" i="2"/>
  <c r="V30" i="2"/>
  <c r="V35" i="2" s="1"/>
  <c r="F35" i="2"/>
  <c r="G35" i="2"/>
  <c r="J35" i="2"/>
  <c r="H32" i="2"/>
  <c r="H35" i="2" s="1"/>
  <c r="N20" i="30"/>
  <c r="N20" i="32"/>
  <c r="M11" i="3"/>
  <c r="I13" i="3"/>
  <c r="I8" i="3"/>
  <c r="J8" i="3"/>
  <c r="C19" i="3"/>
  <c r="F8" i="3"/>
  <c r="K14" i="3"/>
  <c r="M4" i="3"/>
  <c r="F14" i="3"/>
  <c r="J13" i="3"/>
  <c r="H7" i="30"/>
  <c r="I7" i="30" s="1"/>
  <c r="I7" i="32"/>
  <c r="R7" i="30"/>
  <c r="S7" i="30" s="1"/>
  <c r="S13" i="30"/>
  <c r="R6" i="30"/>
  <c r="S6" i="32" s="1"/>
  <c r="H14" i="30"/>
  <c r="I14" i="30" s="1"/>
  <c r="N19" i="30"/>
  <c r="N19" i="32"/>
  <c r="N16" i="30"/>
  <c r="N16" i="32"/>
  <c r="C17" i="30"/>
  <c r="D17" i="30" s="1"/>
  <c r="H18" i="30"/>
  <c r="I18" i="30" s="1"/>
  <c r="I20" i="30"/>
  <c r="I20" i="32"/>
  <c r="S8" i="32"/>
  <c r="S8" i="30"/>
  <c r="I15" i="32"/>
  <c r="I15" i="30"/>
  <c r="S9" i="32"/>
  <c r="S9" i="30"/>
  <c r="S11" i="30"/>
  <c r="S11" i="32"/>
  <c r="H21" i="30"/>
  <c r="D5" i="10"/>
  <c r="I19" i="30"/>
  <c r="I19" i="32"/>
  <c r="I16" i="30"/>
  <c r="I16" i="32"/>
  <c r="N7" i="32"/>
  <c r="N7" i="30"/>
  <c r="I8" i="30"/>
  <c r="R5" i="30"/>
  <c r="S5" i="32" s="1"/>
  <c r="N18" i="30"/>
  <c r="N18" i="32"/>
  <c r="H17" i="30"/>
  <c r="N5" i="8"/>
  <c r="L5" i="8"/>
  <c r="M12" i="6"/>
  <c r="R15" i="30"/>
  <c r="N15" i="30"/>
  <c r="N11" i="32"/>
  <c r="N11" i="30"/>
  <c r="N9" i="30"/>
  <c r="N9" i="32"/>
  <c r="N12" i="30"/>
  <c r="N12" i="32"/>
  <c r="N8" i="30"/>
  <c r="N8" i="32"/>
  <c r="S10" i="30"/>
  <c r="N10" i="32"/>
  <c r="I23" i="30"/>
  <c r="I23" i="32"/>
  <c r="M13" i="6"/>
  <c r="P9" i="6" s="1"/>
  <c r="B15" i="6" s="1"/>
  <c r="K4" i="8"/>
  <c r="K5" i="8"/>
  <c r="O5" i="8"/>
  <c r="O7" i="8" s="1"/>
  <c r="H10" i="30" s="1"/>
  <c r="J4" i="8"/>
  <c r="E3" i="8"/>
  <c r="J5" i="8"/>
  <c r="L3" i="8"/>
  <c r="N3" i="8"/>
  <c r="H4" i="8"/>
  <c r="K3" i="8"/>
  <c r="L4" i="8"/>
  <c r="N4" i="8"/>
  <c r="L6" i="3"/>
  <c r="F6" i="3"/>
  <c r="M6" i="3"/>
  <c r="L10" i="3"/>
  <c r="H10" i="3"/>
  <c r="M10" i="3"/>
  <c r="K10" i="3"/>
  <c r="I10" i="3"/>
  <c r="F10" i="3"/>
  <c r="J10" i="3"/>
  <c r="G10" i="3"/>
  <c r="H17" i="3"/>
  <c r="M8" i="3"/>
  <c r="H8" i="3"/>
  <c r="H11" i="3"/>
  <c r="M13" i="3"/>
  <c r="H13" i="3"/>
  <c r="I14" i="3"/>
  <c r="D3" i="3"/>
  <c r="F3" i="3" s="1"/>
  <c r="K8" i="3"/>
  <c r="G8" i="3"/>
  <c r="G11" i="3"/>
  <c r="F12" i="3"/>
  <c r="K13" i="3"/>
  <c r="G13" i="3"/>
  <c r="M14" i="3"/>
  <c r="G14" i="3"/>
  <c r="H15" i="3"/>
  <c r="T7" i="2"/>
  <c r="P7" i="2"/>
  <c r="L7" i="2"/>
  <c r="H7" i="2"/>
  <c r="N7" i="2"/>
  <c r="F7" i="2"/>
  <c r="Q7" i="2"/>
  <c r="I7" i="2"/>
  <c r="S7" i="2"/>
  <c r="O7" i="2"/>
  <c r="K7" i="2"/>
  <c r="G7" i="2"/>
  <c r="R7" i="2"/>
  <c r="J7" i="2"/>
  <c r="M7" i="2"/>
  <c r="E7" i="2"/>
  <c r="J8" i="2"/>
  <c r="F8" i="2"/>
  <c r="H8" i="2"/>
  <c r="G8" i="2"/>
  <c r="I8" i="2"/>
  <c r="E8" i="2"/>
  <c r="R5" i="2"/>
  <c r="N5" i="2"/>
  <c r="J5" i="2"/>
  <c r="F5" i="2"/>
  <c r="T5" i="2"/>
  <c r="T10" i="2" s="1"/>
  <c r="L5" i="2"/>
  <c r="O5" i="2"/>
  <c r="G5" i="2"/>
  <c r="Q5" i="2"/>
  <c r="Q10" i="2" s="1"/>
  <c r="M5" i="2"/>
  <c r="I5" i="2"/>
  <c r="E5" i="2"/>
  <c r="P5" i="2"/>
  <c r="P10" i="2" s="1"/>
  <c r="H5" i="2"/>
  <c r="S5" i="2"/>
  <c r="K5" i="2"/>
  <c r="M4" i="2"/>
  <c r="I4" i="2"/>
  <c r="E4" i="2"/>
  <c r="G4" i="2"/>
  <c r="J4" i="2"/>
  <c r="F4" i="2"/>
  <c r="H4" i="2"/>
  <c r="H6" i="2"/>
  <c r="J6" i="2"/>
  <c r="G6" i="2"/>
  <c r="F6" i="2"/>
  <c r="I6" i="2"/>
  <c r="E6" i="2"/>
  <c r="C3" i="2"/>
  <c r="C10" i="2" s="1"/>
  <c r="E4" i="6"/>
  <c r="K6" i="3"/>
  <c r="G6" i="3"/>
  <c r="D19" i="3"/>
  <c r="H4" i="3"/>
  <c r="E4" i="3"/>
  <c r="E19" i="3" s="1"/>
  <c r="C23" i="30" s="1"/>
  <c r="M3" i="3"/>
  <c r="J16" i="3"/>
  <c r="I16" i="3"/>
  <c r="K16" i="3"/>
  <c r="M16" i="3"/>
  <c r="F16" i="3"/>
  <c r="G16" i="3"/>
  <c r="H16" i="3"/>
  <c r="M15" i="3"/>
  <c r="K15" i="3"/>
  <c r="J15" i="3"/>
  <c r="I15" i="3"/>
  <c r="M9" i="3"/>
  <c r="J9" i="3"/>
  <c r="I9" i="3"/>
  <c r="K9" i="3"/>
  <c r="G9" i="3"/>
  <c r="F9" i="3"/>
  <c r="H9" i="3"/>
  <c r="G15" i="3"/>
  <c r="L16" i="3"/>
  <c r="F15" i="3"/>
  <c r="H14" i="3"/>
  <c r="K12" i="3"/>
  <c r="J12" i="3"/>
  <c r="L12" i="3"/>
  <c r="I12" i="3"/>
  <c r="H12" i="3"/>
  <c r="M12" i="3"/>
  <c r="K11" i="3"/>
  <c r="J11" i="3"/>
  <c r="L7" i="3"/>
  <c r="F7" i="3"/>
  <c r="J7" i="3"/>
  <c r="K7" i="3"/>
  <c r="M7" i="3"/>
  <c r="I7" i="3"/>
  <c r="H7" i="3"/>
  <c r="G7" i="3"/>
  <c r="M5" i="3"/>
  <c r="I6" i="3"/>
  <c r="H6" i="3"/>
  <c r="J6" i="3"/>
  <c r="F4" i="3"/>
  <c r="G4" i="3"/>
  <c r="K4" i="3"/>
  <c r="H3" i="3"/>
  <c r="L17" i="3"/>
  <c r="K17" i="3"/>
  <c r="G17" i="3"/>
  <c r="F17" i="3"/>
  <c r="J17" i="3"/>
  <c r="I17" i="3"/>
  <c r="K3" i="3"/>
  <c r="I3" i="3"/>
  <c r="F5" i="3"/>
  <c r="J5" i="3"/>
  <c r="I5" i="3"/>
  <c r="L5" i="3"/>
  <c r="K5" i="3"/>
  <c r="G5" i="3"/>
  <c r="I4" i="3"/>
  <c r="J4" i="3"/>
  <c r="F5" i="11"/>
  <c r="C5" i="11"/>
  <c r="G5" i="11"/>
  <c r="D5" i="11"/>
  <c r="H5" i="11"/>
  <c r="E5" i="11"/>
  <c r="B5" i="11"/>
  <c r="B5" i="10"/>
  <c r="H5" i="9"/>
  <c r="I5" i="9"/>
  <c r="H12" i="30" s="1"/>
  <c r="G5" i="9"/>
  <c r="H22" i="30" s="1"/>
  <c r="J5" i="9"/>
  <c r="H13" i="30" s="1"/>
  <c r="C5" i="9"/>
  <c r="E5" i="9"/>
  <c r="B5" i="9"/>
  <c r="G3" i="8"/>
  <c r="H5" i="8"/>
  <c r="I3" i="8"/>
  <c r="I5" i="8"/>
  <c r="E4" i="8"/>
  <c r="G4" i="8"/>
  <c r="E5" i="8"/>
  <c r="F5" i="8"/>
  <c r="F3" i="8"/>
  <c r="D7" i="8"/>
  <c r="C7" i="8"/>
  <c r="F4" i="8"/>
  <c r="E3" i="6"/>
  <c r="K6" i="6"/>
  <c r="I6" i="6"/>
  <c r="E6" i="6"/>
  <c r="M5" i="6"/>
  <c r="N5" i="6"/>
  <c r="H5" i="6"/>
  <c r="L5" i="6"/>
  <c r="O5" i="6"/>
  <c r="F5" i="6"/>
  <c r="G5" i="6"/>
  <c r="I5" i="6"/>
  <c r="L6" i="6"/>
  <c r="J6" i="6"/>
  <c r="J3" i="6"/>
  <c r="L3" i="6"/>
  <c r="N3" i="6"/>
  <c r="K3" i="6"/>
  <c r="M3" i="6"/>
  <c r="O3" i="6"/>
  <c r="H6" i="6"/>
  <c r="J4" i="6"/>
  <c r="O6" i="6"/>
  <c r="G6" i="6"/>
  <c r="I4" i="6"/>
  <c r="N6" i="6"/>
  <c r="F6" i="6"/>
  <c r="K5" i="6"/>
  <c r="H4" i="6"/>
  <c r="M6" i="6"/>
  <c r="J5" i="6"/>
  <c r="O4" i="6"/>
  <c r="G4" i="6"/>
  <c r="L4" i="6"/>
  <c r="K4" i="6"/>
  <c r="N4" i="6"/>
  <c r="F4" i="6"/>
  <c r="F3" i="6"/>
  <c r="D8" i="6"/>
  <c r="D9" i="6" s="1"/>
  <c r="I3" i="6"/>
  <c r="H3" i="6"/>
  <c r="C8" i="6"/>
  <c r="O10" i="2" l="1"/>
  <c r="L10" i="2"/>
  <c r="K10" i="2"/>
  <c r="R10" i="2"/>
  <c r="R12" i="2" s="1"/>
  <c r="M10" i="2"/>
  <c r="S10" i="2"/>
  <c r="C13" i="30" s="1"/>
  <c r="N10" i="2"/>
  <c r="M14" i="30" s="1"/>
  <c r="L3" i="3"/>
  <c r="J3" i="3"/>
  <c r="G3" i="3"/>
  <c r="S7" i="32"/>
  <c r="K19" i="3"/>
  <c r="S6" i="30"/>
  <c r="D17" i="32"/>
  <c r="I14" i="32"/>
  <c r="I18" i="32"/>
  <c r="I21" i="32"/>
  <c r="I21" i="30"/>
  <c r="I22" i="30"/>
  <c r="I22" i="32"/>
  <c r="I13" i="30"/>
  <c r="I13" i="32"/>
  <c r="I12" i="30"/>
  <c r="I12" i="32"/>
  <c r="S5" i="30"/>
  <c r="I17" i="30"/>
  <c r="I17" i="32"/>
  <c r="C11" i="30"/>
  <c r="S15" i="30"/>
  <c r="S15" i="32"/>
  <c r="J8" i="6"/>
  <c r="J9" i="6" s="1"/>
  <c r="L12" i="2"/>
  <c r="C21" i="30"/>
  <c r="C10" i="30"/>
  <c r="P12" i="2"/>
  <c r="C24" i="30"/>
  <c r="D24" i="30" s="1"/>
  <c r="N7" i="8"/>
  <c r="I10" i="30"/>
  <c r="I10" i="32"/>
  <c r="I19" i="3"/>
  <c r="M19" i="3"/>
  <c r="D23" i="30"/>
  <c r="D23" i="32"/>
  <c r="L19" i="3"/>
  <c r="Q12" i="2"/>
  <c r="T12" i="2"/>
  <c r="C14" i="30"/>
  <c r="M13" i="30"/>
  <c r="D3" i="2"/>
  <c r="D10" i="2" s="1"/>
  <c r="N8" i="6"/>
  <c r="N9" i="6" s="1"/>
  <c r="K8" i="6"/>
  <c r="K9" i="6" s="1"/>
  <c r="L8" i="6"/>
  <c r="G19" i="3"/>
  <c r="F19" i="3"/>
  <c r="J19" i="3"/>
  <c r="H19" i="3"/>
  <c r="F5" i="9"/>
  <c r="D5" i="9"/>
  <c r="H9" i="30" s="1"/>
  <c r="I9" i="30" s="1"/>
  <c r="H7" i="8"/>
  <c r="G7" i="8"/>
  <c r="I7" i="8"/>
  <c r="L7" i="8"/>
  <c r="E7" i="8"/>
  <c r="J7" i="8"/>
  <c r="F7" i="8"/>
  <c r="K7" i="8"/>
  <c r="M8" i="6"/>
  <c r="M9" i="6" s="1"/>
  <c r="O8" i="6"/>
  <c r="I8" i="6"/>
  <c r="I9" i="6" s="1"/>
  <c r="E8" i="6"/>
  <c r="E9" i="6" s="1"/>
  <c r="H8" i="6"/>
  <c r="H9" i="6" s="1"/>
  <c r="F8" i="6"/>
  <c r="G8" i="6"/>
  <c r="G9" i="6" s="1"/>
  <c r="S12" i="2" l="1"/>
  <c r="N12" i="2"/>
  <c r="S26" i="30"/>
  <c r="I9" i="32"/>
  <c r="C22" i="30"/>
  <c r="H6" i="30"/>
  <c r="I6" i="30" s="1"/>
  <c r="C15" i="30"/>
  <c r="D15" i="30" s="1"/>
  <c r="C18" i="30"/>
  <c r="C6" i="30"/>
  <c r="D6" i="30" s="1"/>
  <c r="F9" i="6"/>
  <c r="C19" i="30"/>
  <c r="D19" i="30" s="1"/>
  <c r="O9" i="6"/>
  <c r="L9" i="6"/>
  <c r="C16" i="30"/>
  <c r="C12" i="30"/>
  <c r="D12" i="30" s="1"/>
  <c r="O12" i="2"/>
  <c r="D24" i="32"/>
  <c r="D21" i="30"/>
  <c r="D21" i="32"/>
  <c r="M12" i="2"/>
  <c r="D14" i="30"/>
  <c r="D14" i="32"/>
  <c r="D11" i="30"/>
  <c r="D11" i="32"/>
  <c r="D13" i="32"/>
  <c r="D13" i="30"/>
  <c r="D10" i="32"/>
  <c r="D10" i="30"/>
  <c r="I3" i="2"/>
  <c r="I10" i="2" s="1"/>
  <c r="E3" i="2"/>
  <c r="E10" i="2" s="1"/>
  <c r="C4" i="30"/>
  <c r="F3" i="2"/>
  <c r="H3" i="2"/>
  <c r="H10" i="2" s="1"/>
  <c r="G3" i="2"/>
  <c r="J3" i="2"/>
  <c r="J10" i="2" s="1"/>
  <c r="K12" i="2"/>
  <c r="N14" i="30"/>
  <c r="N14" i="32"/>
  <c r="F10" i="2" l="1"/>
  <c r="F12" i="2" s="1"/>
  <c r="G10" i="2"/>
  <c r="C5" i="30" s="1"/>
  <c r="D6" i="32"/>
  <c r="I6" i="32"/>
  <c r="D15" i="32"/>
  <c r="D12" i="32"/>
  <c r="D19" i="32"/>
  <c r="D16" i="30"/>
  <c r="D16" i="32"/>
  <c r="D18" i="30"/>
  <c r="D18" i="32"/>
  <c r="E12" i="2"/>
  <c r="H5" i="30"/>
  <c r="C9" i="30"/>
  <c r="I12" i="2"/>
  <c r="C8" i="30"/>
  <c r="D8" i="30" s="1"/>
  <c r="J12" i="2"/>
  <c r="C7" i="30"/>
  <c r="D12" i="2"/>
  <c r="G12" i="2"/>
  <c r="D22" i="32"/>
  <c r="D22" i="30"/>
  <c r="N13" i="30"/>
  <c r="N26" i="30" s="1"/>
  <c r="N13" i="32"/>
  <c r="H12" i="2" l="1"/>
  <c r="B14" i="2" s="1"/>
  <c r="D8" i="32"/>
  <c r="D4" i="30"/>
  <c r="D4" i="32"/>
  <c r="I5" i="30"/>
  <c r="I26" i="30" s="1"/>
  <c r="I5" i="32"/>
  <c r="D7" i="30"/>
  <c r="D7" i="32"/>
  <c r="D5" i="32"/>
  <c r="D5" i="30"/>
  <c r="D9" i="30"/>
  <c r="D9" i="32"/>
  <c r="D26" i="30" l="1"/>
  <c r="C27" i="30" s="1"/>
</calcChain>
</file>

<file path=xl/sharedStrings.xml><?xml version="1.0" encoding="utf-8"?>
<sst xmlns="http://schemas.openxmlformats.org/spreadsheetml/2006/main" count="1310" uniqueCount="315">
  <si>
    <t>Item</t>
  </si>
  <si>
    <t>Quantity</t>
  </si>
  <si>
    <t>Maida</t>
  </si>
  <si>
    <t>Salt</t>
  </si>
  <si>
    <t>Sugar</t>
  </si>
  <si>
    <t>Milk Powder</t>
  </si>
  <si>
    <t>Lilly</t>
  </si>
  <si>
    <t>Peda</t>
  </si>
  <si>
    <t>Tuty</t>
  </si>
  <si>
    <t>PUFFS</t>
  </si>
  <si>
    <t>SWEETNA</t>
  </si>
  <si>
    <t>SWEET STICK</t>
  </si>
  <si>
    <t>KARI</t>
  </si>
  <si>
    <t>DILPASANTH</t>
  </si>
  <si>
    <t>CREAM CORN</t>
  </si>
  <si>
    <t>Cardamom</t>
  </si>
  <si>
    <t>Total</t>
  </si>
  <si>
    <t>Cherry</t>
  </si>
  <si>
    <t>RKG</t>
  </si>
  <si>
    <t>Eggs</t>
  </si>
  <si>
    <t>Vanila</t>
  </si>
  <si>
    <t>Aval</t>
  </si>
  <si>
    <t>ATTA BREAD</t>
  </si>
  <si>
    <t>PAV BUN</t>
  </si>
  <si>
    <t>BREAD</t>
  </si>
  <si>
    <t>BUN</t>
  </si>
  <si>
    <t>AVAL BUN</t>
  </si>
  <si>
    <t>CREAM BUN</t>
  </si>
  <si>
    <t>FRUIT BREAD</t>
  </si>
  <si>
    <t>BUTTER BREAD</t>
  </si>
  <si>
    <t>DONUT</t>
  </si>
  <si>
    <t>Yeast</t>
  </si>
  <si>
    <t>Butter</t>
  </si>
  <si>
    <t>Water</t>
  </si>
  <si>
    <t>Custard</t>
  </si>
  <si>
    <t>Custard Pwdr</t>
  </si>
  <si>
    <t>Milkmaid</t>
  </si>
  <si>
    <t>Nuts</t>
  </si>
  <si>
    <t>Coconut</t>
  </si>
  <si>
    <t>Masala</t>
  </si>
  <si>
    <t>Sheel</t>
  </si>
  <si>
    <t>SunFlr Oil</t>
  </si>
  <si>
    <t>Brd Imp</t>
  </si>
  <si>
    <t>AVAL BUN Masala</t>
  </si>
  <si>
    <t>Kismiss</t>
  </si>
  <si>
    <t>Weight</t>
  </si>
  <si>
    <t>Dark Choc</t>
  </si>
  <si>
    <t>Dalda</t>
  </si>
  <si>
    <t>Mikmaid</t>
  </si>
  <si>
    <t>CocoPowder</t>
  </si>
  <si>
    <t>Garam Masala</t>
  </si>
  <si>
    <t>Ginger Pwdr</t>
  </si>
  <si>
    <t>Vanila Pwdr</t>
  </si>
  <si>
    <t>Sadu Jeera</t>
  </si>
  <si>
    <t>Mixed Jam</t>
  </si>
  <si>
    <t>Liqd Gluc</t>
  </si>
  <si>
    <t>Egg</t>
  </si>
  <si>
    <t>Fruits</t>
  </si>
  <si>
    <t>Jue Colr</t>
  </si>
  <si>
    <t>Ice-Cream</t>
  </si>
  <si>
    <t>Lemon</t>
  </si>
  <si>
    <t>Pineapple</t>
  </si>
  <si>
    <t>Rum</t>
  </si>
  <si>
    <t>Orange</t>
  </si>
  <si>
    <t>Almond</t>
  </si>
  <si>
    <t>Milk Pwdr</t>
  </si>
  <si>
    <t>Calcium</t>
  </si>
  <si>
    <t>Essence</t>
  </si>
  <si>
    <t>Vanil Pwdr</t>
  </si>
  <si>
    <t>Baking Pwdr</t>
  </si>
  <si>
    <t>PLUM CAKE</t>
  </si>
  <si>
    <t>FRUITS MIX</t>
  </si>
  <si>
    <t>Cashew</t>
  </si>
  <si>
    <t>Dates</t>
  </si>
  <si>
    <t>Candy Peel</t>
  </si>
  <si>
    <t>Ginger Peel</t>
  </si>
  <si>
    <t>G Masala</t>
  </si>
  <si>
    <t>Jeera</t>
  </si>
  <si>
    <t>Makkiri</t>
  </si>
  <si>
    <t>ESSENCE (ml)</t>
  </si>
  <si>
    <t>10 Kg Kismiss</t>
  </si>
  <si>
    <t>TEA CAKE</t>
  </si>
  <si>
    <t>Essence ml</t>
  </si>
  <si>
    <t>PINEAPPALE CAKE</t>
  </si>
  <si>
    <t>Pineapple Cut</t>
  </si>
  <si>
    <t>Pineapple Colr</t>
  </si>
  <si>
    <t>CARROT&amp;DATES CAKE</t>
  </si>
  <si>
    <t>Carrot</t>
  </si>
  <si>
    <t>Oil</t>
  </si>
  <si>
    <t>Sun Flwr Oil</t>
  </si>
  <si>
    <t>Jue Colour</t>
  </si>
  <si>
    <t>Pineapple Jam</t>
  </si>
  <si>
    <t>Soda Pwdr</t>
  </si>
  <si>
    <t>Essence - ml</t>
  </si>
  <si>
    <t>Gel</t>
  </si>
  <si>
    <t>SPUNGE CAKE</t>
  </si>
  <si>
    <t>CREAM</t>
  </si>
  <si>
    <t>Icing Sugar</t>
  </si>
  <si>
    <t>Black Forest Cake</t>
  </si>
  <si>
    <t>BF Powder</t>
  </si>
  <si>
    <t>White Forest Cake</t>
  </si>
  <si>
    <t>WF Powder</t>
  </si>
  <si>
    <t>Red Velvet Cake</t>
  </si>
  <si>
    <t>RV Powder</t>
  </si>
  <si>
    <t>GHEE CAKE</t>
  </si>
  <si>
    <t>Atta</t>
  </si>
  <si>
    <t>Kubboos</t>
  </si>
  <si>
    <t>Chicken Roll</t>
  </si>
  <si>
    <t>Meat Roll</t>
  </si>
  <si>
    <t>Chicken Tikka</t>
  </si>
  <si>
    <t>Chicken Pizza</t>
  </si>
  <si>
    <t>Veg Roll</t>
  </si>
  <si>
    <t>Chicken Burger</t>
  </si>
  <si>
    <t>Meat Burger</t>
  </si>
  <si>
    <t>Veg Burger</t>
  </si>
  <si>
    <t>Chicken sandwitch</t>
  </si>
  <si>
    <t>Meat sandwitch</t>
  </si>
  <si>
    <t>Veg sandwitch</t>
  </si>
  <si>
    <t>Sandwitch BREAD</t>
  </si>
  <si>
    <t>TEA RUSK</t>
  </si>
  <si>
    <t>WSP</t>
  </si>
  <si>
    <t>WHITE RUSK</t>
  </si>
  <si>
    <t>Ayamodakam</t>
  </si>
  <si>
    <t>Milk - ml</t>
  </si>
  <si>
    <t>Pineapple Essence</t>
  </si>
  <si>
    <t>Beans Biscuit</t>
  </si>
  <si>
    <t>Pineapple Cookies</t>
  </si>
  <si>
    <t>IcingSugar</t>
  </si>
  <si>
    <t>Biskine</t>
  </si>
  <si>
    <t>Vanil Essnce</t>
  </si>
  <si>
    <t>Pineapple Essnc</t>
  </si>
  <si>
    <t>Orange Essnc</t>
  </si>
  <si>
    <t>Milk Maid</t>
  </si>
  <si>
    <t>Orange Cookies</t>
  </si>
  <si>
    <t>Orange Colr</t>
  </si>
  <si>
    <t>Strawberry Colr</t>
  </si>
  <si>
    <t>Ellu</t>
  </si>
  <si>
    <t>Strawberry Cookies</t>
  </si>
  <si>
    <t>Pista Colr</t>
  </si>
  <si>
    <t>Pista Cookies</t>
  </si>
  <si>
    <t>Pista Nuts</t>
  </si>
  <si>
    <t>Semia</t>
  </si>
  <si>
    <t>Semia Cookies</t>
  </si>
  <si>
    <t>Coconut Powder</t>
  </si>
  <si>
    <t>Coconut Cookies</t>
  </si>
  <si>
    <t>Masala Cookies</t>
  </si>
  <si>
    <t>Coconut Pwdr</t>
  </si>
  <si>
    <t>Malli ela</t>
  </si>
  <si>
    <t>Puthina</t>
  </si>
  <si>
    <t>Garlic</t>
  </si>
  <si>
    <t>Chilli</t>
  </si>
  <si>
    <t>Ginger</t>
  </si>
  <si>
    <t>Onion</t>
  </si>
  <si>
    <t>Curry Leavs</t>
  </si>
  <si>
    <t>Chilli Pwdr</t>
  </si>
  <si>
    <t>Sl. No</t>
  </si>
  <si>
    <t>Price Per Unit</t>
  </si>
  <si>
    <t>Vanila Powder</t>
  </si>
  <si>
    <t>Bread Improver</t>
  </si>
  <si>
    <t>Baking Powder</t>
  </si>
  <si>
    <t>Sunflower Oil</t>
  </si>
  <si>
    <t>Coconut Oil</t>
  </si>
  <si>
    <t>Lilly - Puffs</t>
  </si>
  <si>
    <t>Sheel - Bread</t>
  </si>
  <si>
    <t>Biskin - Cookies</t>
  </si>
  <si>
    <t>SSM - Cream</t>
  </si>
  <si>
    <t>USM - Cake</t>
  </si>
  <si>
    <t>Dark Chocolate</t>
  </si>
  <si>
    <t>WhiteChocolate</t>
  </si>
  <si>
    <t>Ginger Powder</t>
  </si>
  <si>
    <t>Jeerakam</t>
  </si>
  <si>
    <t>Sadu Jeerakam</t>
  </si>
  <si>
    <t>Soda Powder</t>
  </si>
  <si>
    <t>Jam Mixed</t>
  </si>
  <si>
    <t>Jam Pineapple</t>
  </si>
  <si>
    <t>Liquid Glucose</t>
  </si>
  <si>
    <t>Coco Powder</t>
  </si>
  <si>
    <t>Jelly White</t>
  </si>
  <si>
    <t>Jelly Black</t>
  </si>
  <si>
    <t>Palm Oil</t>
  </si>
  <si>
    <t>Sarkara</t>
  </si>
  <si>
    <t>Cut Dates</t>
  </si>
  <si>
    <t>Naranga</t>
  </si>
  <si>
    <t>Black Forest Powder</t>
  </si>
  <si>
    <t>White Forest Powder</t>
  </si>
  <si>
    <t>Red Velvet</t>
  </si>
  <si>
    <t>Pineapple cutting</t>
  </si>
  <si>
    <t>Ice Cream</t>
  </si>
  <si>
    <t>Banana</t>
  </si>
  <si>
    <t>Plum</t>
  </si>
  <si>
    <t>Cost</t>
  </si>
  <si>
    <t>Total Cost</t>
  </si>
  <si>
    <t>Total Quantity</t>
  </si>
  <si>
    <t>Cost per Item</t>
  </si>
  <si>
    <t>Cost for Masala</t>
  </si>
  <si>
    <t xml:space="preserve"> </t>
  </si>
  <si>
    <t>Total Qnty</t>
  </si>
  <si>
    <t>Custard Powder</t>
  </si>
  <si>
    <t>SSM</t>
  </si>
  <si>
    <t>USM</t>
  </si>
  <si>
    <t>Vanila Essnce</t>
  </si>
  <si>
    <t>Naranga/Lemon</t>
  </si>
  <si>
    <t>Price Per Litre</t>
  </si>
  <si>
    <t>Stock</t>
  </si>
  <si>
    <t>Balance</t>
  </si>
  <si>
    <t>Daily Stock</t>
  </si>
  <si>
    <t>Material Stock</t>
  </si>
  <si>
    <t>Daily Consumption</t>
  </si>
  <si>
    <t>Cost of Raw Materials</t>
  </si>
  <si>
    <t>Puffs_Sweetna</t>
  </si>
  <si>
    <t>Bread_Bun</t>
  </si>
  <si>
    <t>Fruit_ButterBread_Donut</t>
  </si>
  <si>
    <t>Tea_Cake</t>
  </si>
  <si>
    <t>Plum_Cake</t>
  </si>
  <si>
    <t>Pineapple_Cake</t>
  </si>
  <si>
    <t>Daily consumption and cost of raw materials</t>
  </si>
  <si>
    <t>Carrot_Dates_Cake</t>
  </si>
  <si>
    <t>Spunge_Cake</t>
  </si>
  <si>
    <t>Cream</t>
  </si>
  <si>
    <t>Black_Forest</t>
  </si>
  <si>
    <t>White_Forest</t>
  </si>
  <si>
    <t>Red_Velvet</t>
  </si>
  <si>
    <t>Ghee_Cake</t>
  </si>
  <si>
    <t>Sandwitch_Pizza</t>
  </si>
  <si>
    <t>Tea_Rusk</t>
  </si>
  <si>
    <t>White_Rusk</t>
  </si>
  <si>
    <t>Beans_Biscuit</t>
  </si>
  <si>
    <t>Home</t>
  </si>
  <si>
    <t>Pineapple_Cookies</t>
  </si>
  <si>
    <t>Orange_Cookies</t>
  </si>
  <si>
    <t>Strawberry_Cookies</t>
  </si>
  <si>
    <t>Semia_Cookies</t>
  </si>
  <si>
    <t>Pista_Cookies</t>
  </si>
  <si>
    <t>Masala_Cookies</t>
  </si>
  <si>
    <t>Coconut_Cookies</t>
  </si>
  <si>
    <t>Management Sheets</t>
  </si>
  <si>
    <t>Items</t>
  </si>
  <si>
    <t>Total Expense</t>
  </si>
  <si>
    <t>PUFFS contents</t>
  </si>
  <si>
    <t>Qnty</t>
  </si>
  <si>
    <t>Chicken</t>
  </si>
  <si>
    <t>Meat</t>
  </si>
  <si>
    <t>Veg</t>
  </si>
  <si>
    <t>Egg Puffs</t>
  </si>
  <si>
    <t>Chicken Puffs</t>
  </si>
  <si>
    <t>Meat Puffs</t>
  </si>
  <si>
    <t>Banana Puffs</t>
  </si>
  <si>
    <t>Veg Puffs</t>
  </si>
  <si>
    <t>Tea Cake</t>
  </si>
  <si>
    <t>Butter Plum</t>
  </si>
  <si>
    <t>Strawberry Cake</t>
  </si>
  <si>
    <t>Marble Cake</t>
  </si>
  <si>
    <t>Tray</t>
  </si>
  <si>
    <t>Muffin Mix</t>
  </si>
  <si>
    <t>Pineapple Muffin</t>
  </si>
  <si>
    <t>Strwberry Muffin</t>
  </si>
  <si>
    <t>Muffins</t>
  </si>
  <si>
    <t>Muffin Mix Vanila</t>
  </si>
  <si>
    <t>Choc Muffin</t>
  </si>
  <si>
    <t>Muffin Mix Choc</t>
  </si>
  <si>
    <t>Cherry Cake</t>
  </si>
  <si>
    <t>Cake Powder</t>
  </si>
  <si>
    <t>Mixed jam</t>
  </si>
  <si>
    <t>Cardamum</t>
  </si>
  <si>
    <t>Rice Powder</t>
  </si>
  <si>
    <t>Jaggery</t>
  </si>
  <si>
    <t>Black sesame seed</t>
  </si>
  <si>
    <t>Coconut Piece</t>
  </si>
  <si>
    <t>Kismis</t>
  </si>
  <si>
    <t>Beans</t>
  </si>
  <si>
    <t>Black gram</t>
  </si>
  <si>
    <t>Prippu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</si>
  <si>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</si>
  <si>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</si>
  <si>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</si>
  <si>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</si>
  <si>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</si>
  <si>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</si>
  <si>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</si>
  <si>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</si>
  <si>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Coconut poeder</t>
  </si>
  <si>
    <t>20 nos</t>
  </si>
  <si>
    <t>Potato</t>
  </si>
  <si>
    <t>Cabbage</t>
  </si>
  <si>
    <t>Chilli Powder</t>
  </si>
  <si>
    <t>Pepper</t>
  </si>
  <si>
    <t>Corriander</t>
  </si>
  <si>
    <t>Tomato</t>
  </si>
  <si>
    <t>Capsicum</t>
  </si>
  <si>
    <t>Meat Masala</t>
  </si>
  <si>
    <t>Turmeric powder</t>
  </si>
  <si>
    <t>Veg Samosa</t>
  </si>
  <si>
    <t>Egg Samosa</t>
  </si>
  <si>
    <t>Chicken Samosa</t>
  </si>
  <si>
    <t>Meat Samosa</t>
  </si>
  <si>
    <t>Meat Sandwitch</t>
  </si>
  <si>
    <t>Chicken Tikka Sandwitch</t>
  </si>
  <si>
    <t>Veg Sandwitch</t>
  </si>
  <si>
    <t>same</t>
  </si>
  <si>
    <t>Chicken Sandwitch</t>
  </si>
  <si>
    <t>Samosa</t>
  </si>
  <si>
    <t>Sandwitch</t>
  </si>
  <si>
    <t>Chicken Masala</t>
  </si>
  <si>
    <t>4 nos</t>
  </si>
  <si>
    <t>Tikka Chicken Sandwitch</t>
  </si>
  <si>
    <t xml:space="preserve">Pizza </t>
  </si>
  <si>
    <t>Pizza</t>
  </si>
  <si>
    <t>SP</t>
  </si>
  <si>
    <t>Product ID</t>
  </si>
  <si>
    <t>Product</t>
  </si>
  <si>
    <t>Main Category</t>
  </si>
  <si>
    <t>Sub Category</t>
  </si>
  <si>
    <t>SAMOSA</t>
  </si>
  <si>
    <t>SANDWICH</t>
  </si>
  <si>
    <t>Chocolate_Muffin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</si>
</sst>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0" borderId="2" xfId="0" applyBorder="1"/>
    <xf numFmtId="0" fontId="2" fillId="4" borderId="1" xfId="0" applyFont="1" applyFill="1" applyBorder="1"/>
    <xf numFmtId="0" fontId="1" fillId="7" borderId="4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1" fillId="10" borderId="1" xfId="0" applyFont="1" applyFill="1" applyBorder="1"/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6" borderId="1" xfId="0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1"/>
    <xf numFmtId="0" fontId="1" fillId="11" borderId="0" xfId="0" applyFont="1" applyFill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4" fontId="0" fillId="0" borderId="10" xfId="0" applyNumberFormat="1" applyBorder="1"/>
    <xf numFmtId="0" fontId="0" fillId="0" borderId="16" xfId="0" applyBorder="1"/>
    <xf numFmtId="2" fontId="0" fillId="12" borderId="10" xfId="0" applyNumberFormat="1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4" fontId="0" fillId="12" borderId="10" xfId="0" applyNumberFormat="1" applyFill="1" applyBorder="1" applyAlignment="1">
      <alignment horizontal="center"/>
    </xf>
    <xf numFmtId="4" fontId="0" fillId="12" borderId="16" xfId="0" applyNumberFormat="1" applyFill="1" applyBorder="1" applyAlignment="1">
      <alignment horizontal="center"/>
    </xf>
    <xf numFmtId="4" fontId="0" fillId="12" borderId="10" xfId="0" applyNumberFormat="1" applyFill="1" applyBorder="1"/>
    <xf numFmtId="0" fontId="0" fillId="12" borderId="10" xfId="0" applyFill="1" applyBorder="1"/>
    <xf numFmtId="0" fontId="0" fillId="12" borderId="16" xfId="0" applyFill="1" applyBorder="1" applyAlignment="1">
      <alignment horizontal="center"/>
    </xf>
    <xf numFmtId="0" fontId="0" fillId="12" borderId="16" xfId="0" applyFill="1" applyBorder="1"/>
    <xf numFmtId="0" fontId="7" fillId="0" borderId="0" xfId="0" applyFont="1"/>
    <xf numFmtId="0" fontId="6" fillId="0" borderId="23" xfId="1" applyFont="1" applyBorder="1"/>
    <xf numFmtId="0" fontId="6" fillId="0" borderId="0" xfId="1" applyFont="1" applyBorder="1"/>
    <xf numFmtId="0" fontId="6" fillId="0" borderId="24" xfId="1" applyFont="1" applyBorder="1"/>
    <xf numFmtId="0" fontId="7" fillId="0" borderId="23" xfId="0" applyFont="1" applyBorder="1"/>
    <xf numFmtId="0" fontId="0" fillId="0" borderId="24" xfId="0" applyBorder="1"/>
    <xf numFmtId="0" fontId="7" fillId="0" borderId="25" xfId="0" applyFont="1" applyBorder="1"/>
    <xf numFmtId="0" fontId="6" fillId="0" borderId="26" xfId="1" applyFont="1" applyBorder="1"/>
    <xf numFmtId="0" fontId="0" fillId="0" borderId="13" xfId="0" applyBorder="1"/>
    <xf numFmtId="0" fontId="0" fillId="14" borderId="21" xfId="0" applyFill="1" applyBorder="1"/>
    <xf numFmtId="0" fontId="0" fillId="14" borderId="0" xfId="0" applyFill="1"/>
    <xf numFmtId="0" fontId="0" fillId="14" borderId="26" xfId="0" applyFill="1" applyBorder="1"/>
    <xf numFmtId="0" fontId="4" fillId="13" borderId="20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0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1455420</xdr:colOff>
      <xdr:row>3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A606-E392-4646-82C9-161EC155E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05500" cy="89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15241</xdr:rowOff>
    </xdr:from>
    <xdr:to>
      <xdr:col>7</xdr:col>
      <xdr:colOff>167640</xdr:colOff>
      <xdr:row>4</xdr:row>
      <xdr:rowOff>39310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ED999-4476-4CE5-AD5D-ADCF6A415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1"/>
          <a:ext cx="5554980" cy="755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kery\January_2022\Thannickal_Bakers_Date%20January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tock"/>
      <sheetName val="Daily_Consumption"/>
      <sheetName val="Cost of raw materials"/>
      <sheetName val="Puffs_Sweetna"/>
      <sheetName val="Bread_Bun"/>
      <sheetName val="Fruit_ButterBread_Donut"/>
      <sheetName val="Tea_Cake"/>
      <sheetName val="Plum_Cake"/>
      <sheetName val="Pineapple_Cake"/>
      <sheetName val="Carrot_Dates_Cake"/>
      <sheetName val="Spunge_Cake"/>
      <sheetName val="Cream"/>
      <sheetName val="Black_Forest"/>
      <sheetName val="White_Forest"/>
      <sheetName val="Red_Velvet"/>
      <sheetName val="Ghee_Cake"/>
      <sheetName val="Sandwitch_Pizza"/>
      <sheetName val="Tea_Rusk"/>
      <sheetName val="White_Rusk"/>
      <sheetName val="Beans_Biscuit"/>
      <sheetName val="Pineapple_Cookies"/>
      <sheetName val="Orange_Cookies"/>
      <sheetName val="Strawberry_Cookies"/>
      <sheetName val="Pista_Cookies"/>
      <sheetName val="Semia_Cookies"/>
      <sheetName val="Coconut_Cookies"/>
      <sheetName val="Masala_Cookies"/>
      <sheetName val="Cutlets"/>
    </sheetNames>
    <sheetDataSet>
      <sheetData sheetId="0"/>
      <sheetData sheetId="1"/>
      <sheetData sheetId="2"/>
      <sheetData sheetId="3">
        <row r="7">
          <cell r="C7">
            <v>36</v>
          </cell>
        </row>
        <row r="8">
          <cell r="C8">
            <v>39</v>
          </cell>
          <cell r="G8">
            <v>159</v>
          </cell>
        </row>
        <row r="9">
          <cell r="C9">
            <v>9</v>
          </cell>
        </row>
        <row r="10">
          <cell r="C10">
            <v>315</v>
          </cell>
        </row>
        <row r="11">
          <cell r="C11">
            <v>312</v>
          </cell>
        </row>
        <row r="12">
          <cell r="C12">
            <v>5</v>
          </cell>
        </row>
        <row r="13">
          <cell r="C13">
            <v>550</v>
          </cell>
        </row>
        <row r="14">
          <cell r="C14">
            <v>85</v>
          </cell>
        </row>
        <row r="15">
          <cell r="C15">
            <v>256</v>
          </cell>
        </row>
        <row r="16">
          <cell r="C16">
            <v>500</v>
          </cell>
          <cell r="K16">
            <v>56</v>
          </cell>
        </row>
        <row r="17">
          <cell r="C17">
            <v>210</v>
          </cell>
          <cell r="K17">
            <v>220</v>
          </cell>
        </row>
        <row r="24">
          <cell r="C24">
            <v>70</v>
          </cell>
        </row>
        <row r="25">
          <cell r="C25">
            <v>1320</v>
          </cell>
        </row>
        <row r="27">
          <cell r="C27">
            <v>45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AC0B-1DCE-43BC-A034-14055A4A668E}">
  <dimension ref="A4:I31"/>
  <sheetViews>
    <sheetView workbookViewId="0">
      <selection activeCell="C14" sqref="C14"/>
    </sheetView>
  </sheetViews>
  <sheetFormatPr defaultColWidth="8.85546875" defaultRowHeight="18.75" x14ac:dyDescent="0.3"/>
  <cols>
    <col min="1" max="1" width="32.42578125" style="83" bestFit="1" customWidth="1"/>
    <col min="2" max="2" width="1.85546875" customWidth="1"/>
    <col min="3" max="3" width="28" bestFit="1" customWidth="1"/>
    <col min="4" max="4" width="1.85546875" customWidth="1"/>
    <col min="5" max="5" width="21.85546875" bestFit="1" customWidth="1"/>
    <col min="8" max="8" width="23.7109375" bestFit="1" customWidth="1"/>
    <col min="9" max="9" width="73.5703125" bestFit="1" customWidth="1"/>
  </cols>
  <sheetData>
    <row r="4" spans="1:9" ht="19.5" thickBot="1" x14ac:dyDescent="0.35"/>
    <row r="5" spans="1:9" x14ac:dyDescent="0.3">
      <c r="A5" s="95" t="s">
        <v>235</v>
      </c>
      <c r="B5" s="92"/>
      <c r="C5" s="114" t="s">
        <v>236</v>
      </c>
      <c r="D5" s="114"/>
      <c r="E5" s="115"/>
      <c r="G5">
        <v>1</v>
      </c>
      <c r="H5" t="s">
        <v>209</v>
      </c>
      <c r="I5" t="str">
        <f>"new Category { CategoryId = "&amp;G5&amp;", Name = """&amp;H5&amp;""", TeamId = 1 },"</f>
        <v>new Category { CategoryId = 1, Name = "Puffs_Sweetna", TeamId = 1 },</v>
      </c>
    </row>
    <row r="6" spans="1:9" x14ac:dyDescent="0.3">
      <c r="A6" s="84" t="s">
        <v>206</v>
      </c>
      <c r="B6" s="93"/>
      <c r="C6" s="85" t="s">
        <v>209</v>
      </c>
      <c r="D6" s="93"/>
      <c r="E6" s="86" t="s">
        <v>225</v>
      </c>
      <c r="G6">
        <v>2</v>
      </c>
      <c r="H6" t="s">
        <v>210</v>
      </c>
      <c r="I6" t="str">
        <f t="shared" ref="I6:I31" si="0">"new Category { CategoryId = "&amp;G6&amp;", Name = """&amp;H6&amp;""", TeamId = 1 },"</f>
        <v>new Category { CategoryId = 2, Name = "Bread_Bun", TeamId = 1 },</v>
      </c>
    </row>
    <row r="7" spans="1:9" x14ac:dyDescent="0.3">
      <c r="A7" s="84" t="s">
        <v>207</v>
      </c>
      <c r="B7" s="93"/>
      <c r="C7" s="85" t="s">
        <v>210</v>
      </c>
      <c r="D7" s="93"/>
      <c r="E7" s="86" t="s">
        <v>226</v>
      </c>
      <c r="G7">
        <v>3</v>
      </c>
      <c r="H7" t="s">
        <v>211</v>
      </c>
      <c r="I7" t="str">
        <f t="shared" si="0"/>
        <v>new Category { CategoryId = 3, Name = "Fruit_ButterBread_Donut", TeamId = 1 },</v>
      </c>
    </row>
    <row r="8" spans="1:9" x14ac:dyDescent="0.3">
      <c r="A8" s="84" t="s">
        <v>208</v>
      </c>
      <c r="B8" s="93"/>
      <c r="C8" s="85" t="s">
        <v>211</v>
      </c>
      <c r="D8" s="93"/>
      <c r="E8" s="86" t="s">
        <v>228</v>
      </c>
      <c r="G8">
        <v>4</v>
      </c>
      <c r="H8" t="s">
        <v>212</v>
      </c>
      <c r="I8" t="str">
        <f t="shared" si="0"/>
        <v>new Category { CategoryId = 4, Name = "Tea_Cake", TeamId = 1 },</v>
      </c>
    </row>
    <row r="9" spans="1:9" x14ac:dyDescent="0.3">
      <c r="A9" s="87"/>
      <c r="B9" s="93"/>
      <c r="C9" s="85" t="s">
        <v>212</v>
      </c>
      <c r="D9" s="93"/>
      <c r="E9" s="86" t="s">
        <v>229</v>
      </c>
      <c r="G9">
        <v>5</v>
      </c>
      <c r="H9" t="s">
        <v>213</v>
      </c>
      <c r="I9" t="str">
        <f t="shared" si="0"/>
        <v>new Category { CategoryId = 5, Name = "Plum_Cake", TeamId = 1 },</v>
      </c>
    </row>
    <row r="10" spans="1:9" x14ac:dyDescent="0.3">
      <c r="A10" s="87"/>
      <c r="B10" s="93"/>
      <c r="C10" s="85" t="s">
        <v>213</v>
      </c>
      <c r="D10" s="93"/>
      <c r="E10" s="86" t="s">
        <v>230</v>
      </c>
      <c r="G10">
        <v>6</v>
      </c>
      <c r="H10" t="s">
        <v>214</v>
      </c>
      <c r="I10" t="str">
        <f t="shared" si="0"/>
        <v>new Category { CategoryId = 6, Name = "Pineapple_Cake", TeamId = 1 },</v>
      </c>
    </row>
    <row r="11" spans="1:9" x14ac:dyDescent="0.3">
      <c r="A11" s="87"/>
      <c r="B11" s="93"/>
      <c r="C11" s="85" t="s">
        <v>214</v>
      </c>
      <c r="D11" s="93"/>
      <c r="E11" s="86" t="s">
        <v>232</v>
      </c>
      <c r="G11">
        <v>7</v>
      </c>
      <c r="H11" t="s">
        <v>216</v>
      </c>
      <c r="I11" t="str">
        <f t="shared" si="0"/>
        <v>new Category { CategoryId = 7, Name = "Carrot_Dates_Cake", TeamId = 1 },</v>
      </c>
    </row>
    <row r="12" spans="1:9" x14ac:dyDescent="0.3">
      <c r="A12" s="87"/>
      <c r="B12" s="93"/>
      <c r="C12" s="85" t="s">
        <v>216</v>
      </c>
      <c r="D12" s="93"/>
      <c r="E12" s="86" t="s">
        <v>231</v>
      </c>
      <c r="G12">
        <v>8</v>
      </c>
      <c r="H12" t="s">
        <v>217</v>
      </c>
      <c r="I12" t="str">
        <f t="shared" si="0"/>
        <v>new Category { CategoryId = 8, Name = "Spunge_Cake", TeamId = 1 },</v>
      </c>
    </row>
    <row r="13" spans="1:9" x14ac:dyDescent="0.3">
      <c r="A13" s="87"/>
      <c r="B13" s="93"/>
      <c r="C13" s="85" t="s">
        <v>217</v>
      </c>
      <c r="D13" s="93"/>
      <c r="E13" s="86" t="s">
        <v>234</v>
      </c>
      <c r="G13">
        <v>9</v>
      </c>
      <c r="H13" t="s">
        <v>218</v>
      </c>
      <c r="I13" t="str">
        <f t="shared" si="0"/>
        <v>new Category { CategoryId = 9, Name = "Cream", TeamId = 1 },</v>
      </c>
    </row>
    <row r="14" spans="1:9" x14ac:dyDescent="0.3">
      <c r="A14" s="87"/>
      <c r="B14" s="93"/>
      <c r="C14" s="85" t="s">
        <v>218</v>
      </c>
      <c r="D14" s="93"/>
      <c r="E14" s="86" t="s">
        <v>233</v>
      </c>
      <c r="G14">
        <v>10</v>
      </c>
      <c r="H14" t="s">
        <v>219</v>
      </c>
      <c r="I14" t="str">
        <f t="shared" si="0"/>
        <v>new Category { CategoryId = 10, Name = "Black_Forest", TeamId = 1 },</v>
      </c>
    </row>
    <row r="15" spans="1:9" x14ac:dyDescent="0.3">
      <c r="A15" s="87"/>
      <c r="B15" s="93"/>
      <c r="C15" s="85" t="s">
        <v>219</v>
      </c>
      <c r="D15" s="93"/>
      <c r="E15" s="86" t="s">
        <v>256</v>
      </c>
      <c r="G15">
        <v>11</v>
      </c>
      <c r="H15" t="s">
        <v>220</v>
      </c>
      <c r="I15" t="str">
        <f t="shared" si="0"/>
        <v>new Category { CategoryId = 11, Name = "White_Forest", TeamId = 1 },</v>
      </c>
    </row>
    <row r="16" spans="1:9" x14ac:dyDescent="0.3">
      <c r="A16" s="87"/>
      <c r="B16" s="93"/>
      <c r="C16" s="85" t="s">
        <v>220</v>
      </c>
      <c r="D16" s="93"/>
      <c r="E16" s="86" t="s">
        <v>258</v>
      </c>
      <c r="G16">
        <v>12</v>
      </c>
      <c r="H16" t="s">
        <v>221</v>
      </c>
      <c r="I16" t="str">
        <f t="shared" si="0"/>
        <v>new Category { CategoryId = 12, Name = "Red_Velvet", TeamId = 1 },</v>
      </c>
    </row>
    <row r="17" spans="1:9" x14ac:dyDescent="0.3">
      <c r="A17" s="87"/>
      <c r="B17" s="93"/>
      <c r="C17" s="85" t="s">
        <v>221</v>
      </c>
      <c r="D17" s="93"/>
      <c r="E17" s="86" t="s">
        <v>260</v>
      </c>
      <c r="G17">
        <v>13</v>
      </c>
      <c r="H17" t="s">
        <v>222</v>
      </c>
      <c r="I17" t="str">
        <f t="shared" si="0"/>
        <v>new Category { CategoryId = 13, Name = "Ghee_Cake", TeamId = 1 },</v>
      </c>
    </row>
    <row r="18" spans="1:9" x14ac:dyDescent="0.3">
      <c r="A18" s="87"/>
      <c r="B18" s="93"/>
      <c r="C18" s="85" t="s">
        <v>222</v>
      </c>
      <c r="D18" s="93"/>
      <c r="E18" s="86"/>
      <c r="G18">
        <v>14</v>
      </c>
      <c r="H18" t="s">
        <v>223</v>
      </c>
      <c r="I18" t="str">
        <f t="shared" si="0"/>
        <v>new Category { CategoryId = 14, Name = "Sandwitch_Pizza", TeamId = 1 },</v>
      </c>
    </row>
    <row r="19" spans="1:9" x14ac:dyDescent="0.3">
      <c r="A19" s="87"/>
      <c r="B19" s="93"/>
      <c r="C19" s="85" t="s">
        <v>223</v>
      </c>
      <c r="D19" s="93"/>
      <c r="E19" s="88"/>
      <c r="G19">
        <v>15</v>
      </c>
      <c r="H19" t="s">
        <v>224</v>
      </c>
      <c r="I19" t="str">
        <f t="shared" si="0"/>
        <v>new Category { CategoryId = 15, Name = "Tea_Rusk", TeamId = 1 },</v>
      </c>
    </row>
    <row r="20" spans="1:9" ht="19.5" thickBot="1" x14ac:dyDescent="0.35">
      <c r="A20" s="89"/>
      <c r="B20" s="94"/>
      <c r="C20" s="90" t="s">
        <v>224</v>
      </c>
      <c r="D20" s="94"/>
      <c r="E20" s="91"/>
      <c r="G20">
        <v>16</v>
      </c>
      <c r="H20" t="s">
        <v>225</v>
      </c>
      <c r="I20" t="str">
        <f t="shared" si="0"/>
        <v>new Category { CategoryId = 16, Name = "White_Rusk", TeamId = 1 },</v>
      </c>
    </row>
    <row r="21" spans="1:9" x14ac:dyDescent="0.3">
      <c r="G21">
        <v>17</v>
      </c>
      <c r="H21" t="s">
        <v>226</v>
      </c>
      <c r="I21" t="str">
        <f t="shared" si="0"/>
        <v>new Category { CategoryId = 17, Name = "Beans_Biscuit", TeamId = 1 },</v>
      </c>
    </row>
    <row r="22" spans="1:9" x14ac:dyDescent="0.3">
      <c r="G22">
        <v>18</v>
      </c>
      <c r="H22" t="s">
        <v>228</v>
      </c>
      <c r="I22" t="str">
        <f t="shared" si="0"/>
        <v>new Category { CategoryId = 18, Name = "Pineapple_Cookies", TeamId = 1 },</v>
      </c>
    </row>
    <row r="23" spans="1:9" x14ac:dyDescent="0.3">
      <c r="G23">
        <v>19</v>
      </c>
      <c r="H23" t="s">
        <v>229</v>
      </c>
      <c r="I23" t="str">
        <f t="shared" si="0"/>
        <v>new Category { CategoryId = 19, Name = "Orange_Cookies", TeamId = 1 },</v>
      </c>
    </row>
    <row r="24" spans="1:9" x14ac:dyDescent="0.3">
      <c r="G24">
        <v>20</v>
      </c>
      <c r="H24" t="s">
        <v>230</v>
      </c>
      <c r="I24" t="str">
        <f t="shared" si="0"/>
        <v>new Category { CategoryId = 20, Name = "Strawberry_Cookies", TeamId = 1 },</v>
      </c>
    </row>
    <row r="25" spans="1:9" x14ac:dyDescent="0.3">
      <c r="G25">
        <v>21</v>
      </c>
      <c r="H25" t="s">
        <v>232</v>
      </c>
      <c r="I25" t="str">
        <f t="shared" si="0"/>
        <v>new Category { CategoryId = 21, Name = "Pista_Cookies", TeamId = 1 },</v>
      </c>
    </row>
    <row r="26" spans="1:9" x14ac:dyDescent="0.3">
      <c r="G26">
        <v>22</v>
      </c>
      <c r="H26" t="s">
        <v>231</v>
      </c>
      <c r="I26" t="str">
        <f t="shared" si="0"/>
        <v>new Category { CategoryId = 22, Name = "Semia_Cookies", TeamId = 1 },</v>
      </c>
    </row>
    <row r="27" spans="1:9" x14ac:dyDescent="0.3">
      <c r="G27">
        <v>23</v>
      </c>
      <c r="H27" t="s">
        <v>234</v>
      </c>
      <c r="I27" t="str">
        <f t="shared" si="0"/>
        <v>new Category { CategoryId = 23, Name = "Coconut_Cookies", TeamId = 1 },</v>
      </c>
    </row>
    <row r="28" spans="1:9" x14ac:dyDescent="0.3">
      <c r="G28">
        <v>24</v>
      </c>
      <c r="H28" t="s">
        <v>233</v>
      </c>
      <c r="I28" t="str">
        <f t="shared" si="0"/>
        <v>new Category { CategoryId = 24, Name = "Masala_Cookies", TeamId = 1 },</v>
      </c>
    </row>
    <row r="29" spans="1:9" x14ac:dyDescent="0.3">
      <c r="G29">
        <v>25</v>
      </c>
      <c r="H29" t="s">
        <v>256</v>
      </c>
      <c r="I29" t="str">
        <f t="shared" si="0"/>
        <v>new Category { CategoryId = 25, Name = "Muffins", TeamId = 1 },</v>
      </c>
    </row>
    <row r="30" spans="1:9" x14ac:dyDescent="0.3">
      <c r="G30">
        <v>26</v>
      </c>
      <c r="H30" t="s">
        <v>258</v>
      </c>
      <c r="I30" t="str">
        <f t="shared" si="0"/>
        <v>new Category { CategoryId = 26, Name = "Choc Muffin", TeamId = 1 },</v>
      </c>
    </row>
    <row r="31" spans="1:9" x14ac:dyDescent="0.3">
      <c r="G31">
        <v>27</v>
      </c>
      <c r="H31" t="s">
        <v>260</v>
      </c>
      <c r="I31" t="str">
        <f t="shared" si="0"/>
        <v>new Category { CategoryId = 27, Name = "Cherry Cake", TeamId = 1 },</v>
      </c>
    </row>
  </sheetData>
  <mergeCells count="1">
    <mergeCell ref="C5:E5"/>
  </mergeCells>
  <hyperlinks>
    <hyperlink ref="A6" location="Stock!A1" display="Material Stock" xr:uid="{19CCD74B-719E-4241-A8F6-AE76B23289D9}"/>
    <hyperlink ref="A7" location="Daily_Consumption!A1" display="Daily Consumption" xr:uid="{EE849066-1995-4010-A2E8-8970FF1C24FB}"/>
    <hyperlink ref="A8" location="'Cost of raw materials'!A1" display="Cost of Raw Materials" xr:uid="{E42900FB-F611-493F-8160-6FCA0C674486}"/>
    <hyperlink ref="C6" location="Puffs_Sweetna!A1" display="Puffs_Sweetna" xr:uid="{B7B6B02D-D34E-4A35-AF5A-501C5890FBE3}"/>
    <hyperlink ref="C7" location="Bread_Bun!A1" display="Bread_Bun" xr:uid="{88EDC712-8244-48AC-8D7A-879792C2A39E}"/>
    <hyperlink ref="C8" location="Fruit_ButterBread_Donut!A1" display="Fruit_ButterBread_Donut" xr:uid="{39A08B3C-587A-4ECA-ABF7-8EB558B60D27}"/>
    <hyperlink ref="C9" location="Tea_Cake!A1" display="Tea_Cake" xr:uid="{94C1EDF1-51B1-454C-886D-085573FAAE46}"/>
    <hyperlink ref="C10" location="Plum_Cake!A1" display="Plum_Cake" xr:uid="{22ED7CFF-6705-4D1D-B5F6-38F89C3E60AC}"/>
    <hyperlink ref="C11" location="Pineapple_Cake!A1" display="Pineapple_Cake" xr:uid="{B9C6A356-57C6-4A53-A65E-DE495840B57F}"/>
    <hyperlink ref="C12" location="Carrot_Dates_Cake!A1" display="Carrot_Dates_Cake" xr:uid="{CEA1E819-7E16-4123-A7BF-EC795D183D06}"/>
    <hyperlink ref="C13" location="Spunge_Cake!A1" display="Spunge_Cake" xr:uid="{1F370F48-E41C-4D28-8F77-C218245BD84F}"/>
    <hyperlink ref="C14" location="Cream!A1" display="Cream" xr:uid="{186E9ECE-9422-4B4C-81F5-F7366EBC182D}"/>
    <hyperlink ref="C15" location="Black_Forest!A1" display="Black_Forest" xr:uid="{1D293CD6-F14D-4A05-BD53-FD246EEA37F0}"/>
    <hyperlink ref="C16" location="White_Forest!A1" display="White_Forest" xr:uid="{89F2457E-64C2-42CC-81D7-8DE41FBAE05E}"/>
    <hyperlink ref="C17" location="Red_Velvet!A1" display="Red_Velvet" xr:uid="{60270157-666D-4627-AEBF-89A695B33A0B}"/>
    <hyperlink ref="C19" location="Sandwitch_Pizza!A1" display="Sandwitch_Pizza" xr:uid="{08121C4A-3E22-406E-83F1-6EC7BC3D62FF}"/>
    <hyperlink ref="C18" location="Ghee_Cake!A1" display="Ghee_Cake" xr:uid="{0348719C-BF5B-485E-A7BF-35DA7FF257CF}"/>
    <hyperlink ref="C20" location="Tea_Rusk!A1" display="Tea_Rusk" xr:uid="{ED80CF23-5443-4CE2-90BC-42BD57AEE13B}"/>
    <hyperlink ref="E6" location="White_Rusk!A1" display="White_Rusk" xr:uid="{BFFB735F-B9EC-4783-9AD1-647AB46B00C0}"/>
    <hyperlink ref="E7" location="Beans_Biscuit!A1" display="Beans_Biscuit" xr:uid="{55515A33-66D4-4908-A84D-9A575D966F04}"/>
    <hyperlink ref="E8" location="Pineapple_Cookies!A1" display="Pineapple_Cookies" xr:uid="{CB266B9B-488C-40A4-8827-29FD6395C282}"/>
    <hyperlink ref="E9" location="Orange_Cookies!A1" display="Orange_Cookies" xr:uid="{CE20793D-D89D-4B3A-A981-744869660562}"/>
    <hyperlink ref="E10" location="Strawberry_Cookies!A1" display="Strawberry_Cookies" xr:uid="{8864BB68-8866-4112-ABA2-16CDDD826127}"/>
    <hyperlink ref="E11" location="Pista_Cookies!A1" display="Pista_Cookies" xr:uid="{8CEE83AA-DD72-4FBE-B965-E8C556A8E39E}"/>
    <hyperlink ref="E12" location="Semia_Cookies!A1" display="Semia_Cookies" xr:uid="{AD969377-6756-4713-B4A6-15EB78412EB2}"/>
    <hyperlink ref="E13" location="Coconut_Cookies!A1" display="Coconut_Cookies" xr:uid="{01948092-AC57-47CD-9591-1867A7B7F1D2}"/>
    <hyperlink ref="E14" location="Masala_Cookies!A1" display="Masala_Cookies" xr:uid="{2E59AD1B-B5A4-41E2-86E3-B24D6B0FCB0E}"/>
    <hyperlink ref="E15" location="Muffins!A1" display="Muffins" xr:uid="{4C6927BA-B85A-4489-9224-C1D123A86C10}"/>
    <hyperlink ref="E16" location="Chocolate_Muffin!A1" display="Choc Muffin" xr:uid="{09C49BA0-FA42-4016-B16B-82262495F091}"/>
    <hyperlink ref="E17" location="'Cherry Cake'!A1" display="Cherry Cake" xr:uid="{05E378E3-7073-4268-B5CC-BDA5EB76F0A2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4B6C-267D-4DB5-9D9B-BD814B9A9FE1}">
  <dimension ref="A1:T14"/>
  <sheetViews>
    <sheetView workbookViewId="0">
      <selection activeCell="K21" sqref="K21"/>
    </sheetView>
  </sheetViews>
  <sheetFormatPr defaultColWidth="8.85546875" defaultRowHeight="15" x14ac:dyDescent="0.25"/>
  <cols>
    <col min="1" max="1" width="14.140625" customWidth="1"/>
    <col min="2" max="3" width="9.42578125" style="1" bestFit="1" customWidth="1"/>
    <col min="4" max="4" width="10.140625" style="1" bestFit="1" customWidth="1"/>
    <col min="5" max="5" width="10" style="1" bestFit="1" customWidth="1"/>
    <col min="6" max="6" width="10.140625" style="1" bestFit="1" customWidth="1"/>
    <col min="7" max="7" width="11.28515625" style="1" bestFit="1" customWidth="1"/>
    <col min="8" max="8" width="12.140625" style="1" bestFit="1" customWidth="1"/>
    <col min="9" max="9" width="13" style="1" bestFit="1" customWidth="1"/>
    <col min="10" max="10" width="11.140625" style="1" bestFit="1" customWidth="1"/>
    <col min="11" max="11" width="10.85546875" style="17" bestFit="1" customWidth="1"/>
    <col min="12" max="12" width="10.140625" style="17" bestFit="1" customWidth="1"/>
    <col min="13" max="13" width="9.42578125" bestFit="1" customWidth="1"/>
    <col min="15" max="17" width="8.85546875" style="17"/>
  </cols>
  <sheetData>
    <row r="1" spans="1:20" x14ac:dyDescent="0.25">
      <c r="K1" s="22"/>
    </row>
    <row r="2" spans="1:20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18</v>
      </c>
      <c r="F2" s="3" t="s">
        <v>48</v>
      </c>
      <c r="G2" s="3" t="s">
        <v>49</v>
      </c>
      <c r="H2" s="3" t="s">
        <v>35</v>
      </c>
      <c r="I2" s="3" t="s">
        <v>50</v>
      </c>
      <c r="J2" s="19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58</v>
      </c>
      <c r="S2" s="117" t="s">
        <v>227</v>
      </c>
      <c r="T2" s="117"/>
    </row>
    <row r="3" spans="1:20" x14ac:dyDescent="0.25">
      <c r="A3" s="5" t="s">
        <v>70</v>
      </c>
      <c r="B3" s="27">
        <v>0</v>
      </c>
      <c r="C3" s="9">
        <f>1.33*B3</f>
        <v>0</v>
      </c>
      <c r="D3" s="9">
        <f>1*B3</f>
        <v>0</v>
      </c>
      <c r="E3" s="9">
        <f>0.08*B3</f>
        <v>0</v>
      </c>
      <c r="F3" s="9">
        <f>0.08*B3</f>
        <v>0</v>
      </c>
      <c r="G3" s="9">
        <f>0.04*B3</f>
        <v>0</v>
      </c>
      <c r="H3" s="9">
        <f>0.04*B3</f>
        <v>0</v>
      </c>
      <c r="I3" s="9">
        <f>0.01*B3</f>
        <v>0</v>
      </c>
      <c r="J3" s="9">
        <f>0.008*B3</f>
        <v>0</v>
      </c>
      <c r="K3" s="9">
        <f>0.008*B3</f>
        <v>0</v>
      </c>
      <c r="L3" s="9">
        <f>0.01*B3</f>
        <v>0</v>
      </c>
      <c r="M3" s="9">
        <f>0.08*B3</f>
        <v>0</v>
      </c>
      <c r="N3" s="9">
        <f>0.033*B3</f>
        <v>0</v>
      </c>
      <c r="O3" s="15">
        <f>30*B3</f>
        <v>0</v>
      </c>
      <c r="P3" s="15">
        <f>2*B3</f>
        <v>0</v>
      </c>
      <c r="Q3" s="15">
        <f>0.04*B3</f>
        <v>0</v>
      </c>
      <c r="S3" s="117"/>
      <c r="T3" s="117"/>
    </row>
    <row r="4" spans="1:20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20" x14ac:dyDescent="0.25">
      <c r="A5" s="13" t="s">
        <v>16</v>
      </c>
      <c r="B5" s="12">
        <f t="shared" ref="B5:Q5" si="0">SUM(B3:B3)</f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</row>
    <row r="8" spans="1:20" x14ac:dyDescent="0.25">
      <c r="A8" s="8" t="s">
        <v>79</v>
      </c>
      <c r="B8" s="18" t="s">
        <v>20</v>
      </c>
      <c r="C8" s="18" t="s">
        <v>59</v>
      </c>
      <c r="D8" s="18" t="s">
        <v>60</v>
      </c>
      <c r="E8" s="18" t="s">
        <v>61</v>
      </c>
      <c r="F8" s="18" t="s">
        <v>62</v>
      </c>
      <c r="G8" s="18"/>
      <c r="H8" s="18"/>
      <c r="I8" s="18" t="s">
        <v>63</v>
      </c>
      <c r="J8" s="18" t="s">
        <v>64</v>
      </c>
    </row>
    <row r="9" spans="1:20" x14ac:dyDescent="0.25">
      <c r="A9" s="8"/>
      <c r="B9" s="6">
        <f>B3*0.01</f>
        <v>0</v>
      </c>
      <c r="C9" s="6">
        <f>B3*0.05</f>
        <v>0</v>
      </c>
      <c r="D9" s="6">
        <f>B3*0.001</f>
        <v>0</v>
      </c>
      <c r="E9" s="6">
        <f>B3*0.001</f>
        <v>0</v>
      </c>
      <c r="F9" s="6">
        <f>B3*0.001</f>
        <v>0</v>
      </c>
      <c r="G9" s="6"/>
      <c r="H9" s="6"/>
      <c r="I9" s="6">
        <f>B3*0.001</f>
        <v>0</v>
      </c>
      <c r="J9" s="6">
        <f>B3*0.001</f>
        <v>0</v>
      </c>
    </row>
    <row r="10" spans="1:20" x14ac:dyDescent="0.25">
      <c r="A10" s="23"/>
      <c r="B10" s="24"/>
      <c r="C10" s="24"/>
      <c r="D10" s="24"/>
      <c r="E10" s="24"/>
      <c r="F10" s="24"/>
      <c r="G10" s="24"/>
    </row>
    <row r="11" spans="1:20" x14ac:dyDescent="0.25">
      <c r="A11" s="28" t="s">
        <v>71</v>
      </c>
      <c r="B11" s="25" t="s">
        <v>44</v>
      </c>
      <c r="C11" s="25" t="s">
        <v>8</v>
      </c>
      <c r="D11" s="25" t="s">
        <v>17</v>
      </c>
      <c r="E11" s="25" t="s">
        <v>72</v>
      </c>
      <c r="F11" s="25" t="s">
        <v>73</v>
      </c>
      <c r="G11" s="25" t="s">
        <v>74</v>
      </c>
      <c r="H11" s="25" t="s">
        <v>75</v>
      </c>
      <c r="I11" s="25" t="s">
        <v>54</v>
      </c>
      <c r="J11" s="25" t="s">
        <v>4</v>
      </c>
      <c r="K11" s="25" t="s">
        <v>76</v>
      </c>
      <c r="L11" s="25" t="s">
        <v>77</v>
      </c>
      <c r="M11" s="26" t="s">
        <v>63</v>
      </c>
      <c r="N11" s="26" t="s">
        <v>78</v>
      </c>
      <c r="O11" s="25" t="s">
        <v>60</v>
      </c>
      <c r="P11" s="25" t="s">
        <v>62</v>
      </c>
      <c r="Q11" s="17" t="s">
        <v>16</v>
      </c>
    </row>
    <row r="12" spans="1:20" hidden="1" x14ac:dyDescent="0.25">
      <c r="A12" s="28" t="s">
        <v>80</v>
      </c>
      <c r="B12" s="6">
        <v>10</v>
      </c>
      <c r="C12" s="6">
        <v>5</v>
      </c>
      <c r="D12" s="6">
        <v>2</v>
      </c>
      <c r="E12" s="6">
        <v>0.875</v>
      </c>
      <c r="F12" s="6">
        <v>2.5</v>
      </c>
      <c r="G12" s="6">
        <v>0.75</v>
      </c>
      <c r="H12" s="6">
        <v>0.75</v>
      </c>
      <c r="I12" s="6">
        <v>2</v>
      </c>
      <c r="J12" s="6">
        <v>2</v>
      </c>
      <c r="K12" s="6">
        <v>1.2500000000000001E-2</v>
      </c>
      <c r="L12" s="6">
        <v>1.2500000000000001E-2</v>
      </c>
      <c r="M12" s="15">
        <v>1.5</v>
      </c>
      <c r="N12" s="15">
        <v>0.25</v>
      </c>
      <c r="O12" s="6">
        <v>0.5</v>
      </c>
      <c r="P12" s="6">
        <v>0.32200000000000001</v>
      </c>
    </row>
    <row r="13" spans="1:20" hidden="1" x14ac:dyDescent="0.25">
      <c r="B13" s="6">
        <v>1</v>
      </c>
      <c r="C13" s="6">
        <f>C12/B12</f>
        <v>0.5</v>
      </c>
      <c r="D13" s="6">
        <f t="shared" ref="D13:P13" si="1">D12/($B12)</f>
        <v>0.2</v>
      </c>
      <c r="E13" s="6">
        <f t="shared" si="1"/>
        <v>8.7499999999999994E-2</v>
      </c>
      <c r="F13" s="6">
        <f t="shared" si="1"/>
        <v>0.25</v>
      </c>
      <c r="G13" s="6">
        <f t="shared" si="1"/>
        <v>7.4999999999999997E-2</v>
      </c>
      <c r="H13" s="6">
        <f t="shared" si="1"/>
        <v>7.4999999999999997E-2</v>
      </c>
      <c r="I13" s="6">
        <f t="shared" si="1"/>
        <v>0.2</v>
      </c>
      <c r="J13" s="6">
        <f t="shared" si="1"/>
        <v>0.2</v>
      </c>
      <c r="K13" s="6">
        <f t="shared" si="1"/>
        <v>1.25E-3</v>
      </c>
      <c r="L13" s="6">
        <f t="shared" si="1"/>
        <v>1.25E-3</v>
      </c>
      <c r="M13" s="6">
        <f t="shared" si="1"/>
        <v>0.15</v>
      </c>
      <c r="N13" s="6">
        <f t="shared" si="1"/>
        <v>2.5000000000000001E-2</v>
      </c>
      <c r="O13" s="6">
        <f t="shared" si="1"/>
        <v>0.05</v>
      </c>
      <c r="P13" s="6">
        <f t="shared" si="1"/>
        <v>3.2199999999999999E-2</v>
      </c>
    </row>
    <row r="14" spans="1:20" x14ac:dyDescent="0.25">
      <c r="B14" s="21">
        <v>0</v>
      </c>
      <c r="C14" s="6">
        <f t="shared" ref="C14:P14" si="2">C13*$B14</f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</row>
  </sheetData>
  <mergeCells count="1">
    <mergeCell ref="S2:T3"/>
  </mergeCells>
  <hyperlinks>
    <hyperlink ref="S2:T3" location="Home!A1" display="Home" xr:uid="{19C76FCF-427D-44AD-A773-45CBB01312D1}"/>
  </hyperlinks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6443-0772-4859-B392-2B6023AF5F3C}">
  <dimension ref="A1:S5"/>
  <sheetViews>
    <sheetView zoomScaleNormal="100" workbookViewId="0">
      <selection activeCell="A3" sqref="A3"/>
    </sheetView>
  </sheetViews>
  <sheetFormatPr defaultColWidth="8.85546875" defaultRowHeight="15" x14ac:dyDescent="0.25"/>
  <cols>
    <col min="1" max="1" width="16.140625" bestFit="1" customWidth="1"/>
    <col min="2" max="3" width="9.42578125" style="1" bestFit="1" customWidth="1"/>
    <col min="4" max="4" width="10.140625" style="1" bestFit="1" customWidth="1"/>
    <col min="5" max="5" width="7.42578125" style="1" bestFit="1" customWidth="1"/>
    <col min="6" max="6" width="8.7109375" style="1" bestFit="1" customWidth="1"/>
    <col min="7" max="7" width="11.140625" style="17" bestFit="1" customWidth="1"/>
    <col min="8" max="8" width="10.140625" style="17" bestFit="1" customWidth="1"/>
    <col min="9" max="9" width="9.7109375" bestFit="1" customWidth="1"/>
    <col min="10" max="10" width="7.85546875" bestFit="1" customWidth="1"/>
    <col min="11" max="11" width="14" bestFit="1" customWidth="1"/>
    <col min="12" max="12" width="12.85546875" bestFit="1" customWidth="1"/>
    <col min="13" max="13" width="12.85546875" customWidth="1"/>
    <col min="14" max="14" width="14.7109375" bestFit="1" customWidth="1"/>
    <col min="16" max="16" width="10.42578125" bestFit="1" customWidth="1"/>
  </cols>
  <sheetData>
    <row r="1" spans="1:19" x14ac:dyDescent="0.25">
      <c r="G1" s="22"/>
      <c r="O1" s="122" t="s">
        <v>67</v>
      </c>
      <c r="P1" s="122"/>
    </row>
    <row r="2" spans="1:19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84</v>
      </c>
      <c r="N2" s="3" t="s">
        <v>85</v>
      </c>
      <c r="O2" s="3" t="s">
        <v>20</v>
      </c>
      <c r="P2" s="3" t="s">
        <v>61</v>
      </c>
      <c r="R2" s="117" t="s">
        <v>227</v>
      </c>
      <c r="S2" s="117"/>
    </row>
    <row r="3" spans="1:19" x14ac:dyDescent="0.25">
      <c r="A3" s="5" t="s">
        <v>83</v>
      </c>
      <c r="B3" s="27">
        <v>0</v>
      </c>
      <c r="C3" s="9">
        <f>$B3*1</f>
        <v>0</v>
      </c>
      <c r="D3" s="9">
        <f>$B3*1</f>
        <v>0</v>
      </c>
      <c r="E3" s="9">
        <f>$B3*0.07</f>
        <v>0</v>
      </c>
      <c r="F3" s="9">
        <f>$B3*0.07</f>
        <v>0</v>
      </c>
      <c r="G3" s="9">
        <f>$B3*0.07</f>
        <v>0</v>
      </c>
      <c r="H3" s="9">
        <f>$B3*0.01</f>
        <v>0</v>
      </c>
      <c r="I3" s="9">
        <f>$B3*0.01</f>
        <v>0</v>
      </c>
      <c r="J3" s="9">
        <f>$B3*30</f>
        <v>0</v>
      </c>
      <c r="K3" s="9">
        <f>$B3*0.004</f>
        <v>0</v>
      </c>
      <c r="L3" s="9">
        <f>$B3*0.008</f>
        <v>0</v>
      </c>
      <c r="M3" s="9">
        <f>$B3*0.78</f>
        <v>0</v>
      </c>
      <c r="N3" s="9">
        <f>$B3*0.005</f>
        <v>0</v>
      </c>
      <c r="O3" s="9">
        <f>$B3*0.005</f>
        <v>0</v>
      </c>
      <c r="P3" s="9">
        <f>$B3*0.005</f>
        <v>0</v>
      </c>
      <c r="R3" s="117"/>
      <c r="S3" s="117"/>
    </row>
    <row r="4" spans="1:19" x14ac:dyDescent="0.25">
      <c r="B4" s="10"/>
      <c r="C4" s="10"/>
      <c r="D4" s="10"/>
      <c r="E4" s="10"/>
      <c r="F4" s="10"/>
    </row>
    <row r="5" spans="1:19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>SUM(F3:F3)</f>
        <v>0</v>
      </c>
      <c r="G5" s="12">
        <f t="shared" ref="G5:P5" si="0">SUM(G3:G3)</f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</row>
  </sheetData>
  <mergeCells count="2">
    <mergeCell ref="O1:P1"/>
    <mergeCell ref="R2:S3"/>
  </mergeCells>
  <hyperlinks>
    <hyperlink ref="R2:S3" location="Home!A1" display="Home" xr:uid="{A44CBECA-1D1D-4E12-9FB1-946B17195938}"/>
  </hyperlinks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DFF9-9F08-49C8-89CE-21108681EE7A}">
  <dimension ref="A1:Q5"/>
  <sheetViews>
    <sheetView zoomScale="99" zoomScaleNormal="99" workbookViewId="0">
      <selection activeCell="A3" sqref="A3"/>
    </sheetView>
  </sheetViews>
  <sheetFormatPr defaultColWidth="8.85546875" defaultRowHeight="15" x14ac:dyDescent="0.25"/>
  <cols>
    <col min="1" max="1" width="19.140625" bestFit="1" customWidth="1"/>
    <col min="2" max="3" width="9.42578125" style="1" bestFit="1" customWidth="1"/>
    <col min="4" max="4" width="9.42578125" style="1" customWidth="1"/>
    <col min="5" max="5" width="11" style="1" bestFit="1" customWidth="1"/>
    <col min="6" max="6" width="8.7109375" style="1" bestFit="1" customWidth="1"/>
    <col min="7" max="7" width="11.140625" style="17" bestFit="1" customWidth="1"/>
    <col min="8" max="8" width="7.85546875" bestFit="1" customWidth="1"/>
    <col min="9" max="9" width="14" bestFit="1" customWidth="1"/>
    <col min="10" max="10" width="12.85546875" bestFit="1" customWidth="1"/>
    <col min="11" max="11" width="12.85546875" customWidth="1"/>
    <col min="12" max="12" width="14.7109375" bestFit="1" customWidth="1"/>
    <col min="13" max="13" width="13.42578125" bestFit="1" customWidth="1"/>
    <col min="14" max="14" width="10.42578125" bestFit="1" customWidth="1"/>
  </cols>
  <sheetData>
    <row r="1" spans="1:17" x14ac:dyDescent="0.25">
      <c r="G1" s="22"/>
      <c r="M1" s="123"/>
      <c r="N1" s="123"/>
    </row>
    <row r="2" spans="1:17" x14ac:dyDescent="0.25">
      <c r="A2" s="3" t="s">
        <v>0</v>
      </c>
      <c r="B2" s="3" t="s">
        <v>87</v>
      </c>
      <c r="C2" s="3" t="s">
        <v>2</v>
      </c>
      <c r="D2" s="3" t="s">
        <v>4</v>
      </c>
      <c r="E2" s="3" t="s">
        <v>89</v>
      </c>
      <c r="F2" s="3" t="s">
        <v>18</v>
      </c>
      <c r="G2" s="3" t="s">
        <v>36</v>
      </c>
      <c r="H2" s="3" t="s">
        <v>56</v>
      </c>
      <c r="I2" s="3" t="s">
        <v>73</v>
      </c>
      <c r="J2" s="3" t="s">
        <v>15</v>
      </c>
      <c r="K2" s="3" t="s">
        <v>72</v>
      </c>
      <c r="L2" s="3" t="s">
        <v>90</v>
      </c>
      <c r="M2" s="3" t="s">
        <v>91</v>
      </c>
      <c r="N2" s="3" t="s">
        <v>92</v>
      </c>
      <c r="O2" s="106" t="s">
        <v>37</v>
      </c>
      <c r="P2" s="117" t="s">
        <v>227</v>
      </c>
      <c r="Q2" s="117"/>
    </row>
    <row r="3" spans="1:17" x14ac:dyDescent="0.25">
      <c r="A3" s="5" t="s">
        <v>86</v>
      </c>
      <c r="B3" s="27">
        <v>2.5</v>
      </c>
      <c r="C3" s="9">
        <f>$B3*1</f>
        <v>2.5</v>
      </c>
      <c r="D3" s="9">
        <f>$B3*1</f>
        <v>2.5</v>
      </c>
      <c r="E3" s="9">
        <f>$B3*0.78</f>
        <v>1.9500000000000002</v>
      </c>
      <c r="F3" s="9">
        <f>$B3*0.13</f>
        <v>0.32500000000000001</v>
      </c>
      <c r="G3" s="9">
        <f>$B3*0.13</f>
        <v>0.32500000000000001</v>
      </c>
      <c r="H3" s="9">
        <f>$B3*25</f>
        <v>62.5</v>
      </c>
      <c r="I3" s="9">
        <f>$B3*1.04</f>
        <v>2.6</v>
      </c>
      <c r="J3" s="9">
        <f>$B3*0.025</f>
        <v>6.25E-2</v>
      </c>
      <c r="K3" s="9">
        <f>$B3*0.13</f>
        <v>0.32500000000000001</v>
      </c>
      <c r="L3" s="9">
        <f>$B3*0.025</f>
        <v>6.25E-2</v>
      </c>
      <c r="M3" s="9">
        <f>$B3*0.13</f>
        <v>0.32500000000000001</v>
      </c>
      <c r="N3" s="9">
        <f>$B3*0.05</f>
        <v>0.125</v>
      </c>
      <c r="O3">
        <f>B3*0.13</f>
        <v>0.32500000000000001</v>
      </c>
      <c r="P3" s="117"/>
      <c r="Q3" s="117"/>
    </row>
    <row r="4" spans="1:17" x14ac:dyDescent="0.25">
      <c r="B4" s="10"/>
      <c r="C4" s="10"/>
      <c r="D4" s="10"/>
      <c r="E4" s="10"/>
      <c r="F4" s="10"/>
    </row>
    <row r="5" spans="1:17" x14ac:dyDescent="0.25">
      <c r="A5" s="13" t="s">
        <v>16</v>
      </c>
      <c r="B5" s="12">
        <f>SUM(B3:B3)</f>
        <v>2.5</v>
      </c>
      <c r="C5" s="12">
        <f>SUM(C3:C3)</f>
        <v>2.5</v>
      </c>
      <c r="D5" s="12">
        <f>SUM(D3:D3)</f>
        <v>2.5</v>
      </c>
      <c r="E5" s="12">
        <f>SUM(E3:E3)</f>
        <v>1.9500000000000002</v>
      </c>
      <c r="F5" s="12">
        <f>SUM(F3:F3)</f>
        <v>0.32500000000000001</v>
      </c>
      <c r="G5" s="12">
        <f t="shared" ref="G5:O5" si="0">SUM(G3:G3)</f>
        <v>0.32500000000000001</v>
      </c>
      <c r="H5" s="12">
        <f t="shared" si="0"/>
        <v>62.5</v>
      </c>
      <c r="I5" s="12">
        <f t="shared" si="0"/>
        <v>2.6</v>
      </c>
      <c r="J5" s="12">
        <f t="shared" si="0"/>
        <v>6.25E-2</v>
      </c>
      <c r="K5" s="12">
        <f t="shared" si="0"/>
        <v>0.32500000000000001</v>
      </c>
      <c r="L5" s="12">
        <f t="shared" si="0"/>
        <v>6.25E-2</v>
      </c>
      <c r="M5" s="12">
        <f t="shared" si="0"/>
        <v>0.32500000000000001</v>
      </c>
      <c r="N5" s="12">
        <f t="shared" si="0"/>
        <v>0.125</v>
      </c>
      <c r="O5" s="12">
        <f t="shared" si="0"/>
        <v>0.32500000000000001</v>
      </c>
    </row>
  </sheetData>
  <mergeCells count="2">
    <mergeCell ref="M1:N1"/>
    <mergeCell ref="P2:Q3"/>
  </mergeCells>
  <hyperlinks>
    <hyperlink ref="P2:Q3" location="Home!A1" display="Home" xr:uid="{44B5FA7D-0A52-4A07-B086-C7F623E05928}"/>
  </hyperlinks>
  <pageMargins left="0.7" right="0.7" top="0.75" bottom="0.75" header="0.3" footer="0.3"/>
  <pageSetup paperSize="9" orientation="portrait" horizontalDpi="90" verticalDpi="90" r:id="rId1"/>
  <ignoredErrors>
    <ignoredError sqref="K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0A52-F456-4850-A140-766FB408ED31}">
  <dimension ref="A1:G5"/>
  <sheetViews>
    <sheetView workbookViewId="0"/>
  </sheetViews>
  <sheetFormatPr defaultColWidth="8.85546875" defaultRowHeight="15" x14ac:dyDescent="0.25"/>
  <cols>
    <col min="1" max="1" width="21.140625" customWidth="1"/>
    <col min="2" max="2" width="9.42578125" style="1" bestFit="1" customWidth="1"/>
    <col min="3" max="3" width="9.85546875" style="1" bestFit="1" customWidth="1"/>
    <col min="4" max="4" width="14.7109375" bestFit="1" customWidth="1"/>
  </cols>
  <sheetData>
    <row r="1" spans="1:7" x14ac:dyDescent="0.25">
      <c r="D1" s="30" t="s">
        <v>93</v>
      </c>
    </row>
    <row r="2" spans="1:7" x14ac:dyDescent="0.25">
      <c r="A2" s="3" t="s">
        <v>0</v>
      </c>
      <c r="B2" s="3" t="s">
        <v>198</v>
      </c>
      <c r="C2" s="3" t="s">
        <v>97</v>
      </c>
      <c r="D2" s="3" t="s">
        <v>20</v>
      </c>
      <c r="F2" s="117" t="s">
        <v>227</v>
      </c>
      <c r="G2" s="117"/>
    </row>
    <row r="3" spans="1:7" x14ac:dyDescent="0.25">
      <c r="A3" s="29" t="s">
        <v>96</v>
      </c>
      <c r="B3" s="27">
        <v>6</v>
      </c>
      <c r="C3" s="9">
        <f>$B3*1.5</f>
        <v>9</v>
      </c>
      <c r="D3" s="9">
        <f>$B3*0.01</f>
        <v>0.06</v>
      </c>
      <c r="F3" s="117"/>
      <c r="G3" s="117"/>
    </row>
    <row r="4" spans="1:7" x14ac:dyDescent="0.25">
      <c r="B4" s="10"/>
      <c r="C4" s="10"/>
    </row>
    <row r="5" spans="1:7" x14ac:dyDescent="0.25">
      <c r="A5" s="13" t="s">
        <v>16</v>
      </c>
      <c r="B5" s="12">
        <f>SUM(B3:B3)</f>
        <v>6</v>
      </c>
      <c r="C5" s="12">
        <f>SUM(C3:C3)</f>
        <v>9</v>
      </c>
      <c r="D5" s="12">
        <f t="shared" ref="D5" si="0">SUM(D3:D3)</f>
        <v>0.06</v>
      </c>
    </row>
  </sheetData>
  <mergeCells count="1">
    <mergeCell ref="F2:G3"/>
  </mergeCells>
  <hyperlinks>
    <hyperlink ref="F2:G3" location="Home!A1" display="Home" xr:uid="{E8B4D5A0-63F5-4C30-9CA0-2A587D102668}"/>
  </hyperlinks>
  <pageMargins left="0.7" right="0.7" top="0.75" bottom="0.75" header="0.3" footer="0.3"/>
  <pageSetup paperSize="9"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EE35-5155-4324-8ECA-668F89D1C0F8}">
  <dimension ref="A1:P5"/>
  <sheetViews>
    <sheetView zoomScale="110" zoomScaleNormal="110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9.7109375" style="1" bestFit="1" customWidth="1"/>
    <col min="6" max="6" width="11.140625" style="17" bestFit="1" customWidth="1"/>
    <col min="7" max="7" width="7.85546875" bestFit="1" customWidth="1"/>
    <col min="8" max="8" width="7.85546875" customWidth="1"/>
    <col min="9" max="9" width="12.85546875" bestFit="1" customWidth="1"/>
    <col min="10" max="10" width="12.85546875" customWidth="1"/>
    <col min="11" max="11" width="14.7109375" bestFit="1" customWidth="1"/>
    <col min="12" max="12" width="13.42578125" bestFit="1" customWidth="1"/>
    <col min="13" max="13" width="10.42578125" bestFit="1" customWidth="1"/>
  </cols>
  <sheetData>
    <row r="1" spans="1:16" x14ac:dyDescent="0.25">
      <c r="F1" s="22"/>
      <c r="K1" s="124" t="s">
        <v>93</v>
      </c>
      <c r="L1" s="124"/>
      <c r="M1" s="124"/>
    </row>
    <row r="2" spans="1:16" x14ac:dyDescent="0.25">
      <c r="A2" s="3" t="s">
        <v>0</v>
      </c>
      <c r="B2" s="3" t="s">
        <v>2</v>
      </c>
      <c r="C2" s="3" t="s">
        <v>4</v>
      </c>
      <c r="D2" s="3" t="s">
        <v>89</v>
      </c>
      <c r="E2" s="3" t="s">
        <v>65</v>
      </c>
      <c r="F2" s="3" t="s">
        <v>52</v>
      </c>
      <c r="G2" s="3" t="s">
        <v>56</v>
      </c>
      <c r="H2" s="3" t="s">
        <v>94</v>
      </c>
      <c r="I2" s="3" t="s">
        <v>66</v>
      </c>
      <c r="J2" s="3" t="s">
        <v>69</v>
      </c>
      <c r="K2" s="3" t="s">
        <v>20</v>
      </c>
      <c r="L2" s="3" t="s">
        <v>63</v>
      </c>
      <c r="M2" s="3" t="s">
        <v>61</v>
      </c>
      <c r="O2" s="117" t="s">
        <v>227</v>
      </c>
      <c r="P2" s="117"/>
    </row>
    <row r="3" spans="1:16" x14ac:dyDescent="0.25">
      <c r="A3" s="29" t="s">
        <v>95</v>
      </c>
      <c r="B3" s="27">
        <v>0</v>
      </c>
      <c r="C3" s="9">
        <f>$B3*1</f>
        <v>0</v>
      </c>
      <c r="D3" s="9">
        <f>$B3*0.3</f>
        <v>0</v>
      </c>
      <c r="E3" s="9">
        <f>$B3*0.05</f>
        <v>0</v>
      </c>
      <c r="F3" s="9">
        <f>$B3*0.01</f>
        <v>0</v>
      </c>
      <c r="G3" s="9">
        <f>$B3*30</f>
        <v>0</v>
      </c>
      <c r="H3" s="9">
        <f>$B3*0.06</f>
        <v>0</v>
      </c>
      <c r="I3" s="9">
        <f>$B3*0.005</f>
        <v>0</v>
      </c>
      <c r="J3" s="9">
        <f>$B3*0.005</f>
        <v>0</v>
      </c>
      <c r="K3" s="9">
        <f>$B3*0.015</f>
        <v>0</v>
      </c>
      <c r="L3" s="9">
        <f>$B3*0.01</f>
        <v>0</v>
      </c>
      <c r="M3" s="9">
        <f>$B3*0.005</f>
        <v>0</v>
      </c>
      <c r="O3" s="117"/>
      <c r="P3" s="117"/>
    </row>
    <row r="4" spans="1:16" x14ac:dyDescent="0.25">
      <c r="B4" s="10"/>
      <c r="C4" s="10"/>
      <c r="D4" s="10"/>
      <c r="E4" s="10"/>
    </row>
    <row r="5" spans="1:16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M5" si="0">SUM(F3:F3)</f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O2:P3"/>
  </mergeCells>
  <hyperlinks>
    <hyperlink ref="O2:P3" location="Home!A1" display="Home" xr:uid="{0934DF9E-DE0B-4BFE-80FC-4DC4EDE8C1A6}"/>
  </hyperlinks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B67D-4AB7-4E87-8999-A4E476CFD0B6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99</v>
      </c>
      <c r="C2" s="3" t="s">
        <v>88</v>
      </c>
      <c r="D2" s="3" t="s">
        <v>94</v>
      </c>
      <c r="E2" s="3" t="s">
        <v>56</v>
      </c>
      <c r="F2" s="3" t="s">
        <v>33</v>
      </c>
      <c r="H2" s="117" t="s">
        <v>227</v>
      </c>
      <c r="I2" s="117"/>
    </row>
    <row r="3" spans="1:9" x14ac:dyDescent="0.25">
      <c r="A3" s="29" t="s">
        <v>98</v>
      </c>
      <c r="B3" s="27">
        <v>4</v>
      </c>
      <c r="C3" s="9">
        <f>$B3*0.05</f>
        <v>0.2</v>
      </c>
      <c r="D3" s="9">
        <f>$B3*0.02</f>
        <v>0.08</v>
      </c>
      <c r="E3" s="9">
        <f>$B3*12</f>
        <v>48</v>
      </c>
      <c r="F3" s="9">
        <f>$B3*0.24</f>
        <v>0.96</v>
      </c>
      <c r="H3" s="117"/>
      <c r="I3" s="11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4</v>
      </c>
      <c r="C5" s="12">
        <f>SUM(C3:C3)</f>
        <v>0.2</v>
      </c>
      <c r="D5" s="12">
        <f t="shared" ref="D5:F5" si="0">SUM(D3:D3)</f>
        <v>0.08</v>
      </c>
      <c r="E5" s="12">
        <f t="shared" si="0"/>
        <v>48</v>
      </c>
      <c r="F5" s="12">
        <f t="shared" si="0"/>
        <v>0.96</v>
      </c>
    </row>
  </sheetData>
  <mergeCells count="1">
    <mergeCell ref="H2:I3"/>
  </mergeCells>
  <hyperlinks>
    <hyperlink ref="H2:I3" location="Home!A1" display="Home" xr:uid="{A4CC3308-6818-4E49-865E-E12A77EBC2B8}"/>
  </hyperlinks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14BB-1796-4D79-9592-2E9C94C0DE63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101</v>
      </c>
      <c r="C2" s="3" t="s">
        <v>88</v>
      </c>
      <c r="D2" s="3" t="s">
        <v>94</v>
      </c>
      <c r="E2" s="3" t="s">
        <v>56</v>
      </c>
      <c r="F2" s="3" t="s">
        <v>33</v>
      </c>
      <c r="H2" s="117" t="s">
        <v>227</v>
      </c>
      <c r="I2" s="117"/>
    </row>
    <row r="3" spans="1:9" x14ac:dyDescent="0.25">
      <c r="A3" s="29" t="s">
        <v>100</v>
      </c>
      <c r="B3" s="27">
        <v>0</v>
      </c>
      <c r="C3" s="9">
        <f>$B3*0.05</f>
        <v>0</v>
      </c>
      <c r="D3" s="9">
        <f>$B3*0.02</f>
        <v>0</v>
      </c>
      <c r="E3" s="9">
        <f>$B3*18</f>
        <v>0</v>
      </c>
      <c r="F3" s="9">
        <f>$B3*0.24</f>
        <v>0</v>
      </c>
      <c r="H3" s="117"/>
      <c r="I3" s="11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F5" si="0">SUM(D3:D3)</f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13CBC39-B72B-4C0B-BB83-D3E0771DC8DE}"/>
  </hyperlinks>
  <pageMargins left="0.7" right="0.7" top="0.75" bottom="0.75" header="0.3" footer="0.3"/>
  <pageSetup paperSize="9"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5B91-7FFC-4D41-B216-A240291E4274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103</v>
      </c>
      <c r="C2" s="3" t="s">
        <v>88</v>
      </c>
      <c r="D2" s="3" t="s">
        <v>94</v>
      </c>
      <c r="E2" s="3" t="s">
        <v>56</v>
      </c>
      <c r="F2" s="3" t="s">
        <v>33</v>
      </c>
      <c r="H2" s="117">
        <v>1</v>
      </c>
      <c r="I2" s="117"/>
    </row>
    <row r="3" spans="1:9" x14ac:dyDescent="0.25">
      <c r="A3" s="29" t="s">
        <v>102</v>
      </c>
      <c r="B3" s="27">
        <v>1</v>
      </c>
      <c r="C3" s="9">
        <f>$B3*0.1</f>
        <v>0.1</v>
      </c>
      <c r="D3" s="9">
        <f>$B3*0.02</f>
        <v>0.02</v>
      </c>
      <c r="E3" s="9">
        <f>$B3*14</f>
        <v>14</v>
      </c>
      <c r="F3" s="9">
        <f>$B3*0.175</f>
        <v>0.17499999999999999</v>
      </c>
      <c r="H3" s="117"/>
      <c r="I3" s="11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1</v>
      </c>
      <c r="C5" s="12">
        <f>SUM(C3:C3)</f>
        <v>0.1</v>
      </c>
      <c r="D5" s="12">
        <f t="shared" ref="D5:F5" si="0">SUM(D3:D3)</f>
        <v>0.02</v>
      </c>
      <c r="E5" s="12">
        <f t="shared" si="0"/>
        <v>14</v>
      </c>
      <c r="F5" s="12">
        <f t="shared" si="0"/>
        <v>0.17499999999999999</v>
      </c>
    </row>
  </sheetData>
  <mergeCells count="1">
    <mergeCell ref="H2:I3"/>
  </mergeCells>
  <hyperlinks>
    <hyperlink ref="H2:I3" location="Home!A1" display="Home" xr:uid="{F04012DA-8132-4371-A0EE-FFAB3E305CF2}"/>
  </hyperlinks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E740-0031-4E51-927C-8C317DD5D5B4}">
  <dimension ref="A2:J5"/>
  <sheetViews>
    <sheetView zoomScale="96" zoomScaleNormal="96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8.7109375" style="1" bestFit="1" customWidth="1"/>
    <col min="6" max="6" width="7.85546875" bestFit="1" customWidth="1"/>
    <col min="7" max="7" width="7.85546875" customWidth="1"/>
  </cols>
  <sheetData>
    <row r="2" spans="1:10" x14ac:dyDescent="0.25">
      <c r="A2" s="3" t="s">
        <v>0</v>
      </c>
      <c r="B2" s="3" t="s">
        <v>2</v>
      </c>
      <c r="C2" s="3" t="s">
        <v>4</v>
      </c>
      <c r="D2" s="3" t="s">
        <v>18</v>
      </c>
      <c r="E2" s="3" t="s">
        <v>36</v>
      </c>
      <c r="F2" s="3" t="s">
        <v>56</v>
      </c>
      <c r="G2" s="3" t="s">
        <v>94</v>
      </c>
      <c r="I2" s="117" t="s">
        <v>227</v>
      </c>
      <c r="J2" s="117"/>
    </row>
    <row r="3" spans="1:10" x14ac:dyDescent="0.25">
      <c r="A3" s="29" t="s">
        <v>104</v>
      </c>
      <c r="B3" s="27">
        <v>0</v>
      </c>
      <c r="C3" s="9">
        <f>$B3*1.296</f>
        <v>0</v>
      </c>
      <c r="D3" s="9">
        <f>$B3*1</f>
        <v>0</v>
      </c>
      <c r="E3" s="9">
        <f>$B3*0.5185</f>
        <v>0</v>
      </c>
      <c r="F3" s="9">
        <f>$B3*33.333</f>
        <v>0</v>
      </c>
      <c r="G3" s="9">
        <f>$B3*0.0555</f>
        <v>0</v>
      </c>
      <c r="I3" s="117"/>
      <c r="J3" s="117"/>
    </row>
    <row r="4" spans="1:10" x14ac:dyDescent="0.25">
      <c r="B4" s="10"/>
      <c r="C4" s="10"/>
      <c r="D4" s="10"/>
      <c r="E4" s="10"/>
    </row>
    <row r="5" spans="1:10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G5" si="0">SUM(F3:F3)</f>
        <v>0</v>
      </c>
      <c r="G5" s="12">
        <f t="shared" si="0"/>
        <v>0</v>
      </c>
    </row>
  </sheetData>
  <mergeCells count="1">
    <mergeCell ref="I2:J3"/>
  </mergeCells>
  <hyperlinks>
    <hyperlink ref="I2:J3" location="Home!A1" display="Home" xr:uid="{0554E2EE-96D5-4BCC-BE4C-B56E8A1595AB}"/>
  </hyperlinks>
  <pageMargins left="0.7" right="0.7" top="0.75" bottom="0.75" header="0.3" footer="0.3"/>
  <pageSetup paperSize="9"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E7BB-0FD1-4967-B25F-42D59DA3FB05}">
  <dimension ref="A1:S19"/>
  <sheetViews>
    <sheetView workbookViewId="0">
      <selection activeCell="A3" sqref="A3:A17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4" width="9.42578125" style="1" bestFit="1" customWidth="1"/>
    <col min="5" max="5" width="9.42578125" style="1" customWidth="1"/>
    <col min="6" max="6" width="9.42578125" style="1" bestFit="1" customWidth="1"/>
    <col min="7" max="7" width="10.140625" style="1" bestFit="1" customWidth="1"/>
    <col min="8" max="8" width="7.42578125" style="1" bestFit="1" customWidth="1"/>
    <col min="9" max="9" width="11" style="1" bestFit="1" customWidth="1"/>
    <col min="10" max="10" width="11.85546875" style="1" bestFit="1" customWidth="1"/>
    <col min="11" max="11" width="5.42578125" style="1" bestFit="1" customWidth="1"/>
    <col min="12" max="12" width="9.140625" style="1" bestFit="1" customWidth="1"/>
  </cols>
  <sheetData>
    <row r="1" spans="1:19" x14ac:dyDescent="0.25">
      <c r="M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105</v>
      </c>
      <c r="F2" s="3" t="s">
        <v>40</v>
      </c>
      <c r="G2" s="3" t="s">
        <v>3</v>
      </c>
      <c r="H2" s="3" t="s">
        <v>4</v>
      </c>
      <c r="I2" s="3" t="s">
        <v>52</v>
      </c>
      <c r="J2" s="3" t="s">
        <v>5</v>
      </c>
      <c r="K2" s="3" t="s">
        <v>31</v>
      </c>
      <c r="L2" s="19" t="s">
        <v>41</v>
      </c>
      <c r="M2" s="3" t="s">
        <v>56</v>
      </c>
      <c r="O2" s="117" t="s">
        <v>227</v>
      </c>
      <c r="P2" s="117"/>
    </row>
    <row r="3" spans="1:19" x14ac:dyDescent="0.25">
      <c r="A3" s="5" t="s">
        <v>118</v>
      </c>
      <c r="B3" s="21">
        <v>12</v>
      </c>
      <c r="C3" s="9">
        <f>550/1000</f>
        <v>0.55000000000000004</v>
      </c>
      <c r="D3" s="9">
        <f>(B3*C3)/2</f>
        <v>3.3000000000000003</v>
      </c>
      <c r="E3" s="9"/>
      <c r="F3" s="9">
        <f>(D3*100)/1000</f>
        <v>0.33</v>
      </c>
      <c r="G3" s="9">
        <f>(D3*15)/1000</f>
        <v>4.9500000000000009E-2</v>
      </c>
      <c r="H3" s="9">
        <f t="shared" ref="H3:H14" si="0">(D3*150)/1000</f>
        <v>0.49500000000000005</v>
      </c>
      <c r="I3" s="9">
        <f>(D3*5)/1000</f>
        <v>1.6500000000000001E-2</v>
      </c>
      <c r="J3" s="9">
        <f>(D3*10)/1000</f>
        <v>3.3000000000000002E-2</v>
      </c>
      <c r="K3" s="9">
        <f t="shared" ref="K3:K14" si="1">(D3*20)/1000</f>
        <v>6.6000000000000003E-2</v>
      </c>
      <c r="L3" s="20">
        <f t="shared" ref="L3:L14" si="2">(D3*10)/1000</f>
        <v>3.3000000000000002E-2</v>
      </c>
      <c r="M3" s="31">
        <f t="shared" ref="M3:M14" si="3">D3*1</f>
        <v>3.3000000000000003</v>
      </c>
      <c r="O3" s="117"/>
      <c r="P3" s="117"/>
      <c r="S3" s="51"/>
    </row>
    <row r="4" spans="1:19" x14ac:dyDescent="0.25">
      <c r="A4" s="5" t="s">
        <v>22</v>
      </c>
      <c r="B4" s="21">
        <v>7</v>
      </c>
      <c r="C4" s="9">
        <v>0.45</v>
      </c>
      <c r="D4" s="9">
        <f>((B4*C4)/2)*0.698413</f>
        <v>1.1000004749999999</v>
      </c>
      <c r="E4" s="9">
        <f>D4*0.455</f>
        <v>0.50050021612499995</v>
      </c>
      <c r="F4" s="9">
        <f t="shared" ref="F4:F17" si="4">(D4*90)/1000</f>
        <v>9.9000042749999989E-2</v>
      </c>
      <c r="G4" s="9">
        <f t="shared" ref="G4:G17" si="5">(D4*15)/1000</f>
        <v>1.6500007124999997E-2</v>
      </c>
      <c r="H4" s="9">
        <f t="shared" si="0"/>
        <v>0.16500007124999999</v>
      </c>
      <c r="I4" s="9">
        <f t="shared" ref="I4:I17" si="6">(D4*5)/1000</f>
        <v>5.5000023749999993E-3</v>
      </c>
      <c r="J4" s="9">
        <f t="shared" ref="J4:J17" si="7">(D4*10)/1000</f>
        <v>1.1000004749999999E-2</v>
      </c>
      <c r="K4" s="9">
        <f t="shared" si="1"/>
        <v>2.2000009499999997E-2</v>
      </c>
      <c r="L4" s="20">
        <f t="shared" si="2"/>
        <v>1.1000004749999999E-2</v>
      </c>
      <c r="M4" s="31">
        <f t="shared" si="3"/>
        <v>1.1000004749999999</v>
      </c>
    </row>
    <row r="5" spans="1:19" x14ac:dyDescent="0.25">
      <c r="A5" s="8" t="s">
        <v>23</v>
      </c>
      <c r="B5" s="21">
        <v>24</v>
      </c>
      <c r="C5" s="9">
        <f>40/1000</f>
        <v>0.04</v>
      </c>
      <c r="D5" s="9">
        <f t="shared" ref="D5:D17" si="8">(B5*C5)/2</f>
        <v>0.48</v>
      </c>
      <c r="E5" s="9"/>
      <c r="F5" s="9">
        <f t="shared" si="4"/>
        <v>4.3199999999999995E-2</v>
      </c>
      <c r="G5" s="9">
        <f t="shared" si="5"/>
        <v>7.1999999999999989E-3</v>
      </c>
      <c r="H5" s="9">
        <f t="shared" si="0"/>
        <v>7.1999999999999995E-2</v>
      </c>
      <c r="I5" s="9">
        <f t="shared" si="6"/>
        <v>2.3999999999999998E-3</v>
      </c>
      <c r="J5" s="9">
        <f t="shared" si="7"/>
        <v>4.7999999999999996E-3</v>
      </c>
      <c r="K5" s="9">
        <f t="shared" si="1"/>
        <v>9.5999999999999992E-3</v>
      </c>
      <c r="L5" s="20">
        <f t="shared" si="2"/>
        <v>4.7999999999999996E-3</v>
      </c>
      <c r="M5" s="31">
        <f t="shared" si="3"/>
        <v>0.48</v>
      </c>
    </row>
    <row r="6" spans="1:19" x14ac:dyDescent="0.25">
      <c r="A6" s="8" t="s">
        <v>106</v>
      </c>
      <c r="B6" s="21">
        <v>140</v>
      </c>
      <c r="C6" s="9">
        <f>50/1000</f>
        <v>0.05</v>
      </c>
      <c r="D6" s="9">
        <f t="shared" ref="D6" si="9">(B6*C6)/2</f>
        <v>3.5</v>
      </c>
      <c r="E6" s="9"/>
      <c r="F6" s="9">
        <f t="shared" si="4"/>
        <v>0.315</v>
      </c>
      <c r="G6" s="9">
        <f t="shared" ref="G6" si="10">(D6*15)/1000</f>
        <v>5.2499999999999998E-2</v>
      </c>
      <c r="H6" s="9">
        <f t="shared" si="0"/>
        <v>0.52500000000000002</v>
      </c>
      <c r="I6" s="9">
        <f t="shared" ref="I6" si="11">(D6*5)/1000</f>
        <v>1.7500000000000002E-2</v>
      </c>
      <c r="J6" s="9">
        <f t="shared" ref="J6" si="12">(D6*10)/1000</f>
        <v>3.5000000000000003E-2</v>
      </c>
      <c r="K6" s="9">
        <f t="shared" si="1"/>
        <v>7.0000000000000007E-2</v>
      </c>
      <c r="L6" s="20">
        <f t="shared" si="2"/>
        <v>3.5000000000000003E-2</v>
      </c>
      <c r="M6" s="31">
        <f t="shared" si="3"/>
        <v>3.5</v>
      </c>
    </row>
    <row r="7" spans="1:19" x14ac:dyDescent="0.25">
      <c r="A7" s="8" t="s">
        <v>107</v>
      </c>
      <c r="B7" s="21">
        <v>20</v>
      </c>
      <c r="C7" s="9">
        <f t="shared" ref="C7:C14" si="13">80/1000</f>
        <v>0.08</v>
      </c>
      <c r="D7" s="9">
        <f t="shared" ref="D7" si="14">(B7*C7)/2</f>
        <v>0.8</v>
      </c>
      <c r="E7" s="9"/>
      <c r="F7" s="9">
        <f t="shared" si="4"/>
        <v>7.1999999999999995E-2</v>
      </c>
      <c r="G7" s="9">
        <f t="shared" ref="G7" si="15">(D7*15)/1000</f>
        <v>1.2E-2</v>
      </c>
      <c r="H7" s="9">
        <f t="shared" si="0"/>
        <v>0.12</v>
      </c>
      <c r="I7" s="9">
        <f t="shared" ref="I7" si="16">(D7*5)/1000</f>
        <v>4.0000000000000001E-3</v>
      </c>
      <c r="J7" s="9">
        <f t="shared" ref="J7" si="17">(D7*10)/1000</f>
        <v>8.0000000000000002E-3</v>
      </c>
      <c r="K7" s="9">
        <f t="shared" si="1"/>
        <v>1.6E-2</v>
      </c>
      <c r="L7" s="20">
        <f t="shared" si="2"/>
        <v>8.0000000000000002E-3</v>
      </c>
      <c r="M7" s="31">
        <f t="shared" si="3"/>
        <v>0.8</v>
      </c>
    </row>
    <row r="8" spans="1:19" x14ac:dyDescent="0.25">
      <c r="A8" s="8" t="s">
        <v>108</v>
      </c>
      <c r="B8" s="21">
        <v>20</v>
      </c>
      <c r="C8" s="9">
        <f t="shared" si="13"/>
        <v>0.08</v>
      </c>
      <c r="D8" s="9">
        <f t="shared" ref="D8" si="18">(B8*C8)/2</f>
        <v>0.8</v>
      </c>
      <c r="E8" s="9"/>
      <c r="F8" s="9">
        <f t="shared" si="4"/>
        <v>7.1999999999999995E-2</v>
      </c>
      <c r="G8" s="9">
        <f t="shared" ref="G8" si="19">(D8*15)/1000</f>
        <v>1.2E-2</v>
      </c>
      <c r="H8" s="9">
        <f t="shared" si="0"/>
        <v>0.12</v>
      </c>
      <c r="I8" s="9">
        <f t="shared" ref="I8" si="20">(D8*5)/1000</f>
        <v>4.0000000000000001E-3</v>
      </c>
      <c r="J8" s="9">
        <f t="shared" ref="J8" si="21">(D8*10)/1000</f>
        <v>8.0000000000000002E-3</v>
      </c>
      <c r="K8" s="9">
        <f t="shared" si="1"/>
        <v>1.6E-2</v>
      </c>
      <c r="L8" s="20">
        <f t="shared" si="2"/>
        <v>8.0000000000000002E-3</v>
      </c>
      <c r="M8" s="31">
        <f t="shared" si="3"/>
        <v>0.8</v>
      </c>
    </row>
    <row r="9" spans="1:19" x14ac:dyDescent="0.25">
      <c r="A9" s="8" t="s">
        <v>111</v>
      </c>
      <c r="B9" s="21">
        <v>0</v>
      </c>
      <c r="C9" s="9">
        <f t="shared" si="13"/>
        <v>0.08</v>
      </c>
      <c r="D9" s="9">
        <f t="shared" ref="D9" si="22">(B9*C9)/2</f>
        <v>0</v>
      </c>
      <c r="E9" s="9"/>
      <c r="F9" s="9">
        <f t="shared" si="4"/>
        <v>0</v>
      </c>
      <c r="G9" s="9">
        <f t="shared" ref="G9" si="23">(D9*15)/1000</f>
        <v>0</v>
      </c>
      <c r="H9" s="9">
        <f t="shared" si="0"/>
        <v>0</v>
      </c>
      <c r="I9" s="9">
        <f t="shared" ref="I9" si="24">(D9*5)/1000</f>
        <v>0</v>
      </c>
      <c r="J9" s="9">
        <f t="shared" ref="J9" si="25">(D9*10)/1000</f>
        <v>0</v>
      </c>
      <c r="K9" s="9">
        <f t="shared" si="1"/>
        <v>0</v>
      </c>
      <c r="L9" s="20">
        <f t="shared" si="2"/>
        <v>0</v>
      </c>
      <c r="M9" s="31">
        <f t="shared" si="3"/>
        <v>0</v>
      </c>
    </row>
    <row r="10" spans="1:19" x14ac:dyDescent="0.25">
      <c r="A10" s="8" t="s">
        <v>115</v>
      </c>
      <c r="B10" s="21">
        <v>30</v>
      </c>
      <c r="C10" s="9">
        <f t="shared" si="13"/>
        <v>0.08</v>
      </c>
      <c r="D10" s="9">
        <f t="shared" ref="D10" si="26">(B10*C10)/2</f>
        <v>1.2</v>
      </c>
      <c r="E10" s="9"/>
      <c r="F10" s="9">
        <f t="shared" si="4"/>
        <v>0.108</v>
      </c>
      <c r="G10" s="9">
        <f t="shared" ref="G10" si="27">(D10*15)/1000</f>
        <v>1.7999999999999999E-2</v>
      </c>
      <c r="H10" s="9">
        <f t="shared" si="0"/>
        <v>0.18</v>
      </c>
      <c r="I10" s="9">
        <f t="shared" ref="I10" si="28">(D10*5)/1000</f>
        <v>6.0000000000000001E-3</v>
      </c>
      <c r="J10" s="9">
        <f t="shared" ref="J10" si="29">(D10*10)/1000</f>
        <v>1.2E-2</v>
      </c>
      <c r="K10" s="9">
        <f t="shared" si="1"/>
        <v>2.4E-2</v>
      </c>
      <c r="L10" s="20">
        <f t="shared" si="2"/>
        <v>1.2E-2</v>
      </c>
      <c r="M10" s="31">
        <f t="shared" si="3"/>
        <v>1.2</v>
      </c>
    </row>
    <row r="11" spans="1:19" x14ac:dyDescent="0.25">
      <c r="A11" s="8" t="s">
        <v>116</v>
      </c>
      <c r="B11" s="21">
        <v>10</v>
      </c>
      <c r="C11" s="9">
        <f t="shared" si="13"/>
        <v>0.08</v>
      </c>
      <c r="D11" s="9">
        <f t="shared" ref="D11" si="30">(B11*C11)/2</f>
        <v>0.4</v>
      </c>
      <c r="E11" s="9"/>
      <c r="F11" s="9">
        <f t="shared" si="4"/>
        <v>3.5999999999999997E-2</v>
      </c>
      <c r="G11" s="9">
        <f t="shared" ref="G11" si="31">(D11*15)/1000</f>
        <v>6.0000000000000001E-3</v>
      </c>
      <c r="H11" s="9">
        <f t="shared" si="0"/>
        <v>0.06</v>
      </c>
      <c r="I11" s="9">
        <f t="shared" ref="I11" si="32">(D11*5)/1000</f>
        <v>2E-3</v>
      </c>
      <c r="J11" s="9">
        <f t="shared" ref="J11" si="33">(D11*10)/1000</f>
        <v>4.0000000000000001E-3</v>
      </c>
      <c r="K11" s="9">
        <f t="shared" si="1"/>
        <v>8.0000000000000002E-3</v>
      </c>
      <c r="L11" s="20">
        <f t="shared" si="2"/>
        <v>4.0000000000000001E-3</v>
      </c>
      <c r="M11" s="31">
        <f t="shared" si="3"/>
        <v>0.4</v>
      </c>
    </row>
    <row r="12" spans="1:19" x14ac:dyDescent="0.25">
      <c r="A12" s="8" t="s">
        <v>117</v>
      </c>
      <c r="B12" s="21">
        <v>6</v>
      </c>
      <c r="C12" s="9">
        <f t="shared" si="13"/>
        <v>0.08</v>
      </c>
      <c r="D12" s="9">
        <f t="shared" ref="D12" si="34">(B12*C12)/2</f>
        <v>0.24</v>
      </c>
      <c r="E12" s="9"/>
      <c r="F12" s="9">
        <f t="shared" si="4"/>
        <v>2.1599999999999998E-2</v>
      </c>
      <c r="G12" s="9">
        <f t="shared" ref="G12" si="35">(D12*15)/1000</f>
        <v>3.5999999999999995E-3</v>
      </c>
      <c r="H12" s="9">
        <f t="shared" si="0"/>
        <v>3.5999999999999997E-2</v>
      </c>
      <c r="I12" s="9">
        <f t="shared" ref="I12" si="36">(D12*5)/1000</f>
        <v>1.1999999999999999E-3</v>
      </c>
      <c r="J12" s="9">
        <f t="shared" ref="J12" si="37">(D12*10)/1000</f>
        <v>2.3999999999999998E-3</v>
      </c>
      <c r="K12" s="9">
        <f t="shared" si="1"/>
        <v>4.7999999999999996E-3</v>
      </c>
      <c r="L12" s="20">
        <f t="shared" si="2"/>
        <v>2.3999999999999998E-3</v>
      </c>
      <c r="M12" s="31">
        <f t="shared" si="3"/>
        <v>0.24</v>
      </c>
    </row>
    <row r="13" spans="1:19" x14ac:dyDescent="0.25">
      <c r="A13" s="8" t="s">
        <v>109</v>
      </c>
      <c r="B13" s="21">
        <v>6</v>
      </c>
      <c r="C13" s="9">
        <f t="shared" si="13"/>
        <v>0.08</v>
      </c>
      <c r="D13" s="9">
        <f t="shared" ref="D13" si="38">(B13*C13)/2</f>
        <v>0.24</v>
      </c>
      <c r="E13" s="9"/>
      <c r="F13" s="9">
        <f t="shared" si="4"/>
        <v>2.1599999999999998E-2</v>
      </c>
      <c r="G13" s="9">
        <f t="shared" ref="G13" si="39">(D13*15)/1000</f>
        <v>3.5999999999999995E-3</v>
      </c>
      <c r="H13" s="9">
        <f t="shared" si="0"/>
        <v>3.5999999999999997E-2</v>
      </c>
      <c r="I13" s="9">
        <f t="shared" ref="I13" si="40">(D13*5)/1000</f>
        <v>1.1999999999999999E-3</v>
      </c>
      <c r="J13" s="9">
        <f t="shared" ref="J13" si="41">(D13*10)/1000</f>
        <v>2.3999999999999998E-3</v>
      </c>
      <c r="K13" s="9">
        <f t="shared" si="1"/>
        <v>4.7999999999999996E-3</v>
      </c>
      <c r="L13" s="20">
        <f t="shared" si="2"/>
        <v>2.3999999999999998E-3</v>
      </c>
      <c r="M13" s="31">
        <f t="shared" si="3"/>
        <v>0.24</v>
      </c>
    </row>
    <row r="14" spans="1:19" x14ac:dyDescent="0.25">
      <c r="A14" s="8" t="s">
        <v>110</v>
      </c>
      <c r="B14" s="21">
        <v>2</v>
      </c>
      <c r="C14" s="9">
        <f t="shared" si="13"/>
        <v>0.08</v>
      </c>
      <c r="D14" s="9">
        <f t="shared" ref="D14" si="42">(B14*C14)/2</f>
        <v>0.08</v>
      </c>
      <c r="E14" s="9"/>
      <c r="F14" s="9">
        <f t="shared" si="4"/>
        <v>7.1999999999999998E-3</v>
      </c>
      <c r="G14" s="9">
        <f t="shared" ref="G14" si="43">(D14*15)/1000</f>
        <v>1.1999999999999999E-3</v>
      </c>
      <c r="H14" s="9">
        <f t="shared" si="0"/>
        <v>1.2E-2</v>
      </c>
      <c r="I14" s="9">
        <f t="shared" ref="I14" si="44">(D14*5)/1000</f>
        <v>4.0000000000000002E-4</v>
      </c>
      <c r="J14" s="9">
        <f t="shared" ref="J14" si="45">(D14*10)/1000</f>
        <v>8.0000000000000004E-4</v>
      </c>
      <c r="K14" s="9">
        <f t="shared" si="1"/>
        <v>1.6000000000000001E-3</v>
      </c>
      <c r="L14" s="20">
        <f t="shared" si="2"/>
        <v>8.0000000000000004E-4</v>
      </c>
      <c r="M14" s="31">
        <f t="shared" si="3"/>
        <v>0.08</v>
      </c>
    </row>
    <row r="15" spans="1:19" x14ac:dyDescent="0.25">
      <c r="A15" s="8" t="s">
        <v>112</v>
      </c>
      <c r="B15" s="21">
        <v>20</v>
      </c>
      <c r="C15" s="9">
        <v>0.1</v>
      </c>
      <c r="D15" s="9">
        <f t="shared" ref="D15:D16" si="46">(B15*C15)/2</f>
        <v>1</v>
      </c>
      <c r="E15" s="9"/>
      <c r="F15" s="9">
        <f t="shared" si="4"/>
        <v>0.09</v>
      </c>
      <c r="G15" s="9">
        <f t="shared" ref="G15:G16" si="47">(D15*15)/1000</f>
        <v>1.4999999999999999E-2</v>
      </c>
      <c r="H15" s="9">
        <f t="shared" ref="H15:H16" si="48">(D15*150)/1000</f>
        <v>0.15</v>
      </c>
      <c r="I15" s="9">
        <f t="shared" ref="I15:I16" si="49">(D15*5)/1000</f>
        <v>5.0000000000000001E-3</v>
      </c>
      <c r="J15" s="9">
        <f t="shared" ref="J15:J16" si="50">(D15*10)/1000</f>
        <v>0.01</v>
      </c>
      <c r="K15" s="9">
        <f t="shared" ref="K15:K16" si="51">(D15*20)/1000</f>
        <v>0.02</v>
      </c>
      <c r="L15" s="20">
        <f t="shared" ref="L15:L16" si="52">(D15*10)/1000</f>
        <v>0.01</v>
      </c>
      <c r="M15" s="31">
        <f t="shared" ref="M15:M17" si="53">D15*1</f>
        <v>1</v>
      </c>
    </row>
    <row r="16" spans="1:19" x14ac:dyDescent="0.25">
      <c r="A16" s="8" t="s">
        <v>113</v>
      </c>
      <c r="B16" s="21">
        <v>20</v>
      </c>
      <c r="C16" s="9">
        <f>100/1000</f>
        <v>0.1</v>
      </c>
      <c r="D16" s="9">
        <f t="shared" si="46"/>
        <v>1</v>
      </c>
      <c r="E16" s="9"/>
      <c r="F16" s="9">
        <f t="shared" si="4"/>
        <v>0.09</v>
      </c>
      <c r="G16" s="9">
        <f t="shared" si="47"/>
        <v>1.4999999999999999E-2</v>
      </c>
      <c r="H16" s="9">
        <f t="shared" si="48"/>
        <v>0.15</v>
      </c>
      <c r="I16" s="9">
        <f t="shared" si="49"/>
        <v>5.0000000000000001E-3</v>
      </c>
      <c r="J16" s="9">
        <f t="shared" si="50"/>
        <v>0.01</v>
      </c>
      <c r="K16" s="9">
        <f t="shared" si="51"/>
        <v>0.02</v>
      </c>
      <c r="L16" s="20">
        <f t="shared" si="52"/>
        <v>0.01</v>
      </c>
      <c r="M16" s="31">
        <f t="shared" si="53"/>
        <v>1</v>
      </c>
    </row>
    <row r="17" spans="1:13" x14ac:dyDescent="0.25">
      <c r="A17" s="8" t="s">
        <v>114</v>
      </c>
      <c r="B17" s="21">
        <v>10</v>
      </c>
      <c r="C17" s="9">
        <f>100/1000</f>
        <v>0.1</v>
      </c>
      <c r="D17" s="9">
        <f t="shared" si="8"/>
        <v>0.5</v>
      </c>
      <c r="E17" s="9"/>
      <c r="F17" s="9">
        <f t="shared" si="4"/>
        <v>4.4999999999999998E-2</v>
      </c>
      <c r="G17" s="9">
        <f t="shared" si="5"/>
        <v>7.4999999999999997E-3</v>
      </c>
      <c r="H17" s="9">
        <f>(D17*150)/1000</f>
        <v>7.4999999999999997E-2</v>
      </c>
      <c r="I17" s="9">
        <f t="shared" si="6"/>
        <v>2.5000000000000001E-3</v>
      </c>
      <c r="J17" s="9">
        <f t="shared" si="7"/>
        <v>5.0000000000000001E-3</v>
      </c>
      <c r="K17" s="9">
        <f>(D17*20)/1000</f>
        <v>0.01</v>
      </c>
      <c r="L17" s="20">
        <f>(D17*10)/1000</f>
        <v>5.0000000000000001E-3</v>
      </c>
      <c r="M17" s="31">
        <f t="shared" si="53"/>
        <v>0.5</v>
      </c>
    </row>
    <row r="18" spans="1:13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3" x14ac:dyDescent="0.25">
      <c r="A19" s="13" t="s">
        <v>16</v>
      </c>
      <c r="B19" s="32">
        <f>SUM(B3:B17)</f>
        <v>327</v>
      </c>
      <c r="C19" s="32">
        <f t="shared" ref="C19:M19" si="54">SUM(C3:C17)</f>
        <v>2.0300000000000007</v>
      </c>
      <c r="D19" s="32">
        <f t="shared" si="54"/>
        <v>14.640000475000003</v>
      </c>
      <c r="E19" s="32">
        <f t="shared" si="54"/>
        <v>0.50050021612499995</v>
      </c>
      <c r="F19" s="32">
        <f t="shared" si="54"/>
        <v>1.3506000427500005</v>
      </c>
      <c r="G19" s="32">
        <f t="shared" si="54"/>
        <v>0.21960000712500005</v>
      </c>
      <c r="H19" s="32">
        <f t="shared" si="54"/>
        <v>2.1960000712500003</v>
      </c>
      <c r="I19" s="32">
        <f t="shared" si="54"/>
        <v>7.3200002375000003E-2</v>
      </c>
      <c r="J19" s="32">
        <f t="shared" si="54"/>
        <v>0.14640000475000001</v>
      </c>
      <c r="K19" s="32">
        <f t="shared" si="54"/>
        <v>0.29280000950000001</v>
      </c>
      <c r="L19" s="32">
        <f t="shared" si="54"/>
        <v>0.14640000475000001</v>
      </c>
      <c r="M19" s="32">
        <f t="shared" si="54"/>
        <v>14.640000475000003</v>
      </c>
    </row>
  </sheetData>
  <mergeCells count="1">
    <mergeCell ref="O2:P3"/>
  </mergeCells>
  <hyperlinks>
    <hyperlink ref="O2:P3" location="Home!A1" display="Home" xr:uid="{06BBD2F8-F896-425E-911D-7F5AB50E33AB}"/>
  </hyperlinks>
  <pageMargins left="0.7" right="0.7" top="0.75" bottom="0.75" header="0.3" footer="0.3"/>
  <pageSetup paperSize="9" orientation="portrait" horizontalDpi="90" verticalDpi="90" r:id="rId1"/>
  <ignoredErrors>
    <ignoredError sqref="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1C81-5642-4EA4-BD2B-84B8CE0A2B60}">
  <dimension ref="A1:V25"/>
  <sheetViews>
    <sheetView topLeftCell="C10" workbookViewId="0">
      <selection activeCell="A3" sqref="A3:S25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9.85546875" style="17" bestFit="1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9.140625" bestFit="1" customWidth="1"/>
    <col min="18" max="18" width="9.85546875" style="17" bestFit="1" customWidth="1"/>
    <col min="19" max="19" width="8" bestFit="1" customWidth="1"/>
  </cols>
  <sheetData>
    <row r="1" spans="1:22" ht="22.35" customHeight="1" x14ac:dyDescent="0.25">
      <c r="A1" s="116" t="s">
        <v>205</v>
      </c>
      <c r="B1" s="116"/>
      <c r="C1" s="116"/>
      <c r="D1" s="116"/>
      <c r="E1" s="116"/>
      <c r="F1" s="116"/>
      <c r="G1" s="116"/>
      <c r="H1" s="116"/>
      <c r="I1" s="52"/>
    </row>
    <row r="2" spans="1:22" ht="15.75" thickBot="1" x14ac:dyDescent="0.3">
      <c r="U2" s="117" t="s">
        <v>227</v>
      </c>
      <c r="V2" s="117"/>
    </row>
    <row r="3" spans="1:22" x14ac:dyDescent="0.25">
      <c r="A3" s="53" t="s">
        <v>155</v>
      </c>
      <c r="B3" s="54" t="s">
        <v>0</v>
      </c>
      <c r="C3" s="55" t="s">
        <v>203</v>
      </c>
      <c r="D3" s="56" t="s">
        <v>204</v>
      </c>
      <c r="F3" s="63" t="s">
        <v>155</v>
      </c>
      <c r="G3" s="54" t="s">
        <v>0</v>
      </c>
      <c r="H3" s="55" t="s">
        <v>203</v>
      </c>
      <c r="I3" s="56" t="s">
        <v>204</v>
      </c>
      <c r="K3" s="63" t="s">
        <v>155</v>
      </c>
      <c r="L3" s="54" t="s">
        <v>0</v>
      </c>
      <c r="M3" s="55" t="s">
        <v>203</v>
      </c>
      <c r="N3" s="56" t="s">
        <v>204</v>
      </c>
      <c r="P3" s="63" t="s">
        <v>155</v>
      </c>
      <c r="Q3" s="54" t="s">
        <v>0</v>
      </c>
      <c r="R3" s="55" t="s">
        <v>203</v>
      </c>
      <c r="S3" s="56" t="s">
        <v>204</v>
      </c>
      <c r="U3" s="117"/>
      <c r="V3" s="117"/>
    </row>
    <row r="4" spans="1:22" x14ac:dyDescent="0.25">
      <c r="A4" s="57">
        <v>1</v>
      </c>
      <c r="B4" s="8" t="s">
        <v>2</v>
      </c>
      <c r="C4" s="96">
        <v>295.89999999999998</v>
      </c>
      <c r="D4" s="58">
        <f>C4-Daily_Consumption!C4</f>
        <v>231.66364238214283</v>
      </c>
      <c r="F4" s="57"/>
      <c r="G4" s="34" t="s">
        <v>47</v>
      </c>
      <c r="H4" s="46"/>
      <c r="I4" s="64"/>
      <c r="K4" s="57">
        <v>43</v>
      </c>
      <c r="L4" s="8" t="s">
        <v>179</v>
      </c>
      <c r="M4" s="96">
        <v>100</v>
      </c>
      <c r="N4" s="69">
        <f>M4-Daily_Consumption!M4</f>
        <v>100</v>
      </c>
      <c r="P4" s="57"/>
      <c r="Q4" s="34" t="s">
        <v>67</v>
      </c>
      <c r="R4" s="46"/>
      <c r="S4" s="71"/>
    </row>
    <row r="5" spans="1:22" x14ac:dyDescent="0.25">
      <c r="A5" s="57">
        <v>2</v>
      </c>
      <c r="B5" s="8" t="s">
        <v>4</v>
      </c>
      <c r="C5" s="96">
        <v>75.7</v>
      </c>
      <c r="D5" s="58">
        <f>C5-Daily_Consumption!C5</f>
        <v>56.198602071607141</v>
      </c>
      <c r="F5" s="57">
        <v>22</v>
      </c>
      <c r="G5" s="8" t="s">
        <v>162</v>
      </c>
      <c r="H5" s="96">
        <v>19.7</v>
      </c>
      <c r="I5" s="69">
        <f>H5-Daily_Consumption!H5</f>
        <v>12.818092857142856</v>
      </c>
      <c r="K5" s="57">
        <v>44</v>
      </c>
      <c r="L5" s="8" t="s">
        <v>180</v>
      </c>
      <c r="M5" s="96">
        <v>23</v>
      </c>
      <c r="N5" s="69">
        <f>M5-Daily_Consumption!M5</f>
        <v>23</v>
      </c>
      <c r="P5" s="57">
        <v>58</v>
      </c>
      <c r="Q5" s="8" t="s">
        <v>20</v>
      </c>
      <c r="R5" s="96">
        <v>20</v>
      </c>
      <c r="S5" s="72">
        <f>R5-Daily_Consumption!R5</f>
        <v>19.889959999999999</v>
      </c>
    </row>
    <row r="6" spans="1:22" x14ac:dyDescent="0.25">
      <c r="A6" s="57">
        <v>3</v>
      </c>
      <c r="B6" s="8" t="s">
        <v>3</v>
      </c>
      <c r="C6" s="96">
        <v>100</v>
      </c>
      <c r="D6" s="58">
        <f>C6-Daily_Consumption!C6</f>
        <v>99.326994992875001</v>
      </c>
      <c r="F6" s="57">
        <v>23</v>
      </c>
      <c r="G6" s="8" t="s">
        <v>163</v>
      </c>
      <c r="H6" s="96">
        <v>8.09</v>
      </c>
      <c r="I6" s="69">
        <f>H6-Daily_Consumption!H6</f>
        <v>5.3595499999999996</v>
      </c>
      <c r="K6" s="57"/>
      <c r="L6" s="34" t="s">
        <v>57</v>
      </c>
      <c r="M6" s="96"/>
      <c r="N6" s="69"/>
      <c r="P6" s="57">
        <v>59</v>
      </c>
      <c r="Q6" s="8" t="s">
        <v>63</v>
      </c>
      <c r="R6" s="96">
        <v>20</v>
      </c>
      <c r="S6" s="72">
        <f>R6-Daily_Consumption!R6</f>
        <v>19.974979999999999</v>
      </c>
    </row>
    <row r="7" spans="1:22" x14ac:dyDescent="0.25">
      <c r="A7" s="57">
        <v>4</v>
      </c>
      <c r="B7" s="8" t="s">
        <v>5</v>
      </c>
      <c r="C7" s="96">
        <v>0.88</v>
      </c>
      <c r="D7" s="58">
        <f>C7-Daily_Consumption!C7</f>
        <v>0.28266442382142853</v>
      </c>
      <c r="F7" s="57">
        <v>24</v>
      </c>
      <c r="G7" s="8" t="s">
        <v>164</v>
      </c>
      <c r="H7" s="96">
        <v>10</v>
      </c>
      <c r="I7" s="69">
        <f>H7-Daily_Consumption!H7</f>
        <v>10</v>
      </c>
      <c r="K7" s="57">
        <v>45</v>
      </c>
      <c r="L7" s="8" t="s">
        <v>181</v>
      </c>
      <c r="M7" s="96">
        <v>6.6</v>
      </c>
      <c r="N7" s="69">
        <f>M7-Daily_Consumption!M7</f>
        <v>3.9999999999999996</v>
      </c>
      <c r="P7" s="57">
        <v>60</v>
      </c>
      <c r="Q7" s="8" t="s">
        <v>61</v>
      </c>
      <c r="R7" s="96">
        <v>20</v>
      </c>
      <c r="S7" s="72">
        <f>R7-Daily_Consumption!R7</f>
        <v>19.8</v>
      </c>
    </row>
    <row r="8" spans="1:22" x14ac:dyDescent="0.25">
      <c r="A8" s="57">
        <v>5</v>
      </c>
      <c r="B8" s="8" t="s">
        <v>157</v>
      </c>
      <c r="C8" s="96">
        <v>1.9</v>
      </c>
      <c r="D8" s="58">
        <f>C8-Daily_Consumption!C8</f>
        <v>1.581316211910714</v>
      </c>
      <c r="F8" s="57">
        <v>25</v>
      </c>
      <c r="G8" s="8" t="s">
        <v>165</v>
      </c>
      <c r="H8" s="96">
        <v>19.7</v>
      </c>
      <c r="I8" s="69">
        <f>H8-Daily_Consumption!H8</f>
        <v>13.7</v>
      </c>
      <c r="K8" s="57">
        <v>46</v>
      </c>
      <c r="L8" s="8" t="s">
        <v>74</v>
      </c>
      <c r="M8" s="96">
        <v>100</v>
      </c>
      <c r="N8" s="69">
        <f>M8-Daily_Consumption!M8</f>
        <v>100</v>
      </c>
      <c r="P8" s="57">
        <v>61</v>
      </c>
      <c r="Q8" s="8" t="s">
        <v>187</v>
      </c>
      <c r="R8" s="96">
        <v>20</v>
      </c>
      <c r="S8" s="72">
        <f>R8-Daily_Consumption!R8</f>
        <v>20</v>
      </c>
    </row>
    <row r="9" spans="1:22" x14ac:dyDescent="0.25">
      <c r="A9" s="57">
        <v>6</v>
      </c>
      <c r="B9" s="8" t="s">
        <v>56</v>
      </c>
      <c r="C9" s="96">
        <v>699</v>
      </c>
      <c r="D9" s="58">
        <f>C9-Daily_Consumption!C9</f>
        <v>259.87464238214289</v>
      </c>
      <c r="F9" s="57">
        <v>26</v>
      </c>
      <c r="G9" s="8" t="s">
        <v>166</v>
      </c>
      <c r="H9" s="96">
        <v>9.83</v>
      </c>
      <c r="I9" s="69">
        <f>H9-Daily_Consumption!H9</f>
        <v>5.6766800000000011</v>
      </c>
      <c r="K9" s="57">
        <v>47</v>
      </c>
      <c r="L9" s="8" t="s">
        <v>75</v>
      </c>
      <c r="M9" s="96">
        <v>100</v>
      </c>
      <c r="N9" s="69">
        <f>M9-Daily_Consumption!M9</f>
        <v>100</v>
      </c>
      <c r="P9" s="57">
        <v>62</v>
      </c>
      <c r="Q9" s="8" t="s">
        <v>60</v>
      </c>
      <c r="R9" s="96">
        <v>20</v>
      </c>
      <c r="S9" s="72">
        <f>R9-Daily_Consumption!R9</f>
        <v>20</v>
      </c>
    </row>
    <row r="10" spans="1:22" x14ac:dyDescent="0.25">
      <c r="A10" s="57">
        <v>7</v>
      </c>
      <c r="B10" s="8" t="s">
        <v>18</v>
      </c>
      <c r="C10" s="96">
        <v>2.79</v>
      </c>
      <c r="D10" s="58">
        <f>C10-Daily_Consumption!C10</f>
        <v>1.8129175000000002</v>
      </c>
      <c r="F10" s="57">
        <v>27</v>
      </c>
      <c r="G10" s="8" t="s">
        <v>167</v>
      </c>
      <c r="H10" s="96">
        <v>0.88</v>
      </c>
      <c r="I10" s="69">
        <f>H10-Daily_Consumption!H10</f>
        <v>0.88</v>
      </c>
      <c r="K10" s="57">
        <v>48</v>
      </c>
      <c r="L10" s="8" t="s">
        <v>63</v>
      </c>
      <c r="M10" s="96">
        <v>100</v>
      </c>
      <c r="N10" s="69">
        <f>M10-Daily_Consumption!M10</f>
        <v>100</v>
      </c>
      <c r="P10" s="57">
        <v>63</v>
      </c>
      <c r="Q10" s="8" t="s">
        <v>62</v>
      </c>
      <c r="R10" s="96">
        <v>20</v>
      </c>
      <c r="S10" s="72">
        <f>R10-Daily_Consumption!R10</f>
        <v>20</v>
      </c>
    </row>
    <row r="11" spans="1:22" x14ac:dyDescent="0.25">
      <c r="A11" s="57">
        <v>8</v>
      </c>
      <c r="B11" s="8" t="s">
        <v>197</v>
      </c>
      <c r="C11" s="96">
        <v>0.55000000000000004</v>
      </c>
      <c r="D11" s="58">
        <f>C11-Daily_Consumption!C11</f>
        <v>0.49446250000000003</v>
      </c>
      <c r="F11" s="57">
        <v>28</v>
      </c>
      <c r="G11" s="8" t="s">
        <v>168</v>
      </c>
      <c r="H11" s="96">
        <v>0.56000000000000005</v>
      </c>
      <c r="I11" s="69">
        <f>H11-Daily_Consumption!H11</f>
        <v>0.56000000000000005</v>
      </c>
      <c r="K11" s="57">
        <v>49</v>
      </c>
      <c r="L11" s="8" t="s">
        <v>78</v>
      </c>
      <c r="M11" s="96">
        <v>100</v>
      </c>
      <c r="N11" s="69">
        <f>M11-Daily_Consumption!M11</f>
        <v>100</v>
      </c>
      <c r="P11" s="57">
        <v>64</v>
      </c>
      <c r="Q11" s="8" t="s">
        <v>64</v>
      </c>
      <c r="R11" s="96">
        <v>20</v>
      </c>
      <c r="S11" s="72">
        <f>R11-Daily_Consumption!R11</f>
        <v>20</v>
      </c>
    </row>
    <row r="12" spans="1:22" x14ac:dyDescent="0.25">
      <c r="A12" s="57">
        <v>9</v>
      </c>
      <c r="B12" s="8" t="s">
        <v>36</v>
      </c>
      <c r="C12" s="96">
        <v>6.76</v>
      </c>
      <c r="D12" s="58">
        <f>C12-Daily_Consumption!C12</f>
        <v>5.7792925000000004</v>
      </c>
      <c r="F12" s="57">
        <v>29</v>
      </c>
      <c r="G12" s="8" t="s">
        <v>50</v>
      </c>
      <c r="H12" s="96">
        <v>0.15</v>
      </c>
      <c r="I12" s="69">
        <f>H12-Daily_Consumption!H12</f>
        <v>0.15</v>
      </c>
      <c r="K12" s="57">
        <v>50</v>
      </c>
      <c r="L12" s="8" t="s">
        <v>201</v>
      </c>
      <c r="M12" s="96">
        <v>100</v>
      </c>
      <c r="N12" s="69">
        <f>M12-Daily_Consumption!M12</f>
        <v>100</v>
      </c>
      <c r="P12" s="57">
        <v>65</v>
      </c>
      <c r="Q12" s="8" t="s">
        <v>189</v>
      </c>
      <c r="R12" s="96">
        <v>20</v>
      </c>
      <c r="S12" s="72">
        <f>R12-Daily_Consumption!R12</f>
        <v>20</v>
      </c>
    </row>
    <row r="13" spans="1:22" x14ac:dyDescent="0.25">
      <c r="A13" s="57">
        <v>10</v>
      </c>
      <c r="B13" s="8" t="s">
        <v>37</v>
      </c>
      <c r="C13" s="96">
        <v>1.05</v>
      </c>
      <c r="D13" s="58">
        <f>C13-Daily_Consumption!C13</f>
        <v>0.72037499999999999</v>
      </c>
      <c r="F13" s="57">
        <v>30</v>
      </c>
      <c r="G13" s="8" t="s">
        <v>169</v>
      </c>
      <c r="H13" s="96">
        <v>100</v>
      </c>
      <c r="I13" s="69">
        <f>H13-Daily_Consumption!H13</f>
        <v>100</v>
      </c>
      <c r="K13" s="57">
        <v>51</v>
      </c>
      <c r="L13" s="8" t="s">
        <v>8</v>
      </c>
      <c r="M13" s="96">
        <v>2.4</v>
      </c>
      <c r="N13" s="69">
        <f>M13-Daily_Consumption!M13</f>
        <v>2.1614749999999998</v>
      </c>
      <c r="P13" s="57">
        <v>66</v>
      </c>
      <c r="Q13" s="8" t="s">
        <v>32</v>
      </c>
      <c r="R13" s="96">
        <v>20</v>
      </c>
      <c r="S13" s="72">
        <f>R13-Daily_Consumption!R13</f>
        <v>20</v>
      </c>
    </row>
    <row r="14" spans="1:22" x14ac:dyDescent="0.25">
      <c r="A14" s="57">
        <v>11</v>
      </c>
      <c r="B14" s="8" t="s">
        <v>143</v>
      </c>
      <c r="C14" s="96">
        <v>2.645</v>
      </c>
      <c r="D14" s="58">
        <f>C14-Daily_Consumption!C14</f>
        <v>2.5474999999999999</v>
      </c>
      <c r="F14" s="57">
        <v>31</v>
      </c>
      <c r="G14" s="8" t="s">
        <v>170</v>
      </c>
      <c r="H14" s="96">
        <v>0.56499999999999995</v>
      </c>
      <c r="I14" s="69">
        <f>H14-Daily_Consumption!H14</f>
        <v>0.56499999999999995</v>
      </c>
      <c r="K14" s="57">
        <v>52</v>
      </c>
      <c r="L14" s="8" t="s">
        <v>17</v>
      </c>
      <c r="M14" s="96">
        <v>1.46</v>
      </c>
      <c r="N14" s="69">
        <f>M14-Daily_Consumption!M14</f>
        <v>0.50293750000000004</v>
      </c>
      <c r="P14" s="57">
        <v>67</v>
      </c>
      <c r="Q14" s="8" t="s">
        <v>188</v>
      </c>
      <c r="R14" s="96">
        <v>20</v>
      </c>
      <c r="S14" s="72">
        <f>R14-Daily_Consumption!R14</f>
        <v>20</v>
      </c>
    </row>
    <row r="15" spans="1:22" x14ac:dyDescent="0.25">
      <c r="A15" s="57">
        <v>12</v>
      </c>
      <c r="B15" s="8" t="s">
        <v>32</v>
      </c>
      <c r="C15" s="96">
        <v>1.89</v>
      </c>
      <c r="D15" s="58">
        <f>C15-Daily_Consumption!C15</f>
        <v>1.7438749999999998</v>
      </c>
      <c r="F15" s="57">
        <v>32</v>
      </c>
      <c r="G15" s="8" t="s">
        <v>171</v>
      </c>
      <c r="H15" s="96">
        <v>100</v>
      </c>
      <c r="I15" s="69">
        <f>H15-Daily_Consumption!H15</f>
        <v>100</v>
      </c>
      <c r="K15" s="57">
        <v>53</v>
      </c>
      <c r="L15" s="8" t="s">
        <v>44</v>
      </c>
      <c r="M15" s="96">
        <v>300</v>
      </c>
      <c r="N15" s="69">
        <f>M15-Daily_Consumption!M15</f>
        <v>300</v>
      </c>
      <c r="P15" s="57">
        <v>68</v>
      </c>
      <c r="Q15" s="8" t="s">
        <v>33</v>
      </c>
      <c r="R15" s="96">
        <v>20</v>
      </c>
      <c r="S15" s="72">
        <f>R15-Daily_Consumption!R15</f>
        <v>18.414999999999999</v>
      </c>
    </row>
    <row r="16" spans="1:22" x14ac:dyDescent="0.25">
      <c r="A16" s="57">
        <v>13</v>
      </c>
      <c r="B16" s="8" t="s">
        <v>158</v>
      </c>
      <c r="C16" s="96">
        <v>0.75</v>
      </c>
      <c r="D16" s="58">
        <f>C16-Daily_Consumption!C16</f>
        <v>0.6331</v>
      </c>
      <c r="F16" s="57">
        <v>33</v>
      </c>
      <c r="G16" s="8" t="s">
        <v>172</v>
      </c>
      <c r="H16" s="96">
        <v>0.30499999999999999</v>
      </c>
      <c r="I16" s="69">
        <f>H16-Daily_Consumption!H16</f>
        <v>0.18</v>
      </c>
      <c r="K16" s="57">
        <v>54</v>
      </c>
      <c r="L16" s="8" t="s">
        <v>186</v>
      </c>
      <c r="M16" s="96">
        <v>1.0900000000000001</v>
      </c>
      <c r="N16" s="69">
        <f>M16-Daily_Consumption!M16</f>
        <v>1.0900000000000001</v>
      </c>
      <c r="P16" s="57">
        <v>69</v>
      </c>
      <c r="Q16" s="8" t="s">
        <v>140</v>
      </c>
      <c r="R16" s="96">
        <v>20</v>
      </c>
      <c r="S16" s="72">
        <f>R16-Daily_Consumption!R16</f>
        <v>20</v>
      </c>
    </row>
    <row r="17" spans="1:19" x14ac:dyDescent="0.25">
      <c r="A17" s="57">
        <v>14</v>
      </c>
      <c r="B17" s="8" t="s">
        <v>159</v>
      </c>
      <c r="C17" s="96">
        <v>0.95</v>
      </c>
      <c r="D17" s="58">
        <f>C17-Daily_Consumption!C17</f>
        <v>0.909968</v>
      </c>
      <c r="F17" s="57">
        <v>34</v>
      </c>
      <c r="G17" s="8" t="s">
        <v>94</v>
      </c>
      <c r="H17" s="96">
        <v>0.15</v>
      </c>
      <c r="I17" s="69">
        <f>H17-Daily_Consumption!H17</f>
        <v>4.9999999999999989E-2</v>
      </c>
      <c r="K17" s="57"/>
      <c r="L17" s="8"/>
      <c r="M17" s="96"/>
      <c r="N17" s="69"/>
      <c r="P17" s="57"/>
      <c r="Q17" s="8"/>
      <c r="R17" s="46"/>
      <c r="S17" s="71"/>
    </row>
    <row r="18" spans="1:19" x14ac:dyDescent="0.25">
      <c r="A18" s="57">
        <v>15</v>
      </c>
      <c r="B18" s="8" t="s">
        <v>31</v>
      </c>
      <c r="C18" s="96">
        <v>1.96</v>
      </c>
      <c r="D18" s="58">
        <f>C18-Daily_Consumption!C18</f>
        <v>1.0576499904999999</v>
      </c>
      <c r="F18" s="57">
        <v>35</v>
      </c>
      <c r="G18" s="8" t="s">
        <v>173</v>
      </c>
      <c r="H18" s="96">
        <v>3.74</v>
      </c>
      <c r="I18" s="69">
        <f>H18-Daily_Consumption!H18</f>
        <v>3.74</v>
      </c>
      <c r="K18" s="57">
        <v>55</v>
      </c>
      <c r="L18" s="8" t="s">
        <v>183</v>
      </c>
      <c r="M18" s="96">
        <v>7</v>
      </c>
      <c r="N18" s="69">
        <f>M18-Daily_Consumption!M18</f>
        <v>3</v>
      </c>
      <c r="P18" s="57"/>
      <c r="Q18" s="8"/>
      <c r="R18" s="46"/>
      <c r="S18" s="71"/>
    </row>
    <row r="19" spans="1:19" x14ac:dyDescent="0.25">
      <c r="A19" s="57">
        <v>16</v>
      </c>
      <c r="B19" s="8" t="s">
        <v>160</v>
      </c>
      <c r="C19" s="96">
        <v>4.55</v>
      </c>
      <c r="D19" s="58">
        <f>C19-Daily_Consumption!C19</f>
        <v>1.3613499952499994</v>
      </c>
      <c r="F19" s="57">
        <v>36</v>
      </c>
      <c r="G19" s="8" t="s">
        <v>174</v>
      </c>
      <c r="H19" s="96">
        <v>4.4000000000000004</v>
      </c>
      <c r="I19" s="69">
        <f>H19-Daily_Consumption!H19</f>
        <v>4.0750000000000002</v>
      </c>
      <c r="K19" s="57">
        <v>56</v>
      </c>
      <c r="L19" s="8" t="s">
        <v>184</v>
      </c>
      <c r="M19" s="96">
        <v>3.36</v>
      </c>
      <c r="N19" s="69">
        <f>M19-Daily_Consumption!M19</f>
        <v>3.36</v>
      </c>
      <c r="P19" s="57"/>
      <c r="Q19" s="8"/>
      <c r="R19" s="46"/>
      <c r="S19" s="71"/>
    </row>
    <row r="20" spans="1:19" x14ac:dyDescent="0.25">
      <c r="A20" s="57">
        <v>17</v>
      </c>
      <c r="B20" s="8" t="s">
        <v>161</v>
      </c>
      <c r="C20" s="96">
        <v>1.84</v>
      </c>
      <c r="D20" s="58">
        <f>C20-Daily_Consumption!C20</f>
        <v>1.84</v>
      </c>
      <c r="F20" s="57">
        <v>37</v>
      </c>
      <c r="G20" s="8" t="s">
        <v>175</v>
      </c>
      <c r="H20" s="96">
        <v>1.06</v>
      </c>
      <c r="I20" s="69">
        <f>H20-Daily_Consumption!H20</f>
        <v>1.06</v>
      </c>
      <c r="K20" s="57">
        <v>57</v>
      </c>
      <c r="L20" s="8" t="s">
        <v>185</v>
      </c>
      <c r="M20" s="96">
        <v>5.4</v>
      </c>
      <c r="N20" s="69">
        <f>M20-Daily_Consumption!M20</f>
        <v>4.4000000000000004</v>
      </c>
      <c r="P20" s="57"/>
      <c r="Q20" s="8"/>
      <c r="R20" s="46"/>
      <c r="S20" s="71"/>
    </row>
    <row r="21" spans="1:19" x14ac:dyDescent="0.25">
      <c r="A21" s="57">
        <v>18</v>
      </c>
      <c r="B21" s="8" t="s">
        <v>97</v>
      </c>
      <c r="C21" s="96">
        <v>10</v>
      </c>
      <c r="D21" s="58">
        <f>C21-Daily_Consumption!C21</f>
        <v>0.94624999999999915</v>
      </c>
      <c r="F21" s="57">
        <v>38</v>
      </c>
      <c r="G21" s="8" t="s">
        <v>90</v>
      </c>
      <c r="H21" s="96">
        <v>0.44500000000000001</v>
      </c>
      <c r="I21" s="69">
        <f>H21-Daily_Consumption!H21</f>
        <v>0.38250000000000001</v>
      </c>
      <c r="K21" s="57"/>
      <c r="L21" s="8"/>
      <c r="M21" s="46"/>
      <c r="N21" s="64"/>
      <c r="P21" s="57"/>
      <c r="Q21" s="8"/>
      <c r="R21" s="46"/>
      <c r="S21" s="71"/>
    </row>
    <row r="22" spans="1:19" x14ac:dyDescent="0.25">
      <c r="A22" s="57">
        <v>19</v>
      </c>
      <c r="B22" s="8" t="s">
        <v>15</v>
      </c>
      <c r="C22" s="96">
        <v>0.24</v>
      </c>
      <c r="D22" s="58">
        <f>C22-Daily_Consumption!C22</f>
        <v>0.15807178571428571</v>
      </c>
      <c r="F22" s="57">
        <v>39</v>
      </c>
      <c r="G22" s="8" t="s">
        <v>176</v>
      </c>
      <c r="H22" s="96">
        <v>100</v>
      </c>
      <c r="I22" s="69">
        <f>H22-Daily_Consumption!H22</f>
        <v>100</v>
      </c>
      <c r="K22" s="57"/>
      <c r="L22" s="8"/>
      <c r="M22" s="46"/>
      <c r="N22" s="64"/>
      <c r="P22" s="57"/>
      <c r="Q22" s="8"/>
      <c r="R22" s="46"/>
      <c r="S22" s="71"/>
    </row>
    <row r="23" spans="1:19" x14ac:dyDescent="0.25">
      <c r="A23" s="57">
        <v>20</v>
      </c>
      <c r="B23" s="8" t="s">
        <v>105</v>
      </c>
      <c r="C23" s="96">
        <v>1.36</v>
      </c>
      <c r="D23" s="58">
        <f>C23-Daily_Consumption!C23</f>
        <v>0.85949978387500015</v>
      </c>
      <c r="F23" s="57">
        <v>40</v>
      </c>
      <c r="G23" s="8" t="s">
        <v>66</v>
      </c>
      <c r="H23" s="96">
        <v>0.38500000000000001</v>
      </c>
      <c r="I23" s="69">
        <f>H23-Daily_Consumption!H23</f>
        <v>0.36498400000000003</v>
      </c>
      <c r="K23" s="57"/>
      <c r="L23" s="8"/>
      <c r="M23" s="46"/>
      <c r="N23" s="64"/>
      <c r="P23" s="57"/>
      <c r="Q23" s="8"/>
      <c r="R23" s="46"/>
      <c r="S23" s="71"/>
    </row>
    <row r="24" spans="1:19" x14ac:dyDescent="0.25">
      <c r="A24" s="57">
        <v>21</v>
      </c>
      <c r="B24" s="8" t="s">
        <v>21</v>
      </c>
      <c r="C24" s="96">
        <v>6.96</v>
      </c>
      <c r="D24" s="58">
        <f>C24-Daily_Consumption!C24</f>
        <v>5.4245000000000001</v>
      </c>
      <c r="F24" s="57">
        <v>41</v>
      </c>
      <c r="G24" s="8" t="s">
        <v>177</v>
      </c>
      <c r="H24" s="96">
        <v>0.04</v>
      </c>
      <c r="I24" s="69">
        <f>H24-Daily_Consumption!H24</f>
        <v>0.04</v>
      </c>
      <c r="K24" s="57"/>
      <c r="L24" s="8"/>
      <c r="M24" s="46"/>
      <c r="N24" s="64"/>
      <c r="P24" s="57"/>
      <c r="Q24" s="8"/>
      <c r="R24" s="46"/>
      <c r="S24" s="71"/>
    </row>
    <row r="25" spans="1:19" ht="15.75" thickBot="1" x14ac:dyDescent="0.3">
      <c r="A25" s="59"/>
      <c r="B25" s="60"/>
      <c r="C25" s="98"/>
      <c r="D25" s="62"/>
      <c r="F25" s="65">
        <v>42</v>
      </c>
      <c r="G25" s="66" t="s">
        <v>178</v>
      </c>
      <c r="H25" s="96">
        <v>9.5000000000000001E-2</v>
      </c>
      <c r="I25" s="69">
        <f>H25-Daily_Consumption!H25</f>
        <v>9.5000000000000001E-2</v>
      </c>
      <c r="K25" s="65"/>
      <c r="L25" s="66"/>
      <c r="M25" s="97"/>
      <c r="N25" s="68"/>
      <c r="P25" s="65"/>
      <c r="Q25" s="66"/>
      <c r="R25" s="97"/>
      <c r="S25" s="73"/>
    </row>
  </sheetData>
  <mergeCells count="2">
    <mergeCell ref="A1:H1"/>
    <mergeCell ref="U2:V3"/>
  </mergeCells>
  <hyperlinks>
    <hyperlink ref="U2:V3" location="Home!A1" display="Home" xr:uid="{F473EF77-42DD-449A-BD98-D379F848CADB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892B-8D31-4F9F-ADCA-C11EE2770A30}">
  <dimension ref="A1:U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1" width="9.140625" style="1" customWidth="1"/>
    <col min="12" max="12" width="7.28515625" style="1" bestFit="1" customWidth="1"/>
    <col min="13" max="13" width="11.140625" style="17" bestFit="1" customWidth="1"/>
    <col min="14" max="14" width="6" bestFit="1" customWidth="1"/>
    <col min="15" max="15" width="6.85546875" bestFit="1" customWidth="1"/>
    <col min="16" max="16" width="9" bestFit="1" customWidth="1"/>
  </cols>
  <sheetData>
    <row r="1" spans="1:21" x14ac:dyDescent="0.25">
      <c r="N1" s="121" t="s">
        <v>82</v>
      </c>
      <c r="O1" s="121"/>
      <c r="P1" s="121"/>
      <c r="Q1" s="121"/>
    </row>
    <row r="2" spans="1:21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120</v>
      </c>
      <c r="F2" s="3" t="s">
        <v>18</v>
      </c>
      <c r="G2" s="3" t="s">
        <v>15</v>
      </c>
      <c r="H2" s="3" t="s">
        <v>52</v>
      </c>
      <c r="I2" s="3" t="s">
        <v>65</v>
      </c>
      <c r="J2" s="3" t="s">
        <v>77</v>
      </c>
      <c r="K2" s="3" t="s">
        <v>8</v>
      </c>
      <c r="L2" s="3" t="s">
        <v>56</v>
      </c>
      <c r="M2" s="3" t="s">
        <v>69</v>
      </c>
      <c r="N2" s="3" t="s">
        <v>20</v>
      </c>
      <c r="O2" s="3" t="s">
        <v>63</v>
      </c>
      <c r="P2" s="3" t="s">
        <v>61</v>
      </c>
      <c r="Q2" s="33" t="s">
        <v>32</v>
      </c>
      <c r="S2" s="117" t="s">
        <v>227</v>
      </c>
      <c r="T2" s="117"/>
      <c r="U2" s="51"/>
    </row>
    <row r="3" spans="1:21" x14ac:dyDescent="0.25">
      <c r="A3" s="5" t="s">
        <v>119</v>
      </c>
      <c r="B3" s="27">
        <v>0</v>
      </c>
      <c r="C3" s="9">
        <f>$B3*0.8572</f>
        <v>0</v>
      </c>
      <c r="D3" s="9">
        <f>$B3*0.643</f>
        <v>0</v>
      </c>
      <c r="E3" s="9">
        <f>$B3*0.0715</f>
        <v>0</v>
      </c>
      <c r="F3" s="9">
        <f>$B3*0.029</f>
        <v>0</v>
      </c>
      <c r="G3" s="9">
        <f>$B3*0.0057</f>
        <v>0</v>
      </c>
      <c r="H3" s="9">
        <f>$B3*0.007</f>
        <v>0</v>
      </c>
      <c r="I3" s="9">
        <f>$B3*0.0145</f>
        <v>0</v>
      </c>
      <c r="J3" s="9">
        <f>$B3*0.0057</f>
        <v>0</v>
      </c>
      <c r="K3" s="9">
        <f>$B3*0.0715</f>
        <v>0</v>
      </c>
      <c r="L3" s="7">
        <f>$B3*15.71</f>
        <v>0</v>
      </c>
      <c r="M3" s="9">
        <f>$B3*0.007</f>
        <v>0</v>
      </c>
      <c r="N3" s="9">
        <f>$B3*0.0035</f>
        <v>0</v>
      </c>
      <c r="O3" s="9">
        <f>$B3*0.0014</f>
        <v>0</v>
      </c>
      <c r="P3" s="9">
        <f t="shared" ref="P3:Q3" si="0">$B3*0.0014</f>
        <v>0</v>
      </c>
      <c r="Q3" s="9">
        <f t="shared" si="0"/>
        <v>0</v>
      </c>
      <c r="S3" s="117"/>
      <c r="T3" s="117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21" x14ac:dyDescent="0.25">
      <c r="A5" s="13" t="s">
        <v>16</v>
      </c>
      <c r="B5" s="12">
        <f>SUM(B3:B3)</f>
        <v>0</v>
      </c>
      <c r="C5" s="12">
        <f t="shared" ref="C5:Q5" si="1">SUM(C3:C3)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mergeCells count="2">
    <mergeCell ref="N1:Q1"/>
    <mergeCell ref="S2:T3"/>
  </mergeCells>
  <hyperlinks>
    <hyperlink ref="S2:T3" location="Home!A1" display="Home" xr:uid="{AC5EBD40-559B-41C3-B0AF-BB9571B1194D}"/>
  </hyperlinks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5FAA-5E84-47C1-B267-0515A4478466}">
  <dimension ref="A2:R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1" width="9.140625" style="1" customWidth="1"/>
    <col min="12" max="12" width="5.28515625" style="1" bestFit="1" customWidth="1"/>
    <col min="13" max="13" width="12.28515625" style="1" bestFit="1" customWidth="1"/>
    <col min="14" max="14" width="8.42578125" style="1" bestFit="1" customWidth="1"/>
    <col min="15" max="15" width="11.140625" style="17" bestFit="1" customWidth="1"/>
  </cols>
  <sheetData>
    <row r="2" spans="1:18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31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123</v>
      </c>
      <c r="K2" s="3" t="s">
        <v>53</v>
      </c>
      <c r="L2" s="3" t="s">
        <v>8</v>
      </c>
      <c r="M2" s="3" t="s">
        <v>122</v>
      </c>
      <c r="N2" s="3" t="s">
        <v>76</v>
      </c>
      <c r="O2" s="3" t="s">
        <v>15</v>
      </c>
      <c r="Q2" s="117" t="s">
        <v>227</v>
      </c>
      <c r="R2" s="117"/>
    </row>
    <row r="3" spans="1:18" x14ac:dyDescent="0.25">
      <c r="A3" s="5" t="s">
        <v>121</v>
      </c>
      <c r="B3" s="27">
        <v>0</v>
      </c>
      <c r="C3" s="9">
        <f>$B3*0.3</f>
        <v>0</v>
      </c>
      <c r="D3" s="9">
        <f>$B3*0.1</f>
        <v>0</v>
      </c>
      <c r="E3" s="9">
        <f>$B3*0.02</f>
        <v>0</v>
      </c>
      <c r="F3" s="9">
        <f>$B3*0.02</f>
        <v>0</v>
      </c>
      <c r="G3" s="9">
        <f>$B3*0.02</f>
        <v>0</v>
      </c>
      <c r="H3" s="9">
        <f>$B3*0.0053</f>
        <v>0</v>
      </c>
      <c r="I3" s="9">
        <f>$B3*0.01</f>
        <v>0</v>
      </c>
      <c r="J3" s="9">
        <f>$B3*0.125</f>
        <v>0</v>
      </c>
      <c r="K3" s="9">
        <f>$B3*0.0053</f>
        <v>0</v>
      </c>
      <c r="L3" s="9">
        <f>$B3*0.05</f>
        <v>0</v>
      </c>
      <c r="M3" s="9">
        <f>$B3*0.0053</f>
        <v>0</v>
      </c>
      <c r="N3" s="9">
        <f>$B3*0.0033</f>
        <v>0</v>
      </c>
      <c r="O3" s="9">
        <f>$B3*0.0053</f>
        <v>0</v>
      </c>
      <c r="Q3" s="117"/>
      <c r="R3" s="117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x14ac:dyDescent="0.25">
      <c r="A5" s="13" t="s">
        <v>16</v>
      </c>
      <c r="B5" s="12">
        <f>SUM(B3:B3)</f>
        <v>0</v>
      </c>
      <c r="C5" s="12">
        <f t="shared" ref="C5:O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</row>
  </sheetData>
  <mergeCells count="1">
    <mergeCell ref="Q2:R3"/>
  </mergeCells>
  <hyperlinks>
    <hyperlink ref="Q2:R3" location="Home!A1" display="Home" xr:uid="{B3807E6F-0D56-4396-85E0-184AEA167D85}"/>
  </hyperlinks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CBB6-58AB-4FE8-BA73-33AB30D0D739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6.28515625" style="1" bestFit="1" customWidth="1"/>
    <col min="5" max="5" width="16.140625" style="1" bestFit="1" customWidth="1"/>
    <col min="6" max="6" width="13" style="1" bestFit="1" customWidth="1"/>
  </cols>
  <sheetData>
    <row r="2" spans="1:9" x14ac:dyDescent="0.25">
      <c r="A2" s="3" t="s">
        <v>0</v>
      </c>
      <c r="B2" s="3" t="s">
        <v>2</v>
      </c>
      <c r="C2" s="3" t="s">
        <v>97</v>
      </c>
      <c r="D2" s="3" t="s">
        <v>56</v>
      </c>
      <c r="E2" s="3" t="s">
        <v>124</v>
      </c>
      <c r="F2" s="3" t="s">
        <v>85</v>
      </c>
      <c r="H2" s="117" t="s">
        <v>227</v>
      </c>
      <c r="I2" s="117"/>
    </row>
    <row r="3" spans="1:9" x14ac:dyDescent="0.25">
      <c r="A3" s="5" t="s">
        <v>125</v>
      </c>
      <c r="B3" s="27">
        <v>0</v>
      </c>
      <c r="C3" s="9">
        <f>$B3*0.91</f>
        <v>0</v>
      </c>
      <c r="D3" s="7">
        <f>$B3*18.185</f>
        <v>0</v>
      </c>
      <c r="E3" s="9">
        <f>$B3*0.009</f>
        <v>0</v>
      </c>
      <c r="F3" s="9">
        <f>$B3*0.0022</f>
        <v>0</v>
      </c>
      <c r="H3" s="117"/>
      <c r="I3" s="11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F1018B2-375F-40B3-8454-C8D97CF2B252}"/>
  </hyperlinks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7948-285F-4591-91B8-6F3B0F9A6EBA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1" style="1" bestFit="1" customWidth="1"/>
    <col min="12" max="12" width="14.140625" style="1" bestFit="1" customWidth="1"/>
    <col min="13" max="13" width="11.85546875" style="17" bestFit="1" customWidth="1"/>
  </cols>
  <sheetData>
    <row r="1" spans="1:18" x14ac:dyDescent="0.25">
      <c r="K1" s="124" t="s">
        <v>93</v>
      </c>
      <c r="L1" s="124"/>
      <c r="M1" s="124"/>
    </row>
    <row r="2" spans="1:18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85</v>
      </c>
      <c r="K2" s="3" t="s">
        <v>129</v>
      </c>
      <c r="L2" s="3" t="s">
        <v>130</v>
      </c>
      <c r="M2" s="3" t="s">
        <v>131</v>
      </c>
      <c r="Q2" s="117" t="s">
        <v>227</v>
      </c>
      <c r="R2" s="117"/>
    </row>
    <row r="3" spans="1:18" x14ac:dyDescent="0.25">
      <c r="A3" s="5" t="s">
        <v>126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$B3*0.007</f>
        <v>0</v>
      </c>
      <c r="K3" s="9">
        <f>$B3*0.0037</f>
        <v>0</v>
      </c>
      <c r="L3" s="9">
        <f>$B3*0.0025</f>
        <v>0</v>
      </c>
      <c r="M3" s="9">
        <f>$B3*0.0025</f>
        <v>0</v>
      </c>
      <c r="Q3" s="117"/>
      <c r="R3" s="117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8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Q2:R3"/>
  </mergeCells>
  <hyperlinks>
    <hyperlink ref="Q2:R3" location="Home!A1" display="Home" xr:uid="{A86E1971-F874-4A5A-815E-6EF9CBFB6B3D}"/>
  </hyperlinks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BABD-5EE7-4436-AFE7-CF7B30DF843F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0" width="13" style="1" bestFit="1" customWidth="1"/>
    <col min="11" max="11" width="12.140625" style="1" bestFit="1" customWidth="1"/>
    <col min="12" max="12" width="14.140625" style="1" bestFit="1" customWidth="1"/>
    <col min="13" max="13" width="11.85546875" style="17" bestFit="1" customWidth="1"/>
  </cols>
  <sheetData>
    <row r="1" spans="1:17" x14ac:dyDescent="0.25">
      <c r="K1" s="124" t="s">
        <v>93</v>
      </c>
      <c r="L1" s="124"/>
      <c r="M1" s="124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134</v>
      </c>
      <c r="K2" s="3" t="s">
        <v>200</v>
      </c>
      <c r="L2" s="3" t="s">
        <v>130</v>
      </c>
      <c r="M2" s="3" t="s">
        <v>131</v>
      </c>
      <c r="P2" s="117" t="s">
        <v>227</v>
      </c>
      <c r="Q2" s="117"/>
    </row>
    <row r="3" spans="1:17" x14ac:dyDescent="0.25">
      <c r="A3" s="5" t="s">
        <v>133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$B3*0.0025</f>
        <v>0</v>
      </c>
      <c r="L3" s="9">
        <f>$B3*0.0025</f>
        <v>0</v>
      </c>
      <c r="M3" s="9">
        <f>$B3*0.00375</f>
        <v>0</v>
      </c>
      <c r="P3" s="117"/>
      <c r="Q3" s="11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7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P2:Q3"/>
  </mergeCells>
  <hyperlinks>
    <hyperlink ref="P2:Q3" location="Home!A1" display="Home" xr:uid="{489078BE-5F59-4744-9CE2-2C355B838EA5}"/>
  </hyperlinks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1281-3EF5-431E-A37A-46960766CEC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85546875" style="1" customWidth="1"/>
    <col min="10" max="10" width="9.140625" style="1" bestFit="1" customWidth="1"/>
    <col min="11" max="11" width="14" style="1" bestFit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24" t="s">
        <v>93</v>
      </c>
      <c r="M1" s="124"/>
      <c r="N1" s="124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136</v>
      </c>
      <c r="J2" s="3" t="s">
        <v>65</v>
      </c>
      <c r="K2" s="3" t="s">
        <v>135</v>
      </c>
      <c r="L2" s="3" t="s">
        <v>129</v>
      </c>
      <c r="M2" s="3" t="s">
        <v>130</v>
      </c>
      <c r="N2" s="3" t="s">
        <v>131</v>
      </c>
      <c r="P2" s="117" t="s">
        <v>227</v>
      </c>
      <c r="Q2" s="117"/>
    </row>
    <row r="3" spans="1:17" x14ac:dyDescent="0.25">
      <c r="A3" s="5" t="s">
        <v>137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$B3*0.0125</f>
        <v>0</v>
      </c>
      <c r="J3" s="9">
        <f>$B3*0.025</f>
        <v>0</v>
      </c>
      <c r="K3" s="9">
        <f>$B3*0.007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17"/>
      <c r="Q3" s="11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2EEBE9DE-89B4-47A4-B18E-542668ED3F8D}"/>
  </hyperlinks>
  <pageMargins left="0.7" right="0.7" top="0.75" bottom="0.75" header="0.3" footer="0.3"/>
  <pageSetup paperSize="9"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C6D5-43CE-4975-9537-E69437432F2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24" t="s">
        <v>93</v>
      </c>
      <c r="M1" s="124"/>
      <c r="N1" s="124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138</v>
      </c>
      <c r="K2" s="3" t="s">
        <v>140</v>
      </c>
      <c r="L2" s="3" t="s">
        <v>129</v>
      </c>
      <c r="M2" s="3" t="s">
        <v>130</v>
      </c>
      <c r="N2" s="3" t="s">
        <v>131</v>
      </c>
      <c r="P2" s="117" t="s">
        <v>227</v>
      </c>
      <c r="Q2" s="117"/>
    </row>
    <row r="3" spans="1:17" x14ac:dyDescent="0.25">
      <c r="A3" s="5" t="s">
        <v>139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17"/>
      <c r="Q3" s="11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C423E14D-4B1C-405E-9732-1DE75670BE25}"/>
  </hyperlinks>
  <pageMargins left="0.7" right="0.7" top="0.75" bottom="0.75" header="0.3" footer="0.3"/>
  <pageSetup paperSize="9"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AAF5-F3E8-4482-A31D-BA4179C1B212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6.42578125" style="1" customWidth="1"/>
    <col min="4" max="4" width="9" style="1" bestFit="1" customWidth="1"/>
    <col min="5" max="5" width="6.85546875" style="1" bestFit="1" customWidth="1"/>
    <col min="6" max="6" width="10" style="1" bestFit="1" customWidth="1"/>
    <col min="7" max="7" width="5.28515625" style="1" bestFit="1" customWidth="1"/>
    <col min="8" max="8" width="10.140625" style="1" bestFit="1" customWidth="1"/>
    <col min="9" max="9" width="9.85546875" style="1" bestFit="1" customWidth="1"/>
    <col min="10" max="10" width="9.140625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24" t="s">
        <v>93</v>
      </c>
      <c r="M1" s="124"/>
      <c r="N1" s="124"/>
    </row>
    <row r="2" spans="1:17" x14ac:dyDescent="0.25">
      <c r="A2" s="3" t="s">
        <v>0</v>
      </c>
      <c r="B2" s="3" t="s">
        <v>2</v>
      </c>
      <c r="C2" s="3" t="s">
        <v>141</v>
      </c>
      <c r="D2" s="3" t="s">
        <v>127</v>
      </c>
      <c r="E2" s="3" t="s">
        <v>128</v>
      </c>
      <c r="F2" s="3" t="s">
        <v>56</v>
      </c>
      <c r="G2" s="3" t="s">
        <v>18</v>
      </c>
      <c r="H2" s="3" t="s">
        <v>132</v>
      </c>
      <c r="I2" s="3" t="s">
        <v>52</v>
      </c>
      <c r="J2" s="3" t="s">
        <v>65</v>
      </c>
      <c r="K2" s="3" t="s">
        <v>37</v>
      </c>
      <c r="L2" s="3" t="s">
        <v>129</v>
      </c>
      <c r="M2" s="3" t="s">
        <v>130</v>
      </c>
      <c r="N2" s="3" t="s">
        <v>131</v>
      </c>
      <c r="P2" s="117" t="s">
        <v>227</v>
      </c>
      <c r="Q2" s="117"/>
    </row>
    <row r="3" spans="1:17" x14ac:dyDescent="0.25">
      <c r="A3" s="5" t="s">
        <v>142</v>
      </c>
      <c r="B3" s="27">
        <v>0</v>
      </c>
      <c r="C3" s="9">
        <f>$B3*0.125</f>
        <v>0</v>
      </c>
      <c r="D3" s="9">
        <f>$B3*0.5</f>
        <v>0</v>
      </c>
      <c r="E3" s="9">
        <f>$B3*0.5</f>
        <v>0</v>
      </c>
      <c r="F3" s="9">
        <f>$B3*1.5</f>
        <v>0</v>
      </c>
      <c r="G3" s="9">
        <f>$B3*0.05</f>
        <v>0</v>
      </c>
      <c r="H3" s="9">
        <f>$B3*0.05</f>
        <v>0</v>
      </c>
      <c r="I3" s="9">
        <f>$B3*0.01</f>
        <v>0</v>
      </c>
      <c r="J3" s="9">
        <f>$B3*0.025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17"/>
      <c r="Q3" s="11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N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4F6FFF4F-0174-4F12-AFCA-1901C948A547}"/>
  </hyperlinks>
  <pageMargins left="0.7" right="0.7" top="0.75" bottom="0.75" header="0.3" footer="0.3"/>
  <pageSetup paperSize="9"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54D-6508-4AC6-8130-1E17CA3915A1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14.8554687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10.140625" style="1" bestFit="1" customWidth="1"/>
  </cols>
  <sheetData>
    <row r="2" spans="1:9" x14ac:dyDescent="0.25">
      <c r="A2" s="3" t="s">
        <v>0</v>
      </c>
      <c r="B2" s="3" t="s">
        <v>143</v>
      </c>
      <c r="C2" s="3" t="s">
        <v>4</v>
      </c>
      <c r="D2" s="3" t="s">
        <v>8</v>
      </c>
      <c r="E2" s="3" t="s">
        <v>56</v>
      </c>
      <c r="F2" s="3" t="s">
        <v>15</v>
      </c>
      <c r="H2" s="117" t="s">
        <v>227</v>
      </c>
      <c r="I2" s="117"/>
    </row>
    <row r="3" spans="1:9" x14ac:dyDescent="0.25">
      <c r="A3" s="5" t="s">
        <v>144</v>
      </c>
      <c r="B3" s="27">
        <v>0</v>
      </c>
      <c r="C3" s="9">
        <f>$B3*0.77</f>
        <v>0</v>
      </c>
      <c r="D3" s="9">
        <f>$B3*0.231</f>
        <v>0</v>
      </c>
      <c r="E3" s="9">
        <f>$B3*13.846</f>
        <v>0</v>
      </c>
      <c r="F3" s="9">
        <f>$B3*0.0076</f>
        <v>0</v>
      </c>
      <c r="H3" s="117"/>
      <c r="I3" s="117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48B2C8F1-679D-4DBE-BD9B-1E6196114DCD}"/>
  </hyperlinks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211-70FA-47E2-8C2E-2CA51F2ADC95}">
  <dimension ref="A2:U5"/>
  <sheetViews>
    <sheetView workbookViewId="0">
      <selection activeCell="A3" sqref="A3"/>
    </sheetView>
  </sheetViews>
  <sheetFormatPr defaultColWidth="8.85546875" defaultRowHeight="15" x14ac:dyDescent="0.25"/>
  <cols>
    <col min="1" max="1" width="13.85546875" bestFit="1" customWidth="1"/>
    <col min="2" max="2" width="6.140625" style="1" bestFit="1" customWidth="1"/>
    <col min="3" max="3" width="10.28515625" style="1" bestFit="1" customWidth="1"/>
    <col min="4" max="4" width="6.85546875" style="1" bestFit="1" customWidth="1"/>
    <col min="5" max="6" width="5.28515625" style="1" bestFit="1" customWidth="1"/>
    <col min="7" max="7" width="12.7109375" style="1" bestFit="1" customWidth="1"/>
    <col min="8" max="8" width="9.85546875" style="1" bestFit="1" customWidth="1"/>
    <col min="9" max="9" width="9.140625" style="1" bestFit="1" customWidth="1"/>
    <col min="10" max="10" width="5.28515625" style="1" bestFit="1" customWidth="1"/>
    <col min="11" max="11" width="7.85546875" style="1" bestFit="1" customWidth="1"/>
    <col min="12" max="12" width="7.28515625" style="1" bestFit="1" customWidth="1"/>
    <col min="13" max="13" width="5.42578125" style="1" bestFit="1" customWidth="1"/>
    <col min="14" max="14" width="5.28515625" style="1" bestFit="1" customWidth="1"/>
    <col min="15" max="15" width="6.140625" style="1" bestFit="1" customWidth="1"/>
    <col min="16" max="16" width="10.28515625" style="1" bestFit="1" customWidth="1"/>
    <col min="17" max="17" width="6.140625" style="1" customWidth="1"/>
    <col min="18" max="18" width="11.85546875" style="17" bestFit="1" customWidth="1"/>
  </cols>
  <sheetData>
    <row r="2" spans="1:21" x14ac:dyDescent="0.25">
      <c r="A2" s="3" t="s">
        <v>0</v>
      </c>
      <c r="B2" s="3" t="s">
        <v>2</v>
      </c>
      <c r="C2" s="3" t="s">
        <v>97</v>
      </c>
      <c r="D2" s="3" t="s">
        <v>128</v>
      </c>
      <c r="E2" s="3" t="s">
        <v>56</v>
      </c>
      <c r="F2" s="3" t="s">
        <v>120</v>
      </c>
      <c r="G2" s="3" t="s">
        <v>146</v>
      </c>
      <c r="H2" s="3" t="s">
        <v>52</v>
      </c>
      <c r="I2" s="3" t="s">
        <v>65</v>
      </c>
      <c r="J2" s="3" t="s">
        <v>136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153</v>
      </c>
      <c r="Q2" s="3" t="s">
        <v>152</v>
      </c>
      <c r="R2" s="3" t="s">
        <v>154</v>
      </c>
      <c r="T2" s="117" t="s">
        <v>227</v>
      </c>
      <c r="U2" s="117"/>
    </row>
    <row r="3" spans="1:21" x14ac:dyDescent="0.25">
      <c r="A3" s="5" t="s">
        <v>145</v>
      </c>
      <c r="B3" s="27">
        <v>0</v>
      </c>
      <c r="C3" s="9">
        <f>$B3*0.25</f>
        <v>0</v>
      </c>
      <c r="D3" s="9">
        <f>$B3*0.5</f>
        <v>0</v>
      </c>
      <c r="E3" s="9">
        <f>$B3*1</f>
        <v>0</v>
      </c>
      <c r="F3" s="9">
        <f>$B3*0.1</f>
        <v>0</v>
      </c>
      <c r="G3" s="9">
        <f>$B3*0.03</f>
        <v>0</v>
      </c>
      <c r="H3" s="9">
        <f>$B3*0.005</f>
        <v>0</v>
      </c>
      <c r="I3" s="9">
        <f>$B3*0.02</f>
        <v>0</v>
      </c>
      <c r="J3" s="9">
        <f>$B3*0.02</f>
        <v>0</v>
      </c>
      <c r="K3" s="9">
        <f>$B3*0.02</f>
        <v>0</v>
      </c>
      <c r="L3" s="9">
        <f>$B3*0.06</f>
        <v>0</v>
      </c>
      <c r="M3" s="9">
        <f>$B3*0.06</f>
        <v>0</v>
      </c>
      <c r="N3" s="9">
        <f>$B3*0.06</f>
        <v>0</v>
      </c>
      <c r="O3" s="9">
        <f>$B3*0.03</f>
        <v>0</v>
      </c>
      <c r="P3" s="9">
        <f>$B3*0.03</f>
        <v>0</v>
      </c>
      <c r="Q3" s="9">
        <f>$B3*0.1</f>
        <v>0</v>
      </c>
      <c r="R3" s="9">
        <f>$B3*0.08</f>
        <v>0</v>
      </c>
      <c r="T3" s="117"/>
      <c r="U3" s="117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21" x14ac:dyDescent="0.25">
      <c r="A5" s="13" t="s">
        <v>16</v>
      </c>
      <c r="B5" s="12">
        <f>SUM(B3:B3)</f>
        <v>0</v>
      </c>
      <c r="C5" s="12">
        <f t="shared" ref="C5:R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</row>
  </sheetData>
  <mergeCells count="1">
    <mergeCell ref="T2:U3"/>
  </mergeCells>
  <hyperlinks>
    <hyperlink ref="T2:U3" location="Home!A1" display="Home" xr:uid="{82451130-A1C8-47DD-9924-80B9287CE7C7}"/>
  </hyperlink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0342-F2F5-42BB-A859-F165089914AA}">
  <dimension ref="A1:V27"/>
  <sheetViews>
    <sheetView workbookViewId="0">
      <selection activeCell="D4" sqref="D4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7.140625" style="17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15.42578125" bestFit="1" customWidth="1"/>
    <col min="18" max="18" width="9.85546875" style="17" bestFit="1" customWidth="1"/>
    <col min="19" max="19" width="8" bestFit="1" customWidth="1"/>
  </cols>
  <sheetData>
    <row r="1" spans="1:22" ht="25.7" customHeight="1" thickBot="1" x14ac:dyDescent="0.3">
      <c r="A1" s="118" t="s">
        <v>215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</row>
    <row r="2" spans="1:22" ht="15.75" thickBot="1" x14ac:dyDescent="0.3">
      <c r="U2" s="117" t="s">
        <v>227</v>
      </c>
      <c r="V2" s="117"/>
    </row>
    <row r="3" spans="1:22" x14ac:dyDescent="0.25">
      <c r="A3" s="53" t="s">
        <v>155</v>
      </c>
      <c r="B3" s="54" t="s">
        <v>0</v>
      </c>
      <c r="C3" s="55" t="s">
        <v>196</v>
      </c>
      <c r="D3" s="56" t="s">
        <v>190</v>
      </c>
      <c r="F3" s="63" t="s">
        <v>155</v>
      </c>
      <c r="G3" s="54" t="s">
        <v>0</v>
      </c>
      <c r="H3" s="55" t="s">
        <v>196</v>
      </c>
      <c r="I3" s="56" t="s">
        <v>190</v>
      </c>
      <c r="K3" s="63" t="s">
        <v>155</v>
      </c>
      <c r="L3" s="54" t="s">
        <v>0</v>
      </c>
      <c r="M3" s="55" t="s">
        <v>196</v>
      </c>
      <c r="N3" s="56" t="s">
        <v>190</v>
      </c>
      <c r="P3" s="63" t="s">
        <v>155</v>
      </c>
      <c r="Q3" s="54" t="s">
        <v>0</v>
      </c>
      <c r="R3" s="55" t="s">
        <v>196</v>
      </c>
      <c r="S3" s="56" t="s">
        <v>190</v>
      </c>
      <c r="U3" s="117"/>
      <c r="V3" s="117"/>
    </row>
    <row r="4" spans="1:22" x14ac:dyDescent="0.25">
      <c r="A4" s="57">
        <v>1</v>
      </c>
      <c r="B4" s="8" t="s">
        <v>2</v>
      </c>
      <c r="C4" s="49">
        <f>Puffs_Sweetna!D10+Bread_Bun!D8+Fruit_ButterBread_Donut!D7+Plum_Cake!B5+Tea_Cake!B5+Pineapple_Cake!B5+Carrot_Dates_Cake!C5+Spunge_Cake!B5+Ghee_Cake!B5+Sandwitch_Pizza!D19+Tea_Rusk!B5+White_Rusk!B5+Beans_Biscuit!B5+Pineapple_Cookies!B5+Orange_Cookies!B5+Strawberry_Cookies!B5+Pista_Cookies!B5+Semia_Cookies!B5+Masala_Cookies!B5+'Cherry Cake'!C5</f>
        <v>64.236357617857152</v>
      </c>
      <c r="D4" s="74">
        <f>C4*'Cost of raw materials'!C7</f>
        <v>2312.5088742428575</v>
      </c>
      <c r="F4" s="57"/>
      <c r="G4" s="34" t="s">
        <v>47</v>
      </c>
      <c r="H4" s="15"/>
      <c r="I4" s="76"/>
      <c r="K4" s="57">
        <v>43</v>
      </c>
      <c r="L4" s="8" t="s">
        <v>179</v>
      </c>
      <c r="M4" s="49">
        <v>0</v>
      </c>
      <c r="N4" s="77">
        <f>M4*'Cost of raw materials'!K7</f>
        <v>0</v>
      </c>
      <c r="P4" s="57"/>
      <c r="Q4" s="34" t="s">
        <v>67</v>
      </c>
      <c r="R4" s="15"/>
      <c r="S4" s="80"/>
    </row>
    <row r="5" spans="1:22" x14ac:dyDescent="0.25">
      <c r="A5" s="57">
        <v>2</v>
      </c>
      <c r="B5" s="8" t="s">
        <v>4</v>
      </c>
      <c r="C5" s="49">
        <f>Puffs_Sweetna!G10+Bread_Bun!G8+Fruit_ButterBread_Donut!G7+Plum_Cake!C5+Plum_Cake!J14+Tea_Cake!C5+Pineapple_Cake!C5+Carrot_Dates_Cake!D5+Spunge_Cake!C5+Ghee_Cake!C5+Sandwitch_Pizza!H19+Tea_Rusk!C5+White_Rusk!C5+Coconut_Cookies!C5</f>
        <v>19.501397928392858</v>
      </c>
      <c r="D5" s="74">
        <f>C5*'Cost of raw materials'!C8</f>
        <v>760.5545192073215</v>
      </c>
      <c r="F5" s="57">
        <v>22</v>
      </c>
      <c r="G5" s="8" t="s">
        <v>162</v>
      </c>
      <c r="H5" s="49">
        <f>Puffs_Sweetna!E10</f>
        <v>6.881907142857143</v>
      </c>
      <c r="I5" s="77">
        <f>H5*'Cost of raw materials'!G8</f>
        <v>1094.2232357142857</v>
      </c>
      <c r="K5" s="57">
        <v>44</v>
      </c>
      <c r="L5" s="8" t="s">
        <v>180</v>
      </c>
      <c r="M5" s="49">
        <v>0</v>
      </c>
      <c r="N5" s="77">
        <f>M5*'Cost of raw materials'!K8</f>
        <v>0</v>
      </c>
      <c r="P5" s="57">
        <v>58</v>
      </c>
      <c r="Q5" s="8" t="s">
        <v>20</v>
      </c>
      <c r="R5" s="49">
        <f>Tea_Cake!M5+Plum_Cake!B9+Pineapple_Cake!O5+Spunge_Cake!K5+Cream!D5+Tea_Rusk!N5+Pineapple_Cookies!K5+Orange_Cookies!K5+Strawberry_Cookies!L5+Pista_Cookies!L5+Semia_Cookies!L5</f>
        <v>0.11004</v>
      </c>
      <c r="S5" s="79">
        <f>R5*'Cost of raw materials'!O8</f>
        <v>46.216799999999999</v>
      </c>
    </row>
    <row r="6" spans="1:22" x14ac:dyDescent="0.25">
      <c r="A6" s="57">
        <v>3</v>
      </c>
      <c r="B6" s="8" t="s">
        <v>3</v>
      </c>
      <c r="C6" s="49">
        <f>Bread_Bun!F8+Fruit_ButterBread_Donut!F7+Sandwitch_Pizza!G19</f>
        <v>0.673005007125</v>
      </c>
      <c r="D6" s="74">
        <f>C6*'Cost of raw materials'!C9</f>
        <v>6.057045064125</v>
      </c>
      <c r="F6" s="57">
        <v>23</v>
      </c>
      <c r="G6" s="8" t="s">
        <v>163</v>
      </c>
      <c r="H6" s="49">
        <f>Bread_Bun!E8+Fruit_ButterBread_Donut!E7+Tea_Rusk!D5+White_Rusk!D5</f>
        <v>2.7304500000000003</v>
      </c>
      <c r="I6" s="77">
        <f>H6*'Cost of raw materials'!G9</f>
        <v>404.10660000000001</v>
      </c>
      <c r="K6" s="57"/>
      <c r="L6" s="34" t="s">
        <v>57</v>
      </c>
      <c r="M6" s="49"/>
      <c r="N6" s="77"/>
      <c r="P6" s="57">
        <v>59</v>
      </c>
      <c r="Q6" s="8" t="s">
        <v>63</v>
      </c>
      <c r="R6" s="49">
        <f>Tea_Cake!N5+Plum_Cake!I9+Spunge_Cake!L5+Tea_Rusk!O5+Pineapple_Cookies!M5+Orange_Cookies!M5+Strawberry_Cookies!N5+Pista_Cookies!N5+Semia_Cookies!N5</f>
        <v>2.5019999999999997E-2</v>
      </c>
      <c r="S6" s="79">
        <f>R6*'Cost of raw materials'!O9</f>
        <v>12.009599999999999</v>
      </c>
    </row>
    <row r="7" spans="1:22" x14ac:dyDescent="0.25">
      <c r="A7" s="57">
        <v>4</v>
      </c>
      <c r="B7" s="8" t="s">
        <v>5</v>
      </c>
      <c r="C7" s="49">
        <f>Puffs_Sweetna!J10+Bread_Bun!I8+Tea_Cake!I5+Pineapple_Cake!I5+Spunge_Cake!E5+Sandwitch_Pizza!J19+Tea_Rusk!I5+White_Rusk!I5</f>
        <v>0.59733557617857147</v>
      </c>
      <c r="D7" s="74">
        <f>C7*'Cost of raw materials'!C10</f>
        <v>188.16070649625001</v>
      </c>
      <c r="F7" s="57">
        <v>24</v>
      </c>
      <c r="G7" s="8" t="s">
        <v>164</v>
      </c>
      <c r="H7" s="49">
        <f>Pineapple_Cookies!D5+Orange_Cookies!D5+Strawberry_Cookies!D5+Pista_Cookies!D5+Semia_Cookies!E5+Masala_Cookies!D5</f>
        <v>0</v>
      </c>
      <c r="I7" s="77">
        <f>H7*'Cost of raw materials'!G10</f>
        <v>0</v>
      </c>
      <c r="K7" s="57">
        <v>45</v>
      </c>
      <c r="L7" s="8" t="s">
        <v>181</v>
      </c>
      <c r="M7" s="49">
        <f>Carrot_Dates_Cake!I5</f>
        <v>2.6</v>
      </c>
      <c r="N7" s="77">
        <f>M7*'Cost of raw materials'!K10</f>
        <v>273</v>
      </c>
      <c r="P7" s="57">
        <v>60</v>
      </c>
      <c r="Q7" s="8" t="s">
        <v>61</v>
      </c>
      <c r="R7" s="49">
        <f>Plum_Cake!E9+Pineapple_Cake!P5+Spunge_Cake!M5+Tea_Rusk!P5+Pineapple_Cookies!L5+Orange_Cookies!L5+Strawberry_Cookies!M5+Pista_Cookies!M5+Semia_Cookies!M5+Muffins!E6</f>
        <v>0.2</v>
      </c>
      <c r="S7" s="79">
        <f>R7*'Cost of raw materials'!O10</f>
        <v>86.2</v>
      </c>
    </row>
    <row r="8" spans="1:22" x14ac:dyDescent="0.25">
      <c r="A8" s="57">
        <v>5</v>
      </c>
      <c r="B8" s="8" t="s">
        <v>157</v>
      </c>
      <c r="C8" s="49">
        <f>Puffs_Sweetna!I10+Bread_Bun!H8+Plum_Cake!K5+Tea_Cake!H5+Pineapple_Cake!H5+Spunge_Cake!F5+Sandwitch_Pizza!I19+Tea_Rusk!H5+White_Rusk!H5+Pineapple_Cookies!H5+Orange_Cookies!H5+Strawberry_Cookies!H5+Pista_Cookies!H5+Semia_Cookies!I5+Masala_Cookies!H5</f>
        <v>0.31868378808928577</v>
      </c>
      <c r="D8" s="74">
        <f>C8*'Cost of raw materials'!C11</f>
        <v>99.429341883857163</v>
      </c>
      <c r="F8" s="57">
        <v>25</v>
      </c>
      <c r="G8" s="8" t="s">
        <v>165</v>
      </c>
      <c r="H8" s="49">
        <f>Cream!B5</f>
        <v>6</v>
      </c>
      <c r="I8" s="77">
        <f>H8*'Cost of raw materials'!G11</f>
        <v>1020</v>
      </c>
      <c r="K8" s="57">
        <v>46</v>
      </c>
      <c r="L8" s="8" t="s">
        <v>74</v>
      </c>
      <c r="M8" s="49">
        <f>Plum_Cake!G14</f>
        <v>0</v>
      </c>
      <c r="N8" s="77">
        <f>M8*'Cost of raw materials'!K11</f>
        <v>0</v>
      </c>
      <c r="P8" s="57">
        <v>61</v>
      </c>
      <c r="Q8" s="8" t="s">
        <v>187</v>
      </c>
      <c r="R8" s="49">
        <f>Plum_Cake!C9</f>
        <v>0</v>
      </c>
      <c r="S8" s="79">
        <f>R8*'Cost of raw materials'!O11</f>
        <v>0</v>
      </c>
    </row>
    <row r="9" spans="1:22" x14ac:dyDescent="0.25">
      <c r="A9" s="57">
        <v>6</v>
      </c>
      <c r="B9" s="8" t="s">
        <v>56</v>
      </c>
      <c r="C9" s="50">
        <f>Puffs_Sweetna!H10+Plum_Cake!O5+Tea_Cake!J5+Pineapple_Cake!J5+Carrot_Dates_Cake!H5+Spunge_Cake!G5+Black_Forest!E5+White_Forest!E5+Red_Velvet!E5+Ghee_Cake!F5+Sandwitch_Pizza!M19+Tea_Rusk!L5+Beans_Biscuit!D5+Pineapple_Cookies!E5+Orange_Cookies!E5+Strawberry_Cookies!E5+Pista_Cookies!E5+Semia_Cookies!F5+Coconut_Cookies!E5+Masala_Cookies!E5+Muffins!C6+Chocolate_Muffin!C5+'Cherry Cake'!F5</f>
        <v>439.12535761785711</v>
      </c>
      <c r="D9" s="74">
        <f>C9*'Cost of raw materials'!C12</f>
        <v>2195.6267880892856</v>
      </c>
      <c r="F9" s="57">
        <v>26</v>
      </c>
      <c r="G9" s="8" t="s">
        <v>166</v>
      </c>
      <c r="H9" s="49">
        <f>Plum_Cake!D5+Tea_Cake!D3+Pineapple_Cake!D3+'Cherry Cake'!E5</f>
        <v>4.153319999999999</v>
      </c>
      <c r="I9" s="77">
        <f>H9*'Cost of raw materials'!G12</f>
        <v>697.75775999999985</v>
      </c>
      <c r="K9" s="57">
        <v>47</v>
      </c>
      <c r="L9" s="8" t="s">
        <v>75</v>
      </c>
      <c r="M9" s="49">
        <f>Plum_Cake!H14</f>
        <v>0</v>
      </c>
      <c r="N9" s="77">
        <f>M9*'Cost of raw materials'!K12</f>
        <v>0</v>
      </c>
      <c r="P9" s="57">
        <v>62</v>
      </c>
      <c r="Q9" s="8" t="s">
        <v>60</v>
      </c>
      <c r="R9" s="49">
        <f>Plum_Cake!D9</f>
        <v>0</v>
      </c>
      <c r="S9" s="79">
        <f>R9*'Cost of raw materials'!O12</f>
        <v>0</v>
      </c>
    </row>
    <row r="10" spans="1:22" x14ac:dyDescent="0.25">
      <c r="A10" s="57">
        <v>7</v>
      </c>
      <c r="B10" s="8" t="s">
        <v>18</v>
      </c>
      <c r="C10" s="49">
        <f>Puffs_Sweetna!O10+Bread_Bun!J8+Fruit_ButterBread_Donut!H7+Plum_Cake!E5+Tea_Cake!F5+Pineapple_Cake!F5+Carrot_Dates_Cake!F5+Ghee_Cake!D5+Tea_Rusk!F5+White_Rusk!F5+Pineapple_Cookies!F5+Orange_Cookies!F5+Strawberry_Cookies!F5+Pista_Cookies!F5+Semia_Cookies!G5+'Cherry Cake'!G5</f>
        <v>0.97708249999999985</v>
      </c>
      <c r="D10" s="74">
        <f>C10*'Cost of raw materials'!C13</f>
        <v>537.39537499999994</v>
      </c>
      <c r="F10" s="57">
        <v>27</v>
      </c>
      <c r="G10" s="8" t="s">
        <v>167</v>
      </c>
      <c r="H10" s="49">
        <f>Fruit_ButterBread_Donut!O7</f>
        <v>0</v>
      </c>
      <c r="I10" s="77">
        <f>H10*'Cost of raw materials'!G13</f>
        <v>0</v>
      </c>
      <c r="K10" s="57">
        <v>48</v>
      </c>
      <c r="L10" s="8" t="s">
        <v>63</v>
      </c>
      <c r="M10" s="49">
        <f>Plum_Cake!M14</f>
        <v>0</v>
      </c>
      <c r="N10" s="77">
        <f>M10*'Cost of raw materials'!K13</f>
        <v>0</v>
      </c>
      <c r="P10" s="57">
        <v>63</v>
      </c>
      <c r="Q10" s="8" t="s">
        <v>62</v>
      </c>
      <c r="R10" s="49">
        <f>Plum_Cake!H9+Plum_Cake!P14</f>
        <v>0</v>
      </c>
      <c r="S10" s="79">
        <f>R10*'Cost of raw materials'!O13</f>
        <v>0</v>
      </c>
    </row>
    <row r="11" spans="1:22" x14ac:dyDescent="0.25">
      <c r="A11" s="57">
        <v>8</v>
      </c>
      <c r="B11" s="8" t="s">
        <v>197</v>
      </c>
      <c r="C11" s="49">
        <f>Puffs_Sweetna!Q10+Fruit_ButterBread_Donut!L7+Plum_Cake!H5</f>
        <v>5.5537499999999997E-2</v>
      </c>
      <c r="D11" s="74">
        <f>C11*'Cost of raw materials'!C14</f>
        <v>4.7206874999999995</v>
      </c>
      <c r="F11" s="57">
        <v>28</v>
      </c>
      <c r="G11" s="8" t="s">
        <v>168</v>
      </c>
      <c r="H11" s="49">
        <v>0</v>
      </c>
      <c r="I11" s="77">
        <f>H11*'Cost of raw materials'!G14</f>
        <v>0</v>
      </c>
      <c r="K11" s="57">
        <v>49</v>
      </c>
      <c r="L11" s="8" t="s">
        <v>78</v>
      </c>
      <c r="M11" s="49">
        <f>Plum_Cake!N14</f>
        <v>0</v>
      </c>
      <c r="N11" s="77">
        <f>M11*'Cost of raw materials'!K14</f>
        <v>0</v>
      </c>
      <c r="P11" s="57">
        <v>64</v>
      </c>
      <c r="Q11" s="8" t="s">
        <v>64</v>
      </c>
      <c r="R11" s="49">
        <f>Plum_Cake!J9</f>
        <v>0</v>
      </c>
      <c r="S11" s="79">
        <f>R11*'Cost of raw materials'!O14</f>
        <v>0</v>
      </c>
    </row>
    <row r="12" spans="1:22" x14ac:dyDescent="0.25">
      <c r="A12" s="57">
        <v>9</v>
      </c>
      <c r="B12" s="8" t="s">
        <v>36</v>
      </c>
      <c r="C12" s="49">
        <f>Puffs_Sweetna!R10+Bread_Bun!M8+Fruit_ButterBread_Donut!J7+Plum_Cake!F5+Tea_Cake!G5+Pineapple_Cake!G5+Carrot_Dates_Cake!G5+Ghee_Cake!E5++White_Rusk!G5+Pineapple_Cookies!G5+Orange_Cookies!G5+Strawberry_Cookies!G5+Pista_Cookies!G5+Semia_Cookies!H5+'Cherry Cake'!H5</f>
        <v>0.98070749999999984</v>
      </c>
      <c r="D12" s="74">
        <f>C12*'Cost of raw materials'!C15</f>
        <v>251.06111999999996</v>
      </c>
      <c r="F12" s="57">
        <v>29</v>
      </c>
      <c r="G12" s="8" t="s">
        <v>50</v>
      </c>
      <c r="H12" s="49">
        <f>Plum_Cake!I5+White_Rusk!N5</f>
        <v>0</v>
      </c>
      <c r="I12" s="77">
        <f>H12*'Cost of raw materials'!G15</f>
        <v>0</v>
      </c>
      <c r="K12" s="57">
        <v>50</v>
      </c>
      <c r="L12" s="8" t="s">
        <v>201</v>
      </c>
      <c r="M12" s="49">
        <f>Plum_Cake!O14</f>
        <v>0</v>
      </c>
      <c r="N12" s="77">
        <f>M12*'Cost of raw materials'!K15</f>
        <v>0</v>
      </c>
      <c r="P12" s="57">
        <v>65</v>
      </c>
      <c r="Q12" s="8" t="s">
        <v>189</v>
      </c>
      <c r="R12" s="49">
        <v>0</v>
      </c>
      <c r="S12" s="79">
        <f>R12*'Cost of raw materials'!O15</f>
        <v>0</v>
      </c>
    </row>
    <row r="13" spans="1:22" x14ac:dyDescent="0.25">
      <c r="A13" s="57">
        <v>10</v>
      </c>
      <c r="B13" s="8" t="s">
        <v>37</v>
      </c>
      <c r="C13" s="49">
        <f>Puffs_Sweetna!S10+Semia_Cookies!K5+Carrot_Dates_Cake!O5</f>
        <v>0.329625</v>
      </c>
      <c r="D13" s="74">
        <f>C13*'Cost of raw materials'!C16</f>
        <v>164.8125</v>
      </c>
      <c r="F13" s="57">
        <v>30</v>
      </c>
      <c r="G13" s="8" t="s">
        <v>169</v>
      </c>
      <c r="H13" s="49">
        <f>Plum_Cake!J5</f>
        <v>0</v>
      </c>
      <c r="I13" s="77">
        <f>H13*'Cost of raw materials'!G16</f>
        <v>0</v>
      </c>
      <c r="K13" s="57">
        <v>51</v>
      </c>
      <c r="L13" s="8" t="s">
        <v>8</v>
      </c>
      <c r="M13" s="49">
        <f>Puffs_Sweetna!K10+Fruit_ButterBread_Donut!M7+Tea_Rusk!K5+White_Rusk!L5+Coconut_Cookies!D5+Plum_Cake!C14+'Cherry Cake'!J5</f>
        <v>0.23852499999999999</v>
      </c>
      <c r="N13" s="77">
        <f>M13*'Cost of raw materials'!K16</f>
        <v>13.357399999999998</v>
      </c>
      <c r="P13" s="57">
        <v>66</v>
      </c>
      <c r="Q13" s="8" t="s">
        <v>32</v>
      </c>
      <c r="R13" s="49">
        <f>Tea_Rusk!Q5</f>
        <v>0</v>
      </c>
      <c r="S13" s="79">
        <f>R13*'Cost of raw materials'!O16</f>
        <v>0</v>
      </c>
    </row>
    <row r="14" spans="1:22" x14ac:dyDescent="0.25">
      <c r="A14" s="57">
        <v>11</v>
      </c>
      <c r="B14" s="8" t="s">
        <v>143</v>
      </c>
      <c r="C14" s="49">
        <f>Puffs_Sweetna!T10+Coconut_Cookies!B5+Masala_Cookies!G5</f>
        <v>9.7500000000000003E-2</v>
      </c>
      <c r="D14" s="74">
        <f>C14*'Cost of raw materials'!C17</f>
        <v>20.475000000000001</v>
      </c>
      <c r="F14" s="57">
        <v>31</v>
      </c>
      <c r="G14" s="8" t="s">
        <v>170</v>
      </c>
      <c r="H14" s="49">
        <f>Tea_Rusk!J5+Plum_Cake!L14</f>
        <v>0</v>
      </c>
      <c r="I14" s="77">
        <f>H14*'Cost of raw materials'!G17</f>
        <v>0</v>
      </c>
      <c r="K14" s="57">
        <v>52</v>
      </c>
      <c r="L14" s="8" t="s">
        <v>17</v>
      </c>
      <c r="M14" s="49">
        <f>Puffs_Sweetna!N10+Plum_Cake!D14+Bread_Bun!K12+Tea_Cake!D12+Muffins!F6+'Cherry Cake'!I5</f>
        <v>0.95706249999999993</v>
      </c>
      <c r="N14" s="77">
        <f>M14*'Cost of raw materials'!K17</f>
        <v>210.55374999999998</v>
      </c>
      <c r="P14" s="57">
        <v>67</v>
      </c>
      <c r="Q14" s="8" t="s">
        <v>188</v>
      </c>
      <c r="R14" s="49">
        <v>0</v>
      </c>
      <c r="S14" s="79">
        <f>R14*'Cost of raw materials'!O17</f>
        <v>0</v>
      </c>
    </row>
    <row r="15" spans="1:22" x14ac:dyDescent="0.25">
      <c r="A15" s="57">
        <v>12</v>
      </c>
      <c r="B15" s="8" t="s">
        <v>32</v>
      </c>
      <c r="C15" s="49">
        <f>Bread_Bun!K8+Fruit_ButterBread_Donut!I7+Pineapple_Cake!E5+Tea_Rusk!Q5</f>
        <v>0.146125</v>
      </c>
      <c r="D15" s="74">
        <f>C15*'Cost of raw materials'!C18</f>
        <v>67.948125000000005</v>
      </c>
      <c r="F15" s="57">
        <v>32</v>
      </c>
      <c r="G15" s="8" t="s">
        <v>171</v>
      </c>
      <c r="H15" s="49">
        <f>Plum_Cake!L5+White_Rusk!K5</f>
        <v>0</v>
      </c>
      <c r="I15" s="77">
        <f>H15*'Cost of raw materials'!G18</f>
        <v>0</v>
      </c>
      <c r="K15" s="57">
        <v>53</v>
      </c>
      <c r="L15" s="8" t="s">
        <v>44</v>
      </c>
      <c r="M15" s="49">
        <f>Plum_Cake!B14</f>
        <v>0</v>
      </c>
      <c r="N15" s="77">
        <f>M15*'Cost of raw materials'!K18</f>
        <v>0</v>
      </c>
      <c r="P15" s="57">
        <v>68</v>
      </c>
      <c r="Q15" s="8" t="s">
        <v>33</v>
      </c>
      <c r="R15" s="49">
        <f>Bread_Bun!C12+Black_Forest!F5+White_Forest!F5+Red_Velvet!F5</f>
        <v>1.585</v>
      </c>
      <c r="S15" s="79">
        <f>R15*'Cost of raw materials'!O18</f>
        <v>3.17</v>
      </c>
    </row>
    <row r="16" spans="1:22" x14ac:dyDescent="0.25">
      <c r="A16" s="57">
        <v>13</v>
      </c>
      <c r="B16" s="8" t="s">
        <v>158</v>
      </c>
      <c r="C16" s="49">
        <f>Bread_Bun!L8</f>
        <v>0.1169</v>
      </c>
      <c r="D16" s="74">
        <f>C16*'Cost of raw materials'!C19</f>
        <v>22.211000000000002</v>
      </c>
      <c r="F16" s="57">
        <v>33</v>
      </c>
      <c r="G16" s="8" t="s">
        <v>172</v>
      </c>
      <c r="H16" s="49">
        <f>Carrot_Dates_Cake!N5</f>
        <v>0.125</v>
      </c>
      <c r="I16" s="77">
        <f>H16*'Cost of raw materials'!G19</f>
        <v>6.25</v>
      </c>
      <c r="K16" s="57">
        <v>54</v>
      </c>
      <c r="L16" s="8" t="s">
        <v>186</v>
      </c>
      <c r="M16" s="49">
        <f>Pineapple_Cake!M5</f>
        <v>0</v>
      </c>
      <c r="N16" s="77">
        <f>M16*'Cost of raw materials'!K19</f>
        <v>0</v>
      </c>
      <c r="P16" s="57">
        <v>69</v>
      </c>
      <c r="Q16" s="8" t="s">
        <v>140</v>
      </c>
      <c r="R16" s="49">
        <v>0</v>
      </c>
      <c r="S16" s="79">
        <f>R16*'Cost of raw materials'!O19</f>
        <v>0</v>
      </c>
    </row>
    <row r="17" spans="1:19" x14ac:dyDescent="0.25">
      <c r="A17" s="57">
        <v>14</v>
      </c>
      <c r="B17" s="8" t="s">
        <v>159</v>
      </c>
      <c r="C17" s="49">
        <f>Tea_Cake!L5+Pineapple_Cake!L5+Spunge_Cake!J5+Tea_Rusk!M5</f>
        <v>4.0031999999999998E-2</v>
      </c>
      <c r="D17" s="74">
        <f>C17*'Cost of raw materials'!C20</f>
        <v>3.40272</v>
      </c>
      <c r="F17" s="57">
        <v>34</v>
      </c>
      <c r="G17" s="8" t="s">
        <v>94</v>
      </c>
      <c r="H17" s="49">
        <f>Spunge_Cake!H3+Black_Forest!D5+Red_Velvet!D5+Ghee_Cake!G5</f>
        <v>0.1</v>
      </c>
      <c r="I17" s="77">
        <f>H17*'Cost of raw materials'!G20</f>
        <v>22</v>
      </c>
      <c r="K17" s="57"/>
      <c r="L17" s="8"/>
      <c r="M17" s="49"/>
      <c r="N17" s="77">
        <f>M17*'Cost of raw materials'!K20</f>
        <v>0</v>
      </c>
      <c r="P17" s="57">
        <v>70</v>
      </c>
      <c r="Q17" s="8" t="s">
        <v>257</v>
      </c>
      <c r="R17" s="15">
        <f>Muffins!B6</f>
        <v>2</v>
      </c>
      <c r="S17" s="80">
        <f>R17*'Cost of raw materials'!O20</f>
        <v>400</v>
      </c>
    </row>
    <row r="18" spans="1:19" x14ac:dyDescent="0.25">
      <c r="A18" s="57">
        <v>15</v>
      </c>
      <c r="B18" s="8" t="s">
        <v>31</v>
      </c>
      <c r="C18" s="49">
        <f>Bread_Bun!N8+Fruit_ButterBread_Donut!K7+Sandwitch_Pizza!K19+White_Rusk!E5</f>
        <v>0.90235000950000011</v>
      </c>
      <c r="D18" s="74">
        <f>C18*'Cost of raw materials'!C21</f>
        <v>130.84075137750003</v>
      </c>
      <c r="F18" s="57">
        <v>35</v>
      </c>
      <c r="G18" s="8" t="s">
        <v>173</v>
      </c>
      <c r="H18" s="49">
        <f>Plum_Cake!M5+Plum_Cake!I14+'Cherry Cake'!K5</f>
        <v>0</v>
      </c>
      <c r="I18" s="77">
        <f>H18*'Cost of raw materials'!G21</f>
        <v>0</v>
      </c>
      <c r="K18" s="57">
        <v>55</v>
      </c>
      <c r="L18" s="8" t="s">
        <v>183</v>
      </c>
      <c r="M18" s="49">
        <f>Black_Forest!B5</f>
        <v>4</v>
      </c>
      <c r="N18" s="77">
        <f>M18*'Cost of raw materials'!K21</f>
        <v>480</v>
      </c>
      <c r="P18" s="57">
        <v>71</v>
      </c>
      <c r="Q18" s="8" t="s">
        <v>259</v>
      </c>
      <c r="R18" s="15">
        <f>Chocolate_Muffin!B5</f>
        <v>0</v>
      </c>
      <c r="S18" s="80">
        <f>R18*'Cost of raw materials'!O21</f>
        <v>0</v>
      </c>
    </row>
    <row r="19" spans="1:19" x14ac:dyDescent="0.25">
      <c r="A19" s="57">
        <v>16</v>
      </c>
      <c r="B19" s="8" t="s">
        <v>160</v>
      </c>
      <c r="C19" s="49">
        <f>Bread_Bun!O8+Carrot_Dates_Cake!E5+Spunge_Cake!D5+Sandwitch_Pizza!L19+Black_Forest!C5+White_Forest!C5+Red_Velvet!C5+Muffins!D6+Chocolate_Muffin!D5</f>
        <v>3.1886500047500004</v>
      </c>
      <c r="D19" s="74">
        <f>C19*'Cost of raw materials'!C22</f>
        <v>494.24075073625005</v>
      </c>
      <c r="F19" s="57">
        <v>36</v>
      </c>
      <c r="G19" s="8" t="s">
        <v>174</v>
      </c>
      <c r="H19" s="49">
        <f>Carrot_Dates_Cake!M5</f>
        <v>0.32500000000000001</v>
      </c>
      <c r="I19" s="77">
        <f>H19*'Cost of raw materials'!G22</f>
        <v>24.375</v>
      </c>
      <c r="K19" s="57">
        <v>56</v>
      </c>
      <c r="L19" s="8" t="s">
        <v>184</v>
      </c>
      <c r="M19" s="49">
        <f>White_Forest!B5</f>
        <v>0</v>
      </c>
      <c r="N19" s="77">
        <f>M19*'Cost of raw materials'!K22</f>
        <v>0</v>
      </c>
      <c r="P19" s="57"/>
      <c r="Q19" s="8"/>
      <c r="R19" s="15"/>
      <c r="S19" s="80"/>
    </row>
    <row r="20" spans="1:19" x14ac:dyDescent="0.25">
      <c r="A20" s="57">
        <v>17</v>
      </c>
      <c r="B20" s="8" t="s">
        <v>161</v>
      </c>
      <c r="C20" s="49">
        <v>0</v>
      </c>
      <c r="D20" s="74">
        <f>C20*'Cost of raw materials'!C23</f>
        <v>0</v>
      </c>
      <c r="F20" s="57">
        <v>37</v>
      </c>
      <c r="G20" s="8" t="s">
        <v>175</v>
      </c>
      <c r="H20" s="49">
        <f>Plum_Cake!N5</f>
        <v>0</v>
      </c>
      <c r="I20" s="77">
        <f>H20*'Cost of raw materials'!G23</f>
        <v>0</v>
      </c>
      <c r="K20" s="57">
        <v>57</v>
      </c>
      <c r="L20" s="8" t="s">
        <v>185</v>
      </c>
      <c r="M20" s="49">
        <f>Red_Velvet!B5</f>
        <v>1</v>
      </c>
      <c r="N20" s="77">
        <f>M20*'Cost of raw materials'!K23</f>
        <v>210</v>
      </c>
      <c r="P20" s="57"/>
      <c r="Q20" s="8"/>
      <c r="R20" s="15"/>
      <c r="S20" s="80"/>
    </row>
    <row r="21" spans="1:19" x14ac:dyDescent="0.25">
      <c r="A21" s="57">
        <v>18</v>
      </c>
      <c r="B21" s="8" t="s">
        <v>97</v>
      </c>
      <c r="C21" s="49">
        <f>Puffs_Sweetna!L10+Cream!C5+Pista_Cookies!C5+Semia_Cookies!D5+Masala_Cookies!C5+'Cherry Cake'!D5</f>
        <v>9.0537500000000009</v>
      </c>
      <c r="D21" s="74">
        <f>C21*'Cost of raw materials'!C24</f>
        <v>633.76250000000005</v>
      </c>
      <c r="F21" s="57">
        <v>38</v>
      </c>
      <c r="G21" s="8" t="s">
        <v>90</v>
      </c>
      <c r="H21" s="49">
        <f>Plum_Cake!Q5+Carrot_Dates_Cake!L5+'Cherry Cake'!L5</f>
        <v>6.25E-2</v>
      </c>
      <c r="I21" s="77">
        <f>H21*'Cost of raw materials'!G24</f>
        <v>6.875</v>
      </c>
      <c r="K21" s="57"/>
      <c r="L21" s="8"/>
      <c r="M21" s="15"/>
      <c r="N21" s="76"/>
      <c r="P21" s="57"/>
      <c r="Q21" s="8"/>
      <c r="R21" s="15"/>
      <c r="S21" s="80"/>
    </row>
    <row r="22" spans="1:19" x14ac:dyDescent="0.25">
      <c r="A22" s="57">
        <v>19</v>
      </c>
      <c r="B22" s="8" t="s">
        <v>15</v>
      </c>
      <c r="C22" s="49">
        <f>Puffs_Sweetna!M10+Fruit_ButterBread_Donut!N7+Carrot_Dates_Cake!J5+Tea_Rusk!G5+White_Rusk!O5+Coconut_Cookies!F5+'Cherry Cake'!M5</f>
        <v>8.1928214285714285E-2</v>
      </c>
      <c r="D22" s="74">
        <f>C22*'Cost of raw materials'!C25</f>
        <v>108.14524285714286</v>
      </c>
      <c r="F22" s="57">
        <v>39</v>
      </c>
      <c r="G22" s="8" t="s">
        <v>176</v>
      </c>
      <c r="H22" s="49">
        <f>Plum_Cake!G5</f>
        <v>0</v>
      </c>
      <c r="I22" s="77">
        <f>H22*'Cost of raw materials'!G25</f>
        <v>0</v>
      </c>
      <c r="K22" s="57"/>
      <c r="L22" s="8"/>
      <c r="M22" s="15"/>
      <c r="N22" s="76"/>
      <c r="P22" s="57"/>
      <c r="Q22" s="8"/>
      <c r="R22" s="15"/>
      <c r="S22" s="80"/>
    </row>
    <row r="23" spans="1:19" x14ac:dyDescent="0.25">
      <c r="A23" s="57">
        <v>20</v>
      </c>
      <c r="B23" s="8" t="s">
        <v>105</v>
      </c>
      <c r="C23" s="49">
        <f>Sandwitch_Pizza!E19</f>
        <v>0.50050021612499995</v>
      </c>
      <c r="D23" s="74">
        <f>C23*'Cost of raw materials'!C26</f>
        <v>30.030012967499996</v>
      </c>
      <c r="F23" s="57">
        <v>40</v>
      </c>
      <c r="G23" s="8" t="s">
        <v>66</v>
      </c>
      <c r="H23" s="49">
        <f>Pineapple_Cake!K5+Tea_Cake!K5+Pineapple_Cake!K5</f>
        <v>2.0015999999999999E-2</v>
      </c>
      <c r="I23" s="77">
        <f>H23*'Cost of raw materials'!G26</f>
        <v>5.0039999999999996</v>
      </c>
      <c r="K23" s="57"/>
      <c r="L23" s="8"/>
      <c r="M23" s="15"/>
      <c r="N23" s="76"/>
      <c r="P23" s="57"/>
      <c r="Q23" s="8"/>
      <c r="R23" s="15"/>
      <c r="S23" s="80"/>
    </row>
    <row r="24" spans="1:19" x14ac:dyDescent="0.25">
      <c r="A24" s="57">
        <v>21</v>
      </c>
      <c r="B24" s="8" t="s">
        <v>21</v>
      </c>
      <c r="C24" s="49">
        <f>Bread_Bun!B12+Puffs_Sweetna!P10</f>
        <v>1.5355000000000001</v>
      </c>
      <c r="D24" s="74">
        <f>C24*'Cost of raw materials'!C27</f>
        <v>69.097500000000011</v>
      </c>
      <c r="F24" s="57">
        <v>41</v>
      </c>
      <c r="G24" s="8" t="s">
        <v>177</v>
      </c>
      <c r="H24" s="49">
        <v>0</v>
      </c>
      <c r="I24" s="77">
        <f>H24*'Cost of raw materials'!G27</f>
        <v>0</v>
      </c>
      <c r="K24" s="57"/>
      <c r="L24" s="8"/>
      <c r="M24" s="15"/>
      <c r="N24" s="76"/>
      <c r="P24" s="57"/>
      <c r="Q24" s="8"/>
      <c r="R24" s="15"/>
      <c r="S24" s="80"/>
    </row>
    <row r="25" spans="1:19" ht="15.75" thickBot="1" x14ac:dyDescent="0.3">
      <c r="A25" s="59"/>
      <c r="B25" s="60"/>
      <c r="C25" s="61"/>
      <c r="D25" s="75"/>
      <c r="F25" s="65">
        <v>42</v>
      </c>
      <c r="G25" s="66" t="s">
        <v>178</v>
      </c>
      <c r="H25" s="67">
        <v>0</v>
      </c>
      <c r="I25" s="78">
        <f>H25*'Cost of raw materials'!G28</f>
        <v>0</v>
      </c>
      <c r="K25" s="65"/>
      <c r="L25" s="66"/>
      <c r="M25" s="70"/>
      <c r="N25" s="81"/>
      <c r="P25" s="65"/>
      <c r="Q25" s="66"/>
      <c r="R25" s="70"/>
      <c r="S25" s="82"/>
    </row>
    <row r="26" spans="1:19" x14ac:dyDescent="0.25">
      <c r="D26" s="99">
        <f>SUM(D4:D24)</f>
        <v>8100.4805604220901</v>
      </c>
      <c r="I26" s="100">
        <f>SUM(I5:I25)</f>
        <v>3280.5915957142856</v>
      </c>
      <c r="N26" s="100">
        <f>SUM(N4:N25)</f>
        <v>1186.9111499999999</v>
      </c>
      <c r="S26" s="101">
        <f>SUM(S5:S25)</f>
        <v>547.59640000000002</v>
      </c>
    </row>
    <row r="27" spans="1:19" x14ac:dyDescent="0.25">
      <c r="B27" s="102" t="s">
        <v>237</v>
      </c>
      <c r="C27" s="103">
        <f>D26+I26+N26+S26</f>
        <v>13115.579706136376</v>
      </c>
    </row>
  </sheetData>
  <mergeCells count="2">
    <mergeCell ref="A1:S1"/>
    <mergeCell ref="U2:V3"/>
  </mergeCells>
  <hyperlinks>
    <hyperlink ref="U2:V3" location="Home!A1" display="Home" xr:uid="{FD519142-C617-4D51-895A-C1C37ADF3191}"/>
  </hyperlink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2BD7-80D7-4BA2-AD66-AE329E5D5465}">
  <dimension ref="A1:I12"/>
  <sheetViews>
    <sheetView workbookViewId="0">
      <selection activeCell="A3" sqref="A3:A4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  <col min="5" max="5" width="12.85546875" bestFit="1" customWidth="1"/>
    <col min="6" max="6" width="11" bestFit="1" customWidth="1"/>
  </cols>
  <sheetData>
    <row r="1" spans="1:9" x14ac:dyDescent="0.25">
      <c r="B1" s="1"/>
      <c r="C1" s="1"/>
      <c r="D1" s="1"/>
      <c r="E1" s="1"/>
      <c r="F1" s="1"/>
    </row>
    <row r="2" spans="1:9" x14ac:dyDescent="0.25">
      <c r="A2" s="3" t="s">
        <v>0</v>
      </c>
      <c r="B2" s="3" t="s">
        <v>253</v>
      </c>
      <c r="C2" s="3" t="s">
        <v>56</v>
      </c>
      <c r="D2" s="3" t="s">
        <v>160</v>
      </c>
      <c r="E2" s="3" t="s">
        <v>61</v>
      </c>
      <c r="F2" s="3" t="s">
        <v>17</v>
      </c>
      <c r="H2" s="117" t="s">
        <v>227</v>
      </c>
      <c r="I2" s="117"/>
    </row>
    <row r="3" spans="1:9" x14ac:dyDescent="0.25">
      <c r="A3" s="5" t="s">
        <v>254</v>
      </c>
      <c r="B3" s="27">
        <v>1</v>
      </c>
      <c r="C3" s="9">
        <f>$B3*9</f>
        <v>9</v>
      </c>
      <c r="D3" s="9">
        <f>$B3*0.25</f>
        <v>0.25</v>
      </c>
      <c r="E3" s="9">
        <f>$B3*0.2</f>
        <v>0.2</v>
      </c>
      <c r="F3" s="9"/>
      <c r="H3" s="117"/>
      <c r="I3" s="117"/>
    </row>
    <row r="4" spans="1:9" x14ac:dyDescent="0.25">
      <c r="A4" s="5" t="s">
        <v>255</v>
      </c>
      <c r="B4" s="27">
        <v>1</v>
      </c>
      <c r="C4" s="9">
        <f>B4*9</f>
        <v>9</v>
      </c>
      <c r="D4" s="9">
        <f>B4*0.25</f>
        <v>0.25</v>
      </c>
      <c r="E4" s="9"/>
      <c r="F4" s="9">
        <f>B4*0.2</f>
        <v>0.2</v>
      </c>
      <c r="H4" s="105"/>
      <c r="I4" s="105"/>
    </row>
    <row r="5" spans="1:9" x14ac:dyDescent="0.25">
      <c r="B5" s="10"/>
      <c r="C5" s="10"/>
      <c r="D5" s="10"/>
      <c r="E5" s="10"/>
      <c r="F5" s="10"/>
    </row>
    <row r="6" spans="1:9" x14ac:dyDescent="0.25">
      <c r="A6" s="13" t="s">
        <v>16</v>
      </c>
      <c r="B6" s="12">
        <f>SUM(B3:B4)</f>
        <v>2</v>
      </c>
      <c r="C6" s="12">
        <f t="shared" ref="C6:F6" si="0">SUM(C3:C4)</f>
        <v>18</v>
      </c>
      <c r="D6" s="12">
        <f t="shared" si="0"/>
        <v>0.5</v>
      </c>
      <c r="E6" s="12">
        <f t="shared" si="0"/>
        <v>0.2</v>
      </c>
      <c r="F6" s="12">
        <f t="shared" si="0"/>
        <v>0.2</v>
      </c>
    </row>
    <row r="7" spans="1:9" x14ac:dyDescent="0.25">
      <c r="B7" s="1"/>
      <c r="C7" s="1"/>
      <c r="D7" s="1"/>
      <c r="E7" s="1"/>
      <c r="F7" s="1"/>
    </row>
    <row r="8" spans="1:9" x14ac:dyDescent="0.25">
      <c r="B8" s="1"/>
      <c r="C8" s="1"/>
      <c r="D8" s="1"/>
      <c r="E8" s="1"/>
      <c r="F8" s="1"/>
    </row>
    <row r="9" spans="1:9" x14ac:dyDescent="0.25">
      <c r="B9" s="1"/>
      <c r="C9" s="1"/>
      <c r="D9" s="1"/>
      <c r="E9" s="1"/>
      <c r="F9" s="1"/>
    </row>
    <row r="10" spans="1:9" x14ac:dyDescent="0.25">
      <c r="B10" s="1"/>
      <c r="C10" s="1"/>
      <c r="D10" s="1"/>
      <c r="E10" s="1"/>
      <c r="F10" s="1"/>
    </row>
    <row r="11" spans="1:9" x14ac:dyDescent="0.25">
      <c r="B11" s="1"/>
      <c r="C11" s="1"/>
      <c r="D11" s="1"/>
      <c r="E11" s="1"/>
      <c r="F11" s="1"/>
    </row>
    <row r="12" spans="1:9" x14ac:dyDescent="0.25">
      <c r="B12" s="1"/>
      <c r="C12" s="1"/>
      <c r="D12" s="1"/>
      <c r="E12" s="1"/>
      <c r="F12" s="1"/>
    </row>
  </sheetData>
  <mergeCells count="1">
    <mergeCell ref="H2:I3"/>
  </mergeCells>
  <hyperlinks>
    <hyperlink ref="H2:I3" location="Home!A1" display="Home" xr:uid="{29FE4D4A-3244-4B5F-9CB0-57A9DF79BCF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945B-8818-47CF-BBB8-9796D297A274}">
  <dimension ref="A1:G11"/>
  <sheetViews>
    <sheetView workbookViewId="0">
      <selection activeCell="A3" sqref="A3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</cols>
  <sheetData>
    <row r="1" spans="1:7" x14ac:dyDescent="0.25">
      <c r="B1" s="1"/>
      <c r="C1" s="1"/>
      <c r="D1" s="1"/>
    </row>
    <row r="2" spans="1:7" x14ac:dyDescent="0.25">
      <c r="A2" s="3" t="s">
        <v>0</v>
      </c>
      <c r="B2" s="3" t="s">
        <v>253</v>
      </c>
      <c r="C2" s="3" t="s">
        <v>56</v>
      </c>
      <c r="D2" s="3" t="s">
        <v>160</v>
      </c>
      <c r="F2" s="117" t="s">
        <v>227</v>
      </c>
      <c r="G2" s="117"/>
    </row>
    <row r="3" spans="1:7" x14ac:dyDescent="0.25">
      <c r="A3" s="5" t="s">
        <v>258</v>
      </c>
      <c r="B3" s="27">
        <v>0</v>
      </c>
      <c r="C3" s="9">
        <f>$B3*6</f>
        <v>0</v>
      </c>
      <c r="D3" s="9">
        <f>$B3*0.35</f>
        <v>0</v>
      </c>
      <c r="F3" s="117"/>
      <c r="G3" s="117"/>
    </row>
    <row r="4" spans="1:7" x14ac:dyDescent="0.25">
      <c r="B4" s="10"/>
      <c r="C4" s="10"/>
      <c r="D4" s="10"/>
    </row>
    <row r="5" spans="1:7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</row>
    <row r="6" spans="1:7" x14ac:dyDescent="0.25">
      <c r="B6" s="1"/>
      <c r="C6" s="1"/>
      <c r="D6" s="1"/>
    </row>
    <row r="7" spans="1:7" x14ac:dyDescent="0.25">
      <c r="B7" s="1"/>
      <c r="C7" s="1"/>
      <c r="D7" s="1"/>
    </row>
    <row r="8" spans="1:7" x14ac:dyDescent="0.25">
      <c r="B8" s="1"/>
      <c r="C8" s="1"/>
      <c r="D8" s="1"/>
    </row>
    <row r="9" spans="1:7" x14ac:dyDescent="0.25">
      <c r="B9" s="1"/>
      <c r="C9" s="1"/>
      <c r="D9" s="1"/>
    </row>
    <row r="10" spans="1:7" x14ac:dyDescent="0.25">
      <c r="B10" s="1"/>
      <c r="C10" s="1"/>
      <c r="D10" s="1"/>
    </row>
    <row r="11" spans="1:7" x14ac:dyDescent="0.25">
      <c r="B11" s="1"/>
      <c r="C11" s="1"/>
      <c r="D11" s="1"/>
    </row>
  </sheetData>
  <mergeCells count="1">
    <mergeCell ref="F2:G3"/>
  </mergeCells>
  <hyperlinks>
    <hyperlink ref="F2:G3" location="Home!A1" display="Home" xr:uid="{14D9766C-AFAD-4797-ACD8-509F61FBADD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80C8-06D9-4242-BA92-A0B7B44A41DF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4.42578125" bestFit="1" customWidth="1"/>
    <col min="2" max="2" width="12" bestFit="1" customWidth="1"/>
    <col min="3" max="3" width="6.42578125" style="1" bestFit="1" customWidth="1"/>
    <col min="4" max="4" width="10.140625" style="1" customWidth="1"/>
    <col min="5" max="5" width="6.42578125" style="1" bestFit="1" customWidth="1"/>
    <col min="6" max="6" width="10" style="1" bestFit="1" customWidth="1"/>
    <col min="7" max="7" width="5.42578125" style="1" bestFit="1" customWidth="1"/>
    <col min="8" max="8" width="8.7109375" style="1" bestFit="1" customWidth="1"/>
    <col min="9" max="9" width="9.85546875" style="1" bestFit="1" customWidth="1"/>
    <col min="10" max="10" width="9.140625" style="1" bestFit="1" customWidth="1"/>
    <col min="11" max="11" width="9.42578125" style="1" customWidth="1"/>
    <col min="12" max="12" width="9.42578125" style="17" customWidth="1"/>
    <col min="13" max="13" width="11.140625" style="17" bestFit="1" customWidth="1"/>
    <col min="14" max="14" width="6" bestFit="1" customWidth="1"/>
    <col min="15" max="15" width="6.85546875" bestFit="1" customWidth="1"/>
  </cols>
  <sheetData>
    <row r="1" spans="1:18" x14ac:dyDescent="0.25">
      <c r="L1" s="22"/>
      <c r="N1" s="121"/>
      <c r="O1" s="121"/>
    </row>
    <row r="2" spans="1:18" x14ac:dyDescent="0.25">
      <c r="A2" s="3" t="s">
        <v>0</v>
      </c>
      <c r="B2" s="3" t="s">
        <v>261</v>
      </c>
      <c r="C2" s="3" t="s">
        <v>2</v>
      </c>
      <c r="D2" s="3" t="s">
        <v>97</v>
      </c>
      <c r="E2" s="3" t="s">
        <v>199</v>
      </c>
      <c r="F2" s="3" t="s">
        <v>56</v>
      </c>
      <c r="G2" s="3" t="s">
        <v>18</v>
      </c>
      <c r="H2" s="3" t="s">
        <v>36</v>
      </c>
      <c r="I2" s="3" t="s">
        <v>17</v>
      </c>
      <c r="J2" s="3" t="s">
        <v>8</v>
      </c>
      <c r="K2" s="3" t="s">
        <v>262</v>
      </c>
      <c r="L2" s="3" t="s">
        <v>90</v>
      </c>
      <c r="M2" s="3" t="s">
        <v>263</v>
      </c>
      <c r="N2" s="3"/>
      <c r="O2" s="3"/>
      <c r="P2" s="17"/>
      <c r="Q2" s="117" t="s">
        <v>227</v>
      </c>
      <c r="R2" s="117"/>
    </row>
    <row r="3" spans="1:18" x14ac:dyDescent="0.25">
      <c r="A3" s="5" t="s">
        <v>260</v>
      </c>
      <c r="B3" s="46">
        <v>0</v>
      </c>
      <c r="C3" s="9">
        <f>B3*0.15</f>
        <v>0</v>
      </c>
      <c r="D3" s="9">
        <f>B3*0.5</f>
        <v>0</v>
      </c>
      <c r="E3" s="9">
        <f>B3*0.5</f>
        <v>0</v>
      </c>
      <c r="F3" s="9">
        <f>B3*10</f>
        <v>0</v>
      </c>
      <c r="G3" s="9">
        <f>B3*0.025</f>
        <v>0</v>
      </c>
      <c r="H3" s="9">
        <f>B3*0.025</f>
        <v>0</v>
      </c>
      <c r="I3" s="9">
        <f>B3*0.085</f>
        <v>0</v>
      </c>
      <c r="J3" s="9">
        <f>B3*0.085</f>
        <v>0</v>
      </c>
      <c r="K3" s="9">
        <f>B3*0.1</f>
        <v>0</v>
      </c>
      <c r="L3" s="9">
        <f>B3*0.017</f>
        <v>0</v>
      </c>
      <c r="M3" s="107">
        <f>B3*0.0025</f>
        <v>0</v>
      </c>
      <c r="N3" s="9"/>
      <c r="O3" s="9"/>
      <c r="P3" s="17"/>
      <c r="Q3" s="117"/>
      <c r="R3" s="117"/>
    </row>
    <row r="4" spans="1:18" x14ac:dyDescent="0.25">
      <c r="C4" s="10"/>
      <c r="D4" s="10"/>
      <c r="E4" s="10"/>
      <c r="F4" s="10"/>
      <c r="G4" s="10"/>
      <c r="H4" s="10"/>
      <c r="I4" s="10"/>
      <c r="J4" s="10"/>
      <c r="K4" s="10"/>
    </row>
    <row r="5" spans="1:18" x14ac:dyDescent="0.25">
      <c r="A5" s="13" t="s">
        <v>16</v>
      </c>
      <c r="B5" s="13"/>
      <c r="C5" s="12">
        <f>SUM(C3:C3)</f>
        <v>0</v>
      </c>
      <c r="D5" s="12">
        <f t="shared" ref="D5:M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08">
        <f t="shared" si="0"/>
        <v>0</v>
      </c>
      <c r="N5" s="12"/>
      <c r="O5" s="12"/>
    </row>
  </sheetData>
  <mergeCells count="2">
    <mergeCell ref="N1:O1"/>
    <mergeCell ref="Q2:R3"/>
  </mergeCells>
  <hyperlinks>
    <hyperlink ref="Q2:R3" location="Home!A1" display="Home" xr:uid="{0115F503-C735-4449-BB84-CE1C60A50855}"/>
  </hyperlinks>
  <pageMargins left="0.7" right="0.7" top="0.75" bottom="0.75" header="0.3" footer="0.3"/>
  <pageSetup paperSize="9"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19E1-D83D-4723-B2CE-D289DE12D306}">
  <dimension ref="A1:H72"/>
  <sheetViews>
    <sheetView workbookViewId="0">
      <selection activeCell="H76" sqref="H76"/>
    </sheetView>
  </sheetViews>
  <sheetFormatPr defaultRowHeight="15" x14ac:dyDescent="0.25"/>
  <cols>
    <col min="2" max="2" width="20" bestFit="1" customWidth="1"/>
    <col min="4" max="4" width="20" style="126" bestFit="1" customWidth="1"/>
    <col min="8" max="8" width="106.140625" bestFit="1" customWidth="1"/>
  </cols>
  <sheetData>
    <row r="1" spans="1:8" x14ac:dyDescent="0.25">
      <c r="A1" s="53" t="s">
        <v>155</v>
      </c>
      <c r="B1" s="54" t="s">
        <v>0</v>
      </c>
      <c r="C1" s="55" t="s">
        <v>203</v>
      </c>
      <c r="D1" s="125"/>
      <c r="E1" t="s">
        <v>307</v>
      </c>
    </row>
    <row r="2" spans="1:8" x14ac:dyDescent="0.25">
      <c r="A2" s="57">
        <v>1</v>
      </c>
      <c r="B2" s="8" t="s">
        <v>2</v>
      </c>
      <c r="C2" s="96">
        <v>295.89999999999998</v>
      </c>
      <c r="D2" s="8" t="s">
        <v>2</v>
      </c>
      <c r="E2" s="15">
        <v>36</v>
      </c>
      <c r="F2" s="127" t="str">
        <f>IF(B2=D2,"","Diff")</f>
        <v/>
      </c>
      <c r="G2">
        <v>1</v>
      </c>
      <c r="H2" t="str">
        <f>"new RawMaterial { RawMaterialId = "&amp;G2&amp;", Name = """&amp;B2&amp;""", StockQuantity = "&amp;C2&amp;"f, CP = "&amp;E2&amp;"m, Unit = ""kg"" },"</f>
        <v>new RawMaterial { RawMaterialId = 1, Name = "Maida", StockQuantity = 295.9f, CP = 36m, Unit = "kg" },</v>
      </c>
    </row>
    <row r="3" spans="1:8" x14ac:dyDescent="0.25">
      <c r="A3" s="57">
        <v>2</v>
      </c>
      <c r="B3" s="8" t="s">
        <v>4</v>
      </c>
      <c r="C3" s="96">
        <v>75.7</v>
      </c>
      <c r="D3" s="8" t="s">
        <v>4</v>
      </c>
      <c r="E3" s="15">
        <v>39</v>
      </c>
      <c r="F3" s="127" t="str">
        <f t="shared" ref="F3:F66" si="0">IF(B3=D3,"","Diff")</f>
        <v/>
      </c>
      <c r="G3">
        <v>2</v>
      </c>
      <c r="H3" t="str">
        <f t="shared" ref="H3:H66" si="1">"new RawMaterial { RawMaterialId = "&amp;G3&amp;", Name = """&amp;B3&amp;""", StockQuantity = "&amp;C3&amp;"f, CP = "&amp;E3&amp;"m, Unit = ""kg"" },"</f>
        <v>new RawMaterial { RawMaterialId = 2, Name = "Sugar", StockQuantity = 75.7f, CP = 39m, Unit = "kg" },</v>
      </c>
    </row>
    <row r="4" spans="1:8" x14ac:dyDescent="0.25">
      <c r="A4" s="57">
        <v>3</v>
      </c>
      <c r="B4" s="8" t="s">
        <v>3</v>
      </c>
      <c r="C4" s="96">
        <v>100</v>
      </c>
      <c r="D4" s="8" t="s">
        <v>3</v>
      </c>
      <c r="E4" s="15">
        <v>9</v>
      </c>
      <c r="F4" s="127" t="str">
        <f t="shared" si="0"/>
        <v/>
      </c>
      <c r="G4">
        <v>3</v>
      </c>
      <c r="H4" t="str">
        <f t="shared" si="1"/>
        <v>new RawMaterial { RawMaterialId = 3, Name = "Salt", StockQuantity = 100f, CP = 9m, Unit = "kg" },</v>
      </c>
    </row>
    <row r="5" spans="1:8" x14ac:dyDescent="0.25">
      <c r="A5" s="57">
        <v>4</v>
      </c>
      <c r="B5" s="8" t="s">
        <v>5</v>
      </c>
      <c r="C5" s="96">
        <v>0.88</v>
      </c>
      <c r="D5" s="8" t="s">
        <v>5</v>
      </c>
      <c r="E5" s="15">
        <v>315</v>
      </c>
      <c r="F5" s="127" t="str">
        <f t="shared" si="0"/>
        <v/>
      </c>
      <c r="G5">
        <v>4</v>
      </c>
      <c r="H5" t="str">
        <f t="shared" si="1"/>
        <v>new RawMaterial { RawMaterialId = 4, Name = "Milk Powder", StockQuantity = 0.88f, CP = 315m, Unit = "kg" },</v>
      </c>
    </row>
    <row r="6" spans="1:8" x14ac:dyDescent="0.25">
      <c r="A6" s="57">
        <v>5</v>
      </c>
      <c r="B6" s="8" t="s">
        <v>157</v>
      </c>
      <c r="C6" s="96">
        <v>1.9</v>
      </c>
      <c r="D6" s="8" t="s">
        <v>157</v>
      </c>
      <c r="E6" s="15">
        <v>312</v>
      </c>
      <c r="F6" s="127" t="str">
        <f t="shared" si="0"/>
        <v/>
      </c>
      <c r="G6">
        <v>5</v>
      </c>
      <c r="H6" t="str">
        <f t="shared" si="1"/>
        <v>new RawMaterial { RawMaterialId = 5, Name = "Vanila Powder", StockQuantity = 1.9f, CP = 312m, Unit = "kg" },</v>
      </c>
    </row>
    <row r="7" spans="1:8" x14ac:dyDescent="0.25">
      <c r="A7" s="57">
        <v>6</v>
      </c>
      <c r="B7" s="8" t="s">
        <v>56</v>
      </c>
      <c r="C7" s="96">
        <v>699</v>
      </c>
      <c r="D7" s="8" t="s">
        <v>56</v>
      </c>
      <c r="E7" s="15">
        <v>5</v>
      </c>
      <c r="F7" s="127" t="str">
        <f t="shared" si="0"/>
        <v/>
      </c>
      <c r="G7">
        <v>6</v>
      </c>
      <c r="H7" t="str">
        <f t="shared" si="1"/>
        <v>new RawMaterial { RawMaterialId = 6, Name = "Egg", StockQuantity = 699f, CP = 5m, Unit = "kg" },</v>
      </c>
    </row>
    <row r="8" spans="1:8" x14ac:dyDescent="0.25">
      <c r="A8" s="57">
        <v>7</v>
      </c>
      <c r="B8" s="8" t="s">
        <v>18</v>
      </c>
      <c r="C8" s="96">
        <v>2.79</v>
      </c>
      <c r="D8" s="8" t="s">
        <v>18</v>
      </c>
      <c r="E8" s="15">
        <v>550</v>
      </c>
      <c r="F8" s="127" t="str">
        <f t="shared" si="0"/>
        <v/>
      </c>
      <c r="G8">
        <v>7</v>
      </c>
      <c r="H8" t="str">
        <f t="shared" si="1"/>
        <v>new RawMaterial { RawMaterialId = 7, Name = "RKG", StockQuantity = 2.79f, CP = 550m, Unit = "kg" },</v>
      </c>
    </row>
    <row r="9" spans="1:8" x14ac:dyDescent="0.25">
      <c r="A9" s="57">
        <v>8</v>
      </c>
      <c r="B9" s="8" t="s">
        <v>197</v>
      </c>
      <c r="C9" s="96">
        <v>0.55000000000000004</v>
      </c>
      <c r="D9" s="8" t="s">
        <v>197</v>
      </c>
      <c r="E9" s="15">
        <v>85</v>
      </c>
      <c r="F9" s="127" t="str">
        <f t="shared" si="0"/>
        <v/>
      </c>
      <c r="G9">
        <v>8</v>
      </c>
      <c r="H9" t="str">
        <f t="shared" si="1"/>
        <v>new RawMaterial { RawMaterialId = 8, Name = "Custard Powder", StockQuantity = 0.55f, CP = 85m, Unit = "kg" },</v>
      </c>
    </row>
    <row r="10" spans="1:8" x14ac:dyDescent="0.25">
      <c r="A10" s="57">
        <v>9</v>
      </c>
      <c r="B10" s="8" t="s">
        <v>36</v>
      </c>
      <c r="C10" s="96">
        <v>6.76</v>
      </c>
      <c r="D10" s="8" t="s">
        <v>36</v>
      </c>
      <c r="E10" s="15">
        <v>256</v>
      </c>
      <c r="F10" s="127" t="str">
        <f t="shared" si="0"/>
        <v/>
      </c>
      <c r="G10">
        <v>9</v>
      </c>
      <c r="H10" t="str">
        <f t="shared" si="1"/>
        <v>new RawMaterial { RawMaterialId = 9, Name = "Milkmaid", StockQuantity = 6.76f, CP = 256m, Unit = "kg" },</v>
      </c>
    </row>
    <row r="11" spans="1:8" x14ac:dyDescent="0.25">
      <c r="A11" s="57">
        <v>10</v>
      </c>
      <c r="B11" s="8" t="s">
        <v>37</v>
      </c>
      <c r="C11" s="96">
        <v>1.05</v>
      </c>
      <c r="D11" s="8" t="s">
        <v>37</v>
      </c>
      <c r="E11" s="15">
        <v>500</v>
      </c>
      <c r="F11" s="127" t="str">
        <f t="shared" si="0"/>
        <v/>
      </c>
      <c r="G11">
        <v>10</v>
      </c>
      <c r="H11" t="str">
        <f t="shared" si="1"/>
        <v>new RawMaterial { RawMaterialId = 10, Name = "Nuts", StockQuantity = 1.05f, CP = 500m, Unit = "kg" },</v>
      </c>
    </row>
    <row r="12" spans="1:8" x14ac:dyDescent="0.25">
      <c r="A12" s="57">
        <v>11</v>
      </c>
      <c r="B12" s="8" t="s">
        <v>143</v>
      </c>
      <c r="C12" s="96">
        <v>2.645</v>
      </c>
      <c r="D12" s="8" t="s">
        <v>143</v>
      </c>
      <c r="E12" s="15">
        <v>210</v>
      </c>
      <c r="F12" s="127" t="str">
        <f t="shared" si="0"/>
        <v/>
      </c>
      <c r="G12">
        <v>11</v>
      </c>
      <c r="H12" t="str">
        <f t="shared" si="1"/>
        <v>new RawMaterial { RawMaterialId = 11, Name = "Coconut Powder", StockQuantity = 2.645f, CP = 210m, Unit = "kg" },</v>
      </c>
    </row>
    <row r="13" spans="1:8" x14ac:dyDescent="0.25">
      <c r="A13" s="57">
        <v>12</v>
      </c>
      <c r="B13" s="8" t="s">
        <v>32</v>
      </c>
      <c r="C13" s="96">
        <v>1.89</v>
      </c>
      <c r="D13" s="8" t="s">
        <v>32</v>
      </c>
      <c r="E13" s="15">
        <v>465</v>
      </c>
      <c r="F13" s="127" t="str">
        <f t="shared" si="0"/>
        <v/>
      </c>
      <c r="G13">
        <v>12</v>
      </c>
      <c r="H13" t="str">
        <f t="shared" si="1"/>
        <v>new RawMaterial { RawMaterialId = 12, Name = "Butter", StockQuantity = 1.89f, CP = 465m, Unit = "kg" },</v>
      </c>
    </row>
    <row r="14" spans="1:8" x14ac:dyDescent="0.25">
      <c r="A14" s="57">
        <v>13</v>
      </c>
      <c r="B14" s="8" t="s">
        <v>158</v>
      </c>
      <c r="C14" s="96">
        <v>0.75</v>
      </c>
      <c r="D14" s="8" t="s">
        <v>158</v>
      </c>
      <c r="E14" s="15">
        <v>190</v>
      </c>
      <c r="F14" s="127" t="str">
        <f t="shared" si="0"/>
        <v/>
      </c>
      <c r="G14">
        <v>13</v>
      </c>
      <c r="H14" t="str">
        <f t="shared" si="1"/>
        <v>new RawMaterial { RawMaterialId = 13, Name = "Bread Improver", StockQuantity = 0.75f, CP = 190m, Unit = "kg" },</v>
      </c>
    </row>
    <row r="15" spans="1:8" x14ac:dyDescent="0.25">
      <c r="A15" s="57">
        <v>14</v>
      </c>
      <c r="B15" s="8" t="s">
        <v>159</v>
      </c>
      <c r="C15" s="96">
        <v>0.95</v>
      </c>
      <c r="D15" s="8" t="s">
        <v>159</v>
      </c>
      <c r="E15" s="15">
        <v>85</v>
      </c>
      <c r="F15" s="127" t="str">
        <f t="shared" si="0"/>
        <v/>
      </c>
      <c r="G15">
        <v>14</v>
      </c>
      <c r="H15" t="str">
        <f t="shared" si="1"/>
        <v>new RawMaterial { RawMaterialId = 14, Name = "Baking Powder", StockQuantity = 0.95f, CP = 85m, Unit = "kg" },</v>
      </c>
    </row>
    <row r="16" spans="1:8" x14ac:dyDescent="0.25">
      <c r="A16" s="57">
        <v>15</v>
      </c>
      <c r="B16" s="8" t="s">
        <v>31</v>
      </c>
      <c r="C16" s="96">
        <v>1.96</v>
      </c>
      <c r="D16" s="8" t="s">
        <v>31</v>
      </c>
      <c r="E16" s="15">
        <v>145</v>
      </c>
      <c r="F16" s="127" t="str">
        <f t="shared" si="0"/>
        <v/>
      </c>
      <c r="G16">
        <v>15</v>
      </c>
      <c r="H16" t="str">
        <f t="shared" si="1"/>
        <v>new RawMaterial { RawMaterialId = 15, Name = "Yeast", StockQuantity = 1.96f, CP = 145m, Unit = "kg" },</v>
      </c>
    </row>
    <row r="17" spans="1:8" x14ac:dyDescent="0.25">
      <c r="A17" s="57">
        <v>16</v>
      </c>
      <c r="B17" s="8" t="s">
        <v>160</v>
      </c>
      <c r="C17" s="96">
        <v>4.55</v>
      </c>
      <c r="D17" s="8" t="s">
        <v>160</v>
      </c>
      <c r="E17" s="15">
        <v>155</v>
      </c>
      <c r="F17" s="127" t="str">
        <f t="shared" si="0"/>
        <v/>
      </c>
      <c r="G17">
        <v>16</v>
      </c>
      <c r="H17" t="str">
        <f t="shared" si="1"/>
        <v>new RawMaterial { RawMaterialId = 16, Name = "Sunflower Oil", StockQuantity = 4.55f, CP = 155m, Unit = "kg" },</v>
      </c>
    </row>
    <row r="18" spans="1:8" x14ac:dyDescent="0.25">
      <c r="A18" s="57">
        <v>17</v>
      </c>
      <c r="B18" s="8" t="s">
        <v>161</v>
      </c>
      <c r="C18" s="96">
        <v>1.84</v>
      </c>
      <c r="D18" s="8" t="s">
        <v>161</v>
      </c>
      <c r="E18" s="15">
        <v>185</v>
      </c>
      <c r="F18" s="127" t="str">
        <f t="shared" si="0"/>
        <v/>
      </c>
      <c r="G18">
        <v>17</v>
      </c>
      <c r="H18" t="str">
        <f t="shared" si="1"/>
        <v>new RawMaterial { RawMaterialId = 17, Name = "Coconut Oil", StockQuantity = 1.84f, CP = 185m, Unit = "kg" },</v>
      </c>
    </row>
    <row r="19" spans="1:8" x14ac:dyDescent="0.25">
      <c r="A19" s="57">
        <v>18</v>
      </c>
      <c r="B19" s="8" t="s">
        <v>97</v>
      </c>
      <c r="C19" s="96">
        <v>10</v>
      </c>
      <c r="D19" s="8" t="s">
        <v>97</v>
      </c>
      <c r="E19" s="15">
        <v>70</v>
      </c>
      <c r="F19" s="127" t="str">
        <f t="shared" si="0"/>
        <v/>
      </c>
      <c r="G19">
        <v>18</v>
      </c>
      <c r="H19" t="str">
        <f t="shared" si="1"/>
        <v>new RawMaterial { RawMaterialId = 18, Name = "Icing Sugar", StockQuantity = 10f, CP = 70m, Unit = "kg" },</v>
      </c>
    </row>
    <row r="20" spans="1:8" x14ac:dyDescent="0.25">
      <c r="A20" s="57">
        <v>19</v>
      </c>
      <c r="B20" s="8" t="s">
        <v>15</v>
      </c>
      <c r="C20" s="96">
        <v>0.24</v>
      </c>
      <c r="D20" s="8" t="s">
        <v>15</v>
      </c>
      <c r="E20" s="15">
        <v>1320</v>
      </c>
      <c r="F20" s="127" t="str">
        <f t="shared" si="0"/>
        <v/>
      </c>
      <c r="G20">
        <v>19</v>
      </c>
      <c r="H20" t="str">
        <f t="shared" si="1"/>
        <v>new RawMaterial { RawMaterialId = 19, Name = "Cardamom", StockQuantity = 0.24f, CP = 1320m, Unit = "kg" },</v>
      </c>
    </row>
    <row r="21" spans="1:8" x14ac:dyDescent="0.25">
      <c r="A21" s="57">
        <v>20</v>
      </c>
      <c r="B21" s="8" t="s">
        <v>105</v>
      </c>
      <c r="C21" s="96">
        <v>1.36</v>
      </c>
      <c r="D21" s="8" t="s">
        <v>105</v>
      </c>
      <c r="E21" s="15">
        <v>60</v>
      </c>
      <c r="F21" s="127" t="str">
        <f t="shared" si="0"/>
        <v/>
      </c>
      <c r="G21">
        <v>20</v>
      </c>
      <c r="H21" t="str">
        <f t="shared" si="1"/>
        <v>new RawMaterial { RawMaterialId = 20, Name = "Atta", StockQuantity = 1.36f, CP = 60m, Unit = "kg" },</v>
      </c>
    </row>
    <row r="22" spans="1:8" x14ac:dyDescent="0.25">
      <c r="A22" s="57">
        <v>21</v>
      </c>
      <c r="B22" s="8" t="s">
        <v>21</v>
      </c>
      <c r="C22" s="96">
        <v>6.96</v>
      </c>
      <c r="D22" s="8" t="s">
        <v>21</v>
      </c>
      <c r="E22" s="15">
        <v>45</v>
      </c>
      <c r="F22" s="127" t="str">
        <f t="shared" si="0"/>
        <v/>
      </c>
      <c r="G22">
        <v>21</v>
      </c>
      <c r="H22" t="str">
        <f t="shared" si="1"/>
        <v>new RawMaterial { RawMaterialId = 21, Name = "Aval", StockQuantity = 6.96f, CP = 45m, Unit = "kg" },</v>
      </c>
    </row>
    <row r="23" spans="1:8" x14ac:dyDescent="0.25">
      <c r="A23" s="57">
        <v>22</v>
      </c>
      <c r="B23" s="8" t="s">
        <v>162</v>
      </c>
      <c r="C23" s="96">
        <v>19.7</v>
      </c>
      <c r="D23" s="8" t="s">
        <v>162</v>
      </c>
      <c r="E23" s="15">
        <v>159</v>
      </c>
      <c r="F23" s="127" t="str">
        <f t="shared" si="0"/>
        <v/>
      </c>
      <c r="G23">
        <v>22</v>
      </c>
      <c r="H23" t="str">
        <f t="shared" si="1"/>
        <v>new RawMaterial { RawMaterialId = 22, Name = "Lilly - Puffs", StockQuantity = 19.7f, CP = 159m, Unit = "kg" },</v>
      </c>
    </row>
    <row r="24" spans="1:8" x14ac:dyDescent="0.25">
      <c r="A24" s="57">
        <v>23</v>
      </c>
      <c r="B24" s="8" t="s">
        <v>163</v>
      </c>
      <c r="C24" s="96">
        <v>8.09</v>
      </c>
      <c r="D24" s="8" t="s">
        <v>163</v>
      </c>
      <c r="E24" s="15">
        <v>148</v>
      </c>
      <c r="F24" s="127" t="str">
        <f t="shared" si="0"/>
        <v/>
      </c>
      <c r="G24">
        <v>23</v>
      </c>
      <c r="H24" t="str">
        <f t="shared" si="1"/>
        <v>new RawMaterial { RawMaterialId = 23, Name = "Sheel - Bread", StockQuantity = 8.09f, CP = 148m, Unit = "kg" },</v>
      </c>
    </row>
    <row r="25" spans="1:8" x14ac:dyDescent="0.25">
      <c r="A25" s="57">
        <v>24</v>
      </c>
      <c r="B25" s="8" t="s">
        <v>164</v>
      </c>
      <c r="C25" s="96">
        <v>10</v>
      </c>
      <c r="D25" s="8" t="s">
        <v>164</v>
      </c>
      <c r="E25" s="15">
        <v>163</v>
      </c>
      <c r="F25" s="127" t="str">
        <f t="shared" si="0"/>
        <v/>
      </c>
      <c r="G25">
        <v>24</v>
      </c>
      <c r="H25" t="str">
        <f t="shared" si="1"/>
        <v>new RawMaterial { RawMaterialId = 24, Name = "Biskin - Cookies", StockQuantity = 10f, CP = 163m, Unit = "kg" },</v>
      </c>
    </row>
    <row r="26" spans="1:8" x14ac:dyDescent="0.25">
      <c r="A26" s="57">
        <v>25</v>
      </c>
      <c r="B26" s="8" t="s">
        <v>165</v>
      </c>
      <c r="C26" s="96">
        <v>19.7</v>
      </c>
      <c r="D26" s="8" t="s">
        <v>165</v>
      </c>
      <c r="E26" s="15">
        <v>170</v>
      </c>
      <c r="F26" s="127" t="str">
        <f t="shared" si="0"/>
        <v/>
      </c>
      <c r="G26">
        <v>25</v>
      </c>
      <c r="H26" t="str">
        <f t="shared" si="1"/>
        <v>new RawMaterial { RawMaterialId = 25, Name = "SSM - Cream", StockQuantity = 19.7f, CP = 170m, Unit = "kg" },</v>
      </c>
    </row>
    <row r="27" spans="1:8" x14ac:dyDescent="0.25">
      <c r="A27" s="57">
        <v>26</v>
      </c>
      <c r="B27" s="8" t="s">
        <v>166</v>
      </c>
      <c r="C27" s="96">
        <v>9.83</v>
      </c>
      <c r="D27" s="8" t="s">
        <v>166</v>
      </c>
      <c r="E27" s="15">
        <v>168</v>
      </c>
      <c r="F27" s="127" t="str">
        <f t="shared" si="0"/>
        <v/>
      </c>
      <c r="G27">
        <v>26</v>
      </c>
      <c r="H27" t="str">
        <f t="shared" si="1"/>
        <v>new RawMaterial { RawMaterialId = 26, Name = "USM - Cake", StockQuantity = 9.83f, CP = 168m, Unit = "kg" },</v>
      </c>
    </row>
    <row r="28" spans="1:8" x14ac:dyDescent="0.25">
      <c r="A28" s="57">
        <v>27</v>
      </c>
      <c r="B28" s="8" t="s">
        <v>167</v>
      </c>
      <c r="C28" s="96">
        <v>0.88</v>
      </c>
      <c r="D28" s="8" t="s">
        <v>167</v>
      </c>
      <c r="E28" s="15">
        <v>260</v>
      </c>
      <c r="F28" s="127" t="str">
        <f t="shared" si="0"/>
        <v/>
      </c>
      <c r="G28">
        <v>27</v>
      </c>
      <c r="H28" t="str">
        <f t="shared" si="1"/>
        <v>new RawMaterial { RawMaterialId = 27, Name = "Dark Chocolate", StockQuantity = 0.88f, CP = 260m, Unit = "kg" },</v>
      </c>
    </row>
    <row r="29" spans="1:8" x14ac:dyDescent="0.25">
      <c r="A29" s="57">
        <v>28</v>
      </c>
      <c r="B29" s="8" t="s">
        <v>168</v>
      </c>
      <c r="C29" s="96">
        <v>0.56000000000000005</v>
      </c>
      <c r="D29" s="8" t="s">
        <v>168</v>
      </c>
      <c r="E29" s="15">
        <v>364</v>
      </c>
      <c r="F29" s="127" t="str">
        <f t="shared" si="0"/>
        <v/>
      </c>
      <c r="G29">
        <v>28</v>
      </c>
      <c r="H29" t="str">
        <f t="shared" si="1"/>
        <v>new RawMaterial { RawMaterialId = 28, Name = "WhiteChocolate", StockQuantity = 0.56f, CP = 364m, Unit = "kg" },</v>
      </c>
    </row>
    <row r="30" spans="1:8" x14ac:dyDescent="0.25">
      <c r="A30" s="57">
        <v>29</v>
      </c>
      <c r="B30" s="8" t="s">
        <v>50</v>
      </c>
      <c r="C30" s="96">
        <v>0.15</v>
      </c>
      <c r="D30" s="8" t="s">
        <v>50</v>
      </c>
      <c r="E30" s="15">
        <v>500</v>
      </c>
      <c r="F30" s="127" t="str">
        <f t="shared" si="0"/>
        <v/>
      </c>
      <c r="G30">
        <v>29</v>
      </c>
      <c r="H30" t="str">
        <f t="shared" si="1"/>
        <v>new RawMaterial { RawMaterialId = 29, Name = "Garam Masala", StockQuantity = 0.15f, CP = 500m, Unit = "kg" },</v>
      </c>
    </row>
    <row r="31" spans="1:8" x14ac:dyDescent="0.25">
      <c r="A31" s="57">
        <v>30</v>
      </c>
      <c r="B31" s="8" t="s">
        <v>169</v>
      </c>
      <c r="C31" s="96">
        <v>100</v>
      </c>
      <c r="D31" s="8" t="s">
        <v>169</v>
      </c>
      <c r="E31" s="15">
        <v>240</v>
      </c>
      <c r="F31" s="127" t="str">
        <f t="shared" si="0"/>
        <v/>
      </c>
      <c r="G31">
        <v>30</v>
      </c>
      <c r="H31" t="str">
        <f t="shared" si="1"/>
        <v>new RawMaterial { RawMaterialId = 30, Name = "Ginger Powder", StockQuantity = 100f, CP = 240m, Unit = "kg" },</v>
      </c>
    </row>
    <row r="32" spans="1:8" x14ac:dyDescent="0.25">
      <c r="A32" s="57">
        <v>31</v>
      </c>
      <c r="B32" s="8" t="s">
        <v>170</v>
      </c>
      <c r="C32" s="96">
        <v>0.56499999999999995</v>
      </c>
      <c r="D32" s="8" t="s">
        <v>170</v>
      </c>
      <c r="E32" s="15">
        <v>180</v>
      </c>
      <c r="F32" s="127" t="str">
        <f t="shared" si="0"/>
        <v/>
      </c>
      <c r="G32">
        <v>31</v>
      </c>
      <c r="H32" t="str">
        <f t="shared" si="1"/>
        <v>new RawMaterial { RawMaterialId = 31, Name = "Jeerakam", StockQuantity = 0.565f, CP = 180m, Unit = "kg" },</v>
      </c>
    </row>
    <row r="33" spans="1:8" x14ac:dyDescent="0.25">
      <c r="A33" s="57">
        <v>32</v>
      </c>
      <c r="B33" s="8" t="s">
        <v>171</v>
      </c>
      <c r="C33" s="96">
        <v>100</v>
      </c>
      <c r="D33" s="8" t="s">
        <v>171</v>
      </c>
      <c r="E33" s="15">
        <v>190</v>
      </c>
      <c r="F33" s="127" t="str">
        <f t="shared" si="0"/>
        <v/>
      </c>
      <c r="G33">
        <v>32</v>
      </c>
      <c r="H33" t="str">
        <f t="shared" si="1"/>
        <v>new RawMaterial { RawMaterialId = 32, Name = "Sadu Jeerakam", StockQuantity = 100f, CP = 190m, Unit = "kg" },</v>
      </c>
    </row>
    <row r="34" spans="1:8" x14ac:dyDescent="0.25">
      <c r="A34" s="57">
        <v>33</v>
      </c>
      <c r="B34" s="8" t="s">
        <v>172</v>
      </c>
      <c r="C34" s="96">
        <v>0.30499999999999999</v>
      </c>
      <c r="D34" s="8" t="s">
        <v>172</v>
      </c>
      <c r="E34" s="15">
        <v>50</v>
      </c>
      <c r="F34" s="127" t="str">
        <f t="shared" si="0"/>
        <v/>
      </c>
      <c r="G34">
        <v>33</v>
      </c>
      <c r="H34" t="str">
        <f t="shared" si="1"/>
        <v>new RawMaterial { RawMaterialId = 33, Name = "Soda Powder", StockQuantity = 0.305f, CP = 50m, Unit = "kg" },</v>
      </c>
    </row>
    <row r="35" spans="1:8" x14ac:dyDescent="0.25">
      <c r="A35" s="57">
        <v>34</v>
      </c>
      <c r="B35" s="8" t="s">
        <v>94</v>
      </c>
      <c r="C35" s="96">
        <v>0.15</v>
      </c>
      <c r="D35" s="8" t="s">
        <v>94</v>
      </c>
      <c r="E35" s="15">
        <v>220</v>
      </c>
      <c r="F35" s="127" t="str">
        <f t="shared" si="0"/>
        <v/>
      </c>
      <c r="G35">
        <v>34</v>
      </c>
      <c r="H35" t="str">
        <f t="shared" si="1"/>
        <v>new RawMaterial { RawMaterialId = 34, Name = "Gel", StockQuantity = 0.15f, CP = 220m, Unit = "kg" },</v>
      </c>
    </row>
    <row r="36" spans="1:8" x14ac:dyDescent="0.25">
      <c r="A36" s="57">
        <v>35</v>
      </c>
      <c r="B36" s="8" t="s">
        <v>173</v>
      </c>
      <c r="C36" s="96">
        <v>3.74</v>
      </c>
      <c r="D36" s="8" t="s">
        <v>173</v>
      </c>
      <c r="E36" s="15">
        <v>75</v>
      </c>
      <c r="F36" s="127" t="str">
        <f t="shared" si="0"/>
        <v/>
      </c>
      <c r="G36">
        <v>35</v>
      </c>
      <c r="H36" t="str">
        <f t="shared" si="1"/>
        <v>new RawMaterial { RawMaterialId = 35, Name = "Jam Mixed", StockQuantity = 3.74f, CP = 75m, Unit = "kg" },</v>
      </c>
    </row>
    <row r="37" spans="1:8" x14ac:dyDescent="0.25">
      <c r="A37" s="57">
        <v>36</v>
      </c>
      <c r="B37" s="8" t="s">
        <v>174</v>
      </c>
      <c r="C37" s="96">
        <v>4.4000000000000004</v>
      </c>
      <c r="D37" s="8" t="s">
        <v>174</v>
      </c>
      <c r="E37" s="15">
        <v>75</v>
      </c>
      <c r="F37" s="127" t="str">
        <f t="shared" si="0"/>
        <v/>
      </c>
      <c r="G37">
        <v>36</v>
      </c>
      <c r="H37" t="str">
        <f t="shared" si="1"/>
        <v>new RawMaterial { RawMaterialId = 36, Name = "Jam Pineapple", StockQuantity = 4.4f, CP = 75m, Unit = "kg" },</v>
      </c>
    </row>
    <row r="38" spans="1:8" x14ac:dyDescent="0.25">
      <c r="A38" s="57">
        <v>37</v>
      </c>
      <c r="B38" s="8" t="s">
        <v>175</v>
      </c>
      <c r="C38" s="96">
        <v>1.06</v>
      </c>
      <c r="D38" s="8" t="s">
        <v>175</v>
      </c>
      <c r="E38" s="15">
        <v>85</v>
      </c>
      <c r="F38" s="127" t="str">
        <f t="shared" si="0"/>
        <v/>
      </c>
      <c r="G38">
        <v>37</v>
      </c>
      <c r="H38" t="str">
        <f t="shared" si="1"/>
        <v>new RawMaterial { RawMaterialId = 37, Name = "Liquid Glucose", StockQuantity = 1.06f, CP = 85m, Unit = "kg" },</v>
      </c>
    </row>
    <row r="39" spans="1:8" x14ac:dyDescent="0.25">
      <c r="A39" s="57">
        <v>38</v>
      </c>
      <c r="B39" s="8" t="s">
        <v>90</v>
      </c>
      <c r="C39" s="96">
        <v>0.44500000000000001</v>
      </c>
      <c r="D39" s="8" t="s">
        <v>90</v>
      </c>
      <c r="E39" s="15">
        <v>110</v>
      </c>
      <c r="F39" s="127" t="str">
        <f t="shared" si="0"/>
        <v/>
      </c>
      <c r="G39">
        <v>38</v>
      </c>
      <c r="H39" t="str">
        <f t="shared" si="1"/>
        <v>new RawMaterial { RawMaterialId = 38, Name = "Jue Colour", StockQuantity = 0.445f, CP = 110m, Unit = "kg" },</v>
      </c>
    </row>
    <row r="40" spans="1:8" x14ac:dyDescent="0.25">
      <c r="A40" s="57">
        <v>39</v>
      </c>
      <c r="B40" s="8" t="s">
        <v>176</v>
      </c>
      <c r="C40" s="96">
        <v>100</v>
      </c>
      <c r="D40" s="8" t="s">
        <v>176</v>
      </c>
      <c r="E40" s="15">
        <v>360</v>
      </c>
      <c r="F40" s="127" t="str">
        <f t="shared" si="0"/>
        <v/>
      </c>
      <c r="G40">
        <v>39</v>
      </c>
      <c r="H40" t="str">
        <f t="shared" si="1"/>
        <v>new RawMaterial { RawMaterialId = 39, Name = "Coco Powder", StockQuantity = 100f, CP = 360m, Unit = "kg" },</v>
      </c>
    </row>
    <row r="41" spans="1:8" x14ac:dyDescent="0.25">
      <c r="A41" s="57">
        <v>40</v>
      </c>
      <c r="B41" s="8" t="s">
        <v>66</v>
      </c>
      <c r="C41" s="96">
        <v>0.38500000000000001</v>
      </c>
      <c r="D41" s="8" t="s">
        <v>66</v>
      </c>
      <c r="E41" s="15">
        <v>250</v>
      </c>
      <c r="F41" s="127" t="str">
        <f t="shared" si="0"/>
        <v/>
      </c>
      <c r="G41">
        <v>40</v>
      </c>
      <c r="H41" t="str">
        <f t="shared" si="1"/>
        <v>new RawMaterial { RawMaterialId = 40, Name = "Calcium", StockQuantity = 0.385f, CP = 250m, Unit = "kg" },</v>
      </c>
    </row>
    <row r="42" spans="1:8" x14ac:dyDescent="0.25">
      <c r="A42" s="57">
        <v>41</v>
      </c>
      <c r="B42" s="8" t="s">
        <v>177</v>
      </c>
      <c r="C42" s="96">
        <v>0.04</v>
      </c>
      <c r="D42" s="8" t="s">
        <v>177</v>
      </c>
      <c r="E42" s="15">
        <v>180</v>
      </c>
      <c r="F42" s="127" t="str">
        <f t="shared" si="0"/>
        <v/>
      </c>
      <c r="G42">
        <v>41</v>
      </c>
      <c r="H42" t="str">
        <f t="shared" si="1"/>
        <v>new RawMaterial { RawMaterialId = 41, Name = "Jelly White", StockQuantity = 0.04f, CP = 180m, Unit = "kg" },</v>
      </c>
    </row>
    <row r="43" spans="1:8" ht="15.75" thickBot="1" x14ac:dyDescent="0.3">
      <c r="A43" s="65">
        <v>42</v>
      </c>
      <c r="B43" s="66" t="s">
        <v>178</v>
      </c>
      <c r="C43" s="96">
        <v>9.5000000000000001E-2</v>
      </c>
      <c r="D43" s="8" t="s">
        <v>178</v>
      </c>
      <c r="E43" s="15">
        <v>185</v>
      </c>
      <c r="F43" s="127" t="str">
        <f t="shared" si="0"/>
        <v/>
      </c>
      <c r="G43">
        <v>42</v>
      </c>
      <c r="H43" t="str">
        <f t="shared" si="1"/>
        <v>new RawMaterial { RawMaterialId = 42, Name = "Jelly Black", StockQuantity = 0.095f, CP = 185m, Unit = "kg" },</v>
      </c>
    </row>
    <row r="44" spans="1:8" x14ac:dyDescent="0.25">
      <c r="A44" s="57">
        <v>43</v>
      </c>
      <c r="B44" s="8" t="s">
        <v>179</v>
      </c>
      <c r="C44" s="96">
        <v>100</v>
      </c>
      <c r="D44" s="8" t="s">
        <v>179</v>
      </c>
      <c r="E44" s="15">
        <v>129</v>
      </c>
      <c r="F44" s="127" t="str">
        <f t="shared" si="0"/>
        <v/>
      </c>
      <c r="G44">
        <v>43</v>
      </c>
      <c r="H44" t="str">
        <f t="shared" si="1"/>
        <v>new RawMaterial { RawMaterialId = 43, Name = "Palm Oil", StockQuantity = 100f, CP = 129m, Unit = "kg" },</v>
      </c>
    </row>
    <row r="45" spans="1:8" x14ac:dyDescent="0.25">
      <c r="A45" s="57">
        <v>44</v>
      </c>
      <c r="B45" s="8" t="s">
        <v>180</v>
      </c>
      <c r="C45" s="96">
        <v>23</v>
      </c>
      <c r="D45" s="8" t="s">
        <v>180</v>
      </c>
      <c r="E45" s="15">
        <v>51</v>
      </c>
      <c r="F45" s="127" t="str">
        <f t="shared" si="0"/>
        <v/>
      </c>
      <c r="G45">
        <v>44</v>
      </c>
      <c r="H45" t="str">
        <f t="shared" si="1"/>
        <v>new RawMaterial { RawMaterialId = 44, Name = "Sarkara", StockQuantity = 23f, CP = 51m, Unit = "kg" },</v>
      </c>
    </row>
    <row r="46" spans="1:8" x14ac:dyDescent="0.25">
      <c r="A46" s="57">
        <v>45</v>
      </c>
      <c r="B46" s="8" t="s">
        <v>181</v>
      </c>
      <c r="C46" s="96">
        <v>6.6</v>
      </c>
      <c r="D46" s="8" t="s">
        <v>181</v>
      </c>
      <c r="E46" s="15">
        <v>105</v>
      </c>
      <c r="F46" s="127" t="str">
        <f t="shared" si="0"/>
        <v/>
      </c>
      <c r="G46">
        <v>45</v>
      </c>
      <c r="H46" t="str">
        <f t="shared" si="1"/>
        <v>new RawMaterial { RawMaterialId = 45, Name = "Cut Dates", StockQuantity = 6.6f, CP = 105m, Unit = "kg" },</v>
      </c>
    </row>
    <row r="47" spans="1:8" x14ac:dyDescent="0.25">
      <c r="A47" s="57">
        <v>46</v>
      </c>
      <c r="B47" s="8" t="s">
        <v>74</v>
      </c>
      <c r="C47" s="96">
        <v>100</v>
      </c>
      <c r="D47" s="8" t="s">
        <v>74</v>
      </c>
      <c r="E47" s="15">
        <v>110</v>
      </c>
      <c r="F47" s="127" t="str">
        <f t="shared" si="0"/>
        <v/>
      </c>
      <c r="G47">
        <v>46</v>
      </c>
      <c r="H47" t="str">
        <f t="shared" si="1"/>
        <v>new RawMaterial { RawMaterialId = 46, Name = "Candy Peel", StockQuantity = 100f, CP = 110m, Unit = "kg" },</v>
      </c>
    </row>
    <row r="48" spans="1:8" x14ac:dyDescent="0.25">
      <c r="A48" s="57">
        <v>47</v>
      </c>
      <c r="B48" s="8" t="s">
        <v>75</v>
      </c>
      <c r="C48" s="96">
        <v>100</v>
      </c>
      <c r="D48" s="8" t="s">
        <v>75</v>
      </c>
      <c r="E48" s="15">
        <v>260</v>
      </c>
      <c r="F48" s="127" t="str">
        <f t="shared" si="0"/>
        <v/>
      </c>
      <c r="G48">
        <v>47</v>
      </c>
      <c r="H48" t="str">
        <f t="shared" si="1"/>
        <v>new RawMaterial { RawMaterialId = 47, Name = "Ginger Peel", StockQuantity = 100f, CP = 260m, Unit = "kg" },</v>
      </c>
    </row>
    <row r="49" spans="1:8" x14ac:dyDescent="0.25">
      <c r="A49" s="57">
        <v>48</v>
      </c>
      <c r="B49" s="8" t="s">
        <v>63</v>
      </c>
      <c r="C49" s="96">
        <v>100</v>
      </c>
      <c r="D49" s="8" t="s">
        <v>63</v>
      </c>
      <c r="E49" s="15">
        <v>39</v>
      </c>
      <c r="F49" s="127" t="str">
        <f t="shared" si="0"/>
        <v/>
      </c>
      <c r="G49">
        <v>48</v>
      </c>
      <c r="H49" t="str">
        <f t="shared" si="1"/>
        <v>new RawMaterial { RawMaterialId = 48, Name = "Orange", StockQuantity = 100f, CP = 39m, Unit = "kg" },</v>
      </c>
    </row>
    <row r="50" spans="1:8" x14ac:dyDescent="0.25">
      <c r="A50" s="57">
        <v>49</v>
      </c>
      <c r="B50" s="8" t="s">
        <v>78</v>
      </c>
      <c r="C50" s="96">
        <v>100</v>
      </c>
      <c r="D50" s="8" t="s">
        <v>78</v>
      </c>
      <c r="E50" s="15">
        <v>100</v>
      </c>
      <c r="F50" s="127" t="str">
        <f t="shared" si="0"/>
        <v/>
      </c>
      <c r="G50">
        <v>49</v>
      </c>
      <c r="H50" t="str">
        <f t="shared" si="1"/>
        <v>new RawMaterial { RawMaterialId = 49, Name = "Makkiri", StockQuantity = 100f, CP = 100m, Unit = "kg" },</v>
      </c>
    </row>
    <row r="51" spans="1:8" x14ac:dyDescent="0.25">
      <c r="A51" s="57">
        <v>50</v>
      </c>
      <c r="B51" s="8" t="s">
        <v>201</v>
      </c>
      <c r="C51" s="96">
        <v>100</v>
      </c>
      <c r="D51" s="8" t="s">
        <v>182</v>
      </c>
      <c r="E51" s="15">
        <v>100</v>
      </c>
      <c r="F51" s="127" t="str">
        <f t="shared" si="0"/>
        <v>Diff</v>
      </c>
      <c r="G51">
        <v>50</v>
      </c>
      <c r="H51" t="str">
        <f t="shared" si="1"/>
        <v>new RawMaterial { RawMaterialId = 50, Name = "Naranga/Lemon", StockQuantity = 100f, CP = 100m, Unit = "kg" },</v>
      </c>
    </row>
    <row r="52" spans="1:8" x14ac:dyDescent="0.25">
      <c r="A52" s="57">
        <v>51</v>
      </c>
      <c r="B52" s="8" t="s">
        <v>8</v>
      </c>
      <c r="C52" s="96">
        <v>2.4</v>
      </c>
      <c r="D52" s="8" t="s">
        <v>8</v>
      </c>
      <c r="E52" s="15">
        <v>56</v>
      </c>
      <c r="F52" s="127" t="str">
        <f t="shared" si="0"/>
        <v/>
      </c>
      <c r="G52">
        <v>51</v>
      </c>
      <c r="H52" t="str">
        <f t="shared" si="1"/>
        <v>new RawMaterial { RawMaterialId = 51, Name = "Tuty", StockQuantity = 2.4f, CP = 56m, Unit = "kg" },</v>
      </c>
    </row>
    <row r="53" spans="1:8" x14ac:dyDescent="0.25">
      <c r="A53" s="57">
        <v>52</v>
      </c>
      <c r="B53" s="8" t="s">
        <v>17</v>
      </c>
      <c r="C53" s="96">
        <v>1.46</v>
      </c>
      <c r="D53" s="8" t="s">
        <v>17</v>
      </c>
      <c r="E53" s="15">
        <v>220</v>
      </c>
      <c r="F53" s="127" t="str">
        <f t="shared" si="0"/>
        <v/>
      </c>
      <c r="G53">
        <v>52</v>
      </c>
      <c r="H53" t="str">
        <f t="shared" si="1"/>
        <v>new RawMaterial { RawMaterialId = 52, Name = "Cherry", StockQuantity = 1.46f, CP = 220m, Unit = "kg" },</v>
      </c>
    </row>
    <row r="54" spans="1:8" x14ac:dyDescent="0.25">
      <c r="A54" s="57">
        <v>53</v>
      </c>
      <c r="B54" s="8" t="s">
        <v>44</v>
      </c>
      <c r="C54" s="96">
        <v>300</v>
      </c>
      <c r="D54" s="8" t="s">
        <v>44</v>
      </c>
      <c r="E54" s="15">
        <v>138</v>
      </c>
      <c r="F54" s="127" t="str">
        <f t="shared" si="0"/>
        <v/>
      </c>
      <c r="G54">
        <v>53</v>
      </c>
      <c r="H54" t="str">
        <f t="shared" si="1"/>
        <v>new RawMaterial { RawMaterialId = 53, Name = "Kismiss", StockQuantity = 300f, CP = 138m, Unit = "kg" },</v>
      </c>
    </row>
    <row r="55" spans="1:8" x14ac:dyDescent="0.25">
      <c r="A55" s="57">
        <v>54</v>
      </c>
      <c r="B55" s="8" t="s">
        <v>186</v>
      </c>
      <c r="C55" s="96">
        <v>1.0900000000000001</v>
      </c>
      <c r="D55" s="8" t="s">
        <v>186</v>
      </c>
      <c r="E55" s="15">
        <v>175</v>
      </c>
      <c r="F55" s="127" t="str">
        <f t="shared" si="0"/>
        <v/>
      </c>
      <c r="G55">
        <v>54</v>
      </c>
      <c r="H55" t="str">
        <f t="shared" si="1"/>
        <v>new RawMaterial { RawMaterialId = 54, Name = "Pineapple cutting", StockQuantity = 1.09f, CP = 175m, Unit = "kg" },</v>
      </c>
    </row>
    <row r="56" spans="1:8" x14ac:dyDescent="0.25">
      <c r="A56" s="57">
        <v>55</v>
      </c>
      <c r="B56" s="8" t="s">
        <v>183</v>
      </c>
      <c r="C56" s="96">
        <v>7</v>
      </c>
      <c r="D56" s="8" t="s">
        <v>183</v>
      </c>
      <c r="E56" s="15">
        <v>120</v>
      </c>
      <c r="F56" s="127" t="str">
        <f t="shared" si="0"/>
        <v/>
      </c>
      <c r="G56">
        <v>55</v>
      </c>
      <c r="H56" t="str">
        <f t="shared" si="1"/>
        <v>new RawMaterial { RawMaterialId = 55, Name = "Black Forest Powder", StockQuantity = 7f, CP = 120m, Unit = "kg" },</v>
      </c>
    </row>
    <row r="57" spans="1:8" x14ac:dyDescent="0.25">
      <c r="A57" s="57">
        <v>56</v>
      </c>
      <c r="B57" s="8" t="s">
        <v>184</v>
      </c>
      <c r="C57" s="96">
        <v>3.36</v>
      </c>
      <c r="D57" s="8" t="s">
        <v>184</v>
      </c>
      <c r="E57" s="15">
        <v>102</v>
      </c>
      <c r="F57" s="127" t="str">
        <f t="shared" si="0"/>
        <v/>
      </c>
      <c r="G57">
        <v>56</v>
      </c>
      <c r="H57" t="str">
        <f t="shared" si="1"/>
        <v>new RawMaterial { RawMaterialId = 56, Name = "White Forest Powder", StockQuantity = 3.36f, CP = 102m, Unit = "kg" },</v>
      </c>
    </row>
    <row r="58" spans="1:8" x14ac:dyDescent="0.25">
      <c r="A58" s="57">
        <v>57</v>
      </c>
      <c r="B58" s="8" t="s">
        <v>185</v>
      </c>
      <c r="C58" s="96">
        <v>5.4</v>
      </c>
      <c r="D58" s="8" t="s">
        <v>185</v>
      </c>
      <c r="E58" s="15">
        <v>210</v>
      </c>
      <c r="F58" s="127" t="str">
        <f t="shared" si="0"/>
        <v/>
      </c>
      <c r="G58">
        <v>57</v>
      </c>
      <c r="H58" t="str">
        <f t="shared" si="1"/>
        <v>new RawMaterial { RawMaterialId = 57, Name = "Red Velvet", StockQuantity = 5.4f, CP = 210m, Unit = "kg" },</v>
      </c>
    </row>
    <row r="59" spans="1:8" x14ac:dyDescent="0.25">
      <c r="A59" s="57">
        <v>58</v>
      </c>
      <c r="B59" s="8" t="s">
        <v>20</v>
      </c>
      <c r="C59" s="96">
        <v>20</v>
      </c>
      <c r="D59" s="8" t="s">
        <v>20</v>
      </c>
      <c r="E59" s="15">
        <f>210*2</f>
        <v>420</v>
      </c>
      <c r="F59" s="127" t="str">
        <f t="shared" si="0"/>
        <v/>
      </c>
      <c r="G59">
        <v>58</v>
      </c>
      <c r="H59" t="str">
        <f t="shared" si="1"/>
        <v>new RawMaterial { RawMaterialId = 58, Name = "Vanila", StockQuantity = 20f, CP = 420m, Unit = "kg" },</v>
      </c>
    </row>
    <row r="60" spans="1:8" x14ac:dyDescent="0.25">
      <c r="A60" s="57">
        <v>59</v>
      </c>
      <c r="B60" s="8" t="s">
        <v>63</v>
      </c>
      <c r="C60" s="96">
        <v>20</v>
      </c>
      <c r="D60" s="8" t="s">
        <v>63</v>
      </c>
      <c r="E60" s="15">
        <f>240*2</f>
        <v>480</v>
      </c>
      <c r="F60" s="127" t="str">
        <f t="shared" si="0"/>
        <v/>
      </c>
      <c r="G60">
        <v>59</v>
      </c>
      <c r="H60" t="str">
        <f t="shared" si="1"/>
        <v>new RawMaterial { RawMaterialId = 59, Name = "Orange", StockQuantity = 20f, CP = 480m, Unit = "kg" },</v>
      </c>
    </row>
    <row r="61" spans="1:8" x14ac:dyDescent="0.25">
      <c r="A61" s="57">
        <v>60</v>
      </c>
      <c r="B61" s="8" t="s">
        <v>61</v>
      </c>
      <c r="C61" s="96">
        <v>20</v>
      </c>
      <c r="D61" s="8" t="s">
        <v>61</v>
      </c>
      <c r="E61" s="15">
        <f>431</f>
        <v>431</v>
      </c>
      <c r="F61" s="127" t="str">
        <f t="shared" si="0"/>
        <v/>
      </c>
      <c r="G61">
        <v>60</v>
      </c>
      <c r="H61" t="str">
        <f t="shared" si="1"/>
        <v>new RawMaterial { RawMaterialId = 60, Name = "Pineapple", StockQuantity = 20f, CP = 431m, Unit = "kg" },</v>
      </c>
    </row>
    <row r="62" spans="1:8" x14ac:dyDescent="0.25">
      <c r="A62" s="57">
        <v>61</v>
      </c>
      <c r="B62" s="8" t="s">
        <v>187</v>
      </c>
      <c r="C62" s="96">
        <v>20</v>
      </c>
      <c r="D62" s="8" t="s">
        <v>187</v>
      </c>
      <c r="E62" s="15">
        <f>400</f>
        <v>400</v>
      </c>
      <c r="F62" s="127" t="str">
        <f t="shared" si="0"/>
        <v/>
      </c>
      <c r="G62">
        <v>61</v>
      </c>
      <c r="H62" t="str">
        <f t="shared" si="1"/>
        <v>new RawMaterial { RawMaterialId = 61, Name = "Ice Cream", StockQuantity = 20f, CP = 400m, Unit = "kg" },</v>
      </c>
    </row>
    <row r="63" spans="1:8" x14ac:dyDescent="0.25">
      <c r="A63" s="57">
        <v>62</v>
      </c>
      <c r="B63" s="8" t="s">
        <v>60</v>
      </c>
      <c r="C63" s="96">
        <v>20</v>
      </c>
      <c r="D63" s="8" t="s">
        <v>60</v>
      </c>
      <c r="E63" s="15">
        <f>356</f>
        <v>356</v>
      </c>
      <c r="F63" s="127" t="str">
        <f t="shared" si="0"/>
        <v/>
      </c>
      <c r="G63">
        <v>62</v>
      </c>
      <c r="H63" t="str">
        <f t="shared" si="1"/>
        <v>new RawMaterial { RawMaterialId = 62, Name = "Lemon", StockQuantity = 20f, CP = 356m, Unit = "kg" },</v>
      </c>
    </row>
    <row r="64" spans="1:8" x14ac:dyDescent="0.25">
      <c r="A64" s="57">
        <v>63</v>
      </c>
      <c r="B64" s="8" t="s">
        <v>62</v>
      </c>
      <c r="C64" s="96">
        <v>20</v>
      </c>
      <c r="D64" s="8" t="s">
        <v>62</v>
      </c>
      <c r="E64" s="15">
        <f>220*2</f>
        <v>440</v>
      </c>
      <c r="F64" s="127" t="str">
        <f t="shared" si="0"/>
        <v/>
      </c>
      <c r="G64">
        <v>63</v>
      </c>
      <c r="H64" t="str">
        <f t="shared" si="1"/>
        <v>new RawMaterial { RawMaterialId = 63, Name = "Rum", StockQuantity = 20f, CP = 440m, Unit = "kg" },</v>
      </c>
    </row>
    <row r="65" spans="1:8" x14ac:dyDescent="0.25">
      <c r="A65" s="57">
        <v>64</v>
      </c>
      <c r="B65" s="8" t="s">
        <v>64</v>
      </c>
      <c r="C65" s="96">
        <v>20</v>
      </c>
      <c r="D65" s="8" t="s">
        <v>64</v>
      </c>
      <c r="E65" s="15">
        <f>300</f>
        <v>300</v>
      </c>
      <c r="F65" s="127" t="str">
        <f t="shared" si="0"/>
        <v/>
      </c>
      <c r="G65">
        <v>64</v>
      </c>
      <c r="H65" t="str">
        <f t="shared" si="1"/>
        <v>new RawMaterial { RawMaterialId = 64, Name = "Almond", StockQuantity = 20f, CP = 300m, Unit = "kg" },</v>
      </c>
    </row>
    <row r="66" spans="1:8" x14ac:dyDescent="0.25">
      <c r="A66" s="57">
        <v>65</v>
      </c>
      <c r="B66" s="8" t="s">
        <v>189</v>
      </c>
      <c r="C66" s="96">
        <v>20</v>
      </c>
      <c r="D66" s="8" t="s">
        <v>189</v>
      </c>
      <c r="E66" s="15">
        <f>680*2</f>
        <v>1360</v>
      </c>
      <c r="F66" s="127" t="str">
        <f t="shared" si="0"/>
        <v/>
      </c>
      <c r="G66">
        <v>65</v>
      </c>
      <c r="H66" t="str">
        <f t="shared" si="1"/>
        <v>new RawMaterial { RawMaterialId = 65, Name = "Plum", StockQuantity = 20f, CP = 1360m, Unit = "kg" },</v>
      </c>
    </row>
    <row r="67" spans="1:8" x14ac:dyDescent="0.25">
      <c r="A67" s="57">
        <v>66</v>
      </c>
      <c r="B67" s="8" t="s">
        <v>32</v>
      </c>
      <c r="C67" s="96">
        <v>20</v>
      </c>
      <c r="D67" s="8" t="s">
        <v>32</v>
      </c>
      <c r="E67" s="15">
        <f>110*2</f>
        <v>220</v>
      </c>
      <c r="F67" s="127" t="str">
        <f t="shared" ref="F67:F72" si="2">IF(B67=D67,"","Diff")</f>
        <v/>
      </c>
      <c r="G67">
        <v>66</v>
      </c>
      <c r="H67" t="str">
        <f t="shared" ref="H67:H70" si="3">"new RawMaterial { RawMaterialId = "&amp;G67&amp;", Name = """&amp;B67&amp;""", StockQuantity = "&amp;C67&amp;"f, CP = "&amp;E67&amp;"m, Unit = ""kg"" },"</f>
        <v>new RawMaterial { RawMaterialId = 66, Name = "Butter", StockQuantity = 20f, CP = 220m, Unit = "kg" },</v>
      </c>
    </row>
    <row r="68" spans="1:8" x14ac:dyDescent="0.25">
      <c r="A68" s="57">
        <v>67</v>
      </c>
      <c r="B68" s="8" t="s">
        <v>188</v>
      </c>
      <c r="C68" s="96">
        <v>20</v>
      </c>
      <c r="D68" s="8" t="s">
        <v>188</v>
      </c>
      <c r="E68" s="15">
        <f>500</f>
        <v>500</v>
      </c>
      <c r="F68" s="127" t="str">
        <f t="shared" si="2"/>
        <v/>
      </c>
      <c r="G68">
        <v>67</v>
      </c>
      <c r="H68" t="str">
        <f t="shared" si="3"/>
        <v>new RawMaterial { RawMaterialId = 67, Name = "Banana", StockQuantity = 20f, CP = 500m, Unit = "kg" },</v>
      </c>
    </row>
    <row r="69" spans="1:8" x14ac:dyDescent="0.25">
      <c r="A69" s="57">
        <v>68</v>
      </c>
      <c r="B69" s="8" t="s">
        <v>33</v>
      </c>
      <c r="C69" s="96">
        <v>20</v>
      </c>
      <c r="D69" s="8" t="s">
        <v>33</v>
      </c>
      <c r="E69" s="15">
        <f>2</f>
        <v>2</v>
      </c>
      <c r="F69" s="127" t="str">
        <f t="shared" si="2"/>
        <v/>
      </c>
      <c r="G69">
        <v>68</v>
      </c>
      <c r="H69" t="str">
        <f t="shared" si="3"/>
        <v>new RawMaterial { RawMaterialId = 68, Name = "Water", StockQuantity = 20f, CP = 2m, Unit = "kg" },</v>
      </c>
    </row>
    <row r="70" spans="1:8" x14ac:dyDescent="0.25">
      <c r="A70" s="57">
        <v>69</v>
      </c>
      <c r="B70" s="8" t="s">
        <v>140</v>
      </c>
      <c r="C70" s="96">
        <v>20</v>
      </c>
      <c r="D70" s="8" t="s">
        <v>140</v>
      </c>
      <c r="E70" s="15">
        <v>5</v>
      </c>
      <c r="F70" s="127" t="str">
        <f t="shared" si="2"/>
        <v/>
      </c>
      <c r="G70">
        <v>69</v>
      </c>
      <c r="H70" t="str">
        <f t="shared" si="3"/>
        <v>new RawMaterial { RawMaterialId = 69, Name = "Pista Nuts", StockQuantity = 20f, CP = 5m, Unit = "kg" },</v>
      </c>
    </row>
    <row r="71" spans="1:8" x14ac:dyDescent="0.25">
      <c r="A71" s="57">
        <v>70</v>
      </c>
      <c r="B71" s="8" t="s">
        <v>257</v>
      </c>
      <c r="C71" s="96">
        <v>20</v>
      </c>
      <c r="D71" s="8" t="s">
        <v>257</v>
      </c>
      <c r="E71" s="15">
        <v>200</v>
      </c>
      <c r="F71" s="127" t="str">
        <f t="shared" si="2"/>
        <v/>
      </c>
      <c r="G71">
        <v>70</v>
      </c>
      <c r="H71" t="str">
        <f t="shared" ref="H71:H72" si="4">"new RawMaterial { RawMaterialId = "&amp;G71&amp;", Name = """&amp;B71&amp;""", StockQuantity = "&amp;C71&amp;"f, CP = "&amp;E71&amp;"m, Unit = ""kg"" },"</f>
        <v>new RawMaterial { RawMaterialId = 70, Name = "Muffin Mix Vanila", StockQuantity = 20f, CP = 200m, Unit = "kg" },</v>
      </c>
    </row>
    <row r="72" spans="1:8" x14ac:dyDescent="0.25">
      <c r="A72" s="57">
        <v>71</v>
      </c>
      <c r="B72" s="8" t="s">
        <v>259</v>
      </c>
      <c r="C72" s="96">
        <v>20</v>
      </c>
      <c r="D72" s="8" t="s">
        <v>259</v>
      </c>
      <c r="E72" s="15">
        <v>250</v>
      </c>
      <c r="F72" s="127" t="str">
        <f t="shared" si="2"/>
        <v/>
      </c>
      <c r="G72">
        <v>71</v>
      </c>
      <c r="H72" t="str">
        <f t="shared" si="4"/>
        <v>new RawMaterial { RawMaterialId = 71, Name = "Muffin Mix Choc", StockQuantity = 20f, CP = 250m, Unit = "kg" },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2D52-01D6-4870-AEE4-8A39B8D17AEE}">
  <dimension ref="A1:D78"/>
  <sheetViews>
    <sheetView tabSelected="1" workbookViewId="0">
      <selection activeCell="D5" sqref="D5"/>
    </sheetView>
  </sheetViews>
  <sheetFormatPr defaultRowHeight="15" x14ac:dyDescent="0.25"/>
  <cols>
    <col min="1" max="1" width="10.140625" bestFit="1" customWidth="1"/>
    <col min="2" max="2" width="23" bestFit="1" customWidth="1"/>
    <col min="3" max="3" width="23.7109375" bestFit="1" customWidth="1"/>
    <col min="4" max="4" width="12.5703125" bestFit="1" customWidth="1"/>
  </cols>
  <sheetData>
    <row r="1" spans="1:4" x14ac:dyDescent="0.25">
      <c r="A1" s="8" t="s">
        <v>308</v>
      </c>
      <c r="B1" s="8" t="s">
        <v>309</v>
      </c>
      <c r="C1" s="8" t="s">
        <v>310</v>
      </c>
      <c r="D1" s="8" t="s">
        <v>311</v>
      </c>
    </row>
    <row r="2" spans="1:4" x14ac:dyDescent="0.25">
      <c r="A2" s="8">
        <v>1</v>
      </c>
      <c r="B2" s="8" t="s">
        <v>10</v>
      </c>
      <c r="C2" s="8" t="s">
        <v>209</v>
      </c>
      <c r="D2" s="8"/>
    </row>
    <row r="3" spans="1:4" x14ac:dyDescent="0.25">
      <c r="A3" s="8">
        <v>2</v>
      </c>
      <c r="B3" s="8" t="s">
        <v>11</v>
      </c>
      <c r="C3" s="8" t="s">
        <v>209</v>
      </c>
      <c r="D3" s="8"/>
    </row>
    <row r="4" spans="1:4" x14ac:dyDescent="0.25">
      <c r="A4" s="8">
        <v>3</v>
      </c>
      <c r="B4" s="8" t="s">
        <v>12</v>
      </c>
      <c r="C4" s="8" t="s">
        <v>209</v>
      </c>
      <c r="D4" s="8"/>
    </row>
    <row r="5" spans="1:4" x14ac:dyDescent="0.25">
      <c r="A5" s="8">
        <v>4</v>
      </c>
      <c r="B5" s="8" t="s">
        <v>13</v>
      </c>
      <c r="C5" s="8" t="s">
        <v>209</v>
      </c>
      <c r="D5" s="8"/>
    </row>
    <row r="6" spans="1:4" x14ac:dyDescent="0.25">
      <c r="A6" s="8">
        <v>5</v>
      </c>
      <c r="B6" s="8" t="s">
        <v>14</v>
      </c>
      <c r="C6" s="8" t="s">
        <v>209</v>
      </c>
      <c r="D6" s="8"/>
    </row>
    <row r="7" spans="1:4" x14ac:dyDescent="0.25">
      <c r="A7" s="8">
        <v>6</v>
      </c>
      <c r="B7" s="8" t="s">
        <v>243</v>
      </c>
      <c r="C7" s="8" t="s">
        <v>209</v>
      </c>
      <c r="D7" s="5" t="s">
        <v>9</v>
      </c>
    </row>
    <row r="8" spans="1:4" x14ac:dyDescent="0.25">
      <c r="A8" s="8">
        <v>7</v>
      </c>
      <c r="B8" s="8" t="s">
        <v>244</v>
      </c>
      <c r="C8" s="8" t="s">
        <v>209</v>
      </c>
      <c r="D8" s="5" t="s">
        <v>9</v>
      </c>
    </row>
    <row r="9" spans="1:4" x14ac:dyDescent="0.25">
      <c r="A9" s="8">
        <v>8</v>
      </c>
      <c r="B9" s="8" t="s">
        <v>245</v>
      </c>
      <c r="C9" s="8" t="s">
        <v>209</v>
      </c>
      <c r="D9" s="5" t="s">
        <v>9</v>
      </c>
    </row>
    <row r="10" spans="1:4" x14ac:dyDescent="0.25">
      <c r="A10" s="8">
        <v>9</v>
      </c>
      <c r="B10" s="8" t="s">
        <v>246</v>
      </c>
      <c r="C10" s="8" t="s">
        <v>209</v>
      </c>
      <c r="D10" s="5" t="s">
        <v>9</v>
      </c>
    </row>
    <row r="11" spans="1:4" x14ac:dyDescent="0.25">
      <c r="A11" s="8">
        <v>10</v>
      </c>
      <c r="B11" s="8" t="s">
        <v>247</v>
      </c>
      <c r="C11" s="8" t="s">
        <v>209</v>
      </c>
      <c r="D11" s="5" t="s">
        <v>9</v>
      </c>
    </row>
    <row r="12" spans="1:4" x14ac:dyDescent="0.25">
      <c r="A12" s="8">
        <v>11</v>
      </c>
      <c r="B12" s="5" t="s">
        <v>272</v>
      </c>
      <c r="C12" s="8" t="s">
        <v>209</v>
      </c>
      <c r="D12" s="8"/>
    </row>
    <row r="13" spans="1:4" x14ac:dyDescent="0.25">
      <c r="A13" s="8">
        <v>12</v>
      </c>
      <c r="B13" s="8" t="s">
        <v>273</v>
      </c>
      <c r="C13" s="8" t="s">
        <v>209</v>
      </c>
      <c r="D13" s="8"/>
    </row>
    <row r="14" spans="1:4" x14ac:dyDescent="0.25">
      <c r="A14" s="8">
        <v>13</v>
      </c>
      <c r="B14" s="8" t="s">
        <v>274</v>
      </c>
      <c r="C14" s="8" t="s">
        <v>209</v>
      </c>
      <c r="D14" s="8"/>
    </row>
    <row r="15" spans="1:4" x14ac:dyDescent="0.25">
      <c r="A15" s="8">
        <v>14</v>
      </c>
      <c r="B15" s="8" t="s">
        <v>275</v>
      </c>
      <c r="C15" s="8" t="s">
        <v>209</v>
      </c>
      <c r="D15" s="8"/>
    </row>
    <row r="16" spans="1:4" x14ac:dyDescent="0.25">
      <c r="A16" s="8">
        <v>15</v>
      </c>
      <c r="B16" s="8" t="s">
        <v>276</v>
      </c>
      <c r="C16" s="8" t="s">
        <v>209</v>
      </c>
      <c r="D16" s="8"/>
    </row>
    <row r="17" spans="1:4" x14ac:dyDescent="0.25">
      <c r="A17" s="8">
        <v>16</v>
      </c>
      <c r="B17" s="8" t="s">
        <v>277</v>
      </c>
      <c r="C17" s="8" t="s">
        <v>209</v>
      </c>
      <c r="D17" s="8"/>
    </row>
    <row r="18" spans="1:4" x14ac:dyDescent="0.25">
      <c r="A18" s="8">
        <v>17</v>
      </c>
      <c r="B18" s="8" t="s">
        <v>278</v>
      </c>
      <c r="C18" s="8" t="s">
        <v>209</v>
      </c>
      <c r="D18" s="8"/>
    </row>
    <row r="19" spans="1:4" x14ac:dyDescent="0.25">
      <c r="A19" s="8">
        <v>18</v>
      </c>
      <c r="B19" s="8" t="s">
        <v>279</v>
      </c>
      <c r="C19" s="8" t="s">
        <v>209</v>
      </c>
      <c r="D19" s="8"/>
    </row>
    <row r="20" spans="1:4" x14ac:dyDescent="0.25">
      <c r="A20" s="8">
        <v>19</v>
      </c>
      <c r="B20" s="5" t="s">
        <v>291</v>
      </c>
      <c r="C20" s="5" t="s">
        <v>39</v>
      </c>
      <c r="D20" s="8" t="s">
        <v>312</v>
      </c>
    </row>
    <row r="21" spans="1:4" x14ac:dyDescent="0.25">
      <c r="A21" s="8">
        <v>20</v>
      </c>
      <c r="B21" s="8" t="s">
        <v>292</v>
      </c>
      <c r="C21" s="5" t="s">
        <v>39</v>
      </c>
      <c r="D21" s="8" t="s">
        <v>312</v>
      </c>
    </row>
    <row r="22" spans="1:4" x14ac:dyDescent="0.25">
      <c r="A22" s="8">
        <v>21</v>
      </c>
      <c r="B22" s="8" t="s">
        <v>294</v>
      </c>
      <c r="C22" s="5" t="s">
        <v>39</v>
      </c>
      <c r="D22" s="8" t="s">
        <v>312</v>
      </c>
    </row>
    <row r="23" spans="1:4" x14ac:dyDescent="0.25">
      <c r="A23" s="8">
        <v>22</v>
      </c>
      <c r="B23" s="8" t="s">
        <v>293</v>
      </c>
      <c r="C23" s="5" t="s">
        <v>39</v>
      </c>
      <c r="D23" s="8" t="s">
        <v>312</v>
      </c>
    </row>
    <row r="24" spans="1:4" x14ac:dyDescent="0.25">
      <c r="A24" s="8">
        <v>23</v>
      </c>
      <c r="B24" s="128" t="s">
        <v>299</v>
      </c>
      <c r="C24" s="129" t="s">
        <v>39</v>
      </c>
      <c r="D24" s="128" t="s">
        <v>313</v>
      </c>
    </row>
    <row r="25" spans="1:4" x14ac:dyDescent="0.25">
      <c r="A25" s="8">
        <v>24</v>
      </c>
      <c r="B25" s="128" t="s">
        <v>295</v>
      </c>
      <c r="C25" s="129" t="s">
        <v>39</v>
      </c>
      <c r="D25" s="128" t="s">
        <v>313</v>
      </c>
    </row>
    <row r="26" spans="1:4" x14ac:dyDescent="0.25">
      <c r="A26" s="8">
        <v>25</v>
      </c>
      <c r="B26" s="128" t="s">
        <v>296</v>
      </c>
      <c r="C26" s="129" t="s">
        <v>39</v>
      </c>
      <c r="D26" s="128" t="s">
        <v>313</v>
      </c>
    </row>
    <row r="27" spans="1:4" x14ac:dyDescent="0.25">
      <c r="A27" s="8">
        <v>26</v>
      </c>
      <c r="B27" s="128" t="s">
        <v>304</v>
      </c>
      <c r="C27" s="129" t="s">
        <v>39</v>
      </c>
      <c r="D27" s="128" t="s">
        <v>313</v>
      </c>
    </row>
    <row r="28" spans="1:4" x14ac:dyDescent="0.25">
      <c r="A28" s="8">
        <v>27</v>
      </c>
      <c r="B28" s="128" t="s">
        <v>297</v>
      </c>
      <c r="C28" s="129" t="s">
        <v>39</v>
      </c>
      <c r="D28" s="128" t="s">
        <v>313</v>
      </c>
    </row>
    <row r="29" spans="1:4" x14ac:dyDescent="0.25">
      <c r="A29" s="8">
        <v>28</v>
      </c>
      <c r="B29" s="128" t="s">
        <v>305</v>
      </c>
      <c r="C29" s="129" t="s">
        <v>39</v>
      </c>
      <c r="D29" s="8"/>
    </row>
    <row r="30" spans="1:4" x14ac:dyDescent="0.25">
      <c r="A30" s="8">
        <v>29</v>
      </c>
      <c r="B30" s="5" t="s">
        <v>24</v>
      </c>
      <c r="C30" s="5" t="s">
        <v>210</v>
      </c>
      <c r="D30" s="8"/>
    </row>
    <row r="31" spans="1:4" x14ac:dyDescent="0.25">
      <c r="A31" s="8">
        <v>30</v>
      </c>
      <c r="B31" s="5" t="s">
        <v>25</v>
      </c>
      <c r="C31" s="5" t="s">
        <v>210</v>
      </c>
      <c r="D31" s="8"/>
    </row>
    <row r="32" spans="1:4" x14ac:dyDescent="0.25">
      <c r="A32" s="8">
        <v>31</v>
      </c>
      <c r="B32" s="8" t="s">
        <v>26</v>
      </c>
      <c r="C32" s="5" t="s">
        <v>210</v>
      </c>
      <c r="D32" s="8"/>
    </row>
    <row r="33" spans="1:4" x14ac:dyDescent="0.25">
      <c r="A33" s="8">
        <v>32</v>
      </c>
      <c r="B33" s="8" t="s">
        <v>27</v>
      </c>
      <c r="C33" s="5" t="s">
        <v>210</v>
      </c>
      <c r="D33" s="8"/>
    </row>
    <row r="34" spans="1:4" x14ac:dyDescent="0.25">
      <c r="A34" s="8">
        <v>33</v>
      </c>
      <c r="B34" s="5" t="s">
        <v>28</v>
      </c>
      <c r="C34" s="8" t="s">
        <v>211</v>
      </c>
      <c r="D34" s="8"/>
    </row>
    <row r="35" spans="1:4" x14ac:dyDescent="0.25">
      <c r="A35" s="8">
        <v>34</v>
      </c>
      <c r="B35" s="8" t="s">
        <v>29</v>
      </c>
      <c r="C35" s="8" t="s">
        <v>211</v>
      </c>
      <c r="D35" s="8"/>
    </row>
    <row r="36" spans="1:4" x14ac:dyDescent="0.25">
      <c r="A36" s="8">
        <v>35</v>
      </c>
      <c r="B36" s="8" t="s">
        <v>30</v>
      </c>
      <c r="C36" s="8" t="s">
        <v>211</v>
      </c>
      <c r="D36" s="8"/>
    </row>
    <row r="37" spans="1:4" x14ac:dyDescent="0.25">
      <c r="A37" s="8">
        <v>36</v>
      </c>
      <c r="B37" s="8" t="s">
        <v>251</v>
      </c>
      <c r="C37" s="8" t="s">
        <v>212</v>
      </c>
      <c r="D37" s="8" t="s">
        <v>81</v>
      </c>
    </row>
    <row r="38" spans="1:4" x14ac:dyDescent="0.25">
      <c r="A38" s="8">
        <v>37</v>
      </c>
      <c r="B38" s="8" t="s">
        <v>248</v>
      </c>
      <c r="C38" s="8" t="s">
        <v>212</v>
      </c>
      <c r="D38" s="8" t="s">
        <v>81</v>
      </c>
    </row>
    <row r="39" spans="1:4" x14ac:dyDescent="0.25">
      <c r="A39" s="8">
        <v>38</v>
      </c>
      <c r="B39" s="8" t="s">
        <v>249</v>
      </c>
      <c r="C39" s="8" t="s">
        <v>212</v>
      </c>
      <c r="D39" s="8" t="s">
        <v>81</v>
      </c>
    </row>
    <row r="40" spans="1:4" x14ac:dyDescent="0.25">
      <c r="A40" s="8">
        <v>39</v>
      </c>
      <c r="B40" s="8" t="s">
        <v>250</v>
      </c>
      <c r="C40" s="8" t="s">
        <v>212</v>
      </c>
      <c r="D40" s="8" t="s">
        <v>81</v>
      </c>
    </row>
    <row r="41" spans="1:4" x14ac:dyDescent="0.25">
      <c r="A41" s="8">
        <v>40</v>
      </c>
      <c r="B41" s="8" t="s">
        <v>70</v>
      </c>
      <c r="C41" s="8" t="s">
        <v>213</v>
      </c>
      <c r="D41" s="8"/>
    </row>
    <row r="42" spans="1:4" x14ac:dyDescent="0.25">
      <c r="A42" s="8">
        <v>41</v>
      </c>
      <c r="B42" s="8" t="s">
        <v>83</v>
      </c>
      <c r="C42" s="8" t="s">
        <v>214</v>
      </c>
      <c r="D42" s="8"/>
    </row>
    <row r="43" spans="1:4" x14ac:dyDescent="0.25">
      <c r="A43" s="8">
        <v>42</v>
      </c>
      <c r="B43" s="8" t="s">
        <v>86</v>
      </c>
      <c r="C43" s="8" t="s">
        <v>216</v>
      </c>
      <c r="D43" s="8"/>
    </row>
    <row r="44" spans="1:4" x14ac:dyDescent="0.25">
      <c r="A44" s="8">
        <v>43</v>
      </c>
      <c r="B44" s="8" t="s">
        <v>218</v>
      </c>
      <c r="C44" s="8" t="s">
        <v>218</v>
      </c>
      <c r="D44" s="8"/>
    </row>
    <row r="45" spans="1:4" x14ac:dyDescent="0.25">
      <c r="A45" s="8">
        <v>44</v>
      </c>
      <c r="B45" s="8" t="s">
        <v>95</v>
      </c>
      <c r="C45" s="8" t="s">
        <v>217</v>
      </c>
      <c r="D45" s="8"/>
    </row>
    <row r="46" spans="1:4" x14ac:dyDescent="0.25">
      <c r="A46" s="8">
        <v>45</v>
      </c>
      <c r="B46" s="8" t="s">
        <v>98</v>
      </c>
      <c r="C46" s="8" t="s">
        <v>219</v>
      </c>
      <c r="D46" s="8"/>
    </row>
    <row r="47" spans="1:4" x14ac:dyDescent="0.25">
      <c r="A47" s="8">
        <v>46</v>
      </c>
      <c r="B47" s="8" t="s">
        <v>100</v>
      </c>
      <c r="C47" s="8" t="s">
        <v>220</v>
      </c>
      <c r="D47" s="8"/>
    </row>
    <row r="48" spans="1:4" x14ac:dyDescent="0.25">
      <c r="A48" s="8">
        <v>47</v>
      </c>
      <c r="B48" s="8" t="s">
        <v>102</v>
      </c>
      <c r="C48" s="8" t="s">
        <v>221</v>
      </c>
      <c r="D48" s="8"/>
    </row>
    <row r="49" spans="1:4" x14ac:dyDescent="0.25">
      <c r="A49" s="8">
        <v>48</v>
      </c>
      <c r="B49" s="8" t="s">
        <v>104</v>
      </c>
      <c r="C49" s="8" t="s">
        <v>222</v>
      </c>
      <c r="D49" s="8"/>
    </row>
    <row r="50" spans="1:4" x14ac:dyDescent="0.25">
      <c r="A50" s="8">
        <v>49</v>
      </c>
      <c r="B50" s="5" t="s">
        <v>118</v>
      </c>
      <c r="C50" s="8" t="s">
        <v>223</v>
      </c>
      <c r="D50" s="8"/>
    </row>
    <row r="51" spans="1:4" x14ac:dyDescent="0.25">
      <c r="A51" s="8">
        <v>50</v>
      </c>
      <c r="B51" s="5" t="s">
        <v>22</v>
      </c>
      <c r="C51" s="8" t="s">
        <v>223</v>
      </c>
      <c r="D51" s="8"/>
    </row>
    <row r="52" spans="1:4" x14ac:dyDescent="0.25">
      <c r="A52" s="8">
        <v>51</v>
      </c>
      <c r="B52" s="8" t="s">
        <v>23</v>
      </c>
      <c r="C52" s="8" t="s">
        <v>223</v>
      </c>
      <c r="D52" s="8"/>
    </row>
    <row r="53" spans="1:4" x14ac:dyDescent="0.25">
      <c r="A53" s="8">
        <v>52</v>
      </c>
      <c r="B53" s="8" t="s">
        <v>106</v>
      </c>
      <c r="C53" s="8" t="s">
        <v>223</v>
      </c>
      <c r="D53" s="8"/>
    </row>
    <row r="54" spans="1:4" x14ac:dyDescent="0.25">
      <c r="A54" s="8">
        <v>53</v>
      </c>
      <c r="B54" s="8" t="s">
        <v>107</v>
      </c>
      <c r="C54" s="8" t="s">
        <v>223</v>
      </c>
      <c r="D54" s="8"/>
    </row>
    <row r="55" spans="1:4" x14ac:dyDescent="0.25">
      <c r="A55" s="8">
        <v>54</v>
      </c>
      <c r="B55" s="8" t="s">
        <v>108</v>
      </c>
      <c r="C55" s="8" t="s">
        <v>223</v>
      </c>
      <c r="D55" s="8"/>
    </row>
    <row r="56" spans="1:4" x14ac:dyDescent="0.25">
      <c r="A56" s="8">
        <v>55</v>
      </c>
      <c r="B56" s="8" t="s">
        <v>111</v>
      </c>
      <c r="C56" s="8" t="s">
        <v>223</v>
      </c>
      <c r="D56" s="8"/>
    </row>
    <row r="57" spans="1:4" x14ac:dyDescent="0.25">
      <c r="A57" s="8">
        <v>56</v>
      </c>
      <c r="B57" s="128" t="s">
        <v>115</v>
      </c>
      <c r="C57" s="128" t="s">
        <v>223</v>
      </c>
      <c r="D57" s="8"/>
    </row>
    <row r="58" spans="1:4" x14ac:dyDescent="0.25">
      <c r="A58" s="8">
        <v>57</v>
      </c>
      <c r="B58" s="128" t="s">
        <v>116</v>
      </c>
      <c r="C58" s="128" t="s">
        <v>223</v>
      </c>
      <c r="D58" s="8"/>
    </row>
    <row r="59" spans="1:4" x14ac:dyDescent="0.25">
      <c r="A59" s="8">
        <v>58</v>
      </c>
      <c r="B59" s="128" t="s">
        <v>117</v>
      </c>
      <c r="C59" s="128" t="s">
        <v>223</v>
      </c>
      <c r="D59" s="8"/>
    </row>
    <row r="60" spans="1:4" x14ac:dyDescent="0.25">
      <c r="A60" s="8">
        <v>59</v>
      </c>
      <c r="B60" s="128" t="s">
        <v>109</v>
      </c>
      <c r="C60" s="128" t="s">
        <v>223</v>
      </c>
      <c r="D60" s="8"/>
    </row>
    <row r="61" spans="1:4" x14ac:dyDescent="0.25">
      <c r="A61" s="8">
        <v>60</v>
      </c>
      <c r="B61" s="128" t="s">
        <v>110</v>
      </c>
      <c r="C61" s="128" t="s">
        <v>223</v>
      </c>
      <c r="D61" s="8"/>
    </row>
    <row r="62" spans="1:4" x14ac:dyDescent="0.25">
      <c r="A62" s="8">
        <v>61</v>
      </c>
      <c r="B62" s="8" t="s">
        <v>112</v>
      </c>
      <c r="C62" s="8" t="s">
        <v>223</v>
      </c>
      <c r="D62" s="8"/>
    </row>
    <row r="63" spans="1:4" x14ac:dyDescent="0.25">
      <c r="A63" s="8">
        <v>62</v>
      </c>
      <c r="B63" s="8" t="s">
        <v>113</v>
      </c>
      <c r="C63" s="8" t="s">
        <v>223</v>
      </c>
      <c r="D63" s="8"/>
    </row>
    <row r="64" spans="1:4" x14ac:dyDescent="0.25">
      <c r="A64" s="8">
        <v>63</v>
      </c>
      <c r="B64" s="8" t="s">
        <v>114</v>
      </c>
      <c r="C64" s="8" t="s">
        <v>223</v>
      </c>
      <c r="D64" s="8"/>
    </row>
    <row r="65" spans="1:4" x14ac:dyDescent="0.25">
      <c r="A65" s="8">
        <v>64</v>
      </c>
      <c r="B65" s="5" t="s">
        <v>119</v>
      </c>
      <c r="C65" s="8" t="s">
        <v>224</v>
      </c>
      <c r="D65" s="8"/>
    </row>
    <row r="66" spans="1:4" x14ac:dyDescent="0.25">
      <c r="A66" s="8">
        <v>65</v>
      </c>
      <c r="B66" s="5" t="s">
        <v>121</v>
      </c>
      <c r="C66" s="8" t="s">
        <v>225</v>
      </c>
      <c r="D66" s="8"/>
    </row>
    <row r="67" spans="1:4" x14ac:dyDescent="0.25">
      <c r="A67" s="8">
        <v>66</v>
      </c>
      <c r="B67" s="5" t="s">
        <v>125</v>
      </c>
      <c r="C67" s="8" t="s">
        <v>226</v>
      </c>
      <c r="D67" s="8"/>
    </row>
    <row r="68" spans="1:4" x14ac:dyDescent="0.25">
      <c r="A68" s="8">
        <v>67</v>
      </c>
      <c r="B68" s="5" t="s">
        <v>126</v>
      </c>
      <c r="C68" s="8" t="s">
        <v>228</v>
      </c>
      <c r="D68" s="8"/>
    </row>
    <row r="69" spans="1:4" x14ac:dyDescent="0.25">
      <c r="A69" s="8">
        <v>68</v>
      </c>
      <c r="B69" s="5" t="s">
        <v>133</v>
      </c>
      <c r="C69" s="8" t="s">
        <v>229</v>
      </c>
      <c r="D69" s="8"/>
    </row>
    <row r="70" spans="1:4" x14ac:dyDescent="0.25">
      <c r="A70" s="8">
        <v>69</v>
      </c>
      <c r="B70" s="5" t="s">
        <v>137</v>
      </c>
      <c r="C70" s="8" t="s">
        <v>230</v>
      </c>
      <c r="D70" s="8"/>
    </row>
    <row r="71" spans="1:4" x14ac:dyDescent="0.25">
      <c r="A71" s="8">
        <v>70</v>
      </c>
      <c r="B71" s="5" t="s">
        <v>139</v>
      </c>
      <c r="C71" s="8" t="s">
        <v>232</v>
      </c>
      <c r="D71" s="8"/>
    </row>
    <row r="72" spans="1:4" x14ac:dyDescent="0.25">
      <c r="A72" s="8">
        <v>71</v>
      </c>
      <c r="B72" s="5" t="s">
        <v>142</v>
      </c>
      <c r="C72" s="8" t="s">
        <v>231</v>
      </c>
      <c r="D72" s="8"/>
    </row>
    <row r="73" spans="1:4" x14ac:dyDescent="0.25">
      <c r="A73" s="8">
        <v>72</v>
      </c>
      <c r="B73" s="5" t="s">
        <v>144</v>
      </c>
      <c r="C73" s="8" t="s">
        <v>234</v>
      </c>
      <c r="D73" s="8"/>
    </row>
    <row r="74" spans="1:4" x14ac:dyDescent="0.25">
      <c r="A74" s="8">
        <v>73</v>
      </c>
      <c r="B74" s="5" t="s">
        <v>145</v>
      </c>
      <c r="C74" s="8" t="s">
        <v>233</v>
      </c>
      <c r="D74" s="8"/>
    </row>
    <row r="75" spans="1:4" x14ac:dyDescent="0.25">
      <c r="A75" s="8">
        <v>74</v>
      </c>
      <c r="B75" s="5" t="s">
        <v>254</v>
      </c>
      <c r="C75" s="8" t="s">
        <v>256</v>
      </c>
      <c r="D75" s="8"/>
    </row>
    <row r="76" spans="1:4" x14ac:dyDescent="0.25">
      <c r="A76" s="8">
        <v>75</v>
      </c>
      <c r="B76" s="5" t="s">
        <v>255</v>
      </c>
      <c r="C76" s="8" t="s">
        <v>256</v>
      </c>
      <c r="D76" s="8"/>
    </row>
    <row r="77" spans="1:4" x14ac:dyDescent="0.25">
      <c r="A77" s="8">
        <v>76</v>
      </c>
      <c r="B77" s="5" t="s">
        <v>258</v>
      </c>
      <c r="C77" s="8" t="s">
        <v>314</v>
      </c>
      <c r="D77" s="8"/>
    </row>
    <row r="78" spans="1:4" x14ac:dyDescent="0.25">
      <c r="A78" s="8">
        <v>77</v>
      </c>
      <c r="B78" s="5" t="s">
        <v>260</v>
      </c>
      <c r="C78" s="8" t="s">
        <v>260</v>
      </c>
      <c r="D7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3473-5EA2-4215-877C-A76652DD2EEC}">
  <dimension ref="A2:R77"/>
  <sheetViews>
    <sheetView workbookViewId="0">
      <selection activeCell="B7" sqref="B7:C77"/>
    </sheetView>
  </sheetViews>
  <sheetFormatPr defaultColWidth="8.85546875" defaultRowHeight="15" x14ac:dyDescent="0.25"/>
  <cols>
    <col min="1" max="1" width="5.85546875" bestFit="1" customWidth="1"/>
    <col min="2" max="2" width="17.42578125" customWidth="1"/>
    <col min="3" max="3" width="14.140625" style="17" customWidth="1"/>
    <col min="4" max="4" width="4.140625" customWidth="1"/>
    <col min="5" max="5" width="6.42578125" style="17" customWidth="1"/>
    <col min="6" max="6" width="16.7109375" customWidth="1"/>
    <col min="7" max="7" width="13.7109375" style="17" customWidth="1"/>
    <col min="8" max="8" width="4.85546875" customWidth="1"/>
    <col min="9" max="9" width="5.85546875" style="17" bestFit="1" customWidth="1"/>
    <col min="10" max="10" width="17.85546875" bestFit="1" customWidth="1"/>
    <col min="11" max="11" width="12.28515625" style="17" bestFit="1" customWidth="1"/>
    <col min="12" max="12" width="5.140625" customWidth="1"/>
    <col min="13" max="13" width="5.85546875" style="17" bestFit="1" customWidth="1"/>
    <col min="14" max="14" width="16.85546875" customWidth="1"/>
    <col min="15" max="15" width="12.28515625" style="17" bestFit="1" customWidth="1"/>
  </cols>
  <sheetData>
    <row r="2" spans="1:18" x14ac:dyDescent="0.25">
      <c r="Q2" s="117" t="s">
        <v>227</v>
      </c>
      <c r="R2" s="117"/>
    </row>
    <row r="3" spans="1:18" x14ac:dyDescent="0.25">
      <c r="Q3" s="117"/>
      <c r="R3" s="117"/>
    </row>
    <row r="6" spans="1:18" x14ac:dyDescent="0.25">
      <c r="A6" s="35" t="s">
        <v>155</v>
      </c>
      <c r="B6" s="35" t="s">
        <v>0</v>
      </c>
      <c r="C6" s="36" t="s">
        <v>156</v>
      </c>
      <c r="E6" s="36" t="s">
        <v>155</v>
      </c>
      <c r="F6" s="35" t="s">
        <v>0</v>
      </c>
      <c r="G6" s="36" t="s">
        <v>156</v>
      </c>
      <c r="I6" s="36" t="s">
        <v>155</v>
      </c>
      <c r="J6" s="35" t="s">
        <v>0</v>
      </c>
      <c r="K6" s="36" t="s">
        <v>156</v>
      </c>
      <c r="M6" s="36" t="s">
        <v>155</v>
      </c>
      <c r="N6" s="35" t="s">
        <v>0</v>
      </c>
      <c r="O6" s="36" t="s">
        <v>202</v>
      </c>
    </row>
    <row r="7" spans="1:18" x14ac:dyDescent="0.25">
      <c r="A7" s="15">
        <v>1</v>
      </c>
      <c r="B7" s="8" t="s">
        <v>2</v>
      </c>
      <c r="C7" s="15">
        <v>36</v>
      </c>
      <c r="E7" s="15"/>
      <c r="F7" s="34" t="s">
        <v>47</v>
      </c>
      <c r="G7" s="15"/>
      <c r="I7" s="15">
        <v>43</v>
      </c>
      <c r="J7" s="8" t="s">
        <v>179</v>
      </c>
      <c r="K7" s="15">
        <v>129</v>
      </c>
      <c r="M7" s="15"/>
      <c r="N7" s="34" t="s">
        <v>67</v>
      </c>
      <c r="O7" s="15"/>
    </row>
    <row r="8" spans="1:18" x14ac:dyDescent="0.25">
      <c r="A8" s="15">
        <v>2</v>
      </c>
      <c r="B8" s="8" t="s">
        <v>4</v>
      </c>
      <c r="C8" s="15">
        <v>39</v>
      </c>
      <c r="E8" s="15">
        <v>22</v>
      </c>
      <c r="F8" s="8" t="s">
        <v>162</v>
      </c>
      <c r="G8" s="15">
        <v>159</v>
      </c>
      <c r="I8" s="15">
        <v>44</v>
      </c>
      <c r="J8" s="8" t="s">
        <v>180</v>
      </c>
      <c r="K8" s="15">
        <v>51</v>
      </c>
      <c r="M8" s="15">
        <v>58</v>
      </c>
      <c r="N8" s="8" t="s">
        <v>20</v>
      </c>
      <c r="O8" s="15">
        <f>210*2</f>
        <v>420</v>
      </c>
    </row>
    <row r="9" spans="1:18" x14ac:dyDescent="0.25">
      <c r="A9" s="15">
        <v>3</v>
      </c>
      <c r="B9" s="8" t="s">
        <v>3</v>
      </c>
      <c r="C9" s="15">
        <v>9</v>
      </c>
      <c r="E9" s="15">
        <v>23</v>
      </c>
      <c r="F9" s="8" t="s">
        <v>163</v>
      </c>
      <c r="G9" s="15">
        <v>148</v>
      </c>
      <c r="I9" s="15"/>
      <c r="J9" s="34" t="s">
        <v>57</v>
      </c>
      <c r="K9" s="15"/>
      <c r="M9" s="15">
        <v>59</v>
      </c>
      <c r="N9" s="8" t="s">
        <v>63</v>
      </c>
      <c r="O9" s="15">
        <f>240*2</f>
        <v>480</v>
      </c>
    </row>
    <row r="10" spans="1:18" x14ac:dyDescent="0.25">
      <c r="A10" s="15">
        <v>4</v>
      </c>
      <c r="B10" s="8" t="s">
        <v>5</v>
      </c>
      <c r="C10" s="15">
        <v>315</v>
      </c>
      <c r="E10" s="15">
        <v>24</v>
      </c>
      <c r="F10" s="8" t="s">
        <v>164</v>
      </c>
      <c r="G10" s="15">
        <v>163</v>
      </c>
      <c r="I10" s="15">
        <v>45</v>
      </c>
      <c r="J10" s="8" t="s">
        <v>181</v>
      </c>
      <c r="K10" s="15">
        <v>105</v>
      </c>
      <c r="M10" s="15">
        <v>60</v>
      </c>
      <c r="N10" s="8" t="s">
        <v>61</v>
      </c>
      <c r="O10" s="15">
        <f>431</f>
        <v>431</v>
      </c>
    </row>
    <row r="11" spans="1:18" x14ac:dyDescent="0.25">
      <c r="A11" s="15">
        <v>5</v>
      </c>
      <c r="B11" s="8" t="s">
        <v>157</v>
      </c>
      <c r="C11" s="15">
        <v>312</v>
      </c>
      <c r="E11" s="15">
        <v>25</v>
      </c>
      <c r="F11" s="8" t="s">
        <v>165</v>
      </c>
      <c r="G11" s="15">
        <v>170</v>
      </c>
      <c r="I11" s="15">
        <v>46</v>
      </c>
      <c r="J11" s="8" t="s">
        <v>74</v>
      </c>
      <c r="K11" s="15">
        <v>110</v>
      </c>
      <c r="M11" s="15">
        <v>61</v>
      </c>
      <c r="N11" s="8" t="s">
        <v>187</v>
      </c>
      <c r="O11" s="15">
        <f>400</f>
        <v>400</v>
      </c>
    </row>
    <row r="12" spans="1:18" x14ac:dyDescent="0.25">
      <c r="A12" s="15">
        <v>6</v>
      </c>
      <c r="B12" s="8" t="s">
        <v>56</v>
      </c>
      <c r="C12" s="15">
        <v>5</v>
      </c>
      <c r="E12" s="15">
        <v>26</v>
      </c>
      <c r="F12" s="8" t="s">
        <v>166</v>
      </c>
      <c r="G12" s="15">
        <v>168</v>
      </c>
      <c r="I12" s="15">
        <v>47</v>
      </c>
      <c r="J12" s="8" t="s">
        <v>75</v>
      </c>
      <c r="K12" s="15">
        <v>260</v>
      </c>
      <c r="M12" s="15">
        <v>62</v>
      </c>
      <c r="N12" s="8" t="s">
        <v>60</v>
      </c>
      <c r="O12" s="15">
        <f>356</f>
        <v>356</v>
      </c>
    </row>
    <row r="13" spans="1:18" x14ac:dyDescent="0.25">
      <c r="A13" s="15">
        <v>7</v>
      </c>
      <c r="B13" s="8" t="s">
        <v>18</v>
      </c>
      <c r="C13" s="15">
        <v>550</v>
      </c>
      <c r="E13" s="15">
        <v>27</v>
      </c>
      <c r="F13" s="8" t="s">
        <v>167</v>
      </c>
      <c r="G13" s="15">
        <v>260</v>
      </c>
      <c r="I13" s="15">
        <v>48</v>
      </c>
      <c r="J13" s="8" t="s">
        <v>63</v>
      </c>
      <c r="K13" s="15">
        <v>39</v>
      </c>
      <c r="M13" s="15">
        <v>63</v>
      </c>
      <c r="N13" s="8" t="s">
        <v>62</v>
      </c>
      <c r="O13" s="15">
        <f>220*2</f>
        <v>440</v>
      </c>
    </row>
    <row r="14" spans="1:18" x14ac:dyDescent="0.25">
      <c r="A14" s="15">
        <v>8</v>
      </c>
      <c r="B14" s="8" t="s">
        <v>197</v>
      </c>
      <c r="C14" s="15">
        <v>85</v>
      </c>
      <c r="E14" s="15">
        <v>28</v>
      </c>
      <c r="F14" s="8" t="s">
        <v>168</v>
      </c>
      <c r="G14" s="15">
        <v>364</v>
      </c>
      <c r="I14" s="15">
        <v>49</v>
      </c>
      <c r="J14" s="8" t="s">
        <v>78</v>
      </c>
      <c r="K14" s="15">
        <v>100</v>
      </c>
      <c r="M14" s="15">
        <v>64</v>
      </c>
      <c r="N14" s="8" t="s">
        <v>64</v>
      </c>
      <c r="O14" s="15">
        <f>300</f>
        <v>300</v>
      </c>
    </row>
    <row r="15" spans="1:18" x14ac:dyDescent="0.25">
      <c r="A15" s="15">
        <v>9</v>
      </c>
      <c r="B15" s="8" t="s">
        <v>36</v>
      </c>
      <c r="C15" s="15">
        <v>256</v>
      </c>
      <c r="E15" s="15">
        <v>29</v>
      </c>
      <c r="F15" s="8" t="s">
        <v>50</v>
      </c>
      <c r="G15" s="15">
        <v>500</v>
      </c>
      <c r="I15" s="15">
        <v>50</v>
      </c>
      <c r="J15" s="8" t="s">
        <v>182</v>
      </c>
      <c r="K15" s="15">
        <v>100</v>
      </c>
      <c r="M15" s="15">
        <v>65</v>
      </c>
      <c r="N15" s="8" t="s">
        <v>189</v>
      </c>
      <c r="O15" s="15">
        <f>680*2</f>
        <v>1360</v>
      </c>
    </row>
    <row r="16" spans="1:18" x14ac:dyDescent="0.25">
      <c r="A16" s="15">
        <v>10</v>
      </c>
      <c r="B16" s="8" t="s">
        <v>37</v>
      </c>
      <c r="C16" s="15">
        <v>500</v>
      </c>
      <c r="E16" s="15">
        <v>30</v>
      </c>
      <c r="F16" s="8" t="s">
        <v>169</v>
      </c>
      <c r="G16" s="15">
        <v>240</v>
      </c>
      <c r="I16" s="15">
        <v>51</v>
      </c>
      <c r="J16" s="8" t="s">
        <v>8</v>
      </c>
      <c r="K16" s="15">
        <v>56</v>
      </c>
      <c r="M16" s="15">
        <v>66</v>
      </c>
      <c r="N16" s="8" t="s">
        <v>32</v>
      </c>
      <c r="O16" s="15">
        <f>110*2</f>
        <v>220</v>
      </c>
    </row>
    <row r="17" spans="1:15" x14ac:dyDescent="0.25">
      <c r="A17" s="15">
        <v>11</v>
      </c>
      <c r="B17" s="8" t="s">
        <v>143</v>
      </c>
      <c r="C17" s="15">
        <v>210</v>
      </c>
      <c r="E17" s="15">
        <v>31</v>
      </c>
      <c r="F17" s="8" t="s">
        <v>170</v>
      </c>
      <c r="G17" s="15">
        <v>180</v>
      </c>
      <c r="I17" s="15">
        <v>52</v>
      </c>
      <c r="J17" s="8" t="s">
        <v>17</v>
      </c>
      <c r="K17" s="15">
        <v>220</v>
      </c>
      <c r="M17" s="15">
        <v>67</v>
      </c>
      <c r="N17" s="8" t="s">
        <v>188</v>
      </c>
      <c r="O17" s="15">
        <f>500</f>
        <v>500</v>
      </c>
    </row>
    <row r="18" spans="1:15" x14ac:dyDescent="0.25">
      <c r="A18" s="15">
        <v>12</v>
      </c>
      <c r="B18" s="8" t="s">
        <v>32</v>
      </c>
      <c r="C18" s="15">
        <v>465</v>
      </c>
      <c r="E18" s="15">
        <v>32</v>
      </c>
      <c r="F18" s="8" t="s">
        <v>171</v>
      </c>
      <c r="G18" s="15">
        <v>190</v>
      </c>
      <c r="I18" s="15">
        <v>53</v>
      </c>
      <c r="J18" s="8" t="s">
        <v>44</v>
      </c>
      <c r="K18" s="15">
        <v>138</v>
      </c>
      <c r="M18" s="15">
        <v>68</v>
      </c>
      <c r="N18" s="8" t="s">
        <v>33</v>
      </c>
      <c r="O18" s="15">
        <f>2</f>
        <v>2</v>
      </c>
    </row>
    <row r="19" spans="1:15" x14ac:dyDescent="0.25">
      <c r="A19" s="15">
        <v>13</v>
      </c>
      <c r="B19" s="8" t="s">
        <v>158</v>
      </c>
      <c r="C19" s="15">
        <v>190</v>
      </c>
      <c r="E19" s="15">
        <v>33</v>
      </c>
      <c r="F19" s="8" t="s">
        <v>172</v>
      </c>
      <c r="G19" s="15">
        <v>50</v>
      </c>
      <c r="I19" s="15">
        <v>54</v>
      </c>
      <c r="J19" s="8" t="s">
        <v>186</v>
      </c>
      <c r="K19" s="15">
        <v>175</v>
      </c>
      <c r="M19" s="15">
        <v>69</v>
      </c>
      <c r="N19" s="8" t="s">
        <v>140</v>
      </c>
      <c r="O19" s="15"/>
    </row>
    <row r="20" spans="1:15" x14ac:dyDescent="0.25">
      <c r="A20" s="15">
        <v>14</v>
      </c>
      <c r="B20" s="8" t="s">
        <v>159</v>
      </c>
      <c r="C20" s="15">
        <v>85</v>
      </c>
      <c r="E20" s="15">
        <v>34</v>
      </c>
      <c r="F20" s="8" t="s">
        <v>94</v>
      </c>
      <c r="G20" s="15">
        <v>220</v>
      </c>
      <c r="I20" s="15"/>
      <c r="J20" s="8"/>
      <c r="K20" s="15"/>
      <c r="M20" s="15">
        <v>70</v>
      </c>
      <c r="N20" s="8" t="s">
        <v>257</v>
      </c>
      <c r="O20" s="15">
        <v>200</v>
      </c>
    </row>
    <row r="21" spans="1:15" x14ac:dyDescent="0.25">
      <c r="A21" s="15">
        <v>15</v>
      </c>
      <c r="B21" s="8" t="s">
        <v>31</v>
      </c>
      <c r="C21" s="15">
        <v>145</v>
      </c>
      <c r="E21" s="15">
        <v>35</v>
      </c>
      <c r="F21" s="8" t="s">
        <v>173</v>
      </c>
      <c r="G21" s="15">
        <v>75</v>
      </c>
      <c r="I21" s="15">
        <v>55</v>
      </c>
      <c r="J21" s="8" t="s">
        <v>183</v>
      </c>
      <c r="K21" s="15">
        <v>120</v>
      </c>
      <c r="M21" s="15">
        <v>71</v>
      </c>
      <c r="N21" s="8" t="s">
        <v>259</v>
      </c>
      <c r="O21" s="15">
        <v>250</v>
      </c>
    </row>
    <row r="22" spans="1:15" x14ac:dyDescent="0.25">
      <c r="A22" s="15">
        <v>16</v>
      </c>
      <c r="B22" s="8" t="s">
        <v>160</v>
      </c>
      <c r="C22" s="15">
        <v>155</v>
      </c>
      <c r="E22" s="15">
        <v>36</v>
      </c>
      <c r="F22" s="8" t="s">
        <v>174</v>
      </c>
      <c r="G22" s="15">
        <v>75</v>
      </c>
      <c r="I22" s="15">
        <v>56</v>
      </c>
      <c r="J22" s="8" t="s">
        <v>184</v>
      </c>
      <c r="K22" s="15">
        <v>102</v>
      </c>
      <c r="M22" s="15"/>
      <c r="N22" s="8"/>
      <c r="O22" s="15"/>
    </row>
    <row r="23" spans="1:15" x14ac:dyDescent="0.25">
      <c r="A23" s="15">
        <v>17</v>
      </c>
      <c r="B23" s="8" t="s">
        <v>161</v>
      </c>
      <c r="C23" s="15">
        <v>185</v>
      </c>
      <c r="E23" s="15">
        <v>37</v>
      </c>
      <c r="F23" s="8" t="s">
        <v>175</v>
      </c>
      <c r="G23" s="15">
        <v>85</v>
      </c>
      <c r="I23" s="15">
        <v>57</v>
      </c>
      <c r="J23" s="8" t="s">
        <v>185</v>
      </c>
      <c r="K23" s="15">
        <v>210</v>
      </c>
      <c r="M23" s="15"/>
      <c r="N23" s="8"/>
      <c r="O23" s="15"/>
    </row>
    <row r="24" spans="1:15" x14ac:dyDescent="0.25">
      <c r="A24" s="15">
        <v>18</v>
      </c>
      <c r="B24" s="8" t="s">
        <v>97</v>
      </c>
      <c r="C24" s="15">
        <v>70</v>
      </c>
      <c r="E24" s="15">
        <v>38</v>
      </c>
      <c r="F24" s="8" t="s">
        <v>90</v>
      </c>
      <c r="G24" s="15">
        <v>110</v>
      </c>
      <c r="I24" s="15"/>
      <c r="J24" s="8"/>
      <c r="K24" s="15"/>
      <c r="M24" s="15"/>
      <c r="N24" s="8"/>
      <c r="O24" s="15"/>
    </row>
    <row r="25" spans="1:15" x14ac:dyDescent="0.25">
      <c r="A25" s="15">
        <v>19</v>
      </c>
      <c r="B25" s="8" t="s">
        <v>15</v>
      </c>
      <c r="C25" s="15">
        <v>1320</v>
      </c>
      <c r="E25" s="15">
        <v>39</v>
      </c>
      <c r="F25" s="8" t="s">
        <v>176</v>
      </c>
      <c r="G25" s="15">
        <v>360</v>
      </c>
      <c r="I25" s="15"/>
      <c r="J25" s="8"/>
      <c r="K25" s="15"/>
      <c r="M25" s="15"/>
      <c r="N25" s="8"/>
      <c r="O25" s="15"/>
    </row>
    <row r="26" spans="1:15" x14ac:dyDescent="0.25">
      <c r="A26" s="15">
        <v>20</v>
      </c>
      <c r="B26" s="8" t="s">
        <v>105</v>
      </c>
      <c r="C26" s="15">
        <v>60</v>
      </c>
      <c r="E26" s="15">
        <v>40</v>
      </c>
      <c r="F26" s="8" t="s">
        <v>66</v>
      </c>
      <c r="G26" s="15">
        <v>250</v>
      </c>
      <c r="I26" s="15"/>
      <c r="J26" s="8"/>
      <c r="K26" s="15"/>
      <c r="M26" s="15"/>
      <c r="N26" s="8"/>
      <c r="O26" s="15"/>
    </row>
    <row r="27" spans="1:15" x14ac:dyDescent="0.25">
      <c r="A27" s="15">
        <v>21</v>
      </c>
      <c r="B27" s="8" t="s">
        <v>21</v>
      </c>
      <c r="C27" s="15">
        <v>45</v>
      </c>
      <c r="E27" s="15">
        <v>41</v>
      </c>
      <c r="F27" s="8" t="s">
        <v>177</v>
      </c>
      <c r="G27" s="15">
        <v>180</v>
      </c>
      <c r="I27" s="15"/>
      <c r="J27" s="8"/>
      <c r="K27" s="15"/>
      <c r="M27" s="15"/>
      <c r="N27" s="8"/>
      <c r="O27" s="15"/>
    </row>
    <row r="28" spans="1:15" x14ac:dyDescent="0.25">
      <c r="A28" s="15">
        <v>22</v>
      </c>
      <c r="B28" s="8" t="s">
        <v>162</v>
      </c>
      <c r="C28" s="15">
        <v>159</v>
      </c>
      <c r="E28" s="15">
        <v>42</v>
      </c>
      <c r="F28" s="8" t="s">
        <v>178</v>
      </c>
      <c r="G28" s="15">
        <v>185</v>
      </c>
      <c r="I28" s="15"/>
      <c r="J28" s="8"/>
      <c r="K28" s="15"/>
      <c r="M28" s="15"/>
      <c r="N28" s="8"/>
      <c r="O28" s="15"/>
    </row>
    <row r="29" spans="1:15" x14ac:dyDescent="0.25">
      <c r="A29" s="15">
        <v>23</v>
      </c>
      <c r="B29" s="8" t="s">
        <v>163</v>
      </c>
      <c r="C29" s="15">
        <v>148</v>
      </c>
      <c r="E29" s="15"/>
      <c r="F29" s="8"/>
      <c r="G29" s="15"/>
      <c r="I29" s="15"/>
      <c r="J29" s="8"/>
      <c r="K29" s="15"/>
      <c r="M29" s="15"/>
      <c r="N29" s="8"/>
      <c r="O29" s="15"/>
    </row>
    <row r="30" spans="1:15" x14ac:dyDescent="0.25">
      <c r="A30" s="15">
        <v>24</v>
      </c>
      <c r="B30" s="8" t="s">
        <v>164</v>
      </c>
      <c r="C30" s="15">
        <v>163</v>
      </c>
      <c r="E30" s="15"/>
      <c r="F30" s="8"/>
      <c r="G30" s="15"/>
      <c r="I30" s="15"/>
      <c r="J30" s="8"/>
      <c r="K30" s="15"/>
      <c r="M30" s="15"/>
      <c r="N30" s="8"/>
      <c r="O30" s="15"/>
    </row>
    <row r="31" spans="1:15" x14ac:dyDescent="0.25">
      <c r="A31" s="15">
        <v>25</v>
      </c>
      <c r="B31" s="8" t="s">
        <v>165</v>
      </c>
      <c r="C31" s="15">
        <v>170</v>
      </c>
    </row>
    <row r="32" spans="1:15" x14ac:dyDescent="0.25">
      <c r="A32" s="15">
        <v>26</v>
      </c>
      <c r="B32" s="8" t="s">
        <v>166</v>
      </c>
      <c r="C32" s="15">
        <v>168</v>
      </c>
    </row>
    <row r="33" spans="1:3" x14ac:dyDescent="0.25">
      <c r="A33" s="15">
        <v>27</v>
      </c>
      <c r="B33" s="8" t="s">
        <v>167</v>
      </c>
      <c r="C33" s="15">
        <v>260</v>
      </c>
    </row>
    <row r="34" spans="1:3" x14ac:dyDescent="0.25">
      <c r="A34" s="15">
        <v>28</v>
      </c>
      <c r="B34" s="8" t="s">
        <v>168</v>
      </c>
      <c r="C34" s="15">
        <v>364</v>
      </c>
    </row>
    <row r="35" spans="1:3" x14ac:dyDescent="0.25">
      <c r="A35" s="15">
        <v>29</v>
      </c>
      <c r="B35" s="8" t="s">
        <v>50</v>
      </c>
      <c r="C35" s="15">
        <v>500</v>
      </c>
    </row>
    <row r="36" spans="1:3" x14ac:dyDescent="0.25">
      <c r="A36" s="15">
        <v>30</v>
      </c>
      <c r="B36" s="8" t="s">
        <v>169</v>
      </c>
      <c r="C36" s="15">
        <v>240</v>
      </c>
    </row>
    <row r="37" spans="1:3" x14ac:dyDescent="0.25">
      <c r="A37" s="15">
        <v>31</v>
      </c>
      <c r="B37" s="8" t="s">
        <v>170</v>
      </c>
      <c r="C37" s="15">
        <v>180</v>
      </c>
    </row>
    <row r="38" spans="1:3" x14ac:dyDescent="0.25">
      <c r="A38" s="15">
        <v>32</v>
      </c>
      <c r="B38" s="8" t="s">
        <v>171</v>
      </c>
      <c r="C38" s="15">
        <v>190</v>
      </c>
    </row>
    <row r="39" spans="1:3" x14ac:dyDescent="0.25">
      <c r="A39" s="15">
        <v>33</v>
      </c>
      <c r="B39" s="8" t="s">
        <v>172</v>
      </c>
      <c r="C39" s="15">
        <v>50</v>
      </c>
    </row>
    <row r="40" spans="1:3" x14ac:dyDescent="0.25">
      <c r="A40" s="15">
        <v>34</v>
      </c>
      <c r="B40" s="8" t="s">
        <v>94</v>
      </c>
      <c r="C40" s="15">
        <v>220</v>
      </c>
    </row>
    <row r="41" spans="1:3" x14ac:dyDescent="0.25">
      <c r="A41" s="15">
        <v>35</v>
      </c>
      <c r="B41" s="8" t="s">
        <v>173</v>
      </c>
      <c r="C41" s="15">
        <v>75</v>
      </c>
    </row>
    <row r="42" spans="1:3" x14ac:dyDescent="0.25">
      <c r="A42" s="15">
        <v>36</v>
      </c>
      <c r="B42" s="8" t="s">
        <v>174</v>
      </c>
      <c r="C42" s="15">
        <v>75</v>
      </c>
    </row>
    <row r="43" spans="1:3" x14ac:dyDescent="0.25">
      <c r="A43" s="15">
        <v>37</v>
      </c>
      <c r="B43" s="8" t="s">
        <v>175</v>
      </c>
      <c r="C43" s="15">
        <v>85</v>
      </c>
    </row>
    <row r="44" spans="1:3" x14ac:dyDescent="0.25">
      <c r="A44" s="15">
        <v>38</v>
      </c>
      <c r="B44" s="8" t="s">
        <v>90</v>
      </c>
      <c r="C44" s="15">
        <v>110</v>
      </c>
    </row>
    <row r="45" spans="1:3" x14ac:dyDescent="0.25">
      <c r="A45" s="15">
        <v>39</v>
      </c>
      <c r="B45" s="8" t="s">
        <v>176</v>
      </c>
      <c r="C45" s="15">
        <v>360</v>
      </c>
    </row>
    <row r="46" spans="1:3" x14ac:dyDescent="0.25">
      <c r="A46" s="15">
        <v>40</v>
      </c>
      <c r="B46" s="8" t="s">
        <v>66</v>
      </c>
      <c r="C46" s="15">
        <v>250</v>
      </c>
    </row>
    <row r="47" spans="1:3" x14ac:dyDescent="0.25">
      <c r="A47" s="15">
        <v>41</v>
      </c>
      <c r="B47" s="8" t="s">
        <v>177</v>
      </c>
      <c r="C47" s="15">
        <v>180</v>
      </c>
    </row>
    <row r="48" spans="1:3" x14ac:dyDescent="0.25">
      <c r="A48" s="15">
        <v>42</v>
      </c>
      <c r="B48" s="8" t="s">
        <v>178</v>
      </c>
      <c r="C48" s="15">
        <v>185</v>
      </c>
    </row>
    <row r="49" spans="1:3" x14ac:dyDescent="0.25">
      <c r="A49" s="15">
        <v>43</v>
      </c>
      <c r="B49" s="8" t="s">
        <v>179</v>
      </c>
      <c r="C49" s="15">
        <v>129</v>
      </c>
    </row>
    <row r="50" spans="1:3" x14ac:dyDescent="0.25">
      <c r="A50" s="15">
        <v>44</v>
      </c>
      <c r="B50" s="8" t="s">
        <v>180</v>
      </c>
      <c r="C50" s="15">
        <v>51</v>
      </c>
    </row>
    <row r="51" spans="1:3" x14ac:dyDescent="0.25">
      <c r="A51" s="15">
        <v>45</v>
      </c>
      <c r="B51" s="8" t="s">
        <v>181</v>
      </c>
      <c r="C51" s="15">
        <v>105</v>
      </c>
    </row>
    <row r="52" spans="1:3" x14ac:dyDescent="0.25">
      <c r="A52" s="15">
        <v>46</v>
      </c>
      <c r="B52" s="8" t="s">
        <v>74</v>
      </c>
      <c r="C52" s="15">
        <v>110</v>
      </c>
    </row>
    <row r="53" spans="1:3" x14ac:dyDescent="0.25">
      <c r="A53" s="15">
        <v>47</v>
      </c>
      <c r="B53" s="8" t="s">
        <v>75</v>
      </c>
      <c r="C53" s="15">
        <v>260</v>
      </c>
    </row>
    <row r="54" spans="1:3" x14ac:dyDescent="0.25">
      <c r="A54" s="15">
        <v>48</v>
      </c>
      <c r="B54" s="8" t="s">
        <v>63</v>
      </c>
      <c r="C54" s="15">
        <v>39</v>
      </c>
    </row>
    <row r="55" spans="1:3" x14ac:dyDescent="0.25">
      <c r="A55" s="15">
        <v>49</v>
      </c>
      <c r="B55" s="8" t="s">
        <v>78</v>
      </c>
      <c r="C55" s="15">
        <v>100</v>
      </c>
    </row>
    <row r="56" spans="1:3" x14ac:dyDescent="0.25">
      <c r="A56" s="15">
        <v>50</v>
      </c>
      <c r="B56" s="8" t="s">
        <v>182</v>
      </c>
      <c r="C56" s="15">
        <v>100</v>
      </c>
    </row>
    <row r="57" spans="1:3" x14ac:dyDescent="0.25">
      <c r="A57" s="15">
        <v>51</v>
      </c>
      <c r="B57" s="8" t="s">
        <v>8</v>
      </c>
      <c r="C57" s="15">
        <v>56</v>
      </c>
    </row>
    <row r="58" spans="1:3" x14ac:dyDescent="0.25">
      <c r="A58" s="15">
        <v>52</v>
      </c>
      <c r="B58" s="8" t="s">
        <v>17</v>
      </c>
      <c r="C58" s="15">
        <v>220</v>
      </c>
    </row>
    <row r="59" spans="1:3" x14ac:dyDescent="0.25">
      <c r="A59" s="15">
        <v>53</v>
      </c>
      <c r="B59" s="8" t="s">
        <v>44</v>
      </c>
      <c r="C59" s="15">
        <v>138</v>
      </c>
    </row>
    <row r="60" spans="1:3" x14ac:dyDescent="0.25">
      <c r="A60" s="15">
        <v>54</v>
      </c>
      <c r="B60" s="8" t="s">
        <v>186</v>
      </c>
      <c r="C60" s="15">
        <v>175</v>
      </c>
    </row>
    <row r="61" spans="1:3" x14ac:dyDescent="0.25">
      <c r="A61" s="15">
        <v>55</v>
      </c>
      <c r="B61" s="8" t="s">
        <v>183</v>
      </c>
      <c r="C61" s="15">
        <v>120</v>
      </c>
    </row>
    <row r="62" spans="1:3" x14ac:dyDescent="0.25">
      <c r="A62" s="15">
        <v>56</v>
      </c>
      <c r="B62" s="8" t="s">
        <v>184</v>
      </c>
      <c r="C62" s="15">
        <v>102</v>
      </c>
    </row>
    <row r="63" spans="1:3" x14ac:dyDescent="0.25">
      <c r="A63" s="15">
        <v>57</v>
      </c>
      <c r="B63" s="8" t="s">
        <v>185</v>
      </c>
      <c r="C63" s="15">
        <v>210</v>
      </c>
    </row>
    <row r="64" spans="1:3" x14ac:dyDescent="0.25">
      <c r="A64" s="15">
        <v>58</v>
      </c>
      <c r="B64" s="8" t="s">
        <v>20</v>
      </c>
      <c r="C64" s="15">
        <f>210*2</f>
        <v>420</v>
      </c>
    </row>
    <row r="65" spans="1:3" x14ac:dyDescent="0.25">
      <c r="A65" s="15">
        <v>59</v>
      </c>
      <c r="B65" s="8" t="s">
        <v>63</v>
      </c>
      <c r="C65" s="15">
        <f>240*2</f>
        <v>480</v>
      </c>
    </row>
    <row r="66" spans="1:3" x14ac:dyDescent="0.25">
      <c r="A66" s="15">
        <v>60</v>
      </c>
      <c r="B66" s="8" t="s">
        <v>61</v>
      </c>
      <c r="C66" s="15">
        <f>431</f>
        <v>431</v>
      </c>
    </row>
    <row r="67" spans="1:3" x14ac:dyDescent="0.25">
      <c r="A67" s="15">
        <v>61</v>
      </c>
      <c r="B67" s="8" t="s">
        <v>187</v>
      </c>
      <c r="C67" s="15">
        <f>400</f>
        <v>400</v>
      </c>
    </row>
    <row r="68" spans="1:3" x14ac:dyDescent="0.25">
      <c r="A68" s="15">
        <v>62</v>
      </c>
      <c r="B68" s="8" t="s">
        <v>60</v>
      </c>
      <c r="C68" s="15">
        <f>356</f>
        <v>356</v>
      </c>
    </row>
    <row r="69" spans="1:3" x14ac:dyDescent="0.25">
      <c r="A69" s="15">
        <v>63</v>
      </c>
      <c r="B69" s="8" t="s">
        <v>62</v>
      </c>
      <c r="C69" s="15">
        <f>220*2</f>
        <v>440</v>
      </c>
    </row>
    <row r="70" spans="1:3" x14ac:dyDescent="0.25">
      <c r="A70" s="15">
        <v>64</v>
      </c>
      <c r="B70" s="8" t="s">
        <v>64</v>
      </c>
      <c r="C70" s="15">
        <f>300</f>
        <v>300</v>
      </c>
    </row>
    <row r="71" spans="1:3" x14ac:dyDescent="0.25">
      <c r="A71" s="15">
        <v>65</v>
      </c>
      <c r="B71" s="8" t="s">
        <v>189</v>
      </c>
      <c r="C71" s="15">
        <f>680*2</f>
        <v>1360</v>
      </c>
    </row>
    <row r="72" spans="1:3" x14ac:dyDescent="0.25">
      <c r="A72" s="15">
        <v>66</v>
      </c>
      <c r="B72" s="8" t="s">
        <v>32</v>
      </c>
      <c r="C72" s="15">
        <f>110*2</f>
        <v>220</v>
      </c>
    </row>
    <row r="73" spans="1:3" x14ac:dyDescent="0.25">
      <c r="A73" s="15">
        <v>67</v>
      </c>
      <c r="B73" s="8" t="s">
        <v>188</v>
      </c>
      <c r="C73" s="15">
        <f>500</f>
        <v>500</v>
      </c>
    </row>
    <row r="74" spans="1:3" x14ac:dyDescent="0.25">
      <c r="A74" s="15">
        <v>68</v>
      </c>
      <c r="B74" s="8" t="s">
        <v>33</v>
      </c>
      <c r="C74" s="15">
        <f>2</f>
        <v>2</v>
      </c>
    </row>
    <row r="75" spans="1:3" x14ac:dyDescent="0.25">
      <c r="A75" s="15">
        <v>69</v>
      </c>
      <c r="B75" s="8" t="s">
        <v>140</v>
      </c>
      <c r="C75" s="15">
        <v>5</v>
      </c>
    </row>
    <row r="76" spans="1:3" x14ac:dyDescent="0.25">
      <c r="A76" s="15">
        <v>70</v>
      </c>
      <c r="B76" s="8" t="s">
        <v>257</v>
      </c>
      <c r="C76" s="15">
        <v>200</v>
      </c>
    </row>
    <row r="77" spans="1:3" x14ac:dyDescent="0.25">
      <c r="A77" s="15">
        <v>71</v>
      </c>
      <c r="B77" s="8" t="s">
        <v>259</v>
      </c>
      <c r="C77" s="15">
        <v>250</v>
      </c>
    </row>
  </sheetData>
  <mergeCells count="1">
    <mergeCell ref="Q2:R3"/>
  </mergeCells>
  <hyperlinks>
    <hyperlink ref="Q2:R3" location="Home!A1" display="Home" xr:uid="{4FCC32ED-2DB7-4FF2-BF59-D18307EA438F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5B50-A414-40E8-B274-E34251BCB63C}">
  <dimension ref="A2:Y47"/>
  <sheetViews>
    <sheetView topLeftCell="A25" zoomScale="133" zoomScaleNormal="231" workbookViewId="0">
      <selection activeCell="A3" sqref="A3"/>
    </sheetView>
  </sheetViews>
  <sheetFormatPr defaultColWidth="8.85546875" defaultRowHeight="15" x14ac:dyDescent="0.25"/>
  <cols>
    <col min="1" max="1" width="19.140625" customWidth="1"/>
    <col min="2" max="2" width="8.28515625" style="1" bestFit="1" customWidth="1"/>
    <col min="3" max="3" width="7.140625" style="1" bestFit="1" customWidth="1"/>
    <col min="4" max="4" width="10.42578125" style="1" customWidth="1"/>
    <col min="5" max="5" width="9.42578125" style="1" bestFit="1" customWidth="1"/>
    <col min="6" max="6" width="8.42578125" style="1" bestFit="1" customWidth="1"/>
    <col min="7" max="7" width="7.42578125" style="1" bestFit="1" customWidth="1"/>
    <col min="8" max="8" width="8.140625" style="1" bestFit="1" customWidth="1"/>
    <col min="9" max="9" width="15.85546875" style="1" customWidth="1"/>
    <col min="10" max="10" width="11.85546875" style="1" bestFit="1" customWidth="1"/>
    <col min="11" max="11" width="12.42578125" style="1" customWidth="1"/>
    <col min="12" max="12" width="10.42578125" style="1" bestFit="1" customWidth="1"/>
    <col min="13" max="13" width="10.140625" style="2" bestFit="1" customWidth="1"/>
    <col min="14" max="14" width="7.140625" style="17" customWidth="1"/>
    <col min="15" max="15" width="13.140625" style="17" customWidth="1"/>
    <col min="16" max="16" width="11.28515625" style="17" customWidth="1"/>
    <col min="17" max="17" width="7.42578125" style="17" bestFit="1" customWidth="1"/>
    <col min="18" max="18" width="10.140625" style="17" customWidth="1"/>
    <col min="19" max="19" width="8.85546875" style="17"/>
    <col min="20" max="20" width="13.28515625" style="17" bestFit="1" customWidth="1"/>
    <col min="21" max="21" width="12.140625" customWidth="1"/>
    <col min="25" max="25" width="14.7109375" customWidth="1"/>
  </cols>
  <sheetData>
    <row r="2" spans="1:23" x14ac:dyDescent="0.25">
      <c r="A2" s="3" t="s">
        <v>0</v>
      </c>
      <c r="B2" s="3" t="s">
        <v>1</v>
      </c>
      <c r="C2" s="3" t="s">
        <v>7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19</v>
      </c>
      <c r="I2" s="3" t="s">
        <v>52</v>
      </c>
      <c r="J2" s="3" t="s">
        <v>5</v>
      </c>
      <c r="K2" s="3" t="s">
        <v>8</v>
      </c>
      <c r="L2" s="3" t="s">
        <v>97</v>
      </c>
      <c r="M2" s="4" t="s">
        <v>15</v>
      </c>
      <c r="N2" s="4" t="s">
        <v>17</v>
      </c>
      <c r="O2" s="4" t="s">
        <v>18</v>
      </c>
      <c r="P2" s="4" t="s">
        <v>21</v>
      </c>
      <c r="Q2" s="4" t="s">
        <v>34</v>
      </c>
      <c r="R2" s="4" t="s">
        <v>36</v>
      </c>
      <c r="S2" s="4" t="s">
        <v>37</v>
      </c>
      <c r="T2" s="4" t="s">
        <v>146</v>
      </c>
      <c r="V2" s="117" t="s">
        <v>227</v>
      </c>
      <c r="W2" s="117"/>
    </row>
    <row r="3" spans="1:23" x14ac:dyDescent="0.25">
      <c r="A3" s="5" t="s">
        <v>9</v>
      </c>
      <c r="B3" s="6">
        <v>345</v>
      </c>
      <c r="C3" s="9">
        <f>B3/90</f>
        <v>3.8333333333333335</v>
      </c>
      <c r="D3" s="9">
        <f>C3*3</f>
        <v>11.5</v>
      </c>
      <c r="E3" s="9">
        <f>(D3*580)/1000</f>
        <v>6.67</v>
      </c>
      <c r="F3" s="9">
        <f>(D3*20)/1000</f>
        <v>0.23</v>
      </c>
      <c r="G3" s="9">
        <f>(D3*50)/1000</f>
        <v>0.57499999999999996</v>
      </c>
      <c r="H3" s="9">
        <f>D3*1</f>
        <v>11.5</v>
      </c>
      <c r="I3" s="9">
        <f>(D3*5)/1000</f>
        <v>5.7500000000000002E-2</v>
      </c>
      <c r="J3" s="9">
        <f>(D3*10)/1000</f>
        <v>0.115</v>
      </c>
      <c r="K3" s="9"/>
      <c r="L3" s="9"/>
      <c r="M3" s="9"/>
      <c r="N3" s="14"/>
      <c r="O3" s="14"/>
      <c r="P3" s="14"/>
      <c r="Q3" s="15"/>
      <c r="R3" s="15"/>
      <c r="S3" s="15"/>
      <c r="T3" s="15"/>
      <c r="V3" s="117"/>
      <c r="W3" s="117"/>
    </row>
    <row r="4" spans="1:23" x14ac:dyDescent="0.25">
      <c r="A4" s="8" t="s">
        <v>10</v>
      </c>
      <c r="B4" s="21">
        <v>1</v>
      </c>
      <c r="C4" s="9">
        <f>B4/70</f>
        <v>1.4285714285714285E-2</v>
      </c>
      <c r="D4" s="9">
        <f>C4*3</f>
        <v>4.2857142857142858E-2</v>
      </c>
      <c r="E4" s="9">
        <f t="shared" ref="E4:E8" si="0">(D4*580)/1000</f>
        <v>2.4857142857142859E-2</v>
      </c>
      <c r="F4" s="9">
        <f t="shared" ref="F4:F8" si="1">(D4*20)/1000</f>
        <v>8.5714285714285721E-4</v>
      </c>
      <c r="G4" s="9">
        <f t="shared" ref="G4:G8" si="2">(D4*50)/1000</f>
        <v>2.142857142857143E-3</v>
      </c>
      <c r="H4" s="9">
        <f>D4*1</f>
        <v>4.2857142857142858E-2</v>
      </c>
      <c r="I4" s="9">
        <f t="shared" ref="I4:I8" si="3">(D4*5)/1000</f>
        <v>2.142857142857143E-4</v>
      </c>
      <c r="J4" s="9">
        <f t="shared" ref="J4:J8" si="4">(D4*10)/1000</f>
        <v>4.285714285714286E-4</v>
      </c>
      <c r="K4" s="9">
        <f>(B4*10)/1000</f>
        <v>0.01</v>
      </c>
      <c r="L4" s="9">
        <f>(B4*16)/1000</f>
        <v>1.6E-2</v>
      </c>
      <c r="M4" s="9">
        <f>(D4*30)/1000</f>
        <v>1.2857142857142859E-3</v>
      </c>
      <c r="N4" s="14"/>
      <c r="O4" s="14"/>
      <c r="P4" s="14"/>
      <c r="Q4" s="15"/>
      <c r="R4" s="15"/>
      <c r="S4" s="15"/>
      <c r="T4" s="15"/>
    </row>
    <row r="5" spans="1:23" x14ac:dyDescent="0.25">
      <c r="A5" s="8" t="s">
        <v>11</v>
      </c>
      <c r="B5" s="21">
        <v>1</v>
      </c>
      <c r="C5" s="9">
        <f>B5/80</f>
        <v>1.2500000000000001E-2</v>
      </c>
      <c r="D5" s="9">
        <f t="shared" ref="D5:D8" si="5">C5*3</f>
        <v>3.7500000000000006E-2</v>
      </c>
      <c r="E5" s="9">
        <f t="shared" si="0"/>
        <v>2.1750000000000002E-2</v>
      </c>
      <c r="F5" s="9">
        <f t="shared" si="1"/>
        <v>7.5000000000000012E-4</v>
      </c>
      <c r="G5" s="9">
        <f t="shared" si="2"/>
        <v>1.8750000000000001E-3</v>
      </c>
      <c r="H5" s="9">
        <f t="shared" ref="H5:H8" si="6">D5*1</f>
        <v>3.7500000000000006E-2</v>
      </c>
      <c r="I5" s="9">
        <f t="shared" si="3"/>
        <v>1.8750000000000003E-4</v>
      </c>
      <c r="J5" s="9">
        <f t="shared" si="4"/>
        <v>3.7500000000000006E-4</v>
      </c>
      <c r="K5" s="9">
        <f>(D5*150)/1000</f>
        <v>5.6250000000000007E-3</v>
      </c>
      <c r="L5" s="9">
        <f>(D5*180)/1000</f>
        <v>6.7500000000000008E-3</v>
      </c>
      <c r="M5" s="9">
        <f>(D5*25)/1000</f>
        <v>9.3750000000000007E-4</v>
      </c>
      <c r="N5" s="14">
        <f>(D5*55)/1000</f>
        <v>2.0625000000000005E-3</v>
      </c>
      <c r="O5" s="14">
        <f>(D5*45)/1000</f>
        <v>1.6875000000000002E-3</v>
      </c>
      <c r="P5" s="14">
        <f>D5*8*0.035</f>
        <v>1.0500000000000002E-2</v>
      </c>
      <c r="Q5" s="15">
        <f>(D5*45)/1000</f>
        <v>1.6875000000000002E-3</v>
      </c>
      <c r="R5" s="15">
        <f>(D5*75)/1000</f>
        <v>2.8125000000000003E-3</v>
      </c>
      <c r="S5" s="15">
        <f>(D5*40)/1000</f>
        <v>1.5000000000000002E-3</v>
      </c>
      <c r="T5" s="15">
        <f>(D5*600)/1000</f>
        <v>2.2500000000000003E-2</v>
      </c>
    </row>
    <row r="6" spans="1:23" x14ac:dyDescent="0.25">
      <c r="A6" s="8" t="s">
        <v>12</v>
      </c>
      <c r="B6" s="21">
        <v>1</v>
      </c>
      <c r="C6" s="9">
        <f>(B6/75)*3</f>
        <v>0.04</v>
      </c>
      <c r="D6" s="9">
        <f>C6*3</f>
        <v>0.12</v>
      </c>
      <c r="E6" s="9">
        <f t="shared" si="0"/>
        <v>6.9599999999999995E-2</v>
      </c>
      <c r="F6" s="9">
        <f t="shared" si="1"/>
        <v>2.3999999999999998E-3</v>
      </c>
      <c r="G6" s="9">
        <f t="shared" si="2"/>
        <v>6.0000000000000001E-3</v>
      </c>
      <c r="H6" s="9">
        <f t="shared" si="6"/>
        <v>0.12</v>
      </c>
      <c r="I6" s="9">
        <f t="shared" si="3"/>
        <v>5.9999999999999995E-4</v>
      </c>
      <c r="J6" s="9">
        <f t="shared" si="4"/>
        <v>1.1999999999999999E-3</v>
      </c>
      <c r="K6" s="9"/>
      <c r="L6" s="9"/>
      <c r="M6" s="9"/>
      <c r="N6" s="14"/>
      <c r="O6" s="14"/>
      <c r="P6" s="14"/>
      <c r="Q6" s="15"/>
      <c r="R6" s="15"/>
      <c r="S6" s="15"/>
      <c r="T6" s="15"/>
    </row>
    <row r="7" spans="1:23" x14ac:dyDescent="0.25">
      <c r="A7" s="8" t="s">
        <v>13</v>
      </c>
      <c r="B7" s="21">
        <v>1</v>
      </c>
      <c r="C7" s="9">
        <f>B7/24</f>
        <v>4.1666666666666664E-2</v>
      </c>
      <c r="D7" s="9">
        <f t="shared" si="5"/>
        <v>0.125</v>
      </c>
      <c r="E7" s="9">
        <f t="shared" si="0"/>
        <v>7.2499999999999995E-2</v>
      </c>
      <c r="F7" s="9">
        <f t="shared" si="1"/>
        <v>2.5000000000000001E-3</v>
      </c>
      <c r="G7" s="9">
        <f t="shared" si="2"/>
        <v>6.2500000000000003E-3</v>
      </c>
      <c r="H7" s="9">
        <f t="shared" si="6"/>
        <v>0.125</v>
      </c>
      <c r="I7" s="9">
        <f t="shared" si="3"/>
        <v>6.2500000000000001E-4</v>
      </c>
      <c r="J7" s="9">
        <f t="shared" si="4"/>
        <v>1.25E-3</v>
      </c>
      <c r="K7" s="9">
        <f>(D7*100)/1000</f>
        <v>1.2500000000000001E-2</v>
      </c>
      <c r="L7" s="9">
        <f>(D7*120)/1000</f>
        <v>1.4999999999999999E-2</v>
      </c>
      <c r="M7" s="9">
        <f>(D7*15)/1000</f>
        <v>1.8749999999999999E-3</v>
      </c>
      <c r="N7" s="14">
        <f>(D7*40)/1000</f>
        <v>5.0000000000000001E-3</v>
      </c>
      <c r="O7" s="14">
        <f>(D7*30)/1000</f>
        <v>3.7499999999999999E-3</v>
      </c>
      <c r="P7" s="14">
        <f>(D7*200)/1000</f>
        <v>2.5000000000000001E-2</v>
      </c>
      <c r="Q7" s="15">
        <f>(D7*30)/1000</f>
        <v>3.7499999999999999E-3</v>
      </c>
      <c r="R7" s="15">
        <f>(D7*50)/1000</f>
        <v>6.2500000000000003E-3</v>
      </c>
      <c r="S7" s="15">
        <f>(D7*25)/1000</f>
        <v>3.1250000000000002E-3</v>
      </c>
      <c r="T7" s="15">
        <f>(D7*600)/1000</f>
        <v>7.4999999999999997E-2</v>
      </c>
    </row>
    <row r="8" spans="1:23" x14ac:dyDescent="0.25">
      <c r="A8" s="8" t="s">
        <v>14</v>
      </c>
      <c r="B8" s="21">
        <v>1</v>
      </c>
      <c r="C8" s="9">
        <f t="shared" ref="C8" si="7">B8/75</f>
        <v>1.3333333333333334E-2</v>
      </c>
      <c r="D8" s="9">
        <f t="shared" si="5"/>
        <v>0.04</v>
      </c>
      <c r="E8" s="9">
        <f t="shared" si="0"/>
        <v>2.3199999999999998E-2</v>
      </c>
      <c r="F8" s="9">
        <f t="shared" si="1"/>
        <v>8.0000000000000004E-4</v>
      </c>
      <c r="G8" s="9">
        <f t="shared" si="2"/>
        <v>2E-3</v>
      </c>
      <c r="H8" s="9">
        <f t="shared" si="6"/>
        <v>0.04</v>
      </c>
      <c r="I8" s="9">
        <f t="shared" si="3"/>
        <v>2.0000000000000001E-4</v>
      </c>
      <c r="J8" s="9">
        <f t="shared" si="4"/>
        <v>4.0000000000000002E-4</v>
      </c>
      <c r="K8" s="9">
        <f t="shared" ref="K8" si="8">(B8*10)/1000</f>
        <v>0.01</v>
      </c>
      <c r="L8" s="9">
        <f t="shared" ref="L8" si="9">(B8*16)/1000</f>
        <v>1.6E-2</v>
      </c>
      <c r="M8" s="9">
        <f>(B8*0.3)/1000</f>
        <v>2.9999999999999997E-4</v>
      </c>
      <c r="N8" s="14"/>
      <c r="O8" s="14"/>
      <c r="P8" s="14"/>
      <c r="Q8" s="15"/>
      <c r="R8" s="15"/>
      <c r="S8" s="15"/>
      <c r="T8" s="15"/>
    </row>
    <row r="9" spans="1:23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6"/>
      <c r="O9" s="16"/>
      <c r="P9" s="16"/>
    </row>
    <row r="10" spans="1:23" x14ac:dyDescent="0.25">
      <c r="A10" s="13" t="s">
        <v>192</v>
      </c>
      <c r="B10" s="11">
        <f>SUM(B3:B4)</f>
        <v>346</v>
      </c>
      <c r="C10" s="12">
        <f t="shared" ref="C10:T10" si="10">SUM(C3:C8)</f>
        <v>3.9551190476190476</v>
      </c>
      <c r="D10" s="12">
        <f t="shared" si="10"/>
        <v>11.865357142857141</v>
      </c>
      <c r="E10" s="12">
        <f t="shared" si="10"/>
        <v>6.881907142857143</v>
      </c>
      <c r="F10" s="12">
        <f t="shared" si="10"/>
        <v>0.23730714285714288</v>
      </c>
      <c r="G10" s="12">
        <f t="shared" si="10"/>
        <v>0.59326785714285701</v>
      </c>
      <c r="H10" s="12">
        <f>SUM(H3:H8)+D18</f>
        <v>131.86535714285714</v>
      </c>
      <c r="I10" s="12">
        <f t="shared" si="10"/>
        <v>5.9326785714285721E-2</v>
      </c>
      <c r="J10" s="12">
        <f t="shared" si="10"/>
        <v>0.11865357142857144</v>
      </c>
      <c r="K10" s="12">
        <f t="shared" si="10"/>
        <v>3.8124999999999999E-2</v>
      </c>
      <c r="L10" s="12">
        <f t="shared" si="10"/>
        <v>5.3749999999999999E-2</v>
      </c>
      <c r="M10" s="12">
        <f t="shared" si="10"/>
        <v>4.3982142857142857E-3</v>
      </c>
      <c r="N10" s="12">
        <f t="shared" si="10"/>
        <v>7.0625000000000011E-3</v>
      </c>
      <c r="O10" s="12">
        <f t="shared" si="10"/>
        <v>5.4374999999999996E-3</v>
      </c>
      <c r="P10" s="12">
        <f t="shared" si="10"/>
        <v>3.5500000000000004E-2</v>
      </c>
      <c r="Q10" s="12">
        <f t="shared" si="10"/>
        <v>5.4374999999999996E-3</v>
      </c>
      <c r="R10" s="12">
        <f t="shared" si="10"/>
        <v>9.0625000000000011E-3</v>
      </c>
      <c r="S10" s="12">
        <f t="shared" si="10"/>
        <v>4.6250000000000006E-3</v>
      </c>
      <c r="T10" s="12">
        <f t="shared" si="10"/>
        <v>9.7500000000000003E-2</v>
      </c>
    </row>
    <row r="12" spans="1:23" hidden="1" x14ac:dyDescent="0.25">
      <c r="A12" s="41" t="s">
        <v>193</v>
      </c>
      <c r="B12" s="42"/>
      <c r="C12" s="42"/>
      <c r="D12" s="42">
        <f>D10*'[1]Cost of raw materials'!C7</f>
        <v>427.15285714285704</v>
      </c>
      <c r="E12" s="42">
        <f>E10*'[1]Cost of raw materials'!G8</f>
        <v>1094.2232357142857</v>
      </c>
      <c r="F12" s="42">
        <f>F10*'[1]Cost of raw materials'!C9</f>
        <v>2.135764285714286</v>
      </c>
      <c r="G12" s="42">
        <f>G10*'[1]Cost of raw materials'!C8</f>
        <v>23.137446428571423</v>
      </c>
      <c r="H12" s="42">
        <f>H10*'[1]Cost of raw materials'!C12</f>
        <v>659.32678571428573</v>
      </c>
      <c r="I12" s="42">
        <f>I10*'[1]Cost of raw materials'!C11</f>
        <v>18.509957142857147</v>
      </c>
      <c r="J12" s="42">
        <f>J10*'[1]Cost of raw materials'!C10</f>
        <v>37.375875000000001</v>
      </c>
      <c r="K12" s="42">
        <f>K10*'[1]Cost of raw materials'!K16</f>
        <v>2.1349999999999998</v>
      </c>
      <c r="L12" s="42">
        <f>L10*'[1]Cost of raw materials'!C24</f>
        <v>3.7624999999999997</v>
      </c>
      <c r="M12" s="43">
        <f>M10*'[1]Cost of raw materials'!C25</f>
        <v>5.8056428571428569</v>
      </c>
      <c r="N12" s="44">
        <f>N10*'[1]Cost of raw materials'!K17</f>
        <v>1.5537500000000002</v>
      </c>
      <c r="O12" s="44">
        <f>O10*'[1]Cost of raw materials'!C13</f>
        <v>2.9906249999999996</v>
      </c>
      <c r="P12" s="44">
        <f>P10*'[1]Cost of raw materials'!C27</f>
        <v>1.5975000000000001</v>
      </c>
      <c r="Q12" s="44">
        <f>Q10*'[1]Cost of raw materials'!C14</f>
        <v>0.46218749999999997</v>
      </c>
      <c r="R12" s="44">
        <f>R10*'[1]Cost of raw materials'!C15</f>
        <v>2.3200000000000003</v>
      </c>
      <c r="S12" s="44">
        <f>S10*'[1]Cost of raw materials'!C16</f>
        <v>2.3125000000000004</v>
      </c>
      <c r="T12" s="44">
        <f>T10*'[1]Cost of raw materials'!C17</f>
        <v>20.475000000000001</v>
      </c>
    </row>
    <row r="13" spans="1:23" hidden="1" x14ac:dyDescent="0.25"/>
    <row r="14" spans="1:23" hidden="1" x14ac:dyDescent="0.25">
      <c r="A14" s="37" t="s">
        <v>191</v>
      </c>
      <c r="B14" s="38">
        <f>SUM(D12:T12)</f>
        <v>2305.2766267857141</v>
      </c>
    </row>
    <row r="15" spans="1:23" hidden="1" x14ac:dyDescent="0.25"/>
    <row r="17" spans="1:25" x14ac:dyDescent="0.25">
      <c r="A17" s="34" t="s">
        <v>238</v>
      </c>
      <c r="B17" s="104" t="s">
        <v>239</v>
      </c>
      <c r="C17" s="104" t="s">
        <v>7</v>
      </c>
      <c r="D17" s="104" t="s">
        <v>19</v>
      </c>
      <c r="E17" s="104" t="s">
        <v>240</v>
      </c>
      <c r="F17" s="104" t="s">
        <v>241</v>
      </c>
      <c r="G17" s="104" t="s">
        <v>188</v>
      </c>
      <c r="H17" s="104" t="s">
        <v>242</v>
      </c>
    </row>
    <row r="18" spans="1:25" x14ac:dyDescent="0.25">
      <c r="A18" s="8" t="s">
        <v>243</v>
      </c>
      <c r="B18" s="21">
        <v>240</v>
      </c>
      <c r="C18" s="6">
        <f>B18/90</f>
        <v>2.6666666666666665</v>
      </c>
      <c r="D18" s="6">
        <f>B18/2</f>
        <v>120</v>
      </c>
      <c r="E18" s="6"/>
      <c r="F18" s="6"/>
      <c r="G18" s="6"/>
      <c r="H18" s="6"/>
    </row>
    <row r="19" spans="1:25" x14ac:dyDescent="0.25">
      <c r="A19" s="8" t="s">
        <v>244</v>
      </c>
      <c r="B19" s="21">
        <v>25</v>
      </c>
      <c r="C19" s="6">
        <f>B19/85</f>
        <v>0.29411764705882354</v>
      </c>
      <c r="D19" s="6"/>
      <c r="E19" s="6">
        <f>B19*0.012</f>
        <v>0.3</v>
      </c>
      <c r="F19" s="6"/>
      <c r="G19" s="6"/>
      <c r="H19" s="6"/>
    </row>
    <row r="20" spans="1:25" x14ac:dyDescent="0.25">
      <c r="A20" s="8" t="s">
        <v>245</v>
      </c>
      <c r="B20" s="21">
        <v>25</v>
      </c>
      <c r="C20" s="6">
        <f>B20/90</f>
        <v>0.27777777777777779</v>
      </c>
      <c r="D20" s="6"/>
      <c r="E20" s="6"/>
      <c r="F20" s="6">
        <f>B20*0.012</f>
        <v>0.3</v>
      </c>
      <c r="G20" s="6"/>
      <c r="H20" s="6"/>
    </row>
    <row r="21" spans="1:25" x14ac:dyDescent="0.25">
      <c r="A21" s="8" t="s">
        <v>246</v>
      </c>
      <c r="B21" s="21">
        <v>30</v>
      </c>
      <c r="C21" s="6">
        <f>B21/90</f>
        <v>0.33333333333333331</v>
      </c>
      <c r="D21" s="6"/>
      <c r="E21" s="6"/>
      <c r="F21" s="6"/>
      <c r="G21" s="6"/>
      <c r="H21" s="6"/>
    </row>
    <row r="22" spans="1:25" x14ac:dyDescent="0.25">
      <c r="A22" s="8" t="s">
        <v>247</v>
      </c>
      <c r="B22" s="21">
        <v>25</v>
      </c>
      <c r="C22" s="6">
        <f>B22/90</f>
        <v>0.27777777777777779</v>
      </c>
      <c r="D22" s="6"/>
      <c r="E22" s="6"/>
      <c r="F22" s="6"/>
      <c r="G22" s="6"/>
      <c r="H22" s="6"/>
    </row>
    <row r="25" spans="1:25" x14ac:dyDescent="0.25">
      <c r="A25" s="3" t="s">
        <v>0</v>
      </c>
      <c r="B25" s="3" t="s">
        <v>1</v>
      </c>
      <c r="C25" s="3" t="s">
        <v>2</v>
      </c>
      <c r="D25" s="3" t="s">
        <v>264</v>
      </c>
      <c r="E25" s="3" t="s">
        <v>18</v>
      </c>
      <c r="F25" s="3" t="s">
        <v>77</v>
      </c>
      <c r="G25" s="3" t="s">
        <v>188</v>
      </c>
      <c r="H25" s="3" t="s">
        <v>265</v>
      </c>
      <c r="I25" s="3" t="s">
        <v>266</v>
      </c>
      <c r="J25" s="3" t="s">
        <v>172</v>
      </c>
      <c r="K25" s="3" t="s">
        <v>267</v>
      </c>
      <c r="L25" s="3" t="s">
        <v>15</v>
      </c>
      <c r="M25" s="3" t="s">
        <v>3</v>
      </c>
      <c r="N25" s="3" t="s">
        <v>72</v>
      </c>
      <c r="O25" s="3" t="s">
        <v>268</v>
      </c>
      <c r="P25" s="3" t="s">
        <v>269</v>
      </c>
      <c r="Q25" s="3" t="s">
        <v>21</v>
      </c>
      <c r="R25" s="3" t="s">
        <v>4</v>
      </c>
      <c r="S25" s="3" t="s">
        <v>105</v>
      </c>
      <c r="T25" s="3" t="s">
        <v>270</v>
      </c>
      <c r="U25" s="3" t="s">
        <v>271</v>
      </c>
      <c r="V25" s="3" t="s">
        <v>150</v>
      </c>
      <c r="W25" s="3" t="s">
        <v>152</v>
      </c>
      <c r="X25" s="3" t="s">
        <v>151</v>
      </c>
      <c r="Y25" s="3" t="s">
        <v>280</v>
      </c>
    </row>
    <row r="26" spans="1:25" x14ac:dyDescent="0.25">
      <c r="A26" s="5" t="s">
        <v>272</v>
      </c>
      <c r="B26" s="21"/>
      <c r="C26" s="9">
        <v>0.5</v>
      </c>
      <c r="D26" s="9">
        <v>0.52500000000000002</v>
      </c>
      <c r="E26" s="9">
        <v>0.02</v>
      </c>
      <c r="F26" s="9">
        <v>0.01</v>
      </c>
      <c r="G26" s="9">
        <v>0.5</v>
      </c>
      <c r="H26" s="9">
        <v>0.55000000000000004</v>
      </c>
      <c r="I26" s="9">
        <v>0.01</v>
      </c>
      <c r="J26" s="9">
        <f>(D26*10)/1000</f>
        <v>5.2500000000000003E-3</v>
      </c>
      <c r="K26" s="9">
        <v>2.5000000000000001E-2</v>
      </c>
      <c r="L26" s="9">
        <v>0.02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 t="s">
        <v>273</v>
      </c>
      <c r="B27" s="21"/>
      <c r="C27" s="9">
        <v>0.1</v>
      </c>
      <c r="D27" s="9">
        <v>0.1</v>
      </c>
      <c r="E27" s="9">
        <v>0.02</v>
      </c>
      <c r="F27" s="9">
        <v>0</v>
      </c>
      <c r="G27" s="9">
        <v>0.5</v>
      </c>
      <c r="H27" s="9">
        <v>0.6</v>
      </c>
      <c r="I27" s="9">
        <v>0</v>
      </c>
      <c r="J27" s="9">
        <v>0</v>
      </c>
      <c r="K27" s="9">
        <v>2.5000000000000001E-2</v>
      </c>
      <c r="L27" s="9">
        <v>0.02</v>
      </c>
      <c r="M27" s="9">
        <v>2.5000000000000001E-2</v>
      </c>
      <c r="N27" s="14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0.75</v>
      </c>
      <c r="T27" s="109">
        <v>0</v>
      </c>
      <c r="U27" s="109">
        <v>0</v>
      </c>
      <c r="V27" s="109">
        <v>0</v>
      </c>
      <c r="W27" s="109">
        <v>0</v>
      </c>
      <c r="X27" s="109">
        <v>0</v>
      </c>
      <c r="Y27" s="109">
        <v>0.3</v>
      </c>
    </row>
    <row r="28" spans="1:25" x14ac:dyDescent="0.25">
      <c r="A28" s="8" t="s">
        <v>274</v>
      </c>
      <c r="B28" s="21">
        <v>16</v>
      </c>
      <c r="C28" s="9">
        <v>0</v>
      </c>
      <c r="D28" s="9">
        <v>0.92500000000000004</v>
      </c>
      <c r="E28" s="9">
        <v>0.01</v>
      </c>
      <c r="F28" s="9">
        <v>5.0000000000000001E-3</v>
      </c>
      <c r="G28" s="9">
        <f t="shared" ref="G28:H32" si="11">(D28*50)/1000</f>
        <v>4.6249999999999999E-2</v>
      </c>
      <c r="H28" s="9">
        <v>0.32500000000000001</v>
      </c>
      <c r="I28" s="9">
        <f t="shared" ref="I28:I31" si="12">(D28*5)/1000</f>
        <v>4.6249999999999998E-3</v>
      </c>
      <c r="J28" s="9">
        <v>0</v>
      </c>
      <c r="K28" s="9">
        <v>0</v>
      </c>
      <c r="L28" s="9">
        <v>0.01</v>
      </c>
      <c r="M28" s="9">
        <v>0</v>
      </c>
      <c r="N28" s="14">
        <v>0.02</v>
      </c>
      <c r="O28" s="14">
        <v>0.02</v>
      </c>
      <c r="P28" s="14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0.32500000000000001</v>
      </c>
    </row>
    <row r="29" spans="1:25" x14ac:dyDescent="0.25">
      <c r="A29" s="8" t="s">
        <v>275</v>
      </c>
      <c r="B29" s="21">
        <v>37</v>
      </c>
      <c r="C29" s="9">
        <v>0</v>
      </c>
      <c r="D29" s="9">
        <v>0.92500000000000004</v>
      </c>
      <c r="E29" s="9">
        <v>0.01</v>
      </c>
      <c r="F29" s="9">
        <v>5.0000000000000001E-3</v>
      </c>
      <c r="G29" s="9">
        <f t="shared" si="11"/>
        <v>4.6249999999999999E-2</v>
      </c>
      <c r="H29" s="9">
        <v>0.32500000000000001</v>
      </c>
      <c r="I29" s="9">
        <f>(D29*5)/1000</f>
        <v>4.6249999999999998E-3</v>
      </c>
      <c r="J29" s="9">
        <v>0</v>
      </c>
      <c r="K29" s="9">
        <v>0</v>
      </c>
      <c r="L29" s="109">
        <v>0.01</v>
      </c>
      <c r="M29" s="109">
        <v>0</v>
      </c>
      <c r="N29" s="109">
        <v>0.02</v>
      </c>
      <c r="O29" s="109">
        <v>0.02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0</v>
      </c>
      <c r="W29" s="109">
        <v>0</v>
      </c>
      <c r="X29" s="109">
        <v>0</v>
      </c>
      <c r="Y29" s="109">
        <v>0.32500000000000001</v>
      </c>
    </row>
    <row r="30" spans="1:25" x14ac:dyDescent="0.25">
      <c r="A30" s="8" t="s">
        <v>276</v>
      </c>
      <c r="B30" s="21"/>
      <c r="C30" s="9">
        <f>B30/24</f>
        <v>0</v>
      </c>
      <c r="D30" s="9">
        <f t="shared" ref="D30" si="13">C30*3</f>
        <v>0</v>
      </c>
      <c r="E30" s="9">
        <v>0.01</v>
      </c>
      <c r="F30" s="9">
        <f t="shared" ref="F30" si="14">(D30*20)/1000</f>
        <v>0</v>
      </c>
      <c r="G30" s="9">
        <f t="shared" si="11"/>
        <v>0</v>
      </c>
      <c r="H30" s="9">
        <v>0.2</v>
      </c>
      <c r="I30" s="9">
        <f t="shared" si="12"/>
        <v>0</v>
      </c>
      <c r="J30" s="9">
        <f t="shared" ref="J30:J31" si="15">(D30*10)/1000</f>
        <v>0</v>
      </c>
      <c r="K30" s="9">
        <f>(D30*100)/1000</f>
        <v>0</v>
      </c>
      <c r="L30" s="9">
        <v>0.01</v>
      </c>
      <c r="M30" s="9">
        <f>(D30*15)/1000</f>
        <v>0</v>
      </c>
      <c r="N30" s="14">
        <f>(D30*40)/1000</f>
        <v>0</v>
      </c>
      <c r="O30" s="14">
        <f>(D30*30)/1000</f>
        <v>0</v>
      </c>
      <c r="P30" s="14">
        <v>0.1</v>
      </c>
      <c r="Q30" s="109">
        <v>0.9</v>
      </c>
      <c r="R30" s="15">
        <f>(D30*50)/1000</f>
        <v>0</v>
      </c>
      <c r="S30" s="15">
        <f>(D30*25)/1000</f>
        <v>0</v>
      </c>
      <c r="T30" s="15">
        <f>(D30*600)/1000</f>
        <v>0</v>
      </c>
      <c r="U30" s="15">
        <v>0</v>
      </c>
      <c r="V30" s="15">
        <f t="shared" ref="V30:W30" si="16">(F30*600)/1000</f>
        <v>0</v>
      </c>
      <c r="W30" s="15">
        <f t="shared" si="16"/>
        <v>0</v>
      </c>
      <c r="X30" s="15">
        <f>(H29*600)/1000</f>
        <v>0.19500000000000001</v>
      </c>
      <c r="Y30" s="15">
        <v>0</v>
      </c>
    </row>
    <row r="31" spans="1:25" x14ac:dyDescent="0.25">
      <c r="A31" s="8" t="s">
        <v>277</v>
      </c>
      <c r="B31" s="21">
        <v>120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f t="shared" si="12"/>
        <v>0</v>
      </c>
      <c r="J31" s="9">
        <f t="shared" si="15"/>
        <v>0</v>
      </c>
      <c r="K31" s="9">
        <v>0</v>
      </c>
      <c r="L31" s="9">
        <v>0</v>
      </c>
      <c r="M31" s="9">
        <v>0.05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2.25</v>
      </c>
      <c r="U31" s="109">
        <v>0</v>
      </c>
      <c r="V31" s="109">
        <v>0.1</v>
      </c>
      <c r="W31" s="109">
        <v>0.15</v>
      </c>
      <c r="X31" s="109">
        <v>0.1</v>
      </c>
      <c r="Y31" s="109">
        <v>0</v>
      </c>
    </row>
    <row r="32" spans="1:25" x14ac:dyDescent="0.25">
      <c r="A32" s="8" t="s">
        <v>278</v>
      </c>
      <c r="B32" s="21">
        <v>56</v>
      </c>
      <c r="C32" s="9">
        <v>0</v>
      </c>
      <c r="D32" s="9">
        <f t="shared" ref="D32" si="17">C32*3</f>
        <v>0</v>
      </c>
      <c r="E32" s="9">
        <f t="shared" ref="E32:E33" si="18">(D32*580)/1000</f>
        <v>0</v>
      </c>
      <c r="F32" s="9">
        <f t="shared" ref="F32" si="19">(D32*20)/1000</f>
        <v>0</v>
      </c>
      <c r="G32" s="9">
        <f t="shared" si="11"/>
        <v>0</v>
      </c>
      <c r="H32" s="9">
        <f t="shared" si="11"/>
        <v>0</v>
      </c>
      <c r="I32" s="9">
        <f t="shared" ref="I32" si="20">(D32*5)/1000</f>
        <v>0</v>
      </c>
      <c r="J32" s="9">
        <f t="shared" ref="J32" si="21">(D32*10)/1000</f>
        <v>0</v>
      </c>
      <c r="K32" s="9">
        <f>(D32*100)/1000</f>
        <v>0</v>
      </c>
      <c r="L32" s="9">
        <f>(D32*120)/1000</f>
        <v>0</v>
      </c>
      <c r="M32" s="9">
        <v>0.05</v>
      </c>
      <c r="N32" s="14">
        <f>(D32*40)/1000</f>
        <v>0</v>
      </c>
      <c r="O32" s="14">
        <f>(D32*30)/1000</f>
        <v>0</v>
      </c>
      <c r="P32" s="14">
        <f>(D32*200)/1000</f>
        <v>0</v>
      </c>
      <c r="Q32" s="15">
        <f>(D32*30)/1000</f>
        <v>0</v>
      </c>
      <c r="R32" s="15">
        <f>(D32*50)/1000</f>
        <v>0</v>
      </c>
      <c r="S32" s="15">
        <f>(D32*25)/1000</f>
        <v>0</v>
      </c>
      <c r="T32" s="15">
        <f>(D32*600)/1000</f>
        <v>0</v>
      </c>
      <c r="U32" s="15">
        <v>1.5</v>
      </c>
      <c r="V32" s="15">
        <v>0.05</v>
      </c>
      <c r="W32" s="15">
        <v>0.1</v>
      </c>
      <c r="X32" s="15">
        <v>0.05</v>
      </c>
      <c r="Y32" s="15">
        <f t="shared" ref="Y32" si="22">(I31*600)/1000</f>
        <v>0</v>
      </c>
    </row>
    <row r="33" spans="1:25" x14ac:dyDescent="0.25">
      <c r="A33" s="8" t="s">
        <v>279</v>
      </c>
      <c r="B33" s="21">
        <v>40</v>
      </c>
      <c r="C33" s="9">
        <v>1.2</v>
      </c>
      <c r="D33" s="9">
        <v>0</v>
      </c>
      <c r="E33" s="9">
        <f t="shared" si="18"/>
        <v>0</v>
      </c>
      <c r="F33" s="9">
        <v>0.01</v>
      </c>
      <c r="G33" s="9" t="s">
        <v>281</v>
      </c>
      <c r="H33" s="9">
        <f t="shared" ref="H33" si="23">(E33*50)/1000</f>
        <v>0</v>
      </c>
      <c r="I33" s="9">
        <v>0.01</v>
      </c>
      <c r="J33" s="9">
        <v>6.0000000000000001E-3</v>
      </c>
      <c r="K33" s="9">
        <v>0</v>
      </c>
      <c r="L33" s="9">
        <v>0.01</v>
      </c>
      <c r="M33" s="9">
        <v>2.5000000000000001E-2</v>
      </c>
      <c r="N33" s="109">
        <v>0</v>
      </c>
      <c r="O33" s="109">
        <v>0</v>
      </c>
      <c r="P33" s="109">
        <v>0</v>
      </c>
      <c r="Q33" s="109">
        <v>0</v>
      </c>
      <c r="R33" s="109">
        <v>0.12</v>
      </c>
      <c r="S33" s="109">
        <v>0</v>
      </c>
      <c r="T33" s="109">
        <v>0</v>
      </c>
      <c r="U33" s="109">
        <v>0</v>
      </c>
      <c r="V33" s="109">
        <v>0</v>
      </c>
      <c r="W33" s="109">
        <v>0</v>
      </c>
      <c r="X33" s="109">
        <v>0</v>
      </c>
      <c r="Y33" s="109">
        <v>0</v>
      </c>
    </row>
    <row r="35" spans="1:25" x14ac:dyDescent="0.25">
      <c r="A35" s="13" t="s">
        <v>192</v>
      </c>
      <c r="B35" s="11">
        <f>SUM(B28:B29:B31:B32:B33)</f>
        <v>269</v>
      </c>
      <c r="C35" s="12">
        <f t="shared" ref="C35:U35" si="24">SUM(C26:C33)</f>
        <v>1.7999999999999998</v>
      </c>
      <c r="D35" s="12">
        <f t="shared" si="24"/>
        <v>2.4750000000000001</v>
      </c>
      <c r="E35" s="12">
        <f t="shared" si="24"/>
        <v>7.0000000000000007E-2</v>
      </c>
      <c r="F35" s="12">
        <f t="shared" si="24"/>
        <v>0.03</v>
      </c>
      <c r="G35" s="12">
        <f t="shared" si="24"/>
        <v>1.0924999999999998</v>
      </c>
      <c r="H35" s="12">
        <f t="shared" si="24"/>
        <v>1.9999999999999998</v>
      </c>
      <c r="I35" s="12">
        <f t="shared" si="24"/>
        <v>2.9249999999999998E-2</v>
      </c>
      <c r="J35" s="12">
        <f t="shared" si="24"/>
        <v>1.125E-2</v>
      </c>
      <c r="K35" s="12">
        <f t="shared" si="24"/>
        <v>0.05</v>
      </c>
      <c r="L35" s="12">
        <f t="shared" si="24"/>
        <v>0.08</v>
      </c>
      <c r="M35" s="12">
        <f t="shared" si="24"/>
        <v>0.15</v>
      </c>
      <c r="N35" s="12">
        <f t="shared" si="24"/>
        <v>0.04</v>
      </c>
      <c r="O35" s="12">
        <f t="shared" si="24"/>
        <v>0.04</v>
      </c>
      <c r="P35" s="12">
        <f t="shared" si="24"/>
        <v>0.1</v>
      </c>
      <c r="Q35" s="12">
        <f t="shared" si="24"/>
        <v>0.9</v>
      </c>
      <c r="R35" s="12">
        <f t="shared" si="24"/>
        <v>0.12</v>
      </c>
      <c r="S35" s="12">
        <f t="shared" si="24"/>
        <v>0.75</v>
      </c>
      <c r="T35" s="12">
        <f t="shared" si="24"/>
        <v>2.25</v>
      </c>
      <c r="U35" s="12">
        <f t="shared" si="24"/>
        <v>1.5</v>
      </c>
      <c r="V35" s="12">
        <f t="shared" ref="V35:X35" si="25">SUM(V28:V33)</f>
        <v>0.15000000000000002</v>
      </c>
      <c r="W35" s="12">
        <f t="shared" si="25"/>
        <v>0.25</v>
      </c>
      <c r="X35" s="12">
        <f t="shared" si="25"/>
        <v>0.34500000000000003</v>
      </c>
      <c r="Y35" s="12">
        <f>SUM(Y26:Y33)</f>
        <v>0.95</v>
      </c>
    </row>
    <row r="38" spans="1:2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5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5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5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5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5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5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5" x14ac:dyDescent="0.25">
      <c r="A47" s="1"/>
      <c r="K47" s="2"/>
      <c r="L47" s="17"/>
      <c r="M47" s="17"/>
      <c r="S47"/>
      <c r="T47"/>
    </row>
  </sheetData>
  <mergeCells count="1">
    <mergeCell ref="V2:W3"/>
  </mergeCells>
  <hyperlinks>
    <hyperlink ref="V2:W3" location="Home!A1" display="Home" xr:uid="{76DD3C2C-DEC8-4BC8-B909-C12ED11FB65D}"/>
  </hyperlinks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4F2-5692-3F4F-AB9E-16CFC18BE7AA}">
  <dimension ref="A3:Q23"/>
  <sheetViews>
    <sheetView zoomScale="125" workbookViewId="0">
      <selection activeCell="D15" sqref="D15"/>
    </sheetView>
  </sheetViews>
  <sheetFormatPr defaultColWidth="11.42578125" defaultRowHeight="15" x14ac:dyDescent="0.25"/>
  <cols>
    <col min="1" max="1" width="22.7109375" customWidth="1"/>
    <col min="8" max="8" width="14.140625" customWidth="1"/>
    <col min="9" max="9" width="14.42578125" customWidth="1"/>
    <col min="10" max="10" width="15.140625" customWidth="1"/>
    <col min="11" max="11" width="11.42578125" customWidth="1"/>
    <col min="13" max="13" width="14" customWidth="1"/>
    <col min="14" max="14" width="16.42578125" customWidth="1"/>
    <col min="17" max="17" width="15.42578125" customWidth="1"/>
    <col min="19" max="19" width="15.85546875" customWidth="1"/>
    <col min="20" max="20" width="14.42578125" customWidth="1"/>
    <col min="22" max="22" width="16.140625" customWidth="1"/>
    <col min="23" max="23" width="19.7109375" customWidth="1"/>
    <col min="25" max="25" width="15.28515625" customWidth="1"/>
  </cols>
  <sheetData>
    <row r="3" spans="1:17" x14ac:dyDescent="0.25">
      <c r="A3" s="3" t="s">
        <v>39</v>
      </c>
      <c r="B3" s="3" t="s">
        <v>1</v>
      </c>
      <c r="C3" s="3" t="s">
        <v>2</v>
      </c>
      <c r="D3" s="3" t="s">
        <v>47</v>
      </c>
      <c r="E3" s="3" t="s">
        <v>150</v>
      </c>
      <c r="F3" s="3" t="s">
        <v>151</v>
      </c>
      <c r="G3" s="3" t="s">
        <v>149</v>
      </c>
      <c r="H3" s="3" t="s">
        <v>240</v>
      </c>
      <c r="I3" s="3" t="s">
        <v>241</v>
      </c>
      <c r="J3" s="3" t="s">
        <v>3</v>
      </c>
    </row>
    <row r="4" spans="1:17" x14ac:dyDescent="0.25">
      <c r="A4" s="111" t="s">
        <v>300</v>
      </c>
      <c r="B4" s="21">
        <v>60</v>
      </c>
      <c r="C4" s="9">
        <v>1.25</v>
      </c>
      <c r="D4" s="9">
        <v>0.15</v>
      </c>
      <c r="E4" s="9">
        <v>0.15</v>
      </c>
      <c r="F4" s="9">
        <v>0.06</v>
      </c>
      <c r="G4" s="9">
        <v>0.06</v>
      </c>
      <c r="H4" s="9">
        <v>1.2</v>
      </c>
      <c r="I4" s="9">
        <v>0.25</v>
      </c>
      <c r="J4" s="9">
        <v>0.03</v>
      </c>
    </row>
    <row r="5" spans="1:17" x14ac:dyDescent="0.25">
      <c r="A5" s="111" t="s">
        <v>301</v>
      </c>
      <c r="B5" s="21">
        <v>48</v>
      </c>
      <c r="C5" s="9"/>
      <c r="D5" s="9"/>
      <c r="E5" s="9" t="s">
        <v>298</v>
      </c>
      <c r="F5" s="9" t="s">
        <v>298</v>
      </c>
      <c r="G5" s="9" t="s">
        <v>298</v>
      </c>
      <c r="H5" s="9" t="s">
        <v>298</v>
      </c>
      <c r="I5" s="9" t="s">
        <v>298</v>
      </c>
      <c r="J5" s="9" t="s">
        <v>298</v>
      </c>
    </row>
    <row r="6" spans="1:17" x14ac:dyDescent="0.25">
      <c r="A6" s="111" t="s">
        <v>306</v>
      </c>
      <c r="B6" s="21">
        <v>4</v>
      </c>
      <c r="C6" s="9"/>
      <c r="D6" s="9"/>
      <c r="E6" s="9" t="s">
        <v>298</v>
      </c>
      <c r="F6" s="9" t="s">
        <v>298</v>
      </c>
      <c r="G6" s="9" t="s">
        <v>298</v>
      </c>
      <c r="H6" s="9" t="s">
        <v>298</v>
      </c>
      <c r="I6" s="9"/>
      <c r="J6" s="9" t="s">
        <v>298</v>
      </c>
    </row>
    <row r="8" spans="1:17" x14ac:dyDescent="0.25">
      <c r="A8" s="112" t="s">
        <v>192</v>
      </c>
      <c r="B8" s="112">
        <f t="shared" ref="B8:J8" si="0">SUM(B4:B7)</f>
        <v>112</v>
      </c>
      <c r="C8" s="112">
        <f t="shared" si="0"/>
        <v>1.25</v>
      </c>
      <c r="D8" s="112">
        <f t="shared" si="0"/>
        <v>0.15</v>
      </c>
      <c r="E8" s="112">
        <f t="shared" si="0"/>
        <v>0.15</v>
      </c>
      <c r="F8" s="112">
        <f t="shared" si="0"/>
        <v>0.06</v>
      </c>
      <c r="G8" s="112">
        <f t="shared" si="0"/>
        <v>0.06</v>
      </c>
      <c r="H8" s="112">
        <f t="shared" si="0"/>
        <v>1.2</v>
      </c>
      <c r="I8" s="112">
        <f t="shared" si="0"/>
        <v>0.25</v>
      </c>
      <c r="J8" s="112">
        <f t="shared" si="0"/>
        <v>0.03</v>
      </c>
    </row>
    <row r="11" spans="1:17" x14ac:dyDescent="0.25">
      <c r="A11" s="104" t="s">
        <v>39</v>
      </c>
      <c r="B11" s="104" t="s">
        <v>1</v>
      </c>
      <c r="C11" s="113" t="s">
        <v>282</v>
      </c>
      <c r="D11" s="113" t="s">
        <v>152</v>
      </c>
      <c r="E11" s="113" t="s">
        <v>283</v>
      </c>
      <c r="F11" s="113" t="s">
        <v>269</v>
      </c>
      <c r="G11" s="113" t="s">
        <v>87</v>
      </c>
      <c r="H11" s="113" t="s">
        <v>302</v>
      </c>
      <c r="I11" s="113" t="s">
        <v>284</v>
      </c>
      <c r="J11" s="113" t="s">
        <v>285</v>
      </c>
      <c r="K11" s="113" t="s">
        <v>286</v>
      </c>
      <c r="L11" s="113" t="s">
        <v>287</v>
      </c>
      <c r="M11" s="113" t="s">
        <v>288</v>
      </c>
      <c r="N11" s="113" t="s">
        <v>289</v>
      </c>
      <c r="O11" s="113" t="s">
        <v>56</v>
      </c>
      <c r="P11" s="113" t="s">
        <v>72</v>
      </c>
      <c r="Q11" s="113" t="s">
        <v>290</v>
      </c>
    </row>
    <row r="12" spans="1:17" x14ac:dyDescent="0.25">
      <c r="A12" s="5" t="s">
        <v>291</v>
      </c>
      <c r="B12" s="21">
        <v>32</v>
      </c>
      <c r="C12" s="110">
        <v>0.5</v>
      </c>
      <c r="D12" s="110">
        <v>0.1</v>
      </c>
      <c r="E12" s="110">
        <v>0.75</v>
      </c>
      <c r="F12" s="110">
        <v>0.1</v>
      </c>
      <c r="G12" s="110">
        <v>0.05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</row>
    <row r="13" spans="1:17" x14ac:dyDescent="0.25">
      <c r="A13" s="8" t="s">
        <v>292</v>
      </c>
      <c r="B13" s="21">
        <v>8</v>
      </c>
      <c r="C13" s="110">
        <v>0</v>
      </c>
      <c r="D13" s="110">
        <v>0.15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5.0000000000000001E-3</v>
      </c>
      <c r="K13" s="110">
        <v>0</v>
      </c>
      <c r="L13" s="110">
        <v>0.02</v>
      </c>
      <c r="M13" s="110">
        <v>0.02</v>
      </c>
      <c r="N13" s="110">
        <v>0</v>
      </c>
      <c r="O13" s="110" t="s">
        <v>303</v>
      </c>
      <c r="P13" s="110">
        <v>0</v>
      </c>
      <c r="Q13" s="110">
        <v>0</v>
      </c>
    </row>
    <row r="14" spans="1:17" x14ac:dyDescent="0.25">
      <c r="A14" s="8" t="s">
        <v>294</v>
      </c>
      <c r="B14" s="21">
        <v>10</v>
      </c>
      <c r="C14" s="110">
        <v>0</v>
      </c>
      <c r="D14" s="110">
        <v>0.15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7.0000000000000001E-3</v>
      </c>
      <c r="K14" s="110">
        <v>0.01</v>
      </c>
      <c r="L14" s="110">
        <v>0.01</v>
      </c>
      <c r="M14" s="110">
        <v>0.01</v>
      </c>
      <c r="N14" s="110">
        <v>2.5000000000000001E-2</v>
      </c>
      <c r="O14" s="110">
        <v>0</v>
      </c>
      <c r="P14" s="110">
        <v>0</v>
      </c>
      <c r="Q14" s="110">
        <v>0</v>
      </c>
    </row>
    <row r="15" spans="1:17" x14ac:dyDescent="0.25">
      <c r="A15" s="8" t="s">
        <v>293</v>
      </c>
      <c r="B15" s="21">
        <v>10</v>
      </c>
      <c r="C15" s="110">
        <v>0</v>
      </c>
      <c r="D15" s="110">
        <v>0.65</v>
      </c>
      <c r="E15" s="110">
        <v>0</v>
      </c>
      <c r="F15" s="110">
        <v>0</v>
      </c>
      <c r="G15" s="110">
        <v>0</v>
      </c>
      <c r="H15" s="110">
        <v>0.05</v>
      </c>
      <c r="I15" s="110">
        <v>2.5000000000000001E-2</v>
      </c>
      <c r="J15" s="110">
        <v>0.02</v>
      </c>
      <c r="K15" s="110">
        <v>0.02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</row>
    <row r="16" spans="1:17" x14ac:dyDescent="0.25">
      <c r="A16" s="8" t="s">
        <v>299</v>
      </c>
      <c r="B16" s="21">
        <v>20</v>
      </c>
      <c r="C16" s="110">
        <v>0</v>
      </c>
      <c r="D16" s="110" t="s">
        <v>298</v>
      </c>
      <c r="E16" s="110">
        <v>0</v>
      </c>
      <c r="F16" s="110">
        <v>0</v>
      </c>
      <c r="G16" s="110">
        <v>0</v>
      </c>
      <c r="H16" s="110" t="s">
        <v>298</v>
      </c>
      <c r="I16" s="110" t="s">
        <v>298</v>
      </c>
      <c r="J16" s="110" t="s">
        <v>298</v>
      </c>
      <c r="K16" s="110" t="s">
        <v>298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</row>
    <row r="17" spans="1:17" x14ac:dyDescent="0.25">
      <c r="A17" s="8" t="s">
        <v>295</v>
      </c>
      <c r="B17" s="21">
        <v>10</v>
      </c>
      <c r="C17" s="110">
        <v>0</v>
      </c>
      <c r="D17" s="110">
        <v>0.15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7.0000000000000001E-3</v>
      </c>
      <c r="K17" s="110">
        <v>0.01</v>
      </c>
      <c r="L17" s="110">
        <v>0.01</v>
      </c>
      <c r="M17" s="110">
        <v>0.01</v>
      </c>
      <c r="N17" s="110">
        <v>2.5000000000000001E-2</v>
      </c>
      <c r="O17" s="110">
        <v>0</v>
      </c>
      <c r="P17" s="110">
        <v>0</v>
      </c>
      <c r="Q17" s="110">
        <v>0</v>
      </c>
    </row>
    <row r="18" spans="1:17" x14ac:dyDescent="0.25">
      <c r="A18" s="8" t="s">
        <v>296</v>
      </c>
      <c r="B18" s="21">
        <v>6</v>
      </c>
      <c r="C18" s="110">
        <v>0</v>
      </c>
      <c r="D18" s="110">
        <v>0.65</v>
      </c>
      <c r="E18" s="110">
        <v>0</v>
      </c>
      <c r="F18" s="110">
        <v>0</v>
      </c>
      <c r="G18" s="110">
        <v>0</v>
      </c>
      <c r="H18" s="110">
        <v>0.05</v>
      </c>
      <c r="I18" s="110">
        <v>0.05</v>
      </c>
      <c r="J18" s="110">
        <v>0.02</v>
      </c>
      <c r="K18" s="110">
        <v>0</v>
      </c>
      <c r="L18" s="110">
        <v>0.1</v>
      </c>
      <c r="M18" s="110">
        <v>0.1</v>
      </c>
      <c r="N18" s="110">
        <v>0</v>
      </c>
      <c r="O18" s="110">
        <v>0</v>
      </c>
      <c r="P18" s="110">
        <v>0</v>
      </c>
      <c r="Q18" s="110">
        <v>0</v>
      </c>
    </row>
    <row r="19" spans="1:17" x14ac:dyDescent="0.25">
      <c r="A19" s="8" t="s">
        <v>304</v>
      </c>
      <c r="B19" s="21">
        <v>6</v>
      </c>
      <c r="C19" s="110">
        <v>0</v>
      </c>
      <c r="D19" s="110" t="s">
        <v>298</v>
      </c>
      <c r="E19" s="110">
        <v>0</v>
      </c>
      <c r="F19" s="110">
        <v>0</v>
      </c>
      <c r="G19" s="110">
        <v>0</v>
      </c>
      <c r="H19" s="110" t="s">
        <v>298</v>
      </c>
      <c r="I19" s="110" t="s">
        <v>298</v>
      </c>
      <c r="J19" s="110" t="s">
        <v>298</v>
      </c>
      <c r="K19" s="110">
        <v>0</v>
      </c>
      <c r="L19" s="110" t="s">
        <v>298</v>
      </c>
      <c r="M19" s="110" t="s">
        <v>298</v>
      </c>
      <c r="N19" s="110">
        <v>0</v>
      </c>
      <c r="O19" s="110">
        <v>0</v>
      </c>
      <c r="P19" s="110">
        <v>0</v>
      </c>
      <c r="Q19" s="110">
        <v>0</v>
      </c>
    </row>
    <row r="20" spans="1:17" x14ac:dyDescent="0.25">
      <c r="A20" s="8" t="s">
        <v>305</v>
      </c>
      <c r="B20" s="21">
        <v>4</v>
      </c>
      <c r="C20" s="110">
        <v>0</v>
      </c>
      <c r="D20" s="110" t="s">
        <v>298</v>
      </c>
      <c r="E20" s="110">
        <v>0</v>
      </c>
      <c r="F20" s="110">
        <v>0</v>
      </c>
      <c r="G20" s="110">
        <v>0</v>
      </c>
      <c r="H20" s="110" t="s">
        <v>298</v>
      </c>
      <c r="I20" s="110" t="s">
        <v>298</v>
      </c>
      <c r="J20" s="110" t="s">
        <v>298</v>
      </c>
      <c r="K20" s="110">
        <v>0</v>
      </c>
      <c r="L20" s="110" t="s">
        <v>298</v>
      </c>
      <c r="M20" s="110" t="s">
        <v>298</v>
      </c>
      <c r="N20" s="110">
        <v>0</v>
      </c>
      <c r="O20" s="110">
        <v>0</v>
      </c>
      <c r="P20" s="110">
        <v>0</v>
      </c>
      <c r="Q20" s="110">
        <v>0</v>
      </c>
    </row>
    <row r="21" spans="1:17" x14ac:dyDescent="0.25">
      <c r="A21" s="8" t="s">
        <v>297</v>
      </c>
      <c r="B21" s="21">
        <v>6</v>
      </c>
      <c r="C21" s="110">
        <v>0</v>
      </c>
      <c r="D21" s="110">
        <v>0</v>
      </c>
      <c r="E21" s="110">
        <v>0</v>
      </c>
      <c r="F21" s="110">
        <v>0.1</v>
      </c>
      <c r="G21" s="110">
        <v>2.5000000000000001E-2</v>
      </c>
      <c r="H21" s="110">
        <v>0</v>
      </c>
      <c r="I21" s="110">
        <v>0</v>
      </c>
      <c r="J21" s="110">
        <v>5.0000000000000001E-3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0.01</v>
      </c>
      <c r="Q21" s="110">
        <v>5.0000000000000001E-3</v>
      </c>
    </row>
    <row r="23" spans="1:17" x14ac:dyDescent="0.25">
      <c r="A23" s="112" t="s">
        <v>192</v>
      </c>
      <c r="B23" s="112">
        <f t="shared" ref="B23:N23" si="1">SUM(B12:B21)</f>
        <v>112</v>
      </c>
      <c r="C23" s="112">
        <f t="shared" si="1"/>
        <v>0.5</v>
      </c>
      <c r="D23" s="112">
        <f t="shared" si="1"/>
        <v>1.85</v>
      </c>
      <c r="E23" s="112">
        <f t="shared" si="1"/>
        <v>0.75</v>
      </c>
      <c r="F23" s="112">
        <f t="shared" si="1"/>
        <v>0.2</v>
      </c>
      <c r="G23" s="112">
        <f t="shared" si="1"/>
        <v>7.5000000000000011E-2</v>
      </c>
      <c r="H23" s="112">
        <f t="shared" si="1"/>
        <v>0.1</v>
      </c>
      <c r="I23" s="112">
        <f t="shared" si="1"/>
        <v>7.5000000000000011E-2</v>
      </c>
      <c r="J23" s="112">
        <f t="shared" si="1"/>
        <v>6.4000000000000001E-2</v>
      </c>
      <c r="K23" s="112">
        <f t="shared" si="1"/>
        <v>0.04</v>
      </c>
      <c r="L23" s="112">
        <f t="shared" si="1"/>
        <v>0.14000000000000001</v>
      </c>
      <c r="M23" s="112">
        <f t="shared" si="1"/>
        <v>0.14000000000000001</v>
      </c>
      <c r="N23" s="112">
        <f t="shared" si="1"/>
        <v>0.05</v>
      </c>
      <c r="O23" s="112" t="s">
        <v>303</v>
      </c>
      <c r="P23" s="112">
        <f>SUM(P12:P21)</f>
        <v>0.01</v>
      </c>
      <c r="Q23" s="112">
        <f>SUM(Q12:Q21)</f>
        <v>5.0000000000000001E-3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B301-554D-4BEE-86A2-35537B6C99D3}">
  <dimension ref="A1:S27"/>
  <sheetViews>
    <sheetView zoomScaleNormal="100" workbookViewId="0">
      <selection activeCell="A3" sqref="A3:A6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11.42578125" style="1" bestFit="1" customWidth="1"/>
    <col min="9" max="9" width="11.85546875" style="1" bestFit="1" customWidth="1"/>
    <col min="10" max="10" width="6" style="1" bestFit="1" customWidth="1"/>
    <col min="11" max="11" width="6.140625" style="1" bestFit="1" customWidth="1"/>
    <col min="12" max="12" width="7.42578125" style="1" bestFit="1" customWidth="1"/>
    <col min="13" max="13" width="8.85546875" style="1" bestFit="1" customWidth="1"/>
    <col min="14" max="14" width="6" style="1" bestFit="1" customWidth="1"/>
    <col min="15" max="15" width="9.140625" style="1" bestFit="1" customWidth="1"/>
  </cols>
  <sheetData>
    <row r="1" spans="1:19" x14ac:dyDescent="0.25">
      <c r="P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52</v>
      </c>
      <c r="I2" s="3" t="s">
        <v>5</v>
      </c>
      <c r="J2" s="3" t="s">
        <v>18</v>
      </c>
      <c r="K2" s="3" t="s">
        <v>32</v>
      </c>
      <c r="L2" s="3" t="s">
        <v>42</v>
      </c>
      <c r="M2" s="3" t="s">
        <v>36</v>
      </c>
      <c r="N2" s="3" t="s">
        <v>31</v>
      </c>
      <c r="O2" s="19" t="s">
        <v>41</v>
      </c>
      <c r="P2" s="3" t="s">
        <v>39</v>
      </c>
      <c r="R2" s="117" t="s">
        <v>227</v>
      </c>
      <c r="S2" s="117"/>
    </row>
    <row r="3" spans="1:19" x14ac:dyDescent="0.25">
      <c r="A3" s="5" t="s">
        <v>24</v>
      </c>
      <c r="B3" s="21">
        <v>72</v>
      </c>
      <c r="C3" s="9">
        <f>450/1000</f>
        <v>0.45</v>
      </c>
      <c r="D3" s="9">
        <f>(B3*C3)/2</f>
        <v>16.2</v>
      </c>
      <c r="E3" s="9">
        <f>(D3*90)/1000</f>
        <v>1.458</v>
      </c>
      <c r="F3" s="9">
        <f>(D3*15)/1000</f>
        <v>0.24299999999999999</v>
      </c>
      <c r="G3" s="9">
        <f>(D3*250)/1000</f>
        <v>4.05</v>
      </c>
      <c r="H3" s="9">
        <f>(D3*5)/1000</f>
        <v>8.1000000000000003E-2</v>
      </c>
      <c r="I3" s="9">
        <f>(D3*10)/1000</f>
        <v>0.16200000000000001</v>
      </c>
      <c r="J3" s="9">
        <f>(D3*5)/1000</f>
        <v>8.1000000000000003E-2</v>
      </c>
      <c r="K3" s="9">
        <f>(D3*5)/1000</f>
        <v>8.1000000000000003E-2</v>
      </c>
      <c r="L3" s="9">
        <f>(D3*4)/1000</f>
        <v>6.4799999999999996E-2</v>
      </c>
      <c r="M3" s="9">
        <f>(D3*5)/1000</f>
        <v>8.1000000000000003E-2</v>
      </c>
      <c r="N3" s="9">
        <f>(D3*20)/1000</f>
        <v>0.32400000000000001</v>
      </c>
      <c r="O3" s="20">
        <f>(D3*10)/1000</f>
        <v>0.16200000000000001</v>
      </c>
      <c r="P3" s="8"/>
      <c r="R3" s="117"/>
      <c r="S3" s="117"/>
    </row>
    <row r="4" spans="1:19" x14ac:dyDescent="0.25">
      <c r="A4" s="5" t="s">
        <v>25</v>
      </c>
      <c r="B4" s="21">
        <v>140</v>
      </c>
      <c r="C4" s="9">
        <v>5.5E-2</v>
      </c>
      <c r="D4" s="9">
        <f t="shared" ref="D4:D6" si="0">(B4*C4)/2</f>
        <v>3.85</v>
      </c>
      <c r="E4" s="9">
        <f t="shared" ref="E4:E6" si="1">(D4*90)/1000</f>
        <v>0.34649999999999997</v>
      </c>
      <c r="F4" s="9">
        <f t="shared" ref="F4:F6" si="2">(D4*15)/1000</f>
        <v>5.7750000000000003E-2</v>
      </c>
      <c r="G4" s="9">
        <f t="shared" ref="G4:G6" si="3">(D4*250)/1000</f>
        <v>0.96250000000000002</v>
      </c>
      <c r="H4" s="9">
        <f t="shared" ref="H4:H6" si="4">(D4*5)/1000</f>
        <v>1.925E-2</v>
      </c>
      <c r="I4" s="9">
        <f t="shared" ref="I4:I6" si="5">(D4*10)/1000</f>
        <v>3.85E-2</v>
      </c>
      <c r="J4" s="9">
        <f t="shared" ref="J4:J6" si="6">(D4*5)/1000</f>
        <v>1.925E-2</v>
      </c>
      <c r="K4" s="9">
        <f t="shared" ref="K4:K6" si="7">(D4*5)/1000</f>
        <v>1.925E-2</v>
      </c>
      <c r="L4" s="9">
        <f t="shared" ref="L4:L6" si="8">(D4*4)/1000</f>
        <v>1.54E-2</v>
      </c>
      <c r="M4" s="9">
        <f t="shared" ref="M4:M6" si="9">(D4*5)/1000</f>
        <v>1.925E-2</v>
      </c>
      <c r="N4" s="9">
        <f t="shared" ref="N4:N6" si="10">(D4*20)/1000</f>
        <v>7.6999999999999999E-2</v>
      </c>
      <c r="O4" s="20">
        <f t="shared" ref="O4:O6" si="11">(D4*10)/1000</f>
        <v>3.85E-2</v>
      </c>
      <c r="P4" s="8"/>
    </row>
    <row r="5" spans="1:19" x14ac:dyDescent="0.25">
      <c r="A5" s="8" t="s">
        <v>26</v>
      </c>
      <c r="B5" s="21">
        <v>45</v>
      </c>
      <c r="C5" s="9">
        <f>330/1000</f>
        <v>0.33</v>
      </c>
      <c r="D5" s="9">
        <f t="shared" si="0"/>
        <v>7.4250000000000007</v>
      </c>
      <c r="E5" s="9">
        <f t="shared" si="1"/>
        <v>0.66825000000000012</v>
      </c>
      <c r="F5" s="9">
        <f t="shared" si="2"/>
        <v>0.11137500000000002</v>
      </c>
      <c r="G5" s="9">
        <f t="shared" si="3"/>
        <v>1.8562500000000002</v>
      </c>
      <c r="H5" s="9">
        <f t="shared" si="4"/>
        <v>3.7124999999999998E-2</v>
      </c>
      <c r="I5" s="9">
        <f t="shared" si="5"/>
        <v>7.4249999999999997E-2</v>
      </c>
      <c r="J5" s="9">
        <f t="shared" si="6"/>
        <v>3.7124999999999998E-2</v>
      </c>
      <c r="K5" s="9">
        <f t="shared" si="7"/>
        <v>3.7124999999999998E-2</v>
      </c>
      <c r="L5" s="9">
        <f t="shared" si="8"/>
        <v>2.9700000000000004E-2</v>
      </c>
      <c r="M5" s="9">
        <f t="shared" si="9"/>
        <v>3.7124999999999998E-2</v>
      </c>
      <c r="N5" s="9">
        <f t="shared" si="10"/>
        <v>0.14849999999999999</v>
      </c>
      <c r="O5" s="20">
        <f t="shared" si="11"/>
        <v>7.4249999999999997E-2</v>
      </c>
      <c r="P5" s="46">
        <f>(B5*170)/1000</f>
        <v>7.65</v>
      </c>
    </row>
    <row r="6" spans="1:19" x14ac:dyDescent="0.25">
      <c r="A6" s="8" t="s">
        <v>27</v>
      </c>
      <c r="B6" s="21">
        <v>50</v>
      </c>
      <c r="C6" s="9">
        <f>70/1000</f>
        <v>7.0000000000000007E-2</v>
      </c>
      <c r="D6" s="9">
        <f t="shared" si="0"/>
        <v>1.7500000000000002</v>
      </c>
      <c r="E6" s="9">
        <f t="shared" si="1"/>
        <v>0.15750000000000003</v>
      </c>
      <c r="F6" s="9">
        <f t="shared" si="2"/>
        <v>2.6250000000000002E-2</v>
      </c>
      <c r="G6" s="9">
        <f t="shared" si="3"/>
        <v>0.43750000000000006</v>
      </c>
      <c r="H6" s="9">
        <f t="shared" si="4"/>
        <v>8.7500000000000026E-3</v>
      </c>
      <c r="I6" s="9">
        <f t="shared" si="5"/>
        <v>1.7500000000000005E-2</v>
      </c>
      <c r="J6" s="9">
        <f t="shared" si="6"/>
        <v>8.7500000000000026E-3</v>
      </c>
      <c r="K6" s="9">
        <f t="shared" si="7"/>
        <v>8.7500000000000026E-3</v>
      </c>
      <c r="L6" s="9">
        <f t="shared" si="8"/>
        <v>7.000000000000001E-3</v>
      </c>
      <c r="M6" s="9">
        <f t="shared" si="9"/>
        <v>8.7500000000000026E-3</v>
      </c>
      <c r="N6" s="9">
        <f t="shared" si="10"/>
        <v>3.500000000000001E-2</v>
      </c>
      <c r="O6" s="20">
        <f t="shared" si="11"/>
        <v>1.7500000000000005E-2</v>
      </c>
      <c r="P6" s="8"/>
    </row>
    <row r="7" spans="1:19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9" x14ac:dyDescent="0.25">
      <c r="A8" s="13" t="s">
        <v>16</v>
      </c>
      <c r="B8" s="11">
        <f t="shared" ref="B8:P8" si="12">SUM(B3:B6)</f>
        <v>307</v>
      </c>
      <c r="C8" s="12">
        <f t="shared" si="12"/>
        <v>0.90500000000000003</v>
      </c>
      <c r="D8" s="12">
        <f t="shared" si="12"/>
        <v>29.225000000000001</v>
      </c>
      <c r="E8" s="12">
        <f t="shared" si="12"/>
        <v>2.6302500000000002</v>
      </c>
      <c r="F8" s="12">
        <f t="shared" si="12"/>
        <v>0.43837500000000001</v>
      </c>
      <c r="G8" s="12">
        <f t="shared" si="12"/>
        <v>7.3062500000000004</v>
      </c>
      <c r="H8" s="12">
        <f t="shared" si="12"/>
        <v>0.146125</v>
      </c>
      <c r="I8" s="12">
        <f t="shared" si="12"/>
        <v>0.29225000000000001</v>
      </c>
      <c r="J8" s="12">
        <f t="shared" si="12"/>
        <v>0.146125</v>
      </c>
      <c r="K8" s="12">
        <f t="shared" si="12"/>
        <v>0.146125</v>
      </c>
      <c r="L8" s="12">
        <f t="shared" si="12"/>
        <v>0.1169</v>
      </c>
      <c r="M8" s="12">
        <f t="shared" si="12"/>
        <v>0.146125</v>
      </c>
      <c r="N8" s="12">
        <f t="shared" si="12"/>
        <v>0.58450000000000002</v>
      </c>
      <c r="O8" s="12">
        <f t="shared" si="12"/>
        <v>0.29225000000000001</v>
      </c>
      <c r="P8" s="12">
        <f t="shared" si="12"/>
        <v>7.65</v>
      </c>
    </row>
    <row r="9" spans="1:19" hidden="1" x14ac:dyDescent="0.25">
      <c r="A9" s="39" t="s">
        <v>193</v>
      </c>
      <c r="B9" s="40"/>
      <c r="C9" s="40"/>
      <c r="D9" s="40">
        <f>D8*'Cost of raw materials'!C7</f>
        <v>1052.1000000000001</v>
      </c>
      <c r="E9" s="40">
        <f>E8*'Cost of raw materials'!G9</f>
        <v>389.27700000000004</v>
      </c>
      <c r="F9" s="40">
        <f>F8*'Cost of raw materials'!C9</f>
        <v>3.9453750000000003</v>
      </c>
      <c r="G9" s="40">
        <f>G8*'Cost of raw materials'!C8</f>
        <v>284.94375000000002</v>
      </c>
      <c r="H9" s="40">
        <f>H8*'Cost of raw materials'!C11</f>
        <v>45.591000000000001</v>
      </c>
      <c r="I9" s="40">
        <f>I8*'Cost of raw materials'!C10</f>
        <v>92.058750000000003</v>
      </c>
      <c r="J9" s="40">
        <f>J8*'Cost of raw materials'!C13</f>
        <v>80.368750000000006</v>
      </c>
      <c r="K9" s="40">
        <f>K8*'Cost of raw materials'!C18</f>
        <v>67.948125000000005</v>
      </c>
      <c r="L9" s="40">
        <f>L8*'Cost of raw materials'!C19</f>
        <v>22.211000000000002</v>
      </c>
      <c r="M9" s="40">
        <f>M8*'Cost of raw materials'!C15</f>
        <v>37.408000000000001</v>
      </c>
      <c r="N9" s="40">
        <f>N8*'Cost of raw materials'!C21</f>
        <v>84.752499999999998</v>
      </c>
      <c r="O9" s="40">
        <f>O8*'Cost of raw materials'!C22</f>
        <v>45.298749999999998</v>
      </c>
      <c r="P9" s="39">
        <f>P8*(M13/16.38)</f>
        <v>398.61263736263749</v>
      </c>
    </row>
    <row r="11" spans="1:19" x14ac:dyDescent="0.25">
      <c r="A11" s="8" t="s">
        <v>43</v>
      </c>
      <c r="B11" s="18" t="s">
        <v>21</v>
      </c>
      <c r="C11" s="18" t="s">
        <v>33</v>
      </c>
      <c r="D11" s="18" t="s">
        <v>36</v>
      </c>
      <c r="E11" s="18" t="s">
        <v>18</v>
      </c>
      <c r="F11" s="18" t="s">
        <v>15</v>
      </c>
      <c r="G11" s="18" t="s">
        <v>8</v>
      </c>
      <c r="H11" s="18" t="s">
        <v>38</v>
      </c>
      <c r="I11" s="18" t="s">
        <v>4</v>
      </c>
      <c r="J11" s="18" t="s">
        <v>37</v>
      </c>
      <c r="K11" s="18" t="s">
        <v>17</v>
      </c>
      <c r="L11" s="18" t="s">
        <v>44</v>
      </c>
      <c r="M11" s="11" t="s">
        <v>16</v>
      </c>
    </row>
    <row r="12" spans="1:19" x14ac:dyDescent="0.25">
      <c r="A12" s="8"/>
      <c r="B12" s="21">
        <v>1.5</v>
      </c>
      <c r="C12" s="6">
        <f>B12*0.3</f>
        <v>0.44999999999999996</v>
      </c>
      <c r="D12" s="6">
        <f>B12*0.2</f>
        <v>0.30000000000000004</v>
      </c>
      <c r="E12" s="6">
        <f>B12*0.2</f>
        <v>0.30000000000000004</v>
      </c>
      <c r="F12" s="6">
        <f>B12*0.02</f>
        <v>0.03</v>
      </c>
      <c r="G12" s="6">
        <f>B12*0.4</f>
        <v>0.60000000000000009</v>
      </c>
      <c r="H12" s="6">
        <f>B12*0.5</f>
        <v>0.75</v>
      </c>
      <c r="I12" s="6">
        <f>B12*1.6</f>
        <v>2.4000000000000004</v>
      </c>
      <c r="J12" s="6">
        <f>B12*0.16</f>
        <v>0.24</v>
      </c>
      <c r="K12" s="6">
        <f>B12*0.3</f>
        <v>0.44999999999999996</v>
      </c>
      <c r="L12" s="6">
        <f>B12*0.3</f>
        <v>0.44999999999999996</v>
      </c>
      <c r="M12" s="11">
        <f>SUM(B12:K12)</f>
        <v>7.0200000000000005</v>
      </c>
    </row>
    <row r="13" spans="1:19" hidden="1" x14ac:dyDescent="0.25">
      <c r="A13" s="45" t="s">
        <v>194</v>
      </c>
      <c r="B13" s="42">
        <f>B12*'Cost of raw materials'!C27</f>
        <v>67.5</v>
      </c>
      <c r="C13" s="42">
        <f>C12*'Cost of raw materials'!O18</f>
        <v>0.89999999999999991</v>
      </c>
      <c r="D13" s="42">
        <f>D12*'Cost of raw materials'!C15</f>
        <v>76.800000000000011</v>
      </c>
      <c r="E13" s="42">
        <f>E12*'Cost of raw materials'!C13</f>
        <v>165.00000000000003</v>
      </c>
      <c r="F13" s="42">
        <f>F12*'Cost of raw materials'!C25</f>
        <v>39.6</v>
      </c>
      <c r="G13" s="42">
        <f>G12*'Cost of raw materials'!K16</f>
        <v>33.600000000000009</v>
      </c>
      <c r="H13" s="42">
        <f>H12*'Cost of raw materials'!C17</f>
        <v>157.5</v>
      </c>
      <c r="I13" s="42">
        <f>I12*'Cost of raw materials'!C8</f>
        <v>93.600000000000009</v>
      </c>
      <c r="J13" s="42">
        <f>J12*'Cost of raw materials'!C16</f>
        <v>120</v>
      </c>
      <c r="K13" s="42">
        <f>K12*'Cost of raw materials'!K17</f>
        <v>98.999999999999986</v>
      </c>
      <c r="L13" s="42">
        <f>L12*'Cost of raw materials'!K18</f>
        <v>62.099999999999994</v>
      </c>
      <c r="M13" s="40">
        <f>SUM(B13:K13)</f>
        <v>853.50000000000011</v>
      </c>
    </row>
    <row r="14" spans="1:19" hidden="1" x14ac:dyDescent="0.25"/>
    <row r="15" spans="1:19" hidden="1" x14ac:dyDescent="0.25">
      <c r="A15" s="47" t="s">
        <v>191</v>
      </c>
      <c r="B15" s="48">
        <f>P9</f>
        <v>398.61263736263749</v>
      </c>
    </row>
    <row r="16" spans="1:19" hidden="1" x14ac:dyDescent="0.25"/>
    <row r="27" spans="6:6" x14ac:dyDescent="0.25">
      <c r="F27" s="1" t="s">
        <v>195</v>
      </c>
    </row>
  </sheetData>
  <mergeCells count="1">
    <mergeCell ref="R2:S3"/>
  </mergeCells>
  <hyperlinks>
    <hyperlink ref="R2:S3" location="Home!A1" display="Home" xr:uid="{B3B8FA70-D615-43EE-8E51-EEAE8CCF8357}"/>
  </hyperlinks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D325-0BBB-4120-B661-C60037B00846}">
  <dimension ref="A1:R7"/>
  <sheetViews>
    <sheetView zoomScale="102" zoomScaleNormal="102" workbookViewId="0">
      <selection activeCell="A3" sqref="A3:A5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6" style="1" bestFit="1" customWidth="1"/>
    <col min="9" max="9" width="6.140625" style="1" bestFit="1" customWidth="1"/>
    <col min="10" max="10" width="8.85546875" style="1" bestFit="1" customWidth="1"/>
    <col min="11" max="11" width="6" style="1" bestFit="1" customWidth="1"/>
    <col min="12" max="12" width="9.140625" style="1" bestFit="1" customWidth="1"/>
    <col min="13" max="13" width="8.85546875" style="17"/>
    <col min="14" max="14" width="10.140625" style="17" bestFit="1" customWidth="1"/>
    <col min="15" max="15" width="9.42578125" bestFit="1" customWidth="1"/>
  </cols>
  <sheetData>
    <row r="1" spans="1:18" x14ac:dyDescent="0.25">
      <c r="M1" s="22"/>
    </row>
    <row r="2" spans="1:18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18</v>
      </c>
      <c r="I2" s="3" t="s">
        <v>32</v>
      </c>
      <c r="J2" s="3" t="s">
        <v>36</v>
      </c>
      <c r="K2" s="3" t="s">
        <v>31</v>
      </c>
      <c r="L2" s="19" t="s">
        <v>34</v>
      </c>
      <c r="M2" s="3" t="s">
        <v>8</v>
      </c>
      <c r="N2" s="3" t="s">
        <v>15</v>
      </c>
      <c r="O2" s="3" t="s">
        <v>46</v>
      </c>
      <c r="Q2" s="117" t="s">
        <v>227</v>
      </c>
      <c r="R2" s="117"/>
    </row>
    <row r="3" spans="1:18" x14ac:dyDescent="0.25">
      <c r="A3" s="5" t="s">
        <v>28</v>
      </c>
      <c r="B3" s="21">
        <v>12</v>
      </c>
      <c r="C3" s="9">
        <v>0.16700000000000001</v>
      </c>
      <c r="D3" s="9">
        <f>(B3*C3)/2</f>
        <v>1.002</v>
      </c>
      <c r="E3" s="9">
        <f>(D3*100)/1000</f>
        <v>0.1002</v>
      </c>
      <c r="F3" s="9">
        <f>(D3*15)/1000</f>
        <v>1.503E-2</v>
      </c>
      <c r="G3" s="9">
        <f>(D3*300)/1000</f>
        <v>0.30060000000000003</v>
      </c>
      <c r="H3" s="9">
        <f>(D3*100)/1000</f>
        <v>0.1002</v>
      </c>
      <c r="I3" s="9">
        <f>(D3*0)/1000</f>
        <v>0</v>
      </c>
      <c r="J3" s="9">
        <f>(D3*100)/1000</f>
        <v>0.1002</v>
      </c>
      <c r="K3" s="9">
        <f>(D3*25)/1000</f>
        <v>2.5049999999999999E-2</v>
      </c>
      <c r="L3" s="20">
        <f>(D3*50)/1000</f>
        <v>5.0099999999999999E-2</v>
      </c>
      <c r="M3" s="14">
        <f>(D3*200)/1000</f>
        <v>0.20039999999999999</v>
      </c>
      <c r="N3" s="14">
        <f>(D3*15)/1000</f>
        <v>1.503E-2</v>
      </c>
      <c r="O3" s="8"/>
      <c r="Q3" s="117"/>
      <c r="R3" s="117"/>
    </row>
    <row r="4" spans="1:18" x14ac:dyDescent="0.25">
      <c r="A4" s="8" t="s">
        <v>29</v>
      </c>
      <c r="B4" s="21">
        <v>0</v>
      </c>
      <c r="C4" s="9">
        <f>0.2</f>
        <v>0.2</v>
      </c>
      <c r="D4" s="9">
        <f t="shared" ref="D4:D5" si="0">(B4*C4)/2</f>
        <v>0</v>
      </c>
      <c r="E4" s="9">
        <f>(D4*100)/1000</f>
        <v>0</v>
      </c>
      <c r="F4" s="9">
        <f t="shared" ref="F4:F5" si="1">(D4*15)/1000</f>
        <v>0</v>
      </c>
      <c r="G4" s="9">
        <f>(D4*300)/1000</f>
        <v>0</v>
      </c>
      <c r="H4" s="9">
        <f>(D4*100)/1000</f>
        <v>0</v>
      </c>
      <c r="I4" s="9">
        <f>(D4*200)/1000</f>
        <v>0</v>
      </c>
      <c r="J4" s="9">
        <f>(D4*100)/1000</f>
        <v>0</v>
      </c>
      <c r="K4" s="9">
        <f>(D4*25)/1000</f>
        <v>0</v>
      </c>
      <c r="L4" s="20">
        <f>(D4*0)/1000</f>
        <v>0</v>
      </c>
      <c r="M4" s="15"/>
      <c r="N4" s="14">
        <f>(D4*15)/1000</f>
        <v>0</v>
      </c>
      <c r="O4" s="8"/>
    </row>
    <row r="5" spans="1:18" x14ac:dyDescent="0.25">
      <c r="A5" s="8" t="s">
        <v>30</v>
      </c>
      <c r="B5" s="21">
        <v>0</v>
      </c>
      <c r="C5" s="9">
        <f>72/1000</f>
        <v>7.1999999999999995E-2</v>
      </c>
      <c r="D5" s="9">
        <f t="shared" si="0"/>
        <v>0</v>
      </c>
      <c r="E5" s="9">
        <f>(D5*100)/1000</f>
        <v>0</v>
      </c>
      <c r="F5" s="9">
        <f t="shared" si="1"/>
        <v>0</v>
      </c>
      <c r="G5" s="9">
        <f>(D5*300)/1000</f>
        <v>0</v>
      </c>
      <c r="H5" s="9">
        <f>(D5*100)/1000</f>
        <v>0</v>
      </c>
      <c r="I5" s="9">
        <f>(D5*0)/1000</f>
        <v>0</v>
      </c>
      <c r="J5" s="9">
        <f>(D5*100)/1000</f>
        <v>0</v>
      </c>
      <c r="K5" s="9">
        <f>(D5*25)/1000</f>
        <v>0</v>
      </c>
      <c r="L5" s="20">
        <f>(D5*0)/1000</f>
        <v>0</v>
      </c>
      <c r="M5" s="15"/>
      <c r="N5" s="14">
        <f>(D5*15)/1000</f>
        <v>0</v>
      </c>
      <c r="O5" s="14">
        <f>(D5*300)/1000</f>
        <v>0</v>
      </c>
    </row>
    <row r="6" spans="1:18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8" x14ac:dyDescent="0.25">
      <c r="A7" s="13" t="s">
        <v>16</v>
      </c>
      <c r="B7" s="11">
        <f t="shared" ref="B7:O7" si="2">SUM(B3:B5)</f>
        <v>12</v>
      </c>
      <c r="C7" s="12">
        <f t="shared" si="2"/>
        <v>0.439</v>
      </c>
      <c r="D7" s="12">
        <f t="shared" si="2"/>
        <v>1.002</v>
      </c>
      <c r="E7" s="12">
        <f t="shared" si="2"/>
        <v>0.1002</v>
      </c>
      <c r="F7" s="12">
        <f t="shared" si="2"/>
        <v>1.503E-2</v>
      </c>
      <c r="G7" s="12">
        <f t="shared" si="2"/>
        <v>0.30060000000000003</v>
      </c>
      <c r="H7" s="12">
        <f t="shared" si="2"/>
        <v>0.1002</v>
      </c>
      <c r="I7" s="12">
        <f t="shared" si="2"/>
        <v>0</v>
      </c>
      <c r="J7" s="12">
        <f t="shared" si="2"/>
        <v>0.1002</v>
      </c>
      <c r="K7" s="12">
        <f t="shared" si="2"/>
        <v>2.5049999999999999E-2</v>
      </c>
      <c r="L7" s="12">
        <f t="shared" si="2"/>
        <v>5.0099999999999999E-2</v>
      </c>
      <c r="M7" s="12">
        <f t="shared" si="2"/>
        <v>0.20039999999999999</v>
      </c>
      <c r="N7" s="12">
        <f t="shared" si="2"/>
        <v>1.503E-2</v>
      </c>
      <c r="O7" s="12">
        <f t="shared" si="2"/>
        <v>0</v>
      </c>
    </row>
  </sheetData>
  <mergeCells count="1">
    <mergeCell ref="Q2:R3"/>
  </mergeCells>
  <hyperlinks>
    <hyperlink ref="Q2:R3" location="Home!A1" display="Home" xr:uid="{E2665ED7-CD30-4C6B-A834-F6A04977D69B}"/>
  </hyperlinks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C4AA-25F6-4801-ABF8-27D5BB9D8AF9}">
  <dimension ref="A1:Q12"/>
  <sheetViews>
    <sheetView workbookViewId="0">
      <selection activeCell="H14" sqref="H14"/>
    </sheetView>
  </sheetViews>
  <sheetFormatPr defaultColWidth="8.85546875" defaultRowHeight="15" x14ac:dyDescent="0.25"/>
  <cols>
    <col min="1" max="1" width="14.42578125" bestFit="1" customWidth="1"/>
    <col min="2" max="2" width="6.42578125" style="1" bestFit="1" customWidth="1"/>
    <col min="3" max="3" width="9" style="1" bestFit="1" customWidth="1"/>
    <col min="4" max="4" width="6.42578125" style="1" bestFit="1" customWidth="1"/>
    <col min="5" max="5" width="10" style="1" bestFit="1" customWidth="1"/>
    <col min="6" max="6" width="5.28515625" style="1" bestFit="1" customWidth="1"/>
    <col min="7" max="7" width="8.7109375" style="1" bestFit="1" customWidth="1"/>
    <col min="8" max="8" width="9.85546875" style="1" bestFit="1" customWidth="1"/>
    <col min="9" max="9" width="9.140625" style="1" bestFit="1" customWidth="1"/>
    <col min="10" max="10" width="7.28515625" style="1" bestFit="1" customWidth="1"/>
    <col min="11" max="11" width="7.28515625" style="17" bestFit="1" customWidth="1"/>
    <col min="12" max="12" width="11.140625" style="17" bestFit="1" customWidth="1"/>
    <col min="13" max="13" width="6" bestFit="1" customWidth="1"/>
    <col min="14" max="14" width="6.85546875" bestFit="1" customWidth="1"/>
  </cols>
  <sheetData>
    <row r="1" spans="1:17" x14ac:dyDescent="0.25">
      <c r="K1" s="22"/>
      <c r="M1" s="121" t="s">
        <v>82</v>
      </c>
      <c r="N1" s="121"/>
    </row>
    <row r="2" spans="1:17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68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20</v>
      </c>
      <c r="N2" s="3" t="s">
        <v>63</v>
      </c>
      <c r="O2" s="17"/>
      <c r="P2" s="117" t="s">
        <v>227</v>
      </c>
      <c r="Q2" s="117"/>
    </row>
    <row r="3" spans="1:17" x14ac:dyDescent="0.25">
      <c r="A3" s="5" t="s">
        <v>81</v>
      </c>
      <c r="B3" s="9">
        <f>SUM(C9:C12)</f>
        <v>5.0039999999999996</v>
      </c>
      <c r="C3" s="9">
        <f>$B3*1.32</f>
        <v>6.6052799999999996</v>
      </c>
      <c r="D3" s="9">
        <f>$B3*0.83</f>
        <v>4.153319999999999</v>
      </c>
      <c r="E3" s="9">
        <f>$B3*0.17</f>
        <v>0.85067999999999999</v>
      </c>
      <c r="F3" s="9">
        <f>$B3*0.08</f>
        <v>0.40031999999999995</v>
      </c>
      <c r="G3" s="9">
        <f>$B3*0.08</f>
        <v>0.40031999999999995</v>
      </c>
      <c r="H3" s="9">
        <f>$B3*0.008</f>
        <v>4.0031999999999998E-2</v>
      </c>
      <c r="I3" s="9">
        <f>$B3*0.008</f>
        <v>4.0031999999999998E-2</v>
      </c>
      <c r="J3" s="9">
        <f>$B3*30</f>
        <v>150.11999999999998</v>
      </c>
      <c r="K3" s="9">
        <f>$B3*0.004</f>
        <v>2.0015999999999999E-2</v>
      </c>
      <c r="L3" s="9">
        <f>$B3*0.008</f>
        <v>4.0031999999999998E-2</v>
      </c>
      <c r="M3" s="9">
        <f>$B3*0.01</f>
        <v>5.0039999999999994E-2</v>
      </c>
      <c r="N3" s="9">
        <f>$B3*0.005</f>
        <v>2.5019999999999997E-2</v>
      </c>
      <c r="O3" s="17"/>
      <c r="P3" s="117"/>
      <c r="Q3" s="117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17" x14ac:dyDescent="0.25">
      <c r="A5" s="13" t="s">
        <v>16</v>
      </c>
      <c r="B5" s="12">
        <f>SUM(B3:B3)</f>
        <v>5.0039999999999996</v>
      </c>
      <c r="C5" s="12">
        <f t="shared" ref="C5:N5" si="0">SUM(C3:C3)</f>
        <v>6.6052799999999996</v>
      </c>
      <c r="D5" s="12">
        <f t="shared" si="0"/>
        <v>4.153319999999999</v>
      </c>
      <c r="E5" s="12">
        <f t="shared" si="0"/>
        <v>0.85067999999999999</v>
      </c>
      <c r="F5" s="12">
        <f t="shared" si="0"/>
        <v>0.40031999999999995</v>
      </c>
      <c r="G5" s="12">
        <f t="shared" si="0"/>
        <v>0.40031999999999995</v>
      </c>
      <c r="H5" s="12">
        <f t="shared" si="0"/>
        <v>4.0031999999999998E-2</v>
      </c>
      <c r="I5" s="12">
        <f t="shared" si="0"/>
        <v>4.0031999999999998E-2</v>
      </c>
      <c r="J5" s="12">
        <f t="shared" si="0"/>
        <v>150.11999999999998</v>
      </c>
      <c r="K5" s="12">
        <f t="shared" si="0"/>
        <v>2.0015999999999999E-2</v>
      </c>
      <c r="L5" s="12">
        <f t="shared" si="0"/>
        <v>4.0031999999999998E-2</v>
      </c>
      <c r="M5" s="12">
        <f t="shared" si="0"/>
        <v>5.0039999999999994E-2</v>
      </c>
      <c r="N5" s="12">
        <f t="shared" si="0"/>
        <v>2.5019999999999997E-2</v>
      </c>
    </row>
    <row r="8" spans="1:17" x14ac:dyDescent="0.25">
      <c r="A8" s="8"/>
      <c r="B8" s="6" t="s">
        <v>252</v>
      </c>
      <c r="C8" s="6" t="s">
        <v>2</v>
      </c>
      <c r="D8" s="6" t="s">
        <v>17</v>
      </c>
      <c r="E8" s="6" t="s">
        <v>57</v>
      </c>
    </row>
    <row r="9" spans="1:17" x14ac:dyDescent="0.25">
      <c r="A9" s="8" t="s">
        <v>251</v>
      </c>
      <c r="B9" s="21">
        <v>6</v>
      </c>
      <c r="C9" s="6">
        <f>B9*0.417</f>
        <v>2.5019999999999998</v>
      </c>
      <c r="D9" s="6"/>
      <c r="E9" s="6"/>
    </row>
    <row r="10" spans="1:17" x14ac:dyDescent="0.25">
      <c r="A10" s="8" t="s">
        <v>248</v>
      </c>
      <c r="B10" s="21">
        <v>4</v>
      </c>
      <c r="C10" s="6">
        <f t="shared" ref="C10:C12" si="1">B10*0.417</f>
        <v>1.6679999999999999</v>
      </c>
      <c r="D10" s="6"/>
      <c r="E10" s="6"/>
    </row>
    <row r="11" spans="1:17" x14ac:dyDescent="0.25">
      <c r="A11" s="8" t="s">
        <v>249</v>
      </c>
      <c r="B11" s="21">
        <v>1</v>
      </c>
      <c r="C11" s="6">
        <f t="shared" si="1"/>
        <v>0.41699999999999998</v>
      </c>
      <c r="D11" s="6"/>
      <c r="E11" s="6">
        <f>B11*0.3</f>
        <v>0.3</v>
      </c>
    </row>
    <row r="12" spans="1:17" x14ac:dyDescent="0.25">
      <c r="A12" s="8" t="s">
        <v>250</v>
      </c>
      <c r="B12" s="21">
        <v>1</v>
      </c>
      <c r="C12" s="6">
        <f t="shared" si="1"/>
        <v>0.41699999999999998</v>
      </c>
      <c r="D12" s="6">
        <f>B12*0.3</f>
        <v>0.3</v>
      </c>
      <c r="E12" s="6"/>
    </row>
  </sheetData>
  <mergeCells count="2">
    <mergeCell ref="M1:N1"/>
    <mergeCell ref="P2:Q3"/>
  </mergeCells>
  <hyperlinks>
    <hyperlink ref="P2:Q3" location="Home!A1" display="Home" xr:uid="{5DE419DA-48B3-4A30-BA3E-ED2F0120B91A}"/>
  </hyperlink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Home</vt:lpstr>
      <vt:lpstr>Stock</vt:lpstr>
      <vt:lpstr>Daily_Consumption</vt:lpstr>
      <vt:lpstr>Cost of raw materials</vt:lpstr>
      <vt:lpstr>Puffs_Sweetna</vt:lpstr>
      <vt:lpstr>Masala</vt:lpstr>
      <vt:lpstr>Bread_Bun</vt:lpstr>
      <vt:lpstr>Fruit_ButterBread_Donut</vt:lpstr>
      <vt:lpstr>Tea_Cake</vt:lpstr>
      <vt:lpstr>Plum_Cake</vt:lpstr>
      <vt:lpstr>Pineapple_Cake</vt:lpstr>
      <vt:lpstr>Carrot_Dates_Cake</vt:lpstr>
      <vt:lpstr>Cream</vt:lpstr>
      <vt:lpstr>Spunge_Cake</vt:lpstr>
      <vt:lpstr>Black_Forest</vt:lpstr>
      <vt:lpstr>White_Forest</vt:lpstr>
      <vt:lpstr>Red_Velvet</vt:lpstr>
      <vt:lpstr>Ghee_Cake</vt:lpstr>
      <vt:lpstr>Sandwitch_Pizza</vt:lpstr>
      <vt:lpstr>Tea_Rusk</vt:lpstr>
      <vt:lpstr>White_Rusk</vt:lpstr>
      <vt:lpstr>Beans_Biscuit</vt:lpstr>
      <vt:lpstr>Pineapple_Cookies</vt:lpstr>
      <vt:lpstr>Orange_Cookies</vt:lpstr>
      <vt:lpstr>Strawberry_Cookies</vt:lpstr>
      <vt:lpstr>Pista_Cookies</vt:lpstr>
      <vt:lpstr>Semia_Cookies</vt:lpstr>
      <vt:lpstr>Coconut_Cookies</vt:lpstr>
      <vt:lpstr>Masala_Cookies</vt:lpstr>
      <vt:lpstr>Muffins</vt:lpstr>
      <vt:lpstr>Chocolate_Muffin</vt:lpstr>
      <vt:lpstr>Cherry Cake</vt:lpstr>
      <vt:lpstr>RawMaterials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Krishna</dc:creator>
  <cp:lastModifiedBy>dell</cp:lastModifiedBy>
  <dcterms:created xsi:type="dcterms:W3CDTF">2021-12-30T12:18:46Z</dcterms:created>
  <dcterms:modified xsi:type="dcterms:W3CDTF">2025-07-01T03:35:32Z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2021-12-30T12:18:58Z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aaa4a52f-43f6-46e1-b7f9-ec5c92ca51ce</vt:lpwstr>
  </property>
  <property fmtid="{D5CDD505-2E9C-101B-9397-08002B2CF9AE}" pid="8" name="MSIP_Label_a0819fa7-4367-4500-ba88-dd630d977609_ContentBits">
    <vt:lpwstr>0</vt:lpwstr>
  </property>
</Properties>
</file>