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120" windowWidth="19395" windowHeight="8055" tabRatio="601" activeTab="5"/>
  </bookViews>
  <sheets>
    <sheet name="Team member" sheetId="61" r:id="rId1"/>
    <sheet name="LEV PN" sheetId="62" r:id="rId2"/>
    <sheet name="LEV PN_Oct24_2013" sheetId="35" state="hidden" r:id="rId3"/>
    <sheet name="LEV PN_aug18_2013" sheetId="31" state="hidden" r:id="rId4"/>
    <sheet name="LEV 機種功能表_NEW" sheetId="65" r:id="rId5"/>
    <sheet name="FW設定值_EV_0.6mR_C620D82" sheetId="67" r:id="rId6"/>
    <sheet name="FW設定值_2mR_C180D100" sheetId="56" r:id="rId7"/>
    <sheet name="ST_FW設定值_1.667mR_New" sheetId="54" state="hidden" r:id="rId8"/>
    <sheet name="ST_FW設定值_2mR" sheetId="18" state="hidden" r:id="rId9"/>
    <sheet name="Current校正用_2mR" sheetId="8" state="hidden" r:id="rId10"/>
    <sheet name="Voltage校正用" sheetId="7" state="hidden" r:id="rId11"/>
    <sheet name="ST_FW設定值_1.667mR" sheetId="32" state="hidden" r:id="rId12"/>
    <sheet name="Current校正用_1.667mR" sheetId="33" state="hidden" r:id="rId13"/>
    <sheet name="ST_FW設定值_1.43mR_New" sheetId="58" state="hidden" r:id="rId14"/>
    <sheet name="FW設定值_1.36mR_C220D82" sheetId="60" r:id="rId15"/>
    <sheet name="ST_FW設定值_1.2mR_New" sheetId="59" state="hidden" r:id="rId16"/>
    <sheet name="FW設定值_1.36mR_C220D68" sheetId="66" r:id="rId17"/>
    <sheet name="Project name define" sheetId="48" r:id="rId18"/>
    <sheet name="LEV 機種功能表_org" sheetId="29" r:id="rId19"/>
    <sheet name="ME assigment" sheetId="49" r:id="rId20"/>
    <sheet name="LEV engineer sample label" sheetId="38" r:id="rId21"/>
    <sheet name="Mitsu H NTC R1=10K" sheetId="19" r:id="rId22"/>
    <sheet name="Thinking NTC3435 R10K" sheetId="64" r:id="rId23"/>
    <sheet name="Dynamic_UVP" sheetId="30" r:id="rId24"/>
    <sheet name="Capacity_static" sheetId="40" r:id="rId25"/>
    <sheet name="LEV 保護點" sheetId="22" r:id="rId26"/>
    <sheet name="Mitsu J NTC R1=10K" sheetId="16" r:id="rId27"/>
    <sheet name="Thinking NTC R1=10K" sheetId="15" r:id="rId28"/>
    <sheet name="Mitsu J NTC R1=15K" sheetId="13" r:id="rId29"/>
    <sheet name="Thinking NTC R1=15K" sheetId="14" r:id="rId30"/>
    <sheet name="CHG DSG OP" sheetId="1" r:id="rId31"/>
    <sheet name="Voltage" sheetId="2" r:id="rId32"/>
    <sheet name="新增欄位" sheetId="9" r:id="rId33"/>
    <sheet name="Sheet1" sheetId="5" r:id="rId34"/>
    <sheet name="Error_Mitsu H NTC R1=10K" sheetId="21" r:id="rId35"/>
    <sheet name="LEVD2_ST_Solution_FW設定值_Old" sheetId="6" r:id="rId36"/>
    <sheet name="LEV PN V1" sheetId="24" r:id="rId37"/>
    <sheet name="LEV PN V2" sheetId="26" r:id="rId38"/>
    <sheet name="Project List_舊型" sheetId="20" r:id="rId39"/>
  </sheets>
  <externalReferences>
    <externalReference r:id="rId40"/>
    <externalReference r:id="rId41"/>
    <externalReference r:id="rId42"/>
    <externalReference r:id="rId43"/>
  </externalReferences>
  <definedNames>
    <definedName name="_xlnm._FilterDatabase" localSheetId="1" hidden="1">'LEV PN'!$A$1:$P$78</definedName>
    <definedName name="_xlnm._FilterDatabase" localSheetId="36" hidden="1">'LEV PN V1'!$A$1:$N$27</definedName>
    <definedName name="_xlnm._FilterDatabase" localSheetId="37" hidden="1">'LEV PN V2'!$A$1:$M$29</definedName>
    <definedName name="_xlnm._FilterDatabase" localSheetId="3" hidden="1">'LEV PN_aug18_2013'!$A$1:$N$61</definedName>
    <definedName name="_xlnm._FilterDatabase" localSheetId="2" hidden="1">'LEV PN_Oct24_2013'!$A$1:$O$73</definedName>
  </definedNames>
  <calcPr calcId="125725"/>
</workbook>
</file>

<file path=xl/calcChain.xml><?xml version="1.0" encoding="utf-8"?>
<calcChain xmlns="http://schemas.openxmlformats.org/spreadsheetml/2006/main">
  <c r="C38" i="67"/>
  <c r="C24"/>
  <c r="O20"/>
  <c r="G19"/>
  <c r="O9"/>
  <c r="F9"/>
  <c r="E16" s="1"/>
  <c r="O8"/>
  <c r="M8"/>
  <c r="Q8" s="1"/>
  <c r="D8"/>
  <c r="E21" s="1"/>
  <c r="F6"/>
  <c r="H3"/>
  <c r="F2"/>
  <c r="AZ129" i="65"/>
  <c r="AZ132"/>
  <c r="AZ133"/>
  <c r="AZ134"/>
  <c r="AZ135"/>
  <c r="AZ136"/>
  <c r="AZ137"/>
  <c r="AZ138"/>
  <c r="AZ139"/>
  <c r="AZ140"/>
  <c r="AZ141"/>
  <c r="AZ130"/>
  <c r="AZ131"/>
  <c r="C38" i="66"/>
  <c r="C24"/>
  <c r="O20"/>
  <c r="G19"/>
  <c r="O9"/>
  <c r="F9"/>
  <c r="O8"/>
  <c r="F6"/>
  <c r="T3"/>
  <c r="H3"/>
  <c r="K3" s="1"/>
  <c r="F2"/>
  <c r="AZ108" i="65"/>
  <c r="AZ96"/>
  <c r="AZ97"/>
  <c r="AZ98"/>
  <c r="AZ99"/>
  <c r="AZ100"/>
  <c r="AZ101"/>
  <c r="AZ102"/>
  <c r="AZ103"/>
  <c r="AZ104"/>
  <c r="AZ105"/>
  <c r="AZ106"/>
  <c r="AZ107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75"/>
  <c r="AZ76"/>
  <c r="BA76"/>
  <c r="AX141"/>
  <c r="AY141" s="1"/>
  <c r="AW141"/>
  <c r="AV141"/>
  <c r="AU141"/>
  <c r="AT141"/>
  <c r="AS141"/>
  <c r="AN141"/>
  <c r="AK141"/>
  <c r="AJ141"/>
  <c r="AM141" s="1"/>
  <c r="AP141" s="1"/>
  <c r="AW140"/>
  <c r="AX140" s="1"/>
  <c r="AY140" s="1"/>
  <c r="AV140"/>
  <c r="AU140"/>
  <c r="AT140"/>
  <c r="AS140"/>
  <c r="AN140"/>
  <c r="AK140"/>
  <c r="AM140" s="1"/>
  <c r="AP140" s="1"/>
  <c r="AJ140"/>
  <c r="AL140" s="1"/>
  <c r="AO140" s="1"/>
  <c r="AX139"/>
  <c r="AY139" s="1"/>
  <c r="AW139"/>
  <c r="AV139"/>
  <c r="AU139"/>
  <c r="AT139"/>
  <c r="AS139"/>
  <c r="AN139"/>
  <c r="AK139"/>
  <c r="AJ139"/>
  <c r="AM139" s="1"/>
  <c r="AP139" s="1"/>
  <c r="AW138"/>
  <c r="AX138" s="1"/>
  <c r="AY138" s="1"/>
  <c r="AV138"/>
  <c r="AU138"/>
  <c r="AT138"/>
  <c r="AS138"/>
  <c r="AN138"/>
  <c r="AK138"/>
  <c r="AM138" s="1"/>
  <c r="AP138" s="1"/>
  <c r="AJ138"/>
  <c r="AL138" s="1"/>
  <c r="AO138" s="1"/>
  <c r="AX137"/>
  <c r="AY137" s="1"/>
  <c r="AW137"/>
  <c r="AV137"/>
  <c r="AU137"/>
  <c r="AT137"/>
  <c r="AS137"/>
  <c r="AN137"/>
  <c r="AK137"/>
  <c r="AJ137"/>
  <c r="AM137" s="1"/>
  <c r="AP137" s="1"/>
  <c r="AW136"/>
  <c r="AX136" s="1"/>
  <c r="AY136" s="1"/>
  <c r="AV136"/>
  <c r="AU136"/>
  <c r="AT136"/>
  <c r="AS136"/>
  <c r="AN136"/>
  <c r="AK136"/>
  <c r="AM136" s="1"/>
  <c r="AJ136"/>
  <c r="AL136" s="1"/>
  <c r="AO136" s="1"/>
  <c r="AX135"/>
  <c r="AY135" s="1"/>
  <c r="AW135"/>
  <c r="AV135"/>
  <c r="AU135"/>
  <c r="AT135"/>
  <c r="AS135"/>
  <c r="AN135"/>
  <c r="AK135"/>
  <c r="AJ135"/>
  <c r="AM135" s="1"/>
  <c r="AP135" s="1"/>
  <c r="AW134"/>
  <c r="AX134" s="1"/>
  <c r="AY134" s="1"/>
  <c r="AV134"/>
  <c r="AU134"/>
  <c r="AT134"/>
  <c r="AS134"/>
  <c r="AN134"/>
  <c r="AK134"/>
  <c r="AM134" s="1"/>
  <c r="AP134" s="1"/>
  <c r="AJ134"/>
  <c r="AL134" s="1"/>
  <c r="AO134" s="1"/>
  <c r="AX133"/>
  <c r="AY133" s="1"/>
  <c r="AW133"/>
  <c r="AV133"/>
  <c r="AU133"/>
  <c r="AT133"/>
  <c r="AS133"/>
  <c r="AN133"/>
  <c r="AK133"/>
  <c r="AJ133"/>
  <c r="AW132"/>
  <c r="AX132" s="1"/>
  <c r="AY132" s="1"/>
  <c r="AV132"/>
  <c r="AU132"/>
  <c r="AT132"/>
  <c r="AS132"/>
  <c r="AN132"/>
  <c r="AK132"/>
  <c r="AM132" s="1"/>
  <c r="AP132" s="1"/>
  <c r="AJ132"/>
  <c r="AL132" s="1"/>
  <c r="AO132" s="1"/>
  <c r="AX131"/>
  <c r="AY131" s="1"/>
  <c r="AW131"/>
  <c r="AV131"/>
  <c r="AU131"/>
  <c r="AT131"/>
  <c r="AS131"/>
  <c r="AN131"/>
  <c r="AK131"/>
  <c r="AJ131"/>
  <c r="AM131" s="1"/>
  <c r="AP131" s="1"/>
  <c r="AW130"/>
  <c r="AX130" s="1"/>
  <c r="AY130" s="1"/>
  <c r="AV130"/>
  <c r="AU130"/>
  <c r="AT130"/>
  <c r="AS130"/>
  <c r="AN130"/>
  <c r="AK130"/>
  <c r="AM130" s="1"/>
  <c r="AP130" s="1"/>
  <c r="AJ130"/>
  <c r="AL130" s="1"/>
  <c r="AO130" s="1"/>
  <c r="AQ130" s="1"/>
  <c r="AR130" s="1"/>
  <c r="E130" s="1"/>
  <c r="AX129"/>
  <c r="AY129" s="1"/>
  <c r="AW129"/>
  <c r="AV129"/>
  <c r="AU129"/>
  <c r="AT129"/>
  <c r="AS129"/>
  <c r="AN129"/>
  <c r="AK129"/>
  <c r="AJ129"/>
  <c r="AM129" s="1"/>
  <c r="AP129" s="1"/>
  <c r="AW128"/>
  <c r="AX128" s="1"/>
  <c r="AY128" s="1"/>
  <c r="AV128"/>
  <c r="AU128"/>
  <c r="AT128"/>
  <c r="AS128"/>
  <c r="AN128"/>
  <c r="AK128"/>
  <c r="AM128" s="1"/>
  <c r="AP128" s="1"/>
  <c r="AJ128"/>
  <c r="AL128" s="1"/>
  <c r="AO128" s="1"/>
  <c r="AX127"/>
  <c r="AY127" s="1"/>
  <c r="AW127"/>
  <c r="AV127"/>
  <c r="AU127"/>
  <c r="AT127"/>
  <c r="AS127"/>
  <c r="AN127"/>
  <c r="AK127"/>
  <c r="AJ127"/>
  <c r="AM127" s="1"/>
  <c r="AP127" s="1"/>
  <c r="AW126"/>
  <c r="AX126" s="1"/>
  <c r="AY126" s="1"/>
  <c r="AV126"/>
  <c r="AU126"/>
  <c r="AT126"/>
  <c r="AS126"/>
  <c r="AN126"/>
  <c r="AK126"/>
  <c r="AM126" s="1"/>
  <c r="AP126" s="1"/>
  <c r="AJ126"/>
  <c r="AL126" s="1"/>
  <c r="AO126" s="1"/>
  <c r="AQ126" s="1"/>
  <c r="AR126" s="1"/>
  <c r="E126" s="1"/>
  <c r="AD126" s="1"/>
  <c r="AX125"/>
  <c r="AY125" s="1"/>
  <c r="AW125"/>
  <c r="AV125"/>
  <c r="AU125"/>
  <c r="AT125"/>
  <c r="AS125"/>
  <c r="AN125"/>
  <c r="AK125"/>
  <c r="AJ125"/>
  <c r="AM125" s="1"/>
  <c r="AP125" s="1"/>
  <c r="AW124"/>
  <c r="AX124" s="1"/>
  <c r="AY124" s="1"/>
  <c r="AV124"/>
  <c r="AU124"/>
  <c r="AT124"/>
  <c r="AS124"/>
  <c r="AN124"/>
  <c r="AK124"/>
  <c r="AM124" s="1"/>
  <c r="AP124" s="1"/>
  <c r="AJ124"/>
  <c r="AL124" s="1"/>
  <c r="AO124" s="1"/>
  <c r="AX123"/>
  <c r="AY123" s="1"/>
  <c r="AW123"/>
  <c r="AV123"/>
  <c r="AU123"/>
  <c r="AT123"/>
  <c r="AS123"/>
  <c r="AN123"/>
  <c r="AK123"/>
  <c r="AJ123"/>
  <c r="AM123" s="1"/>
  <c r="AP123" s="1"/>
  <c r="AW122"/>
  <c r="AX122" s="1"/>
  <c r="AY122" s="1"/>
  <c r="AV122"/>
  <c r="AU122"/>
  <c r="AT122"/>
  <c r="AS122"/>
  <c r="AN122"/>
  <c r="AK122"/>
  <c r="AM122" s="1"/>
  <c r="AP122" s="1"/>
  <c r="AJ122"/>
  <c r="AL122" s="1"/>
  <c r="AO122" s="1"/>
  <c r="AQ122" s="1"/>
  <c r="AR122" s="1"/>
  <c r="E122" s="1"/>
  <c r="AD122" s="1"/>
  <c r="AX121"/>
  <c r="AY121" s="1"/>
  <c r="AW121"/>
  <c r="AV121"/>
  <c r="AU121"/>
  <c r="AT121"/>
  <c r="AS121"/>
  <c r="AN121"/>
  <c r="AK121"/>
  <c r="AJ121"/>
  <c r="AM121" s="1"/>
  <c r="AP121" s="1"/>
  <c r="AW120"/>
  <c r="AX120" s="1"/>
  <c r="AY120" s="1"/>
  <c r="AV120"/>
  <c r="AU120"/>
  <c r="AT120"/>
  <c r="AS120"/>
  <c r="AN120"/>
  <c r="AK120"/>
  <c r="AM120" s="1"/>
  <c r="AP120" s="1"/>
  <c r="AJ120"/>
  <c r="AL120" s="1"/>
  <c r="AO120" s="1"/>
  <c r="AX119"/>
  <c r="AY119" s="1"/>
  <c r="AW119"/>
  <c r="AV119"/>
  <c r="AU119"/>
  <c r="AT119"/>
  <c r="AS119"/>
  <c r="AN119"/>
  <c r="AK119"/>
  <c r="AJ119"/>
  <c r="AM119" s="1"/>
  <c r="AP119" s="1"/>
  <c r="AW118"/>
  <c r="AX118" s="1"/>
  <c r="AY118" s="1"/>
  <c r="AV118"/>
  <c r="AU118"/>
  <c r="AT118"/>
  <c r="AS118"/>
  <c r="AN118"/>
  <c r="AK118"/>
  <c r="AM118" s="1"/>
  <c r="AP118" s="1"/>
  <c r="AJ118"/>
  <c r="AL118" s="1"/>
  <c r="AO118" s="1"/>
  <c r="AQ118" s="1"/>
  <c r="AR118" s="1"/>
  <c r="E118" s="1"/>
  <c r="AD118" s="1"/>
  <c r="AX117"/>
  <c r="AY117" s="1"/>
  <c r="AW117"/>
  <c r="AV117"/>
  <c r="AU117"/>
  <c r="AT117"/>
  <c r="AS117"/>
  <c r="AN117"/>
  <c r="AK117"/>
  <c r="AJ117"/>
  <c r="AM117" s="1"/>
  <c r="AP117" s="1"/>
  <c r="AW116"/>
  <c r="AX116" s="1"/>
  <c r="AY116" s="1"/>
  <c r="AV116"/>
  <c r="AU116"/>
  <c r="AT116"/>
  <c r="AS116"/>
  <c r="AN116"/>
  <c r="AK116"/>
  <c r="AM116" s="1"/>
  <c r="AP116" s="1"/>
  <c r="AJ116"/>
  <c r="AL116" s="1"/>
  <c r="AO116" s="1"/>
  <c r="AX115"/>
  <c r="AY115" s="1"/>
  <c r="AW115"/>
  <c r="AV115"/>
  <c r="AU115"/>
  <c r="AT115"/>
  <c r="AS115"/>
  <c r="AN115"/>
  <c r="AK115"/>
  <c r="AJ115"/>
  <c r="AM115" s="1"/>
  <c r="AP115" s="1"/>
  <c r="AW114"/>
  <c r="AX114" s="1"/>
  <c r="AY114" s="1"/>
  <c r="AV114"/>
  <c r="AU114"/>
  <c r="AT114"/>
  <c r="AS114"/>
  <c r="AN114"/>
  <c r="AK114"/>
  <c r="AM114" s="1"/>
  <c r="AP114" s="1"/>
  <c r="AJ114"/>
  <c r="AL114" s="1"/>
  <c r="AO114" s="1"/>
  <c r="AQ114" s="1"/>
  <c r="AR114" s="1"/>
  <c r="E114" s="1"/>
  <c r="AD114" s="1"/>
  <c r="AX113"/>
  <c r="AY113" s="1"/>
  <c r="AW113"/>
  <c r="AV113"/>
  <c r="AU113"/>
  <c r="AT113"/>
  <c r="AS113"/>
  <c r="AN113"/>
  <c r="AK113"/>
  <c r="AJ113"/>
  <c r="AM113" s="1"/>
  <c r="AP113" s="1"/>
  <c r="AW112"/>
  <c r="AX112" s="1"/>
  <c r="AY112" s="1"/>
  <c r="AV112"/>
  <c r="AU112"/>
  <c r="AT112"/>
  <c r="AS112"/>
  <c r="AN112"/>
  <c r="AK112"/>
  <c r="AM112" s="1"/>
  <c r="AP112" s="1"/>
  <c r="AJ112"/>
  <c r="AL112" s="1"/>
  <c r="AO112" s="1"/>
  <c r="AX111"/>
  <c r="AY111" s="1"/>
  <c r="AW111"/>
  <c r="AV111"/>
  <c r="AU111"/>
  <c r="AT111"/>
  <c r="AS111"/>
  <c r="AN111"/>
  <c r="AK111"/>
  <c r="AJ111"/>
  <c r="AM111" s="1"/>
  <c r="AP111" s="1"/>
  <c r="AW110"/>
  <c r="AX110" s="1"/>
  <c r="AY110" s="1"/>
  <c r="AV110"/>
  <c r="AU110"/>
  <c r="AT110"/>
  <c r="AS110"/>
  <c r="AN110"/>
  <c r="AK110"/>
  <c r="AM110" s="1"/>
  <c r="AP110" s="1"/>
  <c r="AJ110"/>
  <c r="AL110" s="1"/>
  <c r="AO110" s="1"/>
  <c r="AQ110" s="1"/>
  <c r="AR110" s="1"/>
  <c r="E110" s="1"/>
  <c r="AD110" s="1"/>
  <c r="AW109"/>
  <c r="AV109"/>
  <c r="AX109" s="1"/>
  <c r="AY109" s="1"/>
  <c r="AU109"/>
  <c r="AT109"/>
  <c r="AS109"/>
  <c r="AN109"/>
  <c r="AK109"/>
  <c r="AJ109"/>
  <c r="AM109" s="1"/>
  <c r="AP109" s="1"/>
  <c r="AW108"/>
  <c r="AX108" s="1"/>
  <c r="AY108" s="1"/>
  <c r="AV108"/>
  <c r="AU108"/>
  <c r="AT108"/>
  <c r="AS108"/>
  <c r="AN108"/>
  <c r="AK108"/>
  <c r="AM108" s="1"/>
  <c r="AP108" s="1"/>
  <c r="AJ108"/>
  <c r="AL108" s="1"/>
  <c r="AO108" s="1"/>
  <c r="AQ108" s="1"/>
  <c r="AR108" s="1"/>
  <c r="E108" s="1"/>
  <c r="AD108" s="1"/>
  <c r="AW107"/>
  <c r="AV107"/>
  <c r="AX107" s="1"/>
  <c r="AY107" s="1"/>
  <c r="AU107"/>
  <c r="AT107"/>
  <c r="AS107"/>
  <c r="AN107"/>
  <c r="AK107"/>
  <c r="AJ107"/>
  <c r="AM107" s="1"/>
  <c r="AP107" s="1"/>
  <c r="AW106"/>
  <c r="AX106" s="1"/>
  <c r="AY106" s="1"/>
  <c r="AV106"/>
  <c r="AU106"/>
  <c r="AT106"/>
  <c r="AS106"/>
  <c r="AN106"/>
  <c r="AK106"/>
  <c r="AM106" s="1"/>
  <c r="AP106" s="1"/>
  <c r="AJ106"/>
  <c r="AL106" s="1"/>
  <c r="AO106" s="1"/>
  <c r="AQ106" s="1"/>
  <c r="AR106" s="1"/>
  <c r="E106" s="1"/>
  <c r="AD106" s="1"/>
  <c r="AX105"/>
  <c r="AY105" s="1"/>
  <c r="AW105"/>
  <c r="AV105"/>
  <c r="AU105"/>
  <c r="AT105"/>
  <c r="AS105"/>
  <c r="AN105"/>
  <c r="AK105"/>
  <c r="AJ105"/>
  <c r="AM105" s="1"/>
  <c r="AP105" s="1"/>
  <c r="AW104"/>
  <c r="AX104" s="1"/>
  <c r="AY104" s="1"/>
  <c r="AV104"/>
  <c r="AU104"/>
  <c r="AT104"/>
  <c r="AS104"/>
  <c r="AN104"/>
  <c r="AK104"/>
  <c r="AM104" s="1"/>
  <c r="AP104" s="1"/>
  <c r="AJ104"/>
  <c r="AL104" s="1"/>
  <c r="AO104" s="1"/>
  <c r="AX103"/>
  <c r="AY103" s="1"/>
  <c r="AW103"/>
  <c r="AV103"/>
  <c r="AU103"/>
  <c r="AT103"/>
  <c r="AS103"/>
  <c r="AN103"/>
  <c r="AK103"/>
  <c r="AJ103"/>
  <c r="AM103" s="1"/>
  <c r="AP103" s="1"/>
  <c r="AW102"/>
  <c r="AX102" s="1"/>
  <c r="AY102" s="1"/>
  <c r="AV102"/>
  <c r="AU102"/>
  <c r="AT102"/>
  <c r="AS102"/>
  <c r="AN102"/>
  <c r="AK102"/>
  <c r="AM102" s="1"/>
  <c r="AP102" s="1"/>
  <c r="AJ102"/>
  <c r="AL102" s="1"/>
  <c r="AO102" s="1"/>
  <c r="AQ102" s="1"/>
  <c r="AR102" s="1"/>
  <c r="E102" s="1"/>
  <c r="AD102" s="1"/>
  <c r="AX101"/>
  <c r="AY101" s="1"/>
  <c r="AW101"/>
  <c r="AV101"/>
  <c r="AU101"/>
  <c r="AT101"/>
  <c r="AS101"/>
  <c r="AN101"/>
  <c r="AK101"/>
  <c r="AJ101"/>
  <c r="AM101" s="1"/>
  <c r="AP101" s="1"/>
  <c r="AW100"/>
  <c r="AX100" s="1"/>
  <c r="AY100" s="1"/>
  <c r="AV100"/>
  <c r="AU100"/>
  <c r="AT100"/>
  <c r="AS100"/>
  <c r="AN100"/>
  <c r="AK100"/>
  <c r="AM100" s="1"/>
  <c r="AP100" s="1"/>
  <c r="AJ100"/>
  <c r="AL100" s="1"/>
  <c r="AO100" s="1"/>
  <c r="AX99"/>
  <c r="AY99" s="1"/>
  <c r="AW99"/>
  <c r="AV99"/>
  <c r="AU99"/>
  <c r="AT99"/>
  <c r="AS99"/>
  <c r="AN99"/>
  <c r="AK99"/>
  <c r="AJ99"/>
  <c r="AM99" s="1"/>
  <c r="AP99" s="1"/>
  <c r="AW98"/>
  <c r="AX98" s="1"/>
  <c r="AY98" s="1"/>
  <c r="AV98"/>
  <c r="AU98"/>
  <c r="AT98"/>
  <c r="AS98"/>
  <c r="AN98"/>
  <c r="AK98"/>
  <c r="AM98" s="1"/>
  <c r="AP98" s="1"/>
  <c r="AJ98"/>
  <c r="AL98" s="1"/>
  <c r="AO98" s="1"/>
  <c r="AQ98" s="1"/>
  <c r="AR98" s="1"/>
  <c r="E98" s="1"/>
  <c r="AD98" s="1"/>
  <c r="AX97"/>
  <c r="AY97" s="1"/>
  <c r="AW97"/>
  <c r="AV97"/>
  <c r="AU97"/>
  <c r="AT97"/>
  <c r="AS97"/>
  <c r="AN97"/>
  <c r="AK97"/>
  <c r="AJ97"/>
  <c r="AM97" s="1"/>
  <c r="AP97" s="1"/>
  <c r="AW96"/>
  <c r="AX96" s="1"/>
  <c r="AY96" s="1"/>
  <c r="AV96"/>
  <c r="AU96"/>
  <c r="AT96"/>
  <c r="AS96"/>
  <c r="AN96"/>
  <c r="AK96"/>
  <c r="AM96" s="1"/>
  <c r="AP96" s="1"/>
  <c r="AJ96"/>
  <c r="AL96" s="1"/>
  <c r="AO96" s="1"/>
  <c r="AX95"/>
  <c r="AY95" s="1"/>
  <c r="AW95"/>
  <c r="AV95"/>
  <c r="AU95"/>
  <c r="AT95"/>
  <c r="AS95"/>
  <c r="AN95"/>
  <c r="AK95"/>
  <c r="AJ95"/>
  <c r="AM95" s="1"/>
  <c r="AP95" s="1"/>
  <c r="AW94"/>
  <c r="AX94" s="1"/>
  <c r="AY94" s="1"/>
  <c r="AV94"/>
  <c r="AU94"/>
  <c r="AT94"/>
  <c r="AS94"/>
  <c r="AN94"/>
  <c r="AK94"/>
  <c r="AM94" s="1"/>
  <c r="AP94" s="1"/>
  <c r="AJ94"/>
  <c r="AL94" s="1"/>
  <c r="AO94" s="1"/>
  <c r="AQ94" s="1"/>
  <c r="AR94" s="1"/>
  <c r="E94" s="1"/>
  <c r="AD94" s="1"/>
  <c r="AX93"/>
  <c r="AY93" s="1"/>
  <c r="AW93"/>
  <c r="AV93"/>
  <c r="AU93"/>
  <c r="AT93"/>
  <c r="AS93"/>
  <c r="AN93"/>
  <c r="AK93"/>
  <c r="AJ93"/>
  <c r="AM93" s="1"/>
  <c r="AP93" s="1"/>
  <c r="AW92"/>
  <c r="AX92" s="1"/>
  <c r="AY92" s="1"/>
  <c r="AV92"/>
  <c r="AU92"/>
  <c r="AT92"/>
  <c r="AS92"/>
  <c r="AN92"/>
  <c r="AK92"/>
  <c r="AM92" s="1"/>
  <c r="AP92" s="1"/>
  <c r="AJ92"/>
  <c r="AL92" s="1"/>
  <c r="AO92" s="1"/>
  <c r="AX91"/>
  <c r="AY91" s="1"/>
  <c r="AW91"/>
  <c r="AV91"/>
  <c r="AU91"/>
  <c r="AT91"/>
  <c r="AS91"/>
  <c r="AN91"/>
  <c r="AK91"/>
  <c r="AJ91"/>
  <c r="AM91" s="1"/>
  <c r="AP91" s="1"/>
  <c r="AW90"/>
  <c r="AX90" s="1"/>
  <c r="AY90" s="1"/>
  <c r="AV90"/>
  <c r="AU90"/>
  <c r="AT90"/>
  <c r="AS90"/>
  <c r="AN90"/>
  <c r="AK90"/>
  <c r="AM90" s="1"/>
  <c r="AP90" s="1"/>
  <c r="AJ90"/>
  <c r="AL90" s="1"/>
  <c r="AO90" s="1"/>
  <c r="AX89"/>
  <c r="AY89" s="1"/>
  <c r="AW89"/>
  <c r="AV89"/>
  <c r="AU89"/>
  <c r="AT89"/>
  <c r="AS89"/>
  <c r="AN89"/>
  <c r="AK89"/>
  <c r="AJ89"/>
  <c r="AL89" s="1"/>
  <c r="AO89" s="1"/>
  <c r="AW88"/>
  <c r="AX88" s="1"/>
  <c r="AY88" s="1"/>
  <c r="AV88"/>
  <c r="AU88"/>
  <c r="AT88"/>
  <c r="AS88"/>
  <c r="AN88"/>
  <c r="AK88"/>
  <c r="AM88" s="1"/>
  <c r="AP88" s="1"/>
  <c r="AJ88"/>
  <c r="AL88" s="1"/>
  <c r="AO88" s="1"/>
  <c r="AX87"/>
  <c r="AY87" s="1"/>
  <c r="AW87"/>
  <c r="AV87"/>
  <c r="AU87"/>
  <c r="AT87"/>
  <c r="AS87"/>
  <c r="AN87"/>
  <c r="AK87"/>
  <c r="AJ87"/>
  <c r="AL87" s="1"/>
  <c r="AO87" s="1"/>
  <c r="AW86"/>
  <c r="AX86" s="1"/>
  <c r="AY86" s="1"/>
  <c r="AV86"/>
  <c r="AU86"/>
  <c r="AT86"/>
  <c r="AS86"/>
  <c r="AN86"/>
  <c r="AK86"/>
  <c r="AM86" s="1"/>
  <c r="AP86" s="1"/>
  <c r="AJ86"/>
  <c r="AL86" s="1"/>
  <c r="AO86" s="1"/>
  <c r="AX85"/>
  <c r="AY85" s="1"/>
  <c r="AW85"/>
  <c r="AV85"/>
  <c r="AU85"/>
  <c r="AT85"/>
  <c r="AS85"/>
  <c r="AN85"/>
  <c r="AK85"/>
  <c r="AJ85"/>
  <c r="AL85" s="1"/>
  <c r="AO85" s="1"/>
  <c r="AW84"/>
  <c r="AX84" s="1"/>
  <c r="AY84" s="1"/>
  <c r="AV84"/>
  <c r="AU84"/>
  <c r="AT84"/>
  <c r="AS84"/>
  <c r="AN84"/>
  <c r="AK84"/>
  <c r="AM84" s="1"/>
  <c r="AP84" s="1"/>
  <c r="AJ84"/>
  <c r="AL84" s="1"/>
  <c r="AO84" s="1"/>
  <c r="AX83"/>
  <c r="AY83" s="1"/>
  <c r="AW83"/>
  <c r="AV83"/>
  <c r="AU83"/>
  <c r="AT83"/>
  <c r="AS83"/>
  <c r="AN83"/>
  <c r="AK83"/>
  <c r="AJ83"/>
  <c r="AL83" s="1"/>
  <c r="AO83" s="1"/>
  <c r="AW82"/>
  <c r="AX82" s="1"/>
  <c r="AY82" s="1"/>
  <c r="AV82"/>
  <c r="AU82"/>
  <c r="AT82"/>
  <c r="AS82"/>
  <c r="AN82"/>
  <c r="AK82"/>
  <c r="AM82" s="1"/>
  <c r="AP82" s="1"/>
  <c r="AJ82"/>
  <c r="AL82" s="1"/>
  <c r="AO82" s="1"/>
  <c r="AX81"/>
  <c r="AY81" s="1"/>
  <c r="AW81"/>
  <c r="AV81"/>
  <c r="AU81"/>
  <c r="AT81"/>
  <c r="AS81"/>
  <c r="AN81"/>
  <c r="AK81"/>
  <c r="AJ81"/>
  <c r="AL81" s="1"/>
  <c r="AO81" s="1"/>
  <c r="AW80"/>
  <c r="AX80" s="1"/>
  <c r="AY80" s="1"/>
  <c r="AV80"/>
  <c r="AU80"/>
  <c r="AT80"/>
  <c r="AS80"/>
  <c r="AN80"/>
  <c r="AK80"/>
  <c r="AM80" s="1"/>
  <c r="AP80" s="1"/>
  <c r="AJ80"/>
  <c r="AL80" s="1"/>
  <c r="AO80" s="1"/>
  <c r="AX79"/>
  <c r="AY79" s="1"/>
  <c r="AW79"/>
  <c r="AV79"/>
  <c r="AU79"/>
  <c r="AT79"/>
  <c r="AS79"/>
  <c r="AN79"/>
  <c r="AK79"/>
  <c r="AJ79"/>
  <c r="AL79" s="1"/>
  <c r="AO79" s="1"/>
  <c r="AW78"/>
  <c r="AX78" s="1"/>
  <c r="AY78" s="1"/>
  <c r="AV78"/>
  <c r="AU78"/>
  <c r="AT78"/>
  <c r="AS78"/>
  <c r="AN78"/>
  <c r="AK78"/>
  <c r="AM78" s="1"/>
  <c r="AP78" s="1"/>
  <c r="AJ78"/>
  <c r="AL78" s="1"/>
  <c r="AO78" s="1"/>
  <c r="AX77"/>
  <c r="AY77" s="1"/>
  <c r="AW77"/>
  <c r="AV77"/>
  <c r="AU77"/>
  <c r="AT77"/>
  <c r="AS77"/>
  <c r="AN77"/>
  <c r="AK77"/>
  <c r="AJ77"/>
  <c r="AL77" s="1"/>
  <c r="AO77" s="1"/>
  <c r="AW76"/>
  <c r="AX76" s="1"/>
  <c r="AY76" s="1"/>
  <c r="AV76"/>
  <c r="AU76"/>
  <c r="AT76"/>
  <c r="AS76"/>
  <c r="AN76"/>
  <c r="AK76"/>
  <c r="AM76" s="1"/>
  <c r="AP76" s="1"/>
  <c r="AJ76"/>
  <c r="AL76" s="1"/>
  <c r="AO76" s="1"/>
  <c r="AX75"/>
  <c r="AY75" s="1"/>
  <c r="AW75"/>
  <c r="AV75"/>
  <c r="AU75"/>
  <c r="AT75"/>
  <c r="AS75"/>
  <c r="AN75"/>
  <c r="AK75"/>
  <c r="AJ75"/>
  <c r="AL75" s="1"/>
  <c r="AO75" s="1"/>
  <c r="AZ74"/>
  <c r="AW74"/>
  <c r="AX74" s="1"/>
  <c r="AY74" s="1"/>
  <c r="AV74"/>
  <c r="AU74"/>
  <c r="AT74"/>
  <c r="AS74"/>
  <c r="AN74"/>
  <c r="AK74"/>
  <c r="AM74" s="1"/>
  <c r="AP74" s="1"/>
  <c r="AJ74"/>
  <c r="AL74" s="1"/>
  <c r="AO74" s="1"/>
  <c r="AZ73"/>
  <c r="AW73"/>
  <c r="AX73" s="1"/>
  <c r="AY73" s="1"/>
  <c r="AV73"/>
  <c r="AU73"/>
  <c r="AT73"/>
  <c r="AS73"/>
  <c r="AN73"/>
  <c r="AK73"/>
  <c r="AJ73"/>
  <c r="AL73" s="1"/>
  <c r="AO73" s="1"/>
  <c r="AZ72"/>
  <c r="AW72"/>
  <c r="AX72" s="1"/>
  <c r="AY72" s="1"/>
  <c r="AV72"/>
  <c r="AU72"/>
  <c r="AT72"/>
  <c r="AS72"/>
  <c r="AN72"/>
  <c r="AK72"/>
  <c r="AJ72"/>
  <c r="AL72" s="1"/>
  <c r="AO72" s="1"/>
  <c r="AZ71"/>
  <c r="AW71"/>
  <c r="AX71" s="1"/>
  <c r="AY71" s="1"/>
  <c r="AV71"/>
  <c r="AU71"/>
  <c r="AT71"/>
  <c r="AS71"/>
  <c r="AN71"/>
  <c r="AK71"/>
  <c r="AJ71"/>
  <c r="AL71" s="1"/>
  <c r="AO71" s="1"/>
  <c r="AZ70"/>
  <c r="AW70"/>
  <c r="AV70"/>
  <c r="AU70"/>
  <c r="AT70"/>
  <c r="AS70"/>
  <c r="AN70"/>
  <c r="AK70"/>
  <c r="AJ70"/>
  <c r="AL70" s="1"/>
  <c r="AO70" s="1"/>
  <c r="AZ69"/>
  <c r="AW69"/>
  <c r="AX69" s="1"/>
  <c r="AY69" s="1"/>
  <c r="AV69"/>
  <c r="AU69"/>
  <c r="AT69"/>
  <c r="AS69"/>
  <c r="AN69"/>
  <c r="AK69"/>
  <c r="AJ69"/>
  <c r="AL69" s="1"/>
  <c r="AO69" s="1"/>
  <c r="AZ68"/>
  <c r="AW68"/>
  <c r="AV68"/>
  <c r="AU68"/>
  <c r="AT68"/>
  <c r="AS68"/>
  <c r="AN68"/>
  <c r="AK68"/>
  <c r="AJ68"/>
  <c r="AL68" s="1"/>
  <c r="AO68" s="1"/>
  <c r="AZ67"/>
  <c r="AX67"/>
  <c r="AY67" s="1"/>
  <c r="AW67"/>
  <c r="AV67"/>
  <c r="AU67"/>
  <c r="AT67"/>
  <c r="AS67"/>
  <c r="AN67"/>
  <c r="AK67"/>
  <c r="AJ67"/>
  <c r="AL67" s="1"/>
  <c r="AO67" s="1"/>
  <c r="AZ66"/>
  <c r="AW66"/>
  <c r="AX66" s="1"/>
  <c r="AY66" s="1"/>
  <c r="AV66"/>
  <c r="AU66"/>
  <c r="AT66"/>
  <c r="AS66"/>
  <c r="AN66"/>
  <c r="AK66"/>
  <c r="AM66" s="1"/>
  <c r="AP66" s="1"/>
  <c r="AJ66"/>
  <c r="AL66" s="1"/>
  <c r="AO66" s="1"/>
  <c r="AZ65"/>
  <c r="AW65"/>
  <c r="AX65" s="1"/>
  <c r="AY65" s="1"/>
  <c r="AV65"/>
  <c r="AU65"/>
  <c r="AT65"/>
  <c r="AS65"/>
  <c r="AN65"/>
  <c r="AK65"/>
  <c r="AJ65"/>
  <c r="AL65" s="1"/>
  <c r="AO65" s="1"/>
  <c r="AZ64"/>
  <c r="AW64"/>
  <c r="AX64" s="1"/>
  <c r="AY64" s="1"/>
  <c r="AV64"/>
  <c r="AU64"/>
  <c r="AT64"/>
  <c r="AS64"/>
  <c r="AN64"/>
  <c r="AK64"/>
  <c r="AJ64"/>
  <c r="AL64" s="1"/>
  <c r="AO64" s="1"/>
  <c r="AZ63"/>
  <c r="AW63"/>
  <c r="AX63" s="1"/>
  <c r="AY63" s="1"/>
  <c r="AV63"/>
  <c r="AU63"/>
  <c r="AT63"/>
  <c r="AS63"/>
  <c r="AN63"/>
  <c r="AK63"/>
  <c r="AJ63"/>
  <c r="AL63" s="1"/>
  <c r="AO63" s="1"/>
  <c r="AZ62"/>
  <c r="AW62"/>
  <c r="AV62"/>
  <c r="AU62"/>
  <c r="AT62"/>
  <c r="AS62"/>
  <c r="AN62"/>
  <c r="AK62"/>
  <c r="AJ62"/>
  <c r="AL62" s="1"/>
  <c r="AO62" s="1"/>
  <c r="AZ61"/>
  <c r="AW61"/>
  <c r="AX61" s="1"/>
  <c r="AY61" s="1"/>
  <c r="AV61"/>
  <c r="AU61"/>
  <c r="AT61"/>
  <c r="AS61"/>
  <c r="AN61"/>
  <c r="AK61"/>
  <c r="AJ61"/>
  <c r="AL61" s="1"/>
  <c r="AO61" s="1"/>
  <c r="AZ60"/>
  <c r="AW60"/>
  <c r="AX60" s="1"/>
  <c r="AY60" s="1"/>
  <c r="AV60"/>
  <c r="AU60"/>
  <c r="AT60"/>
  <c r="AS60"/>
  <c r="AN60"/>
  <c r="AK60"/>
  <c r="AJ60"/>
  <c r="AL60" s="1"/>
  <c r="AO60" s="1"/>
  <c r="AZ59"/>
  <c r="AX59"/>
  <c r="AY59" s="1"/>
  <c r="AW59"/>
  <c r="AV59"/>
  <c r="AU59"/>
  <c r="AT59"/>
  <c r="AS59"/>
  <c r="AN59"/>
  <c r="AK59"/>
  <c r="AJ59"/>
  <c r="AL59" s="1"/>
  <c r="AO59" s="1"/>
  <c r="AZ58"/>
  <c r="AW58"/>
  <c r="AX58" s="1"/>
  <c r="AY58" s="1"/>
  <c r="AV58"/>
  <c r="AU58"/>
  <c r="AT58"/>
  <c r="AS58"/>
  <c r="AN58"/>
  <c r="AK58"/>
  <c r="AJ58"/>
  <c r="AL58" s="1"/>
  <c r="AO58" s="1"/>
  <c r="AZ57"/>
  <c r="AW57"/>
  <c r="AX57" s="1"/>
  <c r="AY57" s="1"/>
  <c r="AV57"/>
  <c r="AU57"/>
  <c r="AT57"/>
  <c r="AS57"/>
  <c r="AN57"/>
  <c r="AK57"/>
  <c r="AJ57"/>
  <c r="AL57" s="1"/>
  <c r="AO57" s="1"/>
  <c r="AZ56"/>
  <c r="AW56"/>
  <c r="AX56" s="1"/>
  <c r="AY56" s="1"/>
  <c r="AV56"/>
  <c r="AU56"/>
  <c r="AT56"/>
  <c r="AS56"/>
  <c r="AN56"/>
  <c r="AK56"/>
  <c r="AJ56"/>
  <c r="AL56" s="1"/>
  <c r="AO56" s="1"/>
  <c r="AZ55"/>
  <c r="AW55"/>
  <c r="AV55"/>
  <c r="AU55"/>
  <c r="AT55"/>
  <c r="AS55"/>
  <c r="AN55"/>
  <c r="AK55"/>
  <c r="AJ55"/>
  <c r="AL55" s="1"/>
  <c r="AO55" s="1"/>
  <c r="AZ54"/>
  <c r="AW54"/>
  <c r="AX54" s="1"/>
  <c r="AY54" s="1"/>
  <c r="AV54"/>
  <c r="AU54"/>
  <c r="AT54"/>
  <c r="AS54"/>
  <c r="AN54"/>
  <c r="AK54"/>
  <c r="AJ54"/>
  <c r="AL54" s="1"/>
  <c r="AO54" s="1"/>
  <c r="AZ53"/>
  <c r="AW53"/>
  <c r="AX53" s="1"/>
  <c r="AY53" s="1"/>
  <c r="AV53"/>
  <c r="AU53"/>
  <c r="AT53"/>
  <c r="AS53"/>
  <c r="AN53"/>
  <c r="AK53"/>
  <c r="AJ53"/>
  <c r="AL53" s="1"/>
  <c r="AO53" s="1"/>
  <c r="AZ52"/>
  <c r="AW52"/>
  <c r="AX52" s="1"/>
  <c r="AY52" s="1"/>
  <c r="AV52"/>
  <c r="AU52"/>
  <c r="AT52"/>
  <c r="AS52"/>
  <c r="AN52"/>
  <c r="AK52"/>
  <c r="AJ52"/>
  <c r="AL52" s="1"/>
  <c r="AO52" s="1"/>
  <c r="AZ51"/>
  <c r="AX51"/>
  <c r="AY51" s="1"/>
  <c r="AW51"/>
  <c r="AV51"/>
  <c r="AU51"/>
  <c r="AT51"/>
  <c r="AS51"/>
  <c r="AN51"/>
  <c r="AK51"/>
  <c r="AJ51"/>
  <c r="AL51" s="1"/>
  <c r="AO51" s="1"/>
  <c r="AZ50"/>
  <c r="AW50"/>
  <c r="AX50" s="1"/>
  <c r="AY50" s="1"/>
  <c r="AV50"/>
  <c r="AU50"/>
  <c r="AT50"/>
  <c r="AS50"/>
  <c r="AN50"/>
  <c r="AK50"/>
  <c r="AM50" s="1"/>
  <c r="AP50" s="1"/>
  <c r="AJ50"/>
  <c r="AL50" s="1"/>
  <c r="AO50" s="1"/>
  <c r="AZ49"/>
  <c r="AW49"/>
  <c r="AX49" s="1"/>
  <c r="AY49" s="1"/>
  <c r="AV49"/>
  <c r="AU49"/>
  <c r="AT49"/>
  <c r="AS49"/>
  <c r="AN49"/>
  <c r="AK49"/>
  <c r="AJ49"/>
  <c r="AZ48"/>
  <c r="AW48"/>
  <c r="AX48" s="1"/>
  <c r="AY48" s="1"/>
  <c r="AV48"/>
  <c r="AU48"/>
  <c r="AT48"/>
  <c r="AS48"/>
  <c r="AN48"/>
  <c r="AK48"/>
  <c r="AM48" s="1"/>
  <c r="AP48" s="1"/>
  <c r="AJ48"/>
  <c r="AL48" s="1"/>
  <c r="AO48" s="1"/>
  <c r="AZ47"/>
  <c r="AW47"/>
  <c r="AV47"/>
  <c r="AX47" s="1"/>
  <c r="AY47" s="1"/>
  <c r="AU47"/>
  <c r="AT47"/>
  <c r="AS47"/>
  <c r="AN47"/>
  <c r="AK47"/>
  <c r="AJ47"/>
  <c r="AM47" s="1"/>
  <c r="AP47" s="1"/>
  <c r="AZ46"/>
  <c r="AW46"/>
  <c r="AV46"/>
  <c r="AU46"/>
  <c r="AT46"/>
  <c r="AS46"/>
  <c r="AN46"/>
  <c r="AK46"/>
  <c r="AJ46"/>
  <c r="AL46" s="1"/>
  <c r="AO46" s="1"/>
  <c r="AZ45"/>
  <c r="AW45"/>
  <c r="AV45"/>
  <c r="AU45"/>
  <c r="AT45"/>
  <c r="AS45"/>
  <c r="AN45"/>
  <c r="AK45"/>
  <c r="AJ45"/>
  <c r="AZ44"/>
  <c r="AW44"/>
  <c r="AX44" s="1"/>
  <c r="AY44" s="1"/>
  <c r="AV44"/>
  <c r="AU44"/>
  <c r="AT44"/>
  <c r="AS44"/>
  <c r="AN44"/>
  <c r="AK44"/>
  <c r="AM44" s="1"/>
  <c r="AP44" s="1"/>
  <c r="AJ44"/>
  <c r="AL44" s="1"/>
  <c r="AO44" s="1"/>
  <c r="AZ43"/>
  <c r="AW43"/>
  <c r="AV43"/>
  <c r="AX43" s="1"/>
  <c r="AY43" s="1"/>
  <c r="AU43"/>
  <c r="AT43"/>
  <c r="AS43"/>
  <c r="AN43"/>
  <c r="AK43"/>
  <c r="AJ43"/>
  <c r="AM43" s="1"/>
  <c r="AP43" s="1"/>
  <c r="AZ42"/>
  <c r="AW42"/>
  <c r="AV42"/>
  <c r="AU42"/>
  <c r="AT42"/>
  <c r="AS42"/>
  <c r="AN42"/>
  <c r="AK42"/>
  <c r="AJ42"/>
  <c r="AL42" s="1"/>
  <c r="AO42" s="1"/>
  <c r="AZ41"/>
  <c r="AW41"/>
  <c r="AV41"/>
  <c r="AU41"/>
  <c r="AT41"/>
  <c r="AS41"/>
  <c r="AN41"/>
  <c r="AK41"/>
  <c r="AJ41"/>
  <c r="AL41" s="1"/>
  <c r="AO41" s="1"/>
  <c r="AZ40"/>
  <c r="AW40"/>
  <c r="AV40"/>
  <c r="AU40"/>
  <c r="AT40"/>
  <c r="AS40"/>
  <c r="AN40"/>
  <c r="AK40"/>
  <c r="AJ40"/>
  <c r="AL40" s="1"/>
  <c r="AO40" s="1"/>
  <c r="AZ39"/>
  <c r="AW39"/>
  <c r="AV39"/>
  <c r="AU39"/>
  <c r="AT39"/>
  <c r="AS39"/>
  <c r="AN39"/>
  <c r="AK39"/>
  <c r="AJ39"/>
  <c r="AL39" s="1"/>
  <c r="AO39" s="1"/>
  <c r="AZ38"/>
  <c r="AW38"/>
  <c r="AV38"/>
  <c r="AU38"/>
  <c r="AT38"/>
  <c r="AS38"/>
  <c r="AN38"/>
  <c r="AK38"/>
  <c r="AJ38"/>
  <c r="AL38" s="1"/>
  <c r="AO38" s="1"/>
  <c r="AZ37"/>
  <c r="AW37"/>
  <c r="AV37"/>
  <c r="AU37"/>
  <c r="AT37"/>
  <c r="AS37"/>
  <c r="AN37"/>
  <c r="AK37"/>
  <c r="AJ37"/>
  <c r="AL37" s="1"/>
  <c r="AO37" s="1"/>
  <c r="AZ36"/>
  <c r="AW36"/>
  <c r="AV36"/>
  <c r="AU36"/>
  <c r="AT36"/>
  <c r="AS36"/>
  <c r="AN36"/>
  <c r="AK36"/>
  <c r="AJ36"/>
  <c r="AL36" s="1"/>
  <c r="AO36" s="1"/>
  <c r="AZ35"/>
  <c r="AW35"/>
  <c r="AV35"/>
  <c r="AU35"/>
  <c r="AT35"/>
  <c r="AS35"/>
  <c r="AN35"/>
  <c r="AK35"/>
  <c r="AJ35"/>
  <c r="AL35" s="1"/>
  <c r="AO35" s="1"/>
  <c r="AZ34"/>
  <c r="AW34"/>
  <c r="AV34"/>
  <c r="AU34"/>
  <c r="AT34"/>
  <c r="AS34"/>
  <c r="AN34"/>
  <c r="AK34"/>
  <c r="AJ34"/>
  <c r="AL34" s="1"/>
  <c r="AO34" s="1"/>
  <c r="AZ33"/>
  <c r="AW33"/>
  <c r="AV33"/>
  <c r="AU33"/>
  <c r="AT33"/>
  <c r="AS33"/>
  <c r="AN33"/>
  <c r="AK33"/>
  <c r="AJ33"/>
  <c r="AL33" s="1"/>
  <c r="AO33" s="1"/>
  <c r="AZ32"/>
  <c r="AW32"/>
  <c r="AV32"/>
  <c r="AU32"/>
  <c r="AT32"/>
  <c r="AS32"/>
  <c r="AN32"/>
  <c r="AK32"/>
  <c r="AJ32"/>
  <c r="AL32" s="1"/>
  <c r="AO32" s="1"/>
  <c r="AZ31"/>
  <c r="AW31"/>
  <c r="AV31"/>
  <c r="AU31"/>
  <c r="AT31"/>
  <c r="AS31"/>
  <c r="AN31"/>
  <c r="AK31"/>
  <c r="AJ31"/>
  <c r="AL31" s="1"/>
  <c r="AO31" s="1"/>
  <c r="AZ30"/>
  <c r="AW30"/>
  <c r="AV30"/>
  <c r="AU30"/>
  <c r="AT30"/>
  <c r="AS30"/>
  <c r="AN30"/>
  <c r="AK30"/>
  <c r="AJ30"/>
  <c r="AL30" s="1"/>
  <c r="AO30" s="1"/>
  <c r="AZ29"/>
  <c r="AW29"/>
  <c r="AV29"/>
  <c r="AU29"/>
  <c r="AT29"/>
  <c r="AS29"/>
  <c r="AN29"/>
  <c r="AK29"/>
  <c r="AJ29"/>
  <c r="AL29" s="1"/>
  <c r="AO29" s="1"/>
  <c r="AZ28"/>
  <c r="AW28"/>
  <c r="AV28"/>
  <c r="AU28"/>
  <c r="AT28"/>
  <c r="AS28"/>
  <c r="AN28"/>
  <c r="AK28"/>
  <c r="AJ28"/>
  <c r="AL28" s="1"/>
  <c r="AO28" s="1"/>
  <c r="AZ27"/>
  <c r="AW27"/>
  <c r="AV27"/>
  <c r="AU27"/>
  <c r="AT27"/>
  <c r="AS27"/>
  <c r="AN27"/>
  <c r="AK27"/>
  <c r="AJ27"/>
  <c r="AL27" s="1"/>
  <c r="AO27" s="1"/>
  <c r="AZ26"/>
  <c r="AW26"/>
  <c r="AV26"/>
  <c r="AU26"/>
  <c r="AT26"/>
  <c r="AS26"/>
  <c r="AN26"/>
  <c r="AK26"/>
  <c r="AJ26"/>
  <c r="AL26" s="1"/>
  <c r="AO26" s="1"/>
  <c r="AZ25"/>
  <c r="AW25"/>
  <c r="AV25"/>
  <c r="AU25"/>
  <c r="AT25"/>
  <c r="AS25"/>
  <c r="AN25"/>
  <c r="AK25"/>
  <c r="AJ25"/>
  <c r="AL25" s="1"/>
  <c r="AO25" s="1"/>
  <c r="AZ24"/>
  <c r="AW24"/>
  <c r="AV24"/>
  <c r="AU24"/>
  <c r="AT24"/>
  <c r="AS24"/>
  <c r="AN24"/>
  <c r="AK24"/>
  <c r="AJ24"/>
  <c r="AL24" s="1"/>
  <c r="AO24" s="1"/>
  <c r="AZ23"/>
  <c r="AW23"/>
  <c r="AV23"/>
  <c r="AU23"/>
  <c r="AT23"/>
  <c r="AS23"/>
  <c r="AN23"/>
  <c r="AK23"/>
  <c r="AJ23"/>
  <c r="AL23" s="1"/>
  <c r="AO23" s="1"/>
  <c r="AZ22"/>
  <c r="AW22"/>
  <c r="AV22"/>
  <c r="AU22"/>
  <c r="AT22"/>
  <c r="AS22"/>
  <c r="AN22"/>
  <c r="AK22"/>
  <c r="AJ22"/>
  <c r="AL22" s="1"/>
  <c r="AO22" s="1"/>
  <c r="AZ21"/>
  <c r="AW21"/>
  <c r="AX21" s="1"/>
  <c r="AY21" s="1"/>
  <c r="AV21"/>
  <c r="AU21"/>
  <c r="AT21"/>
  <c r="AS21"/>
  <c r="AN21"/>
  <c r="AK21"/>
  <c r="AJ21"/>
  <c r="AL21" s="1"/>
  <c r="AO21" s="1"/>
  <c r="AZ20"/>
  <c r="AW20"/>
  <c r="AX20" s="1"/>
  <c r="AY20" s="1"/>
  <c r="AV20"/>
  <c r="AU20"/>
  <c r="AT20"/>
  <c r="AS20"/>
  <c r="AN20"/>
  <c r="AK20"/>
  <c r="AJ20"/>
  <c r="AL20" s="1"/>
  <c r="AO20" s="1"/>
  <c r="AZ19"/>
  <c r="AW19"/>
  <c r="AX19" s="1"/>
  <c r="AY19" s="1"/>
  <c r="AV19"/>
  <c r="AU19"/>
  <c r="AT19"/>
  <c r="AS19"/>
  <c r="AN19"/>
  <c r="AK19"/>
  <c r="AJ19"/>
  <c r="AL19" s="1"/>
  <c r="AO19" s="1"/>
  <c r="AZ18"/>
  <c r="AW18"/>
  <c r="AX18" s="1"/>
  <c r="AY18" s="1"/>
  <c r="AV18"/>
  <c r="AU18"/>
  <c r="AT18"/>
  <c r="AS18"/>
  <c r="AN18"/>
  <c r="AK18"/>
  <c r="AJ18"/>
  <c r="AL18" s="1"/>
  <c r="AO18" s="1"/>
  <c r="AZ17"/>
  <c r="AW17"/>
  <c r="AX17" s="1"/>
  <c r="AY17" s="1"/>
  <c r="AV17"/>
  <c r="AU17"/>
  <c r="AT17"/>
  <c r="AS17"/>
  <c r="AN17"/>
  <c r="AK17"/>
  <c r="AM17" s="1"/>
  <c r="AP17" s="1"/>
  <c r="AJ17"/>
  <c r="AL17" s="1"/>
  <c r="AO17" s="1"/>
  <c r="AZ16"/>
  <c r="AW16"/>
  <c r="AX16" s="1"/>
  <c r="AY16" s="1"/>
  <c r="AV16"/>
  <c r="AU16"/>
  <c r="AT16"/>
  <c r="AS16"/>
  <c r="AN16"/>
  <c r="AK16"/>
  <c r="AJ16"/>
  <c r="AZ15"/>
  <c r="AW15"/>
  <c r="AX15" s="1"/>
  <c r="AY15" s="1"/>
  <c r="AV15"/>
  <c r="AU15"/>
  <c r="AT15"/>
  <c r="AS15"/>
  <c r="AN15"/>
  <c r="AK15"/>
  <c r="AJ15"/>
  <c r="AL15" s="1"/>
  <c r="AO15" s="1"/>
  <c r="AZ14"/>
  <c r="AW14"/>
  <c r="AX14" s="1"/>
  <c r="AY14" s="1"/>
  <c r="AV14"/>
  <c r="AU14"/>
  <c r="AT14"/>
  <c r="AS14"/>
  <c r="AN14"/>
  <c r="AK14"/>
  <c r="AJ14"/>
  <c r="AZ13"/>
  <c r="AW13"/>
  <c r="AX13" s="1"/>
  <c r="AY13" s="1"/>
  <c r="AV13"/>
  <c r="AU13"/>
  <c r="AT13"/>
  <c r="AS13"/>
  <c r="AN13"/>
  <c r="AK13"/>
  <c r="AJ13"/>
  <c r="AL13" s="1"/>
  <c r="AO13" s="1"/>
  <c r="AZ12"/>
  <c r="AW12"/>
  <c r="AX12" s="1"/>
  <c r="AY12" s="1"/>
  <c r="AV12"/>
  <c r="AU12"/>
  <c r="AT12"/>
  <c r="AS12"/>
  <c r="AN12"/>
  <c r="AK12"/>
  <c r="AJ12"/>
  <c r="AZ11"/>
  <c r="AW11"/>
  <c r="AX11" s="1"/>
  <c r="AY11" s="1"/>
  <c r="AV11"/>
  <c r="AU11"/>
  <c r="AT11"/>
  <c r="AS11"/>
  <c r="AN11"/>
  <c r="AK11"/>
  <c r="AJ11"/>
  <c r="AL11" s="1"/>
  <c r="AO11" s="1"/>
  <c r="AZ10"/>
  <c r="AX10"/>
  <c r="AY10" s="1"/>
  <c r="AW10"/>
  <c r="AV10"/>
  <c r="AU10"/>
  <c r="AT10"/>
  <c r="AS10"/>
  <c r="AN10"/>
  <c r="AK10"/>
  <c r="AJ10"/>
  <c r="AM10" s="1"/>
  <c r="AP10" s="1"/>
  <c r="AZ9"/>
  <c r="AW9"/>
  <c r="AX9" s="1"/>
  <c r="AY9" s="1"/>
  <c r="AV9"/>
  <c r="AU9"/>
  <c r="AT9"/>
  <c r="AS9"/>
  <c r="AN9"/>
  <c r="AK9"/>
  <c r="AM9" s="1"/>
  <c r="AP9" s="1"/>
  <c r="AJ9"/>
  <c r="AL9" s="1"/>
  <c r="AO9" s="1"/>
  <c r="AZ8"/>
  <c r="AW8"/>
  <c r="AX8" s="1"/>
  <c r="AY8" s="1"/>
  <c r="AV8"/>
  <c r="AU8"/>
  <c r="AT8"/>
  <c r="AS8"/>
  <c r="AN8"/>
  <c r="AK8"/>
  <c r="AJ8"/>
  <c r="AZ7"/>
  <c r="AW7"/>
  <c r="AX7" s="1"/>
  <c r="AY7" s="1"/>
  <c r="AV7"/>
  <c r="AU7"/>
  <c r="AT7"/>
  <c r="AS7"/>
  <c r="AN7"/>
  <c r="AK7"/>
  <c r="AJ7"/>
  <c r="AL7" s="1"/>
  <c r="AO7" s="1"/>
  <c r="AZ6"/>
  <c r="AW6"/>
  <c r="AX6" s="1"/>
  <c r="AY6" s="1"/>
  <c r="AV6"/>
  <c r="AU6"/>
  <c r="AT6"/>
  <c r="AS6"/>
  <c r="AN6"/>
  <c r="AK6"/>
  <c r="AJ6"/>
  <c r="AZ5"/>
  <c r="AW5"/>
  <c r="AX5" s="1"/>
  <c r="AY5" s="1"/>
  <c r="AV5"/>
  <c r="AU5"/>
  <c r="AT5"/>
  <c r="AS5"/>
  <c r="AN5"/>
  <c r="AK5"/>
  <c r="AJ5"/>
  <c r="AL5" s="1"/>
  <c r="AO5" s="1"/>
  <c r="AZ131" i="29"/>
  <c r="AX131"/>
  <c r="AY131" s="1"/>
  <c r="AW131"/>
  <c r="AV131"/>
  <c r="AU131"/>
  <c r="AT131"/>
  <c r="AS131"/>
  <c r="AN131"/>
  <c r="AK131"/>
  <c r="AJ131"/>
  <c r="AM131" s="1"/>
  <c r="AP131" s="1"/>
  <c r="AZ130"/>
  <c r="AW130"/>
  <c r="AX130" s="1"/>
  <c r="AY130" s="1"/>
  <c r="AV130"/>
  <c r="AU130"/>
  <c r="AT130"/>
  <c r="AS130"/>
  <c r="AN130"/>
  <c r="AK130"/>
  <c r="AM130" s="1"/>
  <c r="AP130" s="1"/>
  <c r="AJ130"/>
  <c r="AL130" s="1"/>
  <c r="AO130" s="1"/>
  <c r="AZ129"/>
  <c r="AX129"/>
  <c r="AY129" s="1"/>
  <c r="AW129"/>
  <c r="AV129"/>
  <c r="AU129"/>
  <c r="AT129"/>
  <c r="AS129"/>
  <c r="AN129"/>
  <c r="AK129"/>
  <c r="AJ129"/>
  <c r="AM129" s="1"/>
  <c r="AP129" s="1"/>
  <c r="AZ128"/>
  <c r="AW128"/>
  <c r="AX128" s="1"/>
  <c r="AY128" s="1"/>
  <c r="AV128"/>
  <c r="AU128"/>
  <c r="AT128"/>
  <c r="AS128"/>
  <c r="AN128"/>
  <c r="AK128"/>
  <c r="AM128" s="1"/>
  <c r="AJ128"/>
  <c r="AL128" s="1"/>
  <c r="AO128" s="1"/>
  <c r="AZ127"/>
  <c r="AX127"/>
  <c r="AY127" s="1"/>
  <c r="AW127"/>
  <c r="AV127"/>
  <c r="AU127"/>
  <c r="AT127"/>
  <c r="AS127"/>
  <c r="AN127"/>
  <c r="AK127"/>
  <c r="AJ127"/>
  <c r="AM127" s="1"/>
  <c r="AP127" s="1"/>
  <c r="AZ126"/>
  <c r="AW126"/>
  <c r="AX126" s="1"/>
  <c r="AY126" s="1"/>
  <c r="AV126"/>
  <c r="AU126"/>
  <c r="AT126"/>
  <c r="AS126"/>
  <c r="AN126"/>
  <c r="AK126"/>
  <c r="AM126" s="1"/>
  <c r="AP126" s="1"/>
  <c r="AJ126"/>
  <c r="AL126" s="1"/>
  <c r="AO126" s="1"/>
  <c r="AZ125"/>
  <c r="AX125"/>
  <c r="AY125" s="1"/>
  <c r="AW125"/>
  <c r="AV125"/>
  <c r="AU125"/>
  <c r="AT125"/>
  <c r="AS125"/>
  <c r="AN125"/>
  <c r="AK125"/>
  <c r="AJ125"/>
  <c r="AM125" s="1"/>
  <c r="AP125" s="1"/>
  <c r="AZ124"/>
  <c r="AW124"/>
  <c r="AX124" s="1"/>
  <c r="AY124" s="1"/>
  <c r="AV124"/>
  <c r="AU124"/>
  <c r="AT124"/>
  <c r="AS124"/>
  <c r="AN124"/>
  <c r="AK124"/>
  <c r="AM124" s="1"/>
  <c r="AP124" s="1"/>
  <c r="AJ124"/>
  <c r="AL124" s="1"/>
  <c r="AO124" s="1"/>
  <c r="AQ124" s="1"/>
  <c r="AR124" s="1"/>
  <c r="E124" s="1"/>
  <c r="AD124" s="1"/>
  <c r="AZ135"/>
  <c r="AX135"/>
  <c r="AY135" s="1"/>
  <c r="AW135"/>
  <c r="AV135"/>
  <c r="AU135"/>
  <c r="AT135"/>
  <c r="AS135"/>
  <c r="AN135"/>
  <c r="AK135"/>
  <c r="AJ135"/>
  <c r="AM135" s="1"/>
  <c r="AP135" s="1"/>
  <c r="AZ134"/>
  <c r="AW134"/>
  <c r="AX134" s="1"/>
  <c r="AY134" s="1"/>
  <c r="AV134"/>
  <c r="AU134"/>
  <c r="AT134"/>
  <c r="AS134"/>
  <c r="AN134"/>
  <c r="AK134"/>
  <c r="AM134" s="1"/>
  <c r="AP134" s="1"/>
  <c r="AJ134"/>
  <c r="AL134" s="1"/>
  <c r="AO134" s="1"/>
  <c r="AZ133"/>
  <c r="AX133"/>
  <c r="AY133" s="1"/>
  <c r="AW133"/>
  <c r="AV133"/>
  <c r="AU133"/>
  <c r="AT133"/>
  <c r="AS133"/>
  <c r="AN133"/>
  <c r="AK133"/>
  <c r="AJ133"/>
  <c r="AM133" s="1"/>
  <c r="AP133" s="1"/>
  <c r="AZ132"/>
  <c r="AW132"/>
  <c r="AX132" s="1"/>
  <c r="AY132" s="1"/>
  <c r="AV132"/>
  <c r="AU132"/>
  <c r="AT132"/>
  <c r="AS132"/>
  <c r="AN132"/>
  <c r="AK132"/>
  <c r="AM132" s="1"/>
  <c r="AP132" s="1"/>
  <c r="AJ132"/>
  <c r="AL132" s="1"/>
  <c r="AO132" s="1"/>
  <c r="AQ132" s="1"/>
  <c r="AR132" s="1"/>
  <c r="E132" s="1"/>
  <c r="AD132" s="1"/>
  <c r="AZ137"/>
  <c r="AW137"/>
  <c r="AX137" s="1"/>
  <c r="AY137" s="1"/>
  <c r="AV137"/>
  <c r="AU137"/>
  <c r="AT137"/>
  <c r="AS137"/>
  <c r="AN137"/>
  <c r="AK137"/>
  <c r="AJ137"/>
  <c r="AZ136"/>
  <c r="AW136"/>
  <c r="AX136" s="1"/>
  <c r="AY136" s="1"/>
  <c r="AV136"/>
  <c r="AU136"/>
  <c r="AT136"/>
  <c r="AS136"/>
  <c r="AN136"/>
  <c r="AK136"/>
  <c r="AJ136"/>
  <c r="AL136" s="1"/>
  <c r="AO136" s="1"/>
  <c r="AZ100"/>
  <c r="AW100"/>
  <c r="AX100" s="1"/>
  <c r="AY100" s="1"/>
  <c r="AV100"/>
  <c r="AU100"/>
  <c r="AT100"/>
  <c r="AS100"/>
  <c r="AN100"/>
  <c r="AK100"/>
  <c r="AJ100"/>
  <c r="AM100" s="1"/>
  <c r="AP100" s="1"/>
  <c r="AZ80"/>
  <c r="AX80"/>
  <c r="AY80" s="1"/>
  <c r="AW80"/>
  <c r="AV80"/>
  <c r="AU80"/>
  <c r="AT80"/>
  <c r="AS80"/>
  <c r="AN80"/>
  <c r="AK80"/>
  <c r="AJ80"/>
  <c r="AM80" s="1"/>
  <c r="AP80" s="1"/>
  <c r="F132" i="64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K8"/>
  <c r="I10" s="1"/>
  <c r="AZ115" i="29"/>
  <c r="AX115"/>
  <c r="AY115" s="1"/>
  <c r="AW115"/>
  <c r="AV115"/>
  <c r="AU115"/>
  <c r="AT115"/>
  <c r="AS115"/>
  <c r="AN115"/>
  <c r="AK115"/>
  <c r="AJ115"/>
  <c r="AM115" s="1"/>
  <c r="AP115" s="1"/>
  <c r="AZ114"/>
  <c r="AW114"/>
  <c r="AX114" s="1"/>
  <c r="AY114" s="1"/>
  <c r="AV114"/>
  <c r="AU114"/>
  <c r="AT114"/>
  <c r="AS114"/>
  <c r="AN114"/>
  <c r="AK114"/>
  <c r="AM114" s="1"/>
  <c r="AJ114"/>
  <c r="AL114" s="1"/>
  <c r="AO114" s="1"/>
  <c r="AZ113"/>
  <c r="AW113"/>
  <c r="AX113" s="1"/>
  <c r="AY113" s="1"/>
  <c r="AV113"/>
  <c r="AU113"/>
  <c r="AT113"/>
  <c r="AS113"/>
  <c r="AN113"/>
  <c r="AK113"/>
  <c r="AJ113"/>
  <c r="AM113" s="1"/>
  <c r="AP113" s="1"/>
  <c r="AZ112"/>
  <c r="AW112"/>
  <c r="AX112" s="1"/>
  <c r="AY112" s="1"/>
  <c r="AV112"/>
  <c r="AU112"/>
  <c r="AT112"/>
  <c r="AS112"/>
  <c r="AN112"/>
  <c r="AK112"/>
  <c r="AJ112"/>
  <c r="AL112" s="1"/>
  <c r="AO112" s="1"/>
  <c r="AZ111"/>
  <c r="AX111"/>
  <c r="AY111" s="1"/>
  <c r="AW111"/>
  <c r="AV111"/>
  <c r="AU111"/>
  <c r="AT111"/>
  <c r="AS111"/>
  <c r="AN111"/>
  <c r="AK111"/>
  <c r="AJ111"/>
  <c r="AM111" s="1"/>
  <c r="AP111" s="1"/>
  <c r="AZ110"/>
  <c r="AW110"/>
  <c r="AX110" s="1"/>
  <c r="AY110" s="1"/>
  <c r="AV110"/>
  <c r="AU110"/>
  <c r="AT110"/>
  <c r="AS110"/>
  <c r="AN110"/>
  <c r="AK110"/>
  <c r="AM110" s="1"/>
  <c r="AP110" s="1"/>
  <c r="AJ110"/>
  <c r="AL110" s="1"/>
  <c r="AO110" s="1"/>
  <c r="AZ109"/>
  <c r="AW109"/>
  <c r="AX109" s="1"/>
  <c r="AY109" s="1"/>
  <c r="AV109"/>
  <c r="AU109"/>
  <c r="AT109"/>
  <c r="AS109"/>
  <c r="AN109"/>
  <c r="AK109"/>
  <c r="AJ109"/>
  <c r="AM109" s="1"/>
  <c r="AP109" s="1"/>
  <c r="AZ108"/>
  <c r="AW108"/>
  <c r="AX108" s="1"/>
  <c r="AY108" s="1"/>
  <c r="AV108"/>
  <c r="AU108"/>
  <c r="AT108"/>
  <c r="AS108"/>
  <c r="AN108"/>
  <c r="AK108"/>
  <c r="AM108" s="1"/>
  <c r="AP108" s="1"/>
  <c r="AJ108"/>
  <c r="AL108" s="1"/>
  <c r="AO108" s="1"/>
  <c r="AQ108" s="1"/>
  <c r="AR108" s="1"/>
  <c r="E108" s="1"/>
  <c r="AD108" s="1"/>
  <c r="AZ107"/>
  <c r="AW107"/>
  <c r="AX107" s="1"/>
  <c r="AY107" s="1"/>
  <c r="AV107"/>
  <c r="AU107"/>
  <c r="AT107"/>
  <c r="AS107"/>
  <c r="AN107"/>
  <c r="AK107"/>
  <c r="AJ107"/>
  <c r="AM107" s="1"/>
  <c r="AP107" s="1"/>
  <c r="AZ120"/>
  <c r="AX120"/>
  <c r="AY120" s="1"/>
  <c r="AW120"/>
  <c r="AV120"/>
  <c r="AU120"/>
  <c r="AT120"/>
  <c r="AS120"/>
  <c r="AN120"/>
  <c r="AK120"/>
  <c r="AJ120"/>
  <c r="AM120" s="1"/>
  <c r="AP120" s="1"/>
  <c r="AZ119"/>
  <c r="AW119"/>
  <c r="AX119" s="1"/>
  <c r="AY119" s="1"/>
  <c r="AV119"/>
  <c r="AU119"/>
  <c r="AT119"/>
  <c r="AS119"/>
  <c r="AN119"/>
  <c r="AK119"/>
  <c r="AM119" s="1"/>
  <c r="AP119" s="1"/>
  <c r="AJ119"/>
  <c r="AL119" s="1"/>
  <c r="AO119" s="1"/>
  <c r="AZ118"/>
  <c r="AX118"/>
  <c r="AY118" s="1"/>
  <c r="AW118"/>
  <c r="AV118"/>
  <c r="AU118"/>
  <c r="AT118"/>
  <c r="AS118"/>
  <c r="AN118"/>
  <c r="AK118"/>
  <c r="AJ118"/>
  <c r="AZ117"/>
  <c r="AW117"/>
  <c r="AX117" s="1"/>
  <c r="AY117" s="1"/>
  <c r="AV117"/>
  <c r="AU117"/>
  <c r="AT117"/>
  <c r="AS117"/>
  <c r="AN117"/>
  <c r="AK117"/>
  <c r="AM117" s="1"/>
  <c r="AP117" s="1"/>
  <c r="AJ117"/>
  <c r="AL117" s="1"/>
  <c r="AO117" s="1"/>
  <c r="AZ116"/>
  <c r="AX116"/>
  <c r="AY116" s="1"/>
  <c r="AW116"/>
  <c r="AV116"/>
  <c r="AU116"/>
  <c r="AT116"/>
  <c r="AS116"/>
  <c r="AN116"/>
  <c r="AK116"/>
  <c r="AJ116"/>
  <c r="AM116" s="1"/>
  <c r="AP116" s="1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1"/>
  <c r="AU102"/>
  <c r="AU103"/>
  <c r="AU104"/>
  <c r="AU105"/>
  <c r="AU106"/>
  <c r="AU121"/>
  <c r="AU122"/>
  <c r="AU123"/>
  <c r="AU138"/>
  <c r="AU139"/>
  <c r="AU140"/>
  <c r="AU141"/>
  <c r="AU5"/>
  <c r="AZ103"/>
  <c r="AW103"/>
  <c r="AX103" s="1"/>
  <c r="AY103" s="1"/>
  <c r="AV103"/>
  <c r="AT103"/>
  <c r="AS103"/>
  <c r="AN103"/>
  <c r="AK103"/>
  <c r="AM103" s="1"/>
  <c r="AP103" s="1"/>
  <c r="AJ103"/>
  <c r="AL103" s="1"/>
  <c r="AO103" s="1"/>
  <c r="AZ102"/>
  <c r="AW102"/>
  <c r="AX102" s="1"/>
  <c r="AY102" s="1"/>
  <c r="AV102"/>
  <c r="AT102"/>
  <c r="AS102"/>
  <c r="AN102"/>
  <c r="AK102"/>
  <c r="AJ102"/>
  <c r="AL102" s="1"/>
  <c r="AO102" s="1"/>
  <c r="AZ101"/>
  <c r="AW101"/>
  <c r="AX101" s="1"/>
  <c r="AY101" s="1"/>
  <c r="AV101"/>
  <c r="AT101"/>
  <c r="AS101"/>
  <c r="AN101"/>
  <c r="AK101"/>
  <c r="AM101" s="1"/>
  <c r="AP101" s="1"/>
  <c r="AJ101"/>
  <c r="AL101" s="1"/>
  <c r="AO101" s="1"/>
  <c r="AQ101" s="1"/>
  <c r="AR101" s="1"/>
  <c r="E101" s="1"/>
  <c r="AZ99"/>
  <c r="AX99"/>
  <c r="AY99" s="1"/>
  <c r="AW99"/>
  <c r="AV99"/>
  <c r="AT99"/>
  <c r="AS99"/>
  <c r="AN99"/>
  <c r="AK99"/>
  <c r="AJ99"/>
  <c r="AM99" s="1"/>
  <c r="AP99" s="1"/>
  <c r="AZ98"/>
  <c r="AW98"/>
  <c r="AX98" s="1"/>
  <c r="AY98" s="1"/>
  <c r="AV98"/>
  <c r="AT98"/>
  <c r="AS98"/>
  <c r="AN98"/>
  <c r="AK98"/>
  <c r="AJ98"/>
  <c r="AL98" s="1"/>
  <c r="AO98" s="1"/>
  <c r="AZ97"/>
  <c r="AX97"/>
  <c r="AY97" s="1"/>
  <c r="AW97"/>
  <c r="AV97"/>
  <c r="AT97"/>
  <c r="AS97"/>
  <c r="AN97"/>
  <c r="AK97"/>
  <c r="AJ97"/>
  <c r="AL97" s="1"/>
  <c r="AO97" s="1"/>
  <c r="AZ96"/>
  <c r="AW96"/>
  <c r="AX96" s="1"/>
  <c r="AY96" s="1"/>
  <c r="AV96"/>
  <c r="AT96"/>
  <c r="AS96"/>
  <c r="AN96"/>
  <c r="AK96"/>
  <c r="AM96" s="1"/>
  <c r="AJ96"/>
  <c r="AL96" s="1"/>
  <c r="AO96" s="1"/>
  <c r="AZ95"/>
  <c r="AX95"/>
  <c r="AY95" s="1"/>
  <c r="AW95"/>
  <c r="AV95"/>
  <c r="AT95"/>
  <c r="AS95"/>
  <c r="AN95"/>
  <c r="AK95"/>
  <c r="AJ95"/>
  <c r="AL95" s="1"/>
  <c r="AO95" s="1"/>
  <c r="AZ121"/>
  <c r="AW121"/>
  <c r="AX121" s="1"/>
  <c r="AY121" s="1"/>
  <c r="AV121"/>
  <c r="AT121"/>
  <c r="AS121"/>
  <c r="AN121"/>
  <c r="AK121"/>
  <c r="AJ121"/>
  <c r="AM121" s="1"/>
  <c r="AP121" s="1"/>
  <c r="AZ106"/>
  <c r="AW106"/>
  <c r="AX106" s="1"/>
  <c r="AY106" s="1"/>
  <c r="AV106"/>
  <c r="AT106"/>
  <c r="AS106"/>
  <c r="AN106"/>
  <c r="AK106"/>
  <c r="AJ106"/>
  <c r="AL106" s="1"/>
  <c r="AO106" s="1"/>
  <c r="AZ105"/>
  <c r="AW105"/>
  <c r="AX105" s="1"/>
  <c r="AY105" s="1"/>
  <c r="AV105"/>
  <c r="AT105"/>
  <c r="AS105"/>
  <c r="AN105"/>
  <c r="AK105"/>
  <c r="AJ105"/>
  <c r="AZ104"/>
  <c r="AW104"/>
  <c r="AX104" s="1"/>
  <c r="AY104" s="1"/>
  <c r="AV104"/>
  <c r="AT104"/>
  <c r="AS104"/>
  <c r="AN104"/>
  <c r="AK104"/>
  <c r="AJ104"/>
  <c r="AL104" s="1"/>
  <c r="AO104" s="1"/>
  <c r="AZ123"/>
  <c r="AW123"/>
  <c r="AX123" s="1"/>
  <c r="AY123" s="1"/>
  <c r="AV123"/>
  <c r="AT123"/>
  <c r="AS123"/>
  <c r="AN123"/>
  <c r="AK123"/>
  <c r="AJ123"/>
  <c r="AZ122"/>
  <c r="AW122"/>
  <c r="AX122" s="1"/>
  <c r="AY122" s="1"/>
  <c r="AV122"/>
  <c r="AT122"/>
  <c r="AS122"/>
  <c r="AN122"/>
  <c r="AK122"/>
  <c r="AJ122"/>
  <c r="AL122" s="1"/>
  <c r="AO122" s="1"/>
  <c r="AZ138"/>
  <c r="AW138"/>
  <c r="AX138" s="1"/>
  <c r="AY138" s="1"/>
  <c r="AV138"/>
  <c r="AT138"/>
  <c r="AS138"/>
  <c r="AN138"/>
  <c r="AK138"/>
  <c r="AJ138"/>
  <c r="AZ94"/>
  <c r="AW94"/>
  <c r="AX94" s="1"/>
  <c r="AY94" s="1"/>
  <c r="AV94"/>
  <c r="AT94"/>
  <c r="AS94"/>
  <c r="AN94"/>
  <c r="AK94"/>
  <c r="AJ94"/>
  <c r="AZ93"/>
  <c r="AW93"/>
  <c r="AX93" s="1"/>
  <c r="AY93" s="1"/>
  <c r="AV93"/>
  <c r="AT93"/>
  <c r="AS93"/>
  <c r="AN93"/>
  <c r="AK93"/>
  <c r="AJ93"/>
  <c r="AL93" s="1"/>
  <c r="AO93" s="1"/>
  <c r="AZ92"/>
  <c r="AW92"/>
  <c r="AX92" s="1"/>
  <c r="AY92" s="1"/>
  <c r="AV92"/>
  <c r="AT92"/>
  <c r="AS92"/>
  <c r="AN92"/>
  <c r="AK92"/>
  <c r="AJ92"/>
  <c r="AZ91"/>
  <c r="AW91"/>
  <c r="AX91" s="1"/>
  <c r="AY91" s="1"/>
  <c r="AV91"/>
  <c r="AT91"/>
  <c r="AS91"/>
  <c r="AN91"/>
  <c r="AK91"/>
  <c r="AJ91"/>
  <c r="AL91" s="1"/>
  <c r="AO91" s="1"/>
  <c r="AZ86"/>
  <c r="AW86"/>
  <c r="AX86" s="1"/>
  <c r="AY86" s="1"/>
  <c r="AV86"/>
  <c r="AT86"/>
  <c r="AS86"/>
  <c r="AN86"/>
  <c r="AK86"/>
  <c r="AM86" s="1"/>
  <c r="AP86" s="1"/>
  <c r="AJ86"/>
  <c r="AL86" s="1"/>
  <c r="AO86" s="1"/>
  <c r="AZ85"/>
  <c r="AX85"/>
  <c r="AY85" s="1"/>
  <c r="AW85"/>
  <c r="AV85"/>
  <c r="AT85"/>
  <c r="AS85"/>
  <c r="AN85"/>
  <c r="AK85"/>
  <c r="AJ85"/>
  <c r="AM85" s="1"/>
  <c r="AP85" s="1"/>
  <c r="AZ84"/>
  <c r="AW84"/>
  <c r="AX84" s="1"/>
  <c r="AY84" s="1"/>
  <c r="AV84"/>
  <c r="AT84"/>
  <c r="AS84"/>
  <c r="AN84"/>
  <c r="AK84"/>
  <c r="AM84" s="1"/>
  <c r="AP84" s="1"/>
  <c r="AJ84"/>
  <c r="AL84" s="1"/>
  <c r="AO84" s="1"/>
  <c r="AQ84" s="1"/>
  <c r="AR84" s="1"/>
  <c r="E84" s="1"/>
  <c r="AZ83"/>
  <c r="AX83"/>
  <c r="AY83" s="1"/>
  <c r="AW83"/>
  <c r="AV83"/>
  <c r="AT83"/>
  <c r="AS83"/>
  <c r="AN83"/>
  <c r="AK83"/>
  <c r="AJ83"/>
  <c r="AZ139"/>
  <c r="AW139"/>
  <c r="AX139" s="1"/>
  <c r="AY139" s="1"/>
  <c r="AV139"/>
  <c r="AT139"/>
  <c r="AS139"/>
  <c r="AN139"/>
  <c r="AK139"/>
  <c r="AJ139"/>
  <c r="AZ90"/>
  <c r="AW90"/>
  <c r="AX90" s="1"/>
  <c r="AY90" s="1"/>
  <c r="AV90"/>
  <c r="AT90"/>
  <c r="AS90"/>
  <c r="AN90"/>
  <c r="AK90"/>
  <c r="AJ90"/>
  <c r="AZ89"/>
  <c r="AW89"/>
  <c r="AX89" s="1"/>
  <c r="AY89" s="1"/>
  <c r="AV89"/>
  <c r="AT89"/>
  <c r="AS89"/>
  <c r="AN89"/>
  <c r="AK89"/>
  <c r="AJ89"/>
  <c r="AZ88"/>
  <c r="AW88"/>
  <c r="AX88" s="1"/>
  <c r="AY88" s="1"/>
  <c r="AV88"/>
  <c r="AT88"/>
  <c r="AS88"/>
  <c r="AN88"/>
  <c r="AK88"/>
  <c r="AJ88"/>
  <c r="AZ79"/>
  <c r="AW79"/>
  <c r="AX79" s="1"/>
  <c r="AY79" s="1"/>
  <c r="AV79"/>
  <c r="AT79"/>
  <c r="AS79"/>
  <c r="AN79"/>
  <c r="AK79"/>
  <c r="AJ79"/>
  <c r="AZ78"/>
  <c r="AW78"/>
  <c r="AX78" s="1"/>
  <c r="AY78" s="1"/>
  <c r="AV78"/>
  <c r="AT78"/>
  <c r="AS78"/>
  <c r="AN78"/>
  <c r="AK78"/>
  <c r="AJ78"/>
  <c r="AL78" s="1"/>
  <c r="AO78" s="1"/>
  <c r="AZ77"/>
  <c r="AW77"/>
  <c r="AX77" s="1"/>
  <c r="AY77" s="1"/>
  <c r="AV77"/>
  <c r="AT77"/>
  <c r="AS77"/>
  <c r="AN77"/>
  <c r="AK77"/>
  <c r="AJ77"/>
  <c r="AZ82"/>
  <c r="AW82"/>
  <c r="AX82" s="1"/>
  <c r="AY82" s="1"/>
  <c r="AV82"/>
  <c r="AT82"/>
  <c r="AS82"/>
  <c r="AN82"/>
  <c r="AK82"/>
  <c r="AJ82"/>
  <c r="Q3" i="61"/>
  <c r="S3"/>
  <c r="Q4"/>
  <c r="S4"/>
  <c r="Q5"/>
  <c r="S5"/>
  <c r="Q6"/>
  <c r="S6"/>
  <c r="Q7"/>
  <c r="S7"/>
  <c r="Q8"/>
  <c r="S8"/>
  <c r="Q9"/>
  <c r="S9"/>
  <c r="Q10"/>
  <c r="S10"/>
  <c r="Q11"/>
  <c r="S11"/>
  <c r="Q12"/>
  <c r="S12"/>
  <c r="Q13"/>
  <c r="S13"/>
  <c r="O9" i="60"/>
  <c r="T3"/>
  <c r="C38"/>
  <c r="O20"/>
  <c r="G19"/>
  <c r="O8"/>
  <c r="F6"/>
  <c r="K3"/>
  <c r="H3"/>
  <c r="N3" s="1"/>
  <c r="F2"/>
  <c r="C38" i="59"/>
  <c r="C24"/>
  <c r="O20"/>
  <c r="G19"/>
  <c r="O9"/>
  <c r="F9"/>
  <c r="O8"/>
  <c r="M8"/>
  <c r="F6"/>
  <c r="H3"/>
  <c r="F2"/>
  <c r="C38" i="58"/>
  <c r="C24"/>
  <c r="O20"/>
  <c r="G19"/>
  <c r="O9"/>
  <c r="F9"/>
  <c r="E16" s="1"/>
  <c r="O8"/>
  <c r="M8"/>
  <c r="D8"/>
  <c r="E21" s="1"/>
  <c r="F6"/>
  <c r="F22" s="1"/>
  <c r="H3"/>
  <c r="F2"/>
  <c r="C38" i="56"/>
  <c r="O20"/>
  <c r="G19"/>
  <c r="O9"/>
  <c r="O8"/>
  <c r="F6"/>
  <c r="H3"/>
  <c r="K3" s="1"/>
  <c r="F2"/>
  <c r="E35" i="54"/>
  <c r="D9"/>
  <c r="C38"/>
  <c r="C24"/>
  <c r="O20"/>
  <c r="G19"/>
  <c r="O9"/>
  <c r="F9"/>
  <c r="O8"/>
  <c r="M8"/>
  <c r="F6"/>
  <c r="H3"/>
  <c r="F2"/>
  <c r="AZ67" i="29"/>
  <c r="AW67"/>
  <c r="AX67" s="1"/>
  <c r="AY67" s="1"/>
  <c r="AV67"/>
  <c r="AT67"/>
  <c r="AS67"/>
  <c r="AN67"/>
  <c r="AK67"/>
  <c r="AJ67"/>
  <c r="AZ68"/>
  <c r="AW68"/>
  <c r="AV68"/>
  <c r="AT68"/>
  <c r="AS68"/>
  <c r="AN68"/>
  <c r="AK68"/>
  <c r="AJ68"/>
  <c r="AZ69"/>
  <c r="AW69"/>
  <c r="AX69" s="1"/>
  <c r="AY69" s="1"/>
  <c r="AV69"/>
  <c r="AT69"/>
  <c r="AS69"/>
  <c r="AN69"/>
  <c r="AK69"/>
  <c r="AJ69"/>
  <c r="AZ70"/>
  <c r="AW70"/>
  <c r="AV70"/>
  <c r="AT70"/>
  <c r="AS70"/>
  <c r="AN70"/>
  <c r="AK70"/>
  <c r="AJ70"/>
  <c r="AM70" s="1"/>
  <c r="AP70" s="1"/>
  <c r="AZ71"/>
  <c r="AX71"/>
  <c r="AY71" s="1"/>
  <c r="AW71"/>
  <c r="AV71"/>
  <c r="AT71"/>
  <c r="AS71"/>
  <c r="AN71"/>
  <c r="AK71"/>
  <c r="AJ71"/>
  <c r="AM71" s="1"/>
  <c r="AP71" s="1"/>
  <c r="AZ72"/>
  <c r="AW72"/>
  <c r="AX72" s="1"/>
  <c r="AY72" s="1"/>
  <c r="AV72"/>
  <c r="AT72"/>
  <c r="AS72"/>
  <c r="AN72"/>
  <c r="AK72"/>
  <c r="AJ72"/>
  <c r="AZ73"/>
  <c r="AW73"/>
  <c r="AX73" s="1"/>
  <c r="AY73" s="1"/>
  <c r="AV73"/>
  <c r="AT73"/>
  <c r="AS73"/>
  <c r="AN73"/>
  <c r="AK73"/>
  <c r="AJ73"/>
  <c r="AM73" s="1"/>
  <c r="AP73" s="1"/>
  <c r="AZ74"/>
  <c r="AX74"/>
  <c r="AY74" s="1"/>
  <c r="AW74"/>
  <c r="AV74"/>
  <c r="AT74"/>
  <c r="AS74"/>
  <c r="AN74"/>
  <c r="AK74"/>
  <c r="AJ74"/>
  <c r="AM74" s="1"/>
  <c r="AP74" s="1"/>
  <c r="AZ75"/>
  <c r="AW75"/>
  <c r="AX75" s="1"/>
  <c r="AY75" s="1"/>
  <c r="AV75"/>
  <c r="AT75"/>
  <c r="AS75"/>
  <c r="AN75"/>
  <c r="AK75"/>
  <c r="AJ75"/>
  <c r="AZ76"/>
  <c r="AW76"/>
  <c r="AV76"/>
  <c r="AT76"/>
  <c r="AS76"/>
  <c r="AN76"/>
  <c r="AK76"/>
  <c r="AJ76"/>
  <c r="AM76" s="1"/>
  <c r="AP76" s="1"/>
  <c r="AZ81"/>
  <c r="AX81"/>
  <c r="AY81" s="1"/>
  <c r="AW81"/>
  <c r="AV81"/>
  <c r="AT81"/>
  <c r="AS81"/>
  <c r="AN81"/>
  <c r="AK81"/>
  <c r="AJ81"/>
  <c r="AM81" s="1"/>
  <c r="AP81" s="1"/>
  <c r="AZ87"/>
  <c r="AX87"/>
  <c r="AY87" s="1"/>
  <c r="AW87"/>
  <c r="AV87"/>
  <c r="AT87"/>
  <c r="AS87"/>
  <c r="AN87"/>
  <c r="AK87"/>
  <c r="AJ87"/>
  <c r="AM87" s="1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140"/>
  <c r="AZ141"/>
  <c r="AZ5"/>
  <c r="M7" i="18"/>
  <c r="M6"/>
  <c r="K7"/>
  <c r="K6"/>
  <c r="AW57" i="29"/>
  <c r="AX57" s="1"/>
  <c r="AY57" s="1"/>
  <c r="AV57"/>
  <c r="AT57"/>
  <c r="AS57"/>
  <c r="AN57"/>
  <c r="AK57"/>
  <c r="AJ57"/>
  <c r="AW58"/>
  <c r="AX58" s="1"/>
  <c r="AY58" s="1"/>
  <c r="AV58"/>
  <c r="AT58"/>
  <c r="AS58"/>
  <c r="AN58"/>
  <c r="AK58"/>
  <c r="AJ58"/>
  <c r="AW59"/>
  <c r="AX59" s="1"/>
  <c r="AY59" s="1"/>
  <c r="AV59"/>
  <c r="AT59"/>
  <c r="AS59"/>
  <c r="AN59"/>
  <c r="AK59"/>
  <c r="AJ59"/>
  <c r="AX60"/>
  <c r="AY60" s="1"/>
  <c r="AW60"/>
  <c r="AV60"/>
  <c r="AT60"/>
  <c r="AS60"/>
  <c r="AN60"/>
  <c r="AK60"/>
  <c r="AJ60"/>
  <c r="AM60" s="1"/>
  <c r="AP60" s="1"/>
  <c r="AW61"/>
  <c r="AX61" s="1"/>
  <c r="AY61" s="1"/>
  <c r="AV61"/>
  <c r="AT61"/>
  <c r="AS61"/>
  <c r="AN61"/>
  <c r="AK61"/>
  <c r="AJ61"/>
  <c r="AM61" s="1"/>
  <c r="AP61" s="1"/>
  <c r="AW62"/>
  <c r="AV62"/>
  <c r="AT62"/>
  <c r="AS62"/>
  <c r="AN62"/>
  <c r="AK62"/>
  <c r="AJ62"/>
  <c r="AM62" s="1"/>
  <c r="AP62" s="1"/>
  <c r="AW63"/>
  <c r="AX63" s="1"/>
  <c r="AY63" s="1"/>
  <c r="AV63"/>
  <c r="AT63"/>
  <c r="AS63"/>
  <c r="AN63"/>
  <c r="AK63"/>
  <c r="AJ63"/>
  <c r="AW64"/>
  <c r="AX64" s="1"/>
  <c r="AY64" s="1"/>
  <c r="AV64"/>
  <c r="AT64"/>
  <c r="AS64"/>
  <c r="AN64"/>
  <c r="AK64"/>
  <c r="AJ64"/>
  <c r="AW65"/>
  <c r="AX65" s="1"/>
  <c r="AY65" s="1"/>
  <c r="AV65"/>
  <c r="AT65"/>
  <c r="AS65"/>
  <c r="AN65"/>
  <c r="AK65"/>
  <c r="AJ65"/>
  <c r="AW54"/>
  <c r="AX54" s="1"/>
  <c r="AY54" s="1"/>
  <c r="AV54"/>
  <c r="AT54"/>
  <c r="AS54"/>
  <c r="AN54"/>
  <c r="AK54"/>
  <c r="AJ54"/>
  <c r="AW55"/>
  <c r="AV55"/>
  <c r="AT55"/>
  <c r="AS55"/>
  <c r="AN55"/>
  <c r="AK55"/>
  <c r="AJ55"/>
  <c r="AW56"/>
  <c r="AX56" s="1"/>
  <c r="AY56" s="1"/>
  <c r="AV56"/>
  <c r="AT56"/>
  <c r="AS56"/>
  <c r="AN56"/>
  <c r="AK56"/>
  <c r="AJ56"/>
  <c r="AX52"/>
  <c r="AY52" s="1"/>
  <c r="AW52"/>
  <c r="AV52"/>
  <c r="AT52"/>
  <c r="AS52"/>
  <c r="AN52"/>
  <c r="AK52"/>
  <c r="AJ52"/>
  <c r="AM52" s="1"/>
  <c r="F22" i="67" l="1"/>
  <c r="E39"/>
  <c r="G21"/>
  <c r="K20"/>
  <c r="M20" s="1"/>
  <c r="G16"/>
  <c r="K9"/>
  <c r="E31"/>
  <c r="K3"/>
  <c r="N3" s="1"/>
  <c r="M9"/>
  <c r="Q9" s="1"/>
  <c r="F17"/>
  <c r="E12"/>
  <c r="F13" s="1"/>
  <c r="AP136" i="65"/>
  <c r="AM5"/>
  <c r="AP5" s="1"/>
  <c r="AM6"/>
  <c r="AP6" s="1"/>
  <c r="AM13"/>
  <c r="AP13" s="1"/>
  <c r="AM14"/>
  <c r="AP14" s="1"/>
  <c r="AM18"/>
  <c r="AP18" s="1"/>
  <c r="AM20"/>
  <c r="AP20" s="1"/>
  <c r="AM54"/>
  <c r="AP54" s="1"/>
  <c r="AX55"/>
  <c r="AY55" s="1"/>
  <c r="AM56"/>
  <c r="AP56" s="1"/>
  <c r="AM62"/>
  <c r="AP62" s="1"/>
  <c r="AX62"/>
  <c r="AY62" s="1"/>
  <c r="AM70"/>
  <c r="AP70" s="1"/>
  <c r="AX70"/>
  <c r="AY70" s="1"/>
  <c r="AQ134"/>
  <c r="AR134" s="1"/>
  <c r="E134" s="1"/>
  <c r="AD134" s="1"/>
  <c r="AQ138"/>
  <c r="AR138" s="1"/>
  <c r="E138" s="1"/>
  <c r="AM133"/>
  <c r="AP133" s="1"/>
  <c r="AD130"/>
  <c r="N3" i="66"/>
  <c r="M9"/>
  <c r="Q9" s="1"/>
  <c r="D8"/>
  <c r="E21" s="1"/>
  <c r="M8"/>
  <c r="Q8" s="1"/>
  <c r="AD138" i="65"/>
  <c r="AM60"/>
  <c r="AP60" s="1"/>
  <c r="AM64"/>
  <c r="AP64" s="1"/>
  <c r="AM68"/>
  <c r="AP68" s="1"/>
  <c r="AX68"/>
  <c r="AY68" s="1"/>
  <c r="AM72"/>
  <c r="AP72" s="1"/>
  <c r="AM7"/>
  <c r="AP7" s="1"/>
  <c r="AQ7" s="1"/>
  <c r="AR7" s="1"/>
  <c r="E7" s="1"/>
  <c r="AD7" s="1"/>
  <c r="AM8"/>
  <c r="AP8" s="1"/>
  <c r="AM11"/>
  <c r="AP11" s="1"/>
  <c r="AQ11" s="1"/>
  <c r="AR11" s="1"/>
  <c r="E11" s="1"/>
  <c r="AD11" s="1"/>
  <c r="AM12"/>
  <c r="AP12" s="1"/>
  <c r="AM15"/>
  <c r="AP15" s="1"/>
  <c r="AQ15" s="1"/>
  <c r="AR15" s="1"/>
  <c r="E15" s="1"/>
  <c r="AD15" s="1"/>
  <c r="AM16"/>
  <c r="AP16" s="1"/>
  <c r="AM22"/>
  <c r="AP22" s="1"/>
  <c r="AQ22" s="1"/>
  <c r="AR22" s="1"/>
  <c r="E22" s="1"/>
  <c r="AD22" s="1"/>
  <c r="AX22"/>
  <c r="AY22" s="1"/>
  <c r="AX23"/>
  <c r="AY23" s="1"/>
  <c r="AM24"/>
  <c r="AP24" s="1"/>
  <c r="AQ24" s="1"/>
  <c r="AR24" s="1"/>
  <c r="E24" s="1"/>
  <c r="AD24" s="1"/>
  <c r="AX24"/>
  <c r="AY24" s="1"/>
  <c r="AX25"/>
  <c r="AY25" s="1"/>
  <c r="AM26"/>
  <c r="AP26" s="1"/>
  <c r="AQ26" s="1"/>
  <c r="AR26" s="1"/>
  <c r="E26" s="1"/>
  <c r="AD26" s="1"/>
  <c r="AX26"/>
  <c r="AY26" s="1"/>
  <c r="AX27"/>
  <c r="AY27" s="1"/>
  <c r="AM28"/>
  <c r="AP28" s="1"/>
  <c r="AQ28" s="1"/>
  <c r="AR28" s="1"/>
  <c r="E28" s="1"/>
  <c r="AD28" s="1"/>
  <c r="AX28"/>
  <c r="AY28" s="1"/>
  <c r="AX29"/>
  <c r="AY29" s="1"/>
  <c r="AM30"/>
  <c r="AP30" s="1"/>
  <c r="AQ30" s="1"/>
  <c r="AR30" s="1"/>
  <c r="E30" s="1"/>
  <c r="AD30" s="1"/>
  <c r="AX30"/>
  <c r="AY30" s="1"/>
  <c r="AX31"/>
  <c r="AY31" s="1"/>
  <c r="AM32"/>
  <c r="AP32" s="1"/>
  <c r="AQ32" s="1"/>
  <c r="AR32" s="1"/>
  <c r="E32" s="1"/>
  <c r="AD32" s="1"/>
  <c r="AX32"/>
  <c r="AY32" s="1"/>
  <c r="AX33"/>
  <c r="AY33" s="1"/>
  <c r="AM34"/>
  <c r="AP34" s="1"/>
  <c r="AQ34" s="1"/>
  <c r="AR34" s="1"/>
  <c r="E34" s="1"/>
  <c r="AD34" s="1"/>
  <c r="AX34"/>
  <c r="AY34" s="1"/>
  <c r="AX35"/>
  <c r="AY35" s="1"/>
  <c r="AM36"/>
  <c r="AP36" s="1"/>
  <c r="AQ36" s="1"/>
  <c r="AR36" s="1"/>
  <c r="E36" s="1"/>
  <c r="AD36" s="1"/>
  <c r="AX36"/>
  <c r="AY36" s="1"/>
  <c r="AX37"/>
  <c r="AY37" s="1"/>
  <c r="AM38"/>
  <c r="AP38" s="1"/>
  <c r="AQ38" s="1"/>
  <c r="AR38" s="1"/>
  <c r="E38" s="1"/>
  <c r="AD38" s="1"/>
  <c r="AX38"/>
  <c r="AY38" s="1"/>
  <c r="AX39"/>
  <c r="AY39" s="1"/>
  <c r="AM40"/>
  <c r="AP40" s="1"/>
  <c r="AQ40" s="1"/>
  <c r="AR40" s="1"/>
  <c r="E40" s="1"/>
  <c r="AD40" s="1"/>
  <c r="AX40"/>
  <c r="AY40" s="1"/>
  <c r="AX41"/>
  <c r="AY41" s="1"/>
  <c r="AX42"/>
  <c r="AY42" s="1"/>
  <c r="AM45"/>
  <c r="AP45" s="1"/>
  <c r="AX45"/>
  <c r="AY45" s="1"/>
  <c r="AM46"/>
  <c r="AP46" s="1"/>
  <c r="AQ46" s="1"/>
  <c r="AR46" s="1"/>
  <c r="E46" s="1"/>
  <c r="AD46" s="1"/>
  <c r="AX46"/>
  <c r="AY46" s="1"/>
  <c r="AM49"/>
  <c r="AP49" s="1"/>
  <c r="AQ50"/>
  <c r="AR50" s="1"/>
  <c r="E50" s="1"/>
  <c r="AD50" s="1"/>
  <c r="AM52"/>
  <c r="AP52" s="1"/>
  <c r="AQ54"/>
  <c r="AR54" s="1"/>
  <c r="E54" s="1"/>
  <c r="AD54" s="1"/>
  <c r="AQ56"/>
  <c r="AR56" s="1"/>
  <c r="E56" s="1"/>
  <c r="AD56" s="1"/>
  <c r="AM58"/>
  <c r="AP58" s="1"/>
  <c r="AQ60"/>
  <c r="AR60" s="1"/>
  <c r="E60" s="1"/>
  <c r="AD60" s="1"/>
  <c r="AQ5"/>
  <c r="AR5" s="1"/>
  <c r="E5" s="1"/>
  <c r="AD5" s="1"/>
  <c r="AQ9"/>
  <c r="AR9" s="1"/>
  <c r="E9" s="1"/>
  <c r="AD9" s="1"/>
  <c r="AQ13"/>
  <c r="AR13" s="1"/>
  <c r="E13" s="1"/>
  <c r="AD13" s="1"/>
  <c r="AQ17"/>
  <c r="AR17" s="1"/>
  <c r="E17" s="1"/>
  <c r="AD17" s="1"/>
  <c r="AQ18"/>
  <c r="AR18" s="1"/>
  <c r="E18" s="1"/>
  <c r="AD18" s="1"/>
  <c r="AQ20"/>
  <c r="AR20" s="1"/>
  <c r="E20" s="1"/>
  <c r="AD20" s="1"/>
  <c r="AQ44"/>
  <c r="AR44" s="1"/>
  <c r="E44" s="1"/>
  <c r="AD44" s="1"/>
  <c r="AQ48"/>
  <c r="AR48" s="1"/>
  <c r="E48" s="1"/>
  <c r="AD48" s="1"/>
  <c r="AL6"/>
  <c r="AO6" s="1"/>
  <c r="AQ6" s="1"/>
  <c r="AR6" s="1"/>
  <c r="E6" s="1"/>
  <c r="AD6" s="1"/>
  <c r="AL8"/>
  <c r="AO8" s="1"/>
  <c r="AQ8" s="1"/>
  <c r="AR8" s="1"/>
  <c r="E8" s="1"/>
  <c r="AD8" s="1"/>
  <c r="AL10"/>
  <c r="AO10" s="1"/>
  <c r="AQ10" s="1"/>
  <c r="AR10" s="1"/>
  <c r="E10" s="1"/>
  <c r="AD10" s="1"/>
  <c r="AL12"/>
  <c r="AO12" s="1"/>
  <c r="AQ12" s="1"/>
  <c r="AR12" s="1"/>
  <c r="E12" s="1"/>
  <c r="AD12" s="1"/>
  <c r="AL14"/>
  <c r="AO14" s="1"/>
  <c r="AQ14" s="1"/>
  <c r="AR14" s="1"/>
  <c r="E14" s="1"/>
  <c r="AD14" s="1"/>
  <c r="AL16"/>
  <c r="AO16" s="1"/>
  <c r="AQ16" s="1"/>
  <c r="AR16" s="1"/>
  <c r="E16" s="1"/>
  <c r="AD16" s="1"/>
  <c r="AM19"/>
  <c r="AP19" s="1"/>
  <c r="AQ19" s="1"/>
  <c r="AR19" s="1"/>
  <c r="E19" s="1"/>
  <c r="AD19" s="1"/>
  <c r="AM21"/>
  <c r="AP21" s="1"/>
  <c r="AQ21" s="1"/>
  <c r="AR21" s="1"/>
  <c r="E21" s="1"/>
  <c r="AD21" s="1"/>
  <c r="AM23"/>
  <c r="AP23" s="1"/>
  <c r="AQ23" s="1"/>
  <c r="AR23" s="1"/>
  <c r="E23" s="1"/>
  <c r="AD23" s="1"/>
  <c r="AM25"/>
  <c r="AP25" s="1"/>
  <c r="AQ25" s="1"/>
  <c r="AR25" s="1"/>
  <c r="E25" s="1"/>
  <c r="AD25" s="1"/>
  <c r="AM27"/>
  <c r="AP27" s="1"/>
  <c r="AQ27" s="1"/>
  <c r="AR27" s="1"/>
  <c r="E27" s="1"/>
  <c r="AD27" s="1"/>
  <c r="AM29"/>
  <c r="AP29" s="1"/>
  <c r="AQ29" s="1"/>
  <c r="AR29" s="1"/>
  <c r="E29" s="1"/>
  <c r="AD29" s="1"/>
  <c r="AM31"/>
  <c r="AP31" s="1"/>
  <c r="AQ31" s="1"/>
  <c r="AR31" s="1"/>
  <c r="E31" s="1"/>
  <c r="AD31" s="1"/>
  <c r="AM33"/>
  <c r="AP33" s="1"/>
  <c r="AQ33" s="1"/>
  <c r="AR33" s="1"/>
  <c r="E33" s="1"/>
  <c r="AD33" s="1"/>
  <c r="AM35"/>
  <c r="AP35" s="1"/>
  <c r="AQ35" s="1"/>
  <c r="AR35" s="1"/>
  <c r="E35" s="1"/>
  <c r="AD35" s="1"/>
  <c r="AM37"/>
  <c r="AP37" s="1"/>
  <c r="AQ37" s="1"/>
  <c r="AR37" s="1"/>
  <c r="E37" s="1"/>
  <c r="AD37" s="1"/>
  <c r="AM39"/>
  <c r="AP39" s="1"/>
  <c r="AQ39" s="1"/>
  <c r="AR39" s="1"/>
  <c r="E39" s="1"/>
  <c r="AD39" s="1"/>
  <c r="AM41"/>
  <c r="AP41" s="1"/>
  <c r="AQ41" s="1"/>
  <c r="AR41" s="1"/>
  <c r="E41" s="1"/>
  <c r="AD41" s="1"/>
  <c r="AM42"/>
  <c r="AP42" s="1"/>
  <c r="AQ42" s="1"/>
  <c r="AR42" s="1"/>
  <c r="E42" s="1"/>
  <c r="AD42" s="1"/>
  <c r="AL43"/>
  <c r="AO43" s="1"/>
  <c r="AQ43" s="1"/>
  <c r="AR43" s="1"/>
  <c r="E43" s="1"/>
  <c r="AD43" s="1"/>
  <c r="AL45"/>
  <c r="AO45" s="1"/>
  <c r="AQ45" s="1"/>
  <c r="AR45" s="1"/>
  <c r="E45" s="1"/>
  <c r="AD45" s="1"/>
  <c r="AL47"/>
  <c r="AO47" s="1"/>
  <c r="AQ47" s="1"/>
  <c r="AR47" s="1"/>
  <c r="E47" s="1"/>
  <c r="AD47" s="1"/>
  <c r="AL49"/>
  <c r="AO49" s="1"/>
  <c r="AQ49" s="1"/>
  <c r="AR49" s="1"/>
  <c r="E49" s="1"/>
  <c r="AD49" s="1"/>
  <c r="AQ52"/>
  <c r="AR52" s="1"/>
  <c r="E52" s="1"/>
  <c r="AD52" s="1"/>
  <c r="AQ58"/>
  <c r="AR58" s="1"/>
  <c r="E58" s="1"/>
  <c r="AD58" s="1"/>
  <c r="AQ62"/>
  <c r="AR62" s="1"/>
  <c r="E62" s="1"/>
  <c r="AD62" s="1"/>
  <c r="AQ66"/>
  <c r="AR66" s="1"/>
  <c r="E66" s="1"/>
  <c r="AD66" s="1"/>
  <c r="AQ70"/>
  <c r="AR70" s="1"/>
  <c r="E70" s="1"/>
  <c r="AD70" s="1"/>
  <c r="AQ74"/>
  <c r="AR74" s="1"/>
  <c r="E74" s="1"/>
  <c r="AD74" s="1"/>
  <c r="AQ78"/>
  <c r="AR78" s="1"/>
  <c r="E78" s="1"/>
  <c r="AD78" s="1"/>
  <c r="AQ82"/>
  <c r="AR82" s="1"/>
  <c r="E82" s="1"/>
  <c r="AD82" s="1"/>
  <c r="AQ86"/>
  <c r="AR86" s="1"/>
  <c r="E86" s="1"/>
  <c r="AD86" s="1"/>
  <c r="AQ90"/>
  <c r="AR90" s="1"/>
  <c r="E90" s="1"/>
  <c r="AD90" s="1"/>
  <c r="AQ64"/>
  <c r="AR64" s="1"/>
  <c r="E64" s="1"/>
  <c r="AD64" s="1"/>
  <c r="AQ68"/>
  <c r="AR68" s="1"/>
  <c r="E68" s="1"/>
  <c r="AD68" s="1"/>
  <c r="AQ72"/>
  <c r="AR72" s="1"/>
  <c r="E72" s="1"/>
  <c r="AD72" s="1"/>
  <c r="AQ76"/>
  <c r="AR76" s="1"/>
  <c r="E76" s="1"/>
  <c r="AD76" s="1"/>
  <c r="AQ80"/>
  <c r="AR80" s="1"/>
  <c r="E80" s="1"/>
  <c r="AD80" s="1"/>
  <c r="AQ84"/>
  <c r="AR84" s="1"/>
  <c r="E84" s="1"/>
  <c r="AD84" s="1"/>
  <c r="AQ88"/>
  <c r="AR88" s="1"/>
  <c r="E88" s="1"/>
  <c r="AD88" s="1"/>
  <c r="AM51"/>
  <c r="AP51" s="1"/>
  <c r="AQ51" s="1"/>
  <c r="AR51" s="1"/>
  <c r="E51" s="1"/>
  <c r="AD51" s="1"/>
  <c r="AM53"/>
  <c r="AP53" s="1"/>
  <c r="AQ53" s="1"/>
  <c r="AR53" s="1"/>
  <c r="E53" s="1"/>
  <c r="AD53" s="1"/>
  <c r="AM55"/>
  <c r="AP55" s="1"/>
  <c r="AQ55" s="1"/>
  <c r="AR55" s="1"/>
  <c r="E55" s="1"/>
  <c r="AD55" s="1"/>
  <c r="AM57"/>
  <c r="AP57" s="1"/>
  <c r="AQ57" s="1"/>
  <c r="AR57" s="1"/>
  <c r="E57" s="1"/>
  <c r="AD57" s="1"/>
  <c r="AM59"/>
  <c r="AP59" s="1"/>
  <c r="AQ59" s="1"/>
  <c r="AR59" s="1"/>
  <c r="E59" s="1"/>
  <c r="AD59" s="1"/>
  <c r="AM61"/>
  <c r="AP61" s="1"/>
  <c r="AQ61" s="1"/>
  <c r="AR61" s="1"/>
  <c r="E61" s="1"/>
  <c r="AD61" s="1"/>
  <c r="AM63"/>
  <c r="AP63" s="1"/>
  <c r="AQ63" s="1"/>
  <c r="AR63" s="1"/>
  <c r="E63" s="1"/>
  <c r="AD63" s="1"/>
  <c r="AM65"/>
  <c r="AP65" s="1"/>
  <c r="AQ65" s="1"/>
  <c r="AR65" s="1"/>
  <c r="E65" s="1"/>
  <c r="AD65" s="1"/>
  <c r="AM67"/>
  <c r="AP67" s="1"/>
  <c r="AQ67" s="1"/>
  <c r="AR67" s="1"/>
  <c r="E67" s="1"/>
  <c r="AD67" s="1"/>
  <c r="AM69"/>
  <c r="AP69" s="1"/>
  <c r="AQ69" s="1"/>
  <c r="AR69" s="1"/>
  <c r="E69" s="1"/>
  <c r="AD69" s="1"/>
  <c r="AM71"/>
  <c r="AP71" s="1"/>
  <c r="AQ71" s="1"/>
  <c r="AR71" s="1"/>
  <c r="E71" s="1"/>
  <c r="AD71" s="1"/>
  <c r="AM73"/>
  <c r="AP73" s="1"/>
  <c r="AQ73" s="1"/>
  <c r="AR73" s="1"/>
  <c r="E73" s="1"/>
  <c r="AD73" s="1"/>
  <c r="AM75"/>
  <c r="AP75" s="1"/>
  <c r="AQ75" s="1"/>
  <c r="AR75" s="1"/>
  <c r="E75" s="1"/>
  <c r="AD75" s="1"/>
  <c r="AM77"/>
  <c r="AP77" s="1"/>
  <c r="AQ77" s="1"/>
  <c r="AR77" s="1"/>
  <c r="E77" s="1"/>
  <c r="AD77" s="1"/>
  <c r="AM79"/>
  <c r="AP79" s="1"/>
  <c r="AQ79" s="1"/>
  <c r="AR79" s="1"/>
  <c r="E79" s="1"/>
  <c r="AD79" s="1"/>
  <c r="AM81"/>
  <c r="AP81" s="1"/>
  <c r="AQ81" s="1"/>
  <c r="AR81" s="1"/>
  <c r="E81" s="1"/>
  <c r="AD81" s="1"/>
  <c r="AM83"/>
  <c r="AP83" s="1"/>
  <c r="AQ83" s="1"/>
  <c r="AR83" s="1"/>
  <c r="E83" s="1"/>
  <c r="AD83" s="1"/>
  <c r="AM85"/>
  <c r="AP85" s="1"/>
  <c r="AQ85" s="1"/>
  <c r="AR85" s="1"/>
  <c r="E85" s="1"/>
  <c r="AD85" s="1"/>
  <c r="AM87"/>
  <c r="AP87" s="1"/>
  <c r="AQ87" s="1"/>
  <c r="AR87" s="1"/>
  <c r="E87" s="1"/>
  <c r="AD87" s="1"/>
  <c r="AM89"/>
  <c r="AP89" s="1"/>
  <c r="AQ89" s="1"/>
  <c r="AR89" s="1"/>
  <c r="E89" s="1"/>
  <c r="AD89" s="1"/>
  <c r="AL91"/>
  <c r="AO91" s="1"/>
  <c r="AQ91" s="1"/>
  <c r="AR91" s="1"/>
  <c r="E91" s="1"/>
  <c r="AD91" s="1"/>
  <c r="AQ92"/>
  <c r="AR92" s="1"/>
  <c r="E92" s="1"/>
  <c r="AD92" s="1"/>
  <c r="AQ96"/>
  <c r="AR96" s="1"/>
  <c r="E96" s="1"/>
  <c r="AD96" s="1"/>
  <c r="AQ100"/>
  <c r="AR100" s="1"/>
  <c r="E100" s="1"/>
  <c r="AD100" s="1"/>
  <c r="AQ104"/>
  <c r="AR104" s="1"/>
  <c r="E104" s="1"/>
  <c r="AD104" s="1"/>
  <c r="AQ112"/>
  <c r="AR112" s="1"/>
  <c r="E112" s="1"/>
  <c r="AD112" s="1"/>
  <c r="AQ116"/>
  <c r="AR116" s="1"/>
  <c r="E116" s="1"/>
  <c r="AD116" s="1"/>
  <c r="AQ120"/>
  <c r="AR120" s="1"/>
  <c r="E120" s="1"/>
  <c r="AD120" s="1"/>
  <c r="AQ124"/>
  <c r="AR124" s="1"/>
  <c r="E124" s="1"/>
  <c r="AD124" s="1"/>
  <c r="AQ128"/>
  <c r="AR128" s="1"/>
  <c r="E128" s="1"/>
  <c r="AD128" s="1"/>
  <c r="AQ132"/>
  <c r="AR132" s="1"/>
  <c r="E132" s="1"/>
  <c r="AD132" s="1"/>
  <c r="AQ136"/>
  <c r="AR136" s="1"/>
  <c r="E136" s="1"/>
  <c r="AD136" s="1"/>
  <c r="AQ140"/>
  <c r="AR140" s="1"/>
  <c r="E140" s="1"/>
  <c r="AD140" s="1"/>
  <c r="AL93"/>
  <c r="AO93" s="1"/>
  <c r="AQ93" s="1"/>
  <c r="AR93" s="1"/>
  <c r="E93" s="1"/>
  <c r="AD93" s="1"/>
  <c r="AL95"/>
  <c r="AO95" s="1"/>
  <c r="AQ95" s="1"/>
  <c r="AR95" s="1"/>
  <c r="E95" s="1"/>
  <c r="AD95" s="1"/>
  <c r="AL97"/>
  <c r="AO97" s="1"/>
  <c r="AQ97" s="1"/>
  <c r="AR97" s="1"/>
  <c r="E97" s="1"/>
  <c r="AD97" s="1"/>
  <c r="AL99"/>
  <c r="AO99" s="1"/>
  <c r="AQ99" s="1"/>
  <c r="AR99" s="1"/>
  <c r="E99" s="1"/>
  <c r="AD99" s="1"/>
  <c r="AL101"/>
  <c r="AO101" s="1"/>
  <c r="AQ101" s="1"/>
  <c r="AR101" s="1"/>
  <c r="E101" s="1"/>
  <c r="AD101" s="1"/>
  <c r="AL103"/>
  <c r="AO103" s="1"/>
  <c r="AQ103" s="1"/>
  <c r="AR103" s="1"/>
  <c r="E103" s="1"/>
  <c r="AD103" s="1"/>
  <c r="AL105"/>
  <c r="AO105" s="1"/>
  <c r="AQ105" s="1"/>
  <c r="AR105" s="1"/>
  <c r="E105" s="1"/>
  <c r="AD105" s="1"/>
  <c r="AL107"/>
  <c r="AO107" s="1"/>
  <c r="AQ107" s="1"/>
  <c r="AR107" s="1"/>
  <c r="E107" s="1"/>
  <c r="AD107" s="1"/>
  <c r="AL109"/>
  <c r="AO109" s="1"/>
  <c r="AQ109" s="1"/>
  <c r="AR109" s="1"/>
  <c r="E109" s="1"/>
  <c r="AD109" s="1"/>
  <c r="AL111"/>
  <c r="AO111" s="1"/>
  <c r="AQ111" s="1"/>
  <c r="AR111" s="1"/>
  <c r="E111" s="1"/>
  <c r="AD111" s="1"/>
  <c r="AL113"/>
  <c r="AO113" s="1"/>
  <c r="AQ113" s="1"/>
  <c r="AR113" s="1"/>
  <c r="E113" s="1"/>
  <c r="AD113" s="1"/>
  <c r="AL115"/>
  <c r="AO115" s="1"/>
  <c r="AQ115" s="1"/>
  <c r="AR115" s="1"/>
  <c r="E115" s="1"/>
  <c r="AD115" s="1"/>
  <c r="AL117"/>
  <c r="AO117" s="1"/>
  <c r="AQ117" s="1"/>
  <c r="AR117" s="1"/>
  <c r="E117" s="1"/>
  <c r="AD117" s="1"/>
  <c r="AL119"/>
  <c r="AO119" s="1"/>
  <c r="AQ119" s="1"/>
  <c r="AR119" s="1"/>
  <c r="E119" s="1"/>
  <c r="AD119" s="1"/>
  <c r="AL121"/>
  <c r="AO121" s="1"/>
  <c r="AQ121" s="1"/>
  <c r="AR121" s="1"/>
  <c r="E121" s="1"/>
  <c r="AD121" s="1"/>
  <c r="AL123"/>
  <c r="AO123" s="1"/>
  <c r="AQ123" s="1"/>
  <c r="AR123" s="1"/>
  <c r="E123" s="1"/>
  <c r="AD123" s="1"/>
  <c r="AL125"/>
  <c r="AO125" s="1"/>
  <c r="AQ125" s="1"/>
  <c r="AR125" s="1"/>
  <c r="E125" s="1"/>
  <c r="AD125" s="1"/>
  <c r="AL127"/>
  <c r="AO127" s="1"/>
  <c r="AQ127" s="1"/>
  <c r="AR127" s="1"/>
  <c r="E127" s="1"/>
  <c r="AD127" s="1"/>
  <c r="AL129"/>
  <c r="AO129" s="1"/>
  <c r="AQ129" s="1"/>
  <c r="AR129" s="1"/>
  <c r="E129" s="1"/>
  <c r="AD129" s="1"/>
  <c r="AL131"/>
  <c r="AO131" s="1"/>
  <c r="AQ131" s="1"/>
  <c r="AR131" s="1"/>
  <c r="E131" s="1"/>
  <c r="AD131" s="1"/>
  <c r="AL133"/>
  <c r="AO133" s="1"/>
  <c r="AQ133" s="1"/>
  <c r="AR133" s="1"/>
  <c r="E133" s="1"/>
  <c r="AD133" s="1"/>
  <c r="AL135"/>
  <c r="AO135" s="1"/>
  <c r="AQ135" s="1"/>
  <c r="AR135" s="1"/>
  <c r="E135" s="1"/>
  <c r="AD135" s="1"/>
  <c r="AL137"/>
  <c r="AO137" s="1"/>
  <c r="AQ137" s="1"/>
  <c r="AR137" s="1"/>
  <c r="E137" s="1"/>
  <c r="AD137" s="1"/>
  <c r="AL139"/>
  <c r="AO139" s="1"/>
  <c r="AQ139" s="1"/>
  <c r="AR139" s="1"/>
  <c r="E139" s="1"/>
  <c r="AD139" s="1"/>
  <c r="AL141"/>
  <c r="AO141" s="1"/>
  <c r="AQ141" s="1"/>
  <c r="AR141" s="1"/>
  <c r="AP128" i="29"/>
  <c r="AQ128"/>
  <c r="AR128" s="1"/>
  <c r="E128" s="1"/>
  <c r="AD128" s="1"/>
  <c r="AM123"/>
  <c r="AP123" s="1"/>
  <c r="AQ126"/>
  <c r="AR126" s="1"/>
  <c r="E126" s="1"/>
  <c r="AD126" s="1"/>
  <c r="AQ130"/>
  <c r="AR130" s="1"/>
  <c r="E130" s="1"/>
  <c r="AD130" s="1"/>
  <c r="AL125"/>
  <c r="AO125" s="1"/>
  <c r="AQ125" s="1"/>
  <c r="AR125" s="1"/>
  <c r="E125" s="1"/>
  <c r="AD125" s="1"/>
  <c r="AL127"/>
  <c r="AO127" s="1"/>
  <c r="AQ127" s="1"/>
  <c r="AR127" s="1"/>
  <c r="E127" s="1"/>
  <c r="AD127" s="1"/>
  <c r="AL129"/>
  <c r="AO129" s="1"/>
  <c r="AQ129" s="1"/>
  <c r="AR129" s="1"/>
  <c r="E129" s="1"/>
  <c r="AD129" s="1"/>
  <c r="AL131"/>
  <c r="AO131" s="1"/>
  <c r="AQ131" s="1"/>
  <c r="AR131" s="1"/>
  <c r="E131" s="1"/>
  <c r="AD131" s="1"/>
  <c r="AQ134"/>
  <c r="AR134" s="1"/>
  <c r="E134" s="1"/>
  <c r="AD134" s="1"/>
  <c r="AL133"/>
  <c r="AO133" s="1"/>
  <c r="AQ133" s="1"/>
  <c r="AR133" s="1"/>
  <c r="E133" s="1"/>
  <c r="AD133" s="1"/>
  <c r="AL135"/>
  <c r="AO135" s="1"/>
  <c r="AQ135" s="1"/>
  <c r="AR135" s="1"/>
  <c r="E135" s="1"/>
  <c r="AD135" s="1"/>
  <c r="AM136"/>
  <c r="AP136" s="1"/>
  <c r="AQ136" s="1"/>
  <c r="AR136" s="1"/>
  <c r="E136" s="1"/>
  <c r="AD136" s="1"/>
  <c r="AM137"/>
  <c r="AP137" s="1"/>
  <c r="AL137"/>
  <c r="AO137" s="1"/>
  <c r="AQ137" s="1"/>
  <c r="AR137" s="1"/>
  <c r="E137" s="1"/>
  <c r="AD137" s="1"/>
  <c r="AM118"/>
  <c r="AP118" s="1"/>
  <c r="AL100"/>
  <c r="AO100" s="1"/>
  <c r="AQ100" s="1"/>
  <c r="AR100" s="1"/>
  <c r="E100" s="1"/>
  <c r="AD100" s="1"/>
  <c r="AP114"/>
  <c r="AL80"/>
  <c r="AO80" s="1"/>
  <c r="AQ80" s="1"/>
  <c r="AR80" s="1"/>
  <c r="E80" s="1"/>
  <c r="AD80" s="1"/>
  <c r="I12" i="64"/>
  <c r="H93"/>
  <c r="J93" s="1"/>
  <c r="H92"/>
  <c r="J92" s="1"/>
  <c r="H23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J87" s="1"/>
  <c r="H89"/>
  <c r="J89" s="1"/>
  <c r="H91"/>
  <c r="J91" s="1"/>
  <c r="H22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H84"/>
  <c r="J84" s="1"/>
  <c r="H86"/>
  <c r="J86" s="1"/>
  <c r="H88"/>
  <c r="J88" s="1"/>
  <c r="H90"/>
  <c r="J90" s="1"/>
  <c r="H95"/>
  <c r="J95" s="1"/>
  <c r="H97"/>
  <c r="J97" s="1"/>
  <c r="H99"/>
  <c r="J99" s="1"/>
  <c r="H101"/>
  <c r="J101" s="1"/>
  <c r="H103"/>
  <c r="J103" s="1"/>
  <c r="H105"/>
  <c r="J105" s="1"/>
  <c r="H107"/>
  <c r="J107" s="1"/>
  <c r="H109"/>
  <c r="J109" s="1"/>
  <c r="H111"/>
  <c r="J111" s="1"/>
  <c r="H1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94"/>
  <c r="J94" s="1"/>
  <c r="H96"/>
  <c r="J96" s="1"/>
  <c r="H98"/>
  <c r="J98" s="1"/>
  <c r="H100"/>
  <c r="J100" s="1"/>
  <c r="H102"/>
  <c r="J102" s="1"/>
  <c r="H104"/>
  <c r="J104" s="1"/>
  <c r="H106"/>
  <c r="J106" s="1"/>
  <c r="H108"/>
  <c r="J108" s="1"/>
  <c r="H110"/>
  <c r="J110" s="1"/>
  <c r="H112"/>
  <c r="J112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AM112" i="29"/>
  <c r="AP112" s="1"/>
  <c r="AQ112" s="1"/>
  <c r="AR112" s="1"/>
  <c r="E112" s="1"/>
  <c r="AD112" s="1"/>
  <c r="AQ110"/>
  <c r="AR110" s="1"/>
  <c r="E110" s="1"/>
  <c r="AD110" s="1"/>
  <c r="AQ114"/>
  <c r="AR114" s="1"/>
  <c r="E114" s="1"/>
  <c r="AD114" s="1"/>
  <c r="AL107"/>
  <c r="AO107" s="1"/>
  <c r="AQ107" s="1"/>
  <c r="AR107" s="1"/>
  <c r="E107" s="1"/>
  <c r="AD107" s="1"/>
  <c r="AL109"/>
  <c r="AO109" s="1"/>
  <c r="AQ109" s="1"/>
  <c r="AR109" s="1"/>
  <c r="E109" s="1"/>
  <c r="AD109" s="1"/>
  <c r="AL111"/>
  <c r="AO111" s="1"/>
  <c r="AQ111" s="1"/>
  <c r="AR111" s="1"/>
  <c r="E111" s="1"/>
  <c r="AD111" s="1"/>
  <c r="AL113"/>
  <c r="AO113" s="1"/>
  <c r="AQ113" s="1"/>
  <c r="AR113" s="1"/>
  <c r="E113" s="1"/>
  <c r="AD113" s="1"/>
  <c r="AL115"/>
  <c r="AO115" s="1"/>
  <c r="AQ115" s="1"/>
  <c r="AR115" s="1"/>
  <c r="E115" s="1"/>
  <c r="AD115" s="1"/>
  <c r="AQ119"/>
  <c r="AR119" s="1"/>
  <c r="E119" s="1"/>
  <c r="AD119" s="1"/>
  <c r="AQ117"/>
  <c r="AR117" s="1"/>
  <c r="E117" s="1"/>
  <c r="AD117" s="1"/>
  <c r="AL116"/>
  <c r="AO116" s="1"/>
  <c r="AQ116" s="1"/>
  <c r="AR116" s="1"/>
  <c r="E116" s="1"/>
  <c r="AD116" s="1"/>
  <c r="AL118"/>
  <c r="AO118" s="1"/>
  <c r="AL120"/>
  <c r="AO120" s="1"/>
  <c r="AQ120" s="1"/>
  <c r="AR120" s="1"/>
  <c r="E120" s="1"/>
  <c r="AD120" s="1"/>
  <c r="AM106"/>
  <c r="AP106" s="1"/>
  <c r="AQ106" s="1"/>
  <c r="AR106" s="1"/>
  <c r="E106" s="1"/>
  <c r="AD106" s="1"/>
  <c r="AD101"/>
  <c r="AM98"/>
  <c r="AP98" s="1"/>
  <c r="AQ98" s="1"/>
  <c r="AR98" s="1"/>
  <c r="E98" s="1"/>
  <c r="AD98" s="1"/>
  <c r="AP96"/>
  <c r="AQ96"/>
  <c r="AR96" s="1"/>
  <c r="E96" s="1"/>
  <c r="AD96" s="1"/>
  <c r="AQ103"/>
  <c r="AR103" s="1"/>
  <c r="E103" s="1"/>
  <c r="AD103" s="1"/>
  <c r="AL99"/>
  <c r="AO99" s="1"/>
  <c r="AQ99" s="1"/>
  <c r="AR99" s="1"/>
  <c r="E99" s="1"/>
  <c r="AD99" s="1"/>
  <c r="AM91"/>
  <c r="AP91" s="1"/>
  <c r="AM93"/>
  <c r="AP93" s="1"/>
  <c r="AM94"/>
  <c r="AP94" s="1"/>
  <c r="AM138"/>
  <c r="AP138" s="1"/>
  <c r="AM104"/>
  <c r="AP104" s="1"/>
  <c r="AQ104" s="1"/>
  <c r="AR104" s="1"/>
  <c r="E104" s="1"/>
  <c r="AD104" s="1"/>
  <c r="AM105"/>
  <c r="AP105" s="1"/>
  <c r="AM95"/>
  <c r="AP95" s="1"/>
  <c r="AQ95" s="1"/>
  <c r="AR95" s="1"/>
  <c r="E95" s="1"/>
  <c r="AD95" s="1"/>
  <c r="AM97"/>
  <c r="AP97" s="1"/>
  <c r="AQ97" s="1"/>
  <c r="AR97" s="1"/>
  <c r="E97" s="1"/>
  <c r="AD97" s="1"/>
  <c r="AM102"/>
  <c r="AP102" s="1"/>
  <c r="AQ102" s="1"/>
  <c r="AR102" s="1"/>
  <c r="E102" s="1"/>
  <c r="AD102" s="1"/>
  <c r="AL105"/>
  <c r="AO105" s="1"/>
  <c r="AL121"/>
  <c r="AO121" s="1"/>
  <c r="AQ121" s="1"/>
  <c r="AR121" s="1"/>
  <c r="E121" s="1"/>
  <c r="AD121" s="1"/>
  <c r="AM92"/>
  <c r="AP92" s="1"/>
  <c r="AQ93"/>
  <c r="AR93" s="1"/>
  <c r="E93" s="1"/>
  <c r="AD93" s="1"/>
  <c r="AM122"/>
  <c r="AP122" s="1"/>
  <c r="AQ122" s="1"/>
  <c r="AR122" s="1"/>
  <c r="E122" s="1"/>
  <c r="AD122" s="1"/>
  <c r="AL123"/>
  <c r="AO123" s="1"/>
  <c r="AQ123" s="1"/>
  <c r="AR123" s="1"/>
  <c r="E123" s="1"/>
  <c r="AD123" s="1"/>
  <c r="AL138"/>
  <c r="AO138" s="1"/>
  <c r="AQ138" s="1"/>
  <c r="AR138" s="1"/>
  <c r="E138" s="1"/>
  <c r="AD138" s="1"/>
  <c r="AP87"/>
  <c r="AD84"/>
  <c r="AM83"/>
  <c r="AP83" s="1"/>
  <c r="AQ91"/>
  <c r="AR91" s="1"/>
  <c r="E91" s="1"/>
  <c r="AD91" s="1"/>
  <c r="AL92"/>
  <c r="AO92" s="1"/>
  <c r="AQ92" s="1"/>
  <c r="AR92" s="1"/>
  <c r="E92" s="1"/>
  <c r="AD92" s="1"/>
  <c r="AL94"/>
  <c r="AO94" s="1"/>
  <c r="AM88"/>
  <c r="AP88" s="1"/>
  <c r="AM89"/>
  <c r="AP89" s="1"/>
  <c r="AM90"/>
  <c r="AP90" s="1"/>
  <c r="AM139"/>
  <c r="AP139" s="1"/>
  <c r="AQ86"/>
  <c r="AR86" s="1"/>
  <c r="E86" s="1"/>
  <c r="AD86" s="1"/>
  <c r="AL83"/>
  <c r="AO83" s="1"/>
  <c r="AL85"/>
  <c r="AO85" s="1"/>
  <c r="AQ85" s="1"/>
  <c r="AR85" s="1"/>
  <c r="E85" s="1"/>
  <c r="AD85" s="1"/>
  <c r="AL139"/>
  <c r="AO139" s="1"/>
  <c r="AQ139" s="1"/>
  <c r="AR139" s="1"/>
  <c r="E139" s="1"/>
  <c r="AD139" s="1"/>
  <c r="AL90"/>
  <c r="AO90" s="1"/>
  <c r="AQ90" s="1"/>
  <c r="AR90" s="1"/>
  <c r="E90" s="1"/>
  <c r="AD90" s="1"/>
  <c r="AL89"/>
  <c r="AO89" s="1"/>
  <c r="AQ89" s="1"/>
  <c r="AR89" s="1"/>
  <c r="E89" s="1"/>
  <c r="AD89" s="1"/>
  <c r="AL88"/>
  <c r="AO88" s="1"/>
  <c r="AM55"/>
  <c r="AP55" s="1"/>
  <c r="AM54"/>
  <c r="AP54" s="1"/>
  <c r="AM65"/>
  <c r="AP65" s="1"/>
  <c r="AM64"/>
  <c r="AP64" s="1"/>
  <c r="AM58"/>
  <c r="AM78"/>
  <c r="AP78" s="1"/>
  <c r="AM79"/>
  <c r="AP79" s="1"/>
  <c r="AX55"/>
  <c r="AY55" s="1"/>
  <c r="AM63"/>
  <c r="AP63" s="1"/>
  <c r="AX62"/>
  <c r="AY62" s="1"/>
  <c r="AM57"/>
  <c r="AP57" s="1"/>
  <c r="AX76"/>
  <c r="AY76" s="1"/>
  <c r="AM75"/>
  <c r="AP75" s="1"/>
  <c r="AX68"/>
  <c r="AY68" s="1"/>
  <c r="AM67"/>
  <c r="AP67" s="1"/>
  <c r="AM82"/>
  <c r="AP82" s="1"/>
  <c r="AM77"/>
  <c r="AP77" s="1"/>
  <c r="AM72"/>
  <c r="AP72" s="1"/>
  <c r="AX70"/>
  <c r="AY70" s="1"/>
  <c r="AM68"/>
  <c r="AP68" s="1"/>
  <c r="AQ78"/>
  <c r="AR78" s="1"/>
  <c r="E78" s="1"/>
  <c r="AD78" s="1"/>
  <c r="AL77"/>
  <c r="AO77" s="1"/>
  <c r="AQ77" s="1"/>
  <c r="AR77" s="1"/>
  <c r="E77" s="1"/>
  <c r="AD77" s="1"/>
  <c r="AL79"/>
  <c r="AO79" s="1"/>
  <c r="AQ79" s="1"/>
  <c r="AR79" s="1"/>
  <c r="E79" s="1"/>
  <c r="AD79" s="1"/>
  <c r="AL82"/>
  <c r="AO82" s="1"/>
  <c r="AQ82" s="1"/>
  <c r="AR82" s="1"/>
  <c r="E82" s="1"/>
  <c r="AD82" s="1"/>
  <c r="D8" i="60"/>
  <c r="E21" s="1"/>
  <c r="F9"/>
  <c r="C24"/>
  <c r="Q8" i="58"/>
  <c r="Q8" i="59"/>
  <c r="K3"/>
  <c r="N3" s="1"/>
  <c r="M9"/>
  <c r="Q9" s="1"/>
  <c r="D8"/>
  <c r="E21" s="1"/>
  <c r="E39" i="58"/>
  <c r="G21"/>
  <c r="K20"/>
  <c r="M20" s="1"/>
  <c r="G16"/>
  <c r="K9"/>
  <c r="E31"/>
  <c r="K3"/>
  <c r="N3" s="1"/>
  <c r="M9"/>
  <c r="Q9" s="1"/>
  <c r="F17"/>
  <c r="E12"/>
  <c r="F13"/>
  <c r="N3" i="56"/>
  <c r="D8"/>
  <c r="E21" s="1"/>
  <c r="F9"/>
  <c r="C24"/>
  <c r="Q8" i="54"/>
  <c r="K3"/>
  <c r="N3" s="1"/>
  <c r="M9"/>
  <c r="Q9" s="1"/>
  <c r="D8"/>
  <c r="E21" s="1"/>
  <c r="AM69" i="29"/>
  <c r="AP69" s="1"/>
  <c r="AL67"/>
  <c r="AO67" s="1"/>
  <c r="AQ67" s="1"/>
  <c r="AR67" s="1"/>
  <c r="E67" s="1"/>
  <c r="AD67" s="1"/>
  <c r="AL68"/>
  <c r="AO68" s="1"/>
  <c r="AQ68" s="1"/>
  <c r="AR68" s="1"/>
  <c r="E68" s="1"/>
  <c r="AD68" s="1"/>
  <c r="AL69"/>
  <c r="AO69" s="1"/>
  <c r="AL70"/>
  <c r="AO70" s="1"/>
  <c r="AQ70" s="1"/>
  <c r="AR70" s="1"/>
  <c r="E70" s="1"/>
  <c r="AD70" s="1"/>
  <c r="AL71"/>
  <c r="AO71" s="1"/>
  <c r="AQ71" s="1"/>
  <c r="AR71" s="1"/>
  <c r="E71" s="1"/>
  <c r="AD71" s="1"/>
  <c r="AL72"/>
  <c r="AO72" s="1"/>
  <c r="AQ72" s="1"/>
  <c r="AR72" s="1"/>
  <c r="AL73"/>
  <c r="AO73" s="1"/>
  <c r="AQ73" s="1"/>
  <c r="AR73" s="1"/>
  <c r="AL74"/>
  <c r="AO74" s="1"/>
  <c r="AQ74" s="1"/>
  <c r="AR74" s="1"/>
  <c r="E74" s="1"/>
  <c r="AD74" s="1"/>
  <c r="AL75"/>
  <c r="AO75" s="1"/>
  <c r="AQ75" s="1"/>
  <c r="AR75" s="1"/>
  <c r="E75" s="1"/>
  <c r="AD75" s="1"/>
  <c r="AL76"/>
  <c r="AO76" s="1"/>
  <c r="AQ76" s="1"/>
  <c r="AR76" s="1"/>
  <c r="E76" s="1"/>
  <c r="AD76" s="1"/>
  <c r="AL81"/>
  <c r="AO81" s="1"/>
  <c r="AQ81" s="1"/>
  <c r="AR81" s="1"/>
  <c r="E81" s="1"/>
  <c r="AD81" s="1"/>
  <c r="AL87"/>
  <c r="AO87" s="1"/>
  <c r="AQ87" s="1"/>
  <c r="AR87" s="1"/>
  <c r="E87" s="1"/>
  <c r="AD87" s="1"/>
  <c r="AM59"/>
  <c r="AP59" s="1"/>
  <c r="AP58"/>
  <c r="AL57"/>
  <c r="AO57" s="1"/>
  <c r="AQ57" s="1"/>
  <c r="AR57" s="1"/>
  <c r="E57" s="1"/>
  <c r="AD57" s="1"/>
  <c r="AL58"/>
  <c r="AO58" s="1"/>
  <c r="AL59"/>
  <c r="AO59" s="1"/>
  <c r="AQ59" s="1"/>
  <c r="AR59" s="1"/>
  <c r="E59" s="1"/>
  <c r="AD59" s="1"/>
  <c r="AL60"/>
  <c r="AO60" s="1"/>
  <c r="AQ60" s="1"/>
  <c r="AR60" s="1"/>
  <c r="E60" s="1"/>
  <c r="AD60" s="1"/>
  <c r="AL61"/>
  <c r="AO61" s="1"/>
  <c r="AQ61" s="1"/>
  <c r="AR61" s="1"/>
  <c r="E61" s="1"/>
  <c r="AD61" s="1"/>
  <c r="AL62"/>
  <c r="AO62" s="1"/>
  <c r="AQ62" s="1"/>
  <c r="AR62" s="1"/>
  <c r="E62" s="1"/>
  <c r="AD62" s="1"/>
  <c r="AL63"/>
  <c r="AO63" s="1"/>
  <c r="AQ63" s="1"/>
  <c r="AR63" s="1"/>
  <c r="E63" s="1"/>
  <c r="AD63" s="1"/>
  <c r="AL64"/>
  <c r="AO64" s="1"/>
  <c r="AQ64" s="1"/>
  <c r="AR64" s="1"/>
  <c r="E64" s="1"/>
  <c r="AD64" s="1"/>
  <c r="AL65"/>
  <c r="AO65" s="1"/>
  <c r="AQ65" s="1"/>
  <c r="AR65" s="1"/>
  <c r="E65" s="1"/>
  <c r="AD65" s="1"/>
  <c r="AM56"/>
  <c r="AP56" s="1"/>
  <c r="AP52"/>
  <c r="AL54"/>
  <c r="AO54" s="1"/>
  <c r="AQ54" s="1"/>
  <c r="AR54" s="1"/>
  <c r="E54" s="1"/>
  <c r="AD54" s="1"/>
  <c r="AL55"/>
  <c r="AO55" s="1"/>
  <c r="AQ55" s="1"/>
  <c r="AR55" s="1"/>
  <c r="E55" s="1"/>
  <c r="AD55" s="1"/>
  <c r="AL56"/>
  <c r="AO56" s="1"/>
  <c r="AL52"/>
  <c r="AO52" s="1"/>
  <c r="AQ52" s="1"/>
  <c r="AR52" s="1"/>
  <c r="E52" s="1"/>
  <c r="AD52" s="1"/>
  <c r="E41" i="67" l="1"/>
  <c r="E43" s="1"/>
  <c r="H43" s="1"/>
  <c r="J41"/>
  <c r="E25"/>
  <c r="G12"/>
  <c r="K8"/>
  <c r="E33"/>
  <c r="E35" s="1"/>
  <c r="H35" s="1"/>
  <c r="J33"/>
  <c r="E12" i="66"/>
  <c r="E39"/>
  <c r="G21"/>
  <c r="K20"/>
  <c r="M20" s="1"/>
  <c r="E16"/>
  <c r="F22"/>
  <c r="AQ118" i="29"/>
  <c r="AR118" s="1"/>
  <c r="E118" s="1"/>
  <c r="AD118" s="1"/>
  <c r="J82" i="64"/>
  <c r="J15"/>
  <c r="J17" s="1"/>
  <c r="M17" s="1"/>
  <c r="AQ105" i="29"/>
  <c r="AR105" s="1"/>
  <c r="E105" s="1"/>
  <c r="AD105" s="1"/>
  <c r="AQ94"/>
  <c r="AR94" s="1"/>
  <c r="E94" s="1"/>
  <c r="AD94" s="1"/>
  <c r="AQ88"/>
  <c r="AR88" s="1"/>
  <c r="E88" s="1"/>
  <c r="AD88" s="1"/>
  <c r="AQ83"/>
  <c r="AR83" s="1"/>
  <c r="E83" s="1"/>
  <c r="AD83" s="1"/>
  <c r="E12" i="60"/>
  <c r="E16"/>
  <c r="M9"/>
  <c r="Q9" s="1"/>
  <c r="M8"/>
  <c r="Q8" s="1"/>
  <c r="E39"/>
  <c r="G21"/>
  <c r="K20"/>
  <c r="M20" s="1"/>
  <c r="F22"/>
  <c r="E73" i="29"/>
  <c r="AD73" s="1"/>
  <c r="E72"/>
  <c r="AD72" s="1"/>
  <c r="E39" i="59"/>
  <c r="G21"/>
  <c r="K20"/>
  <c r="M20" s="1"/>
  <c r="E16"/>
  <c r="F22"/>
  <c r="E12"/>
  <c r="E41" i="58"/>
  <c r="E43" s="1"/>
  <c r="H43" s="1"/>
  <c r="J41"/>
  <c r="E25"/>
  <c r="G12"/>
  <c r="K8"/>
  <c r="E33"/>
  <c r="E35" s="1"/>
  <c r="H35" s="1"/>
  <c r="J33"/>
  <c r="E12" i="56"/>
  <c r="E16"/>
  <c r="M9"/>
  <c r="Q9" s="1"/>
  <c r="M8"/>
  <c r="Q8" s="1"/>
  <c r="E39"/>
  <c r="G21"/>
  <c r="K20"/>
  <c r="M20" s="1"/>
  <c r="F22"/>
  <c r="E39" i="54"/>
  <c r="G21"/>
  <c r="K20"/>
  <c r="M20" s="1"/>
  <c r="E16"/>
  <c r="F22"/>
  <c r="E12"/>
  <c r="AQ69" i="29"/>
  <c r="AR69" s="1"/>
  <c r="E69" s="1"/>
  <c r="AD69" s="1"/>
  <c r="AQ58"/>
  <c r="AR58" s="1"/>
  <c r="E58" s="1"/>
  <c r="AD58" s="1"/>
  <c r="AQ56"/>
  <c r="AR56" s="1"/>
  <c r="E56" s="1"/>
  <c r="AD56" s="1"/>
  <c r="AW51"/>
  <c r="AX51" s="1"/>
  <c r="AY51" s="1"/>
  <c r="AV51"/>
  <c r="AT51"/>
  <c r="AS51"/>
  <c r="AN51"/>
  <c r="AK51"/>
  <c r="AJ51"/>
  <c r="AM51" s="1"/>
  <c r="AP51" s="1"/>
  <c r="AW50"/>
  <c r="AX50" s="1"/>
  <c r="AY50" s="1"/>
  <c r="AV50"/>
  <c r="AT50"/>
  <c r="AS50"/>
  <c r="AN50"/>
  <c r="AK50"/>
  <c r="AJ50"/>
  <c r="AW49"/>
  <c r="AX49" s="1"/>
  <c r="AY49" s="1"/>
  <c r="AV49"/>
  <c r="AT49"/>
  <c r="AS49"/>
  <c r="AN49"/>
  <c r="AK49"/>
  <c r="AJ49"/>
  <c r="AW46"/>
  <c r="AV46"/>
  <c r="AT46"/>
  <c r="AS46"/>
  <c r="AN46"/>
  <c r="AK46"/>
  <c r="AJ46"/>
  <c r="AW47"/>
  <c r="AV47"/>
  <c r="AT47"/>
  <c r="AS47"/>
  <c r="AN47"/>
  <c r="AK47"/>
  <c r="AJ47"/>
  <c r="AW48"/>
  <c r="AX48" s="1"/>
  <c r="AY48" s="1"/>
  <c r="AV48"/>
  <c r="AT48"/>
  <c r="AS48"/>
  <c r="AN48"/>
  <c r="AK48"/>
  <c r="AJ48"/>
  <c r="AX53"/>
  <c r="AY53" s="1"/>
  <c r="AW53"/>
  <c r="AV53"/>
  <c r="AT53"/>
  <c r="AS53"/>
  <c r="AN53"/>
  <c r="AK53"/>
  <c r="AJ53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66"/>
  <c r="AT140"/>
  <c r="AT141"/>
  <c r="AT5"/>
  <c r="AW43"/>
  <c r="AV43"/>
  <c r="AS43"/>
  <c r="AN43"/>
  <c r="AK43"/>
  <c r="AJ43"/>
  <c r="AW42"/>
  <c r="AV42"/>
  <c r="AS42"/>
  <c r="AN42"/>
  <c r="AK42"/>
  <c r="AJ42"/>
  <c r="AM42" s="1"/>
  <c r="AP42" s="1"/>
  <c r="AW41"/>
  <c r="AV41"/>
  <c r="AS41"/>
  <c r="AN41"/>
  <c r="AK41"/>
  <c r="AJ41"/>
  <c r="AW40"/>
  <c r="AV40"/>
  <c r="AS40"/>
  <c r="AN40"/>
  <c r="AK40"/>
  <c r="AJ40"/>
  <c r="J27" i="67" l="1"/>
  <c r="E27"/>
  <c r="E29" s="1"/>
  <c r="H29" s="1"/>
  <c r="G16" i="66"/>
  <c r="K9"/>
  <c r="E31"/>
  <c r="F17"/>
  <c r="E25"/>
  <c r="G12"/>
  <c r="K8"/>
  <c r="F13"/>
  <c r="E41"/>
  <c r="E43" s="1"/>
  <c r="H43" s="1"/>
  <c r="J41"/>
  <c r="AX42" i="29"/>
  <c r="AY42" s="1"/>
  <c r="AM53"/>
  <c r="AP53" s="1"/>
  <c r="AX47"/>
  <c r="AY47" s="1"/>
  <c r="AX46"/>
  <c r="AY46" s="1"/>
  <c r="AX40"/>
  <c r="AY40" s="1"/>
  <c r="AM41"/>
  <c r="AP41" s="1"/>
  <c r="AX41"/>
  <c r="AY41" s="1"/>
  <c r="AM43"/>
  <c r="AP43" s="1"/>
  <c r="AX43"/>
  <c r="AY43" s="1"/>
  <c r="AM46"/>
  <c r="AP46" s="1"/>
  <c r="AM49"/>
  <c r="AP49" s="1"/>
  <c r="AM50"/>
  <c r="AP50" s="1"/>
  <c r="E41" i="60"/>
  <c r="E43" s="1"/>
  <c r="H43" s="1"/>
  <c r="J41"/>
  <c r="E25"/>
  <c r="K8"/>
  <c r="G12"/>
  <c r="F13"/>
  <c r="G16"/>
  <c r="K9"/>
  <c r="E31"/>
  <c r="F17"/>
  <c r="E41" i="59"/>
  <c r="E43" s="1"/>
  <c r="H43" s="1"/>
  <c r="J41"/>
  <c r="E25"/>
  <c r="G12"/>
  <c r="K8"/>
  <c r="F13"/>
  <c r="G16"/>
  <c r="K9"/>
  <c r="E31"/>
  <c r="F17"/>
  <c r="J27" i="58"/>
  <c r="E27"/>
  <c r="E29" s="1"/>
  <c r="H29" s="1"/>
  <c r="E41" i="56"/>
  <c r="E43" s="1"/>
  <c r="H43" s="1"/>
  <c r="J41"/>
  <c r="E25"/>
  <c r="K8"/>
  <c r="G12"/>
  <c r="F13"/>
  <c r="G16"/>
  <c r="K9"/>
  <c r="E31"/>
  <c r="F17"/>
  <c r="E41" i="54"/>
  <c r="E43" s="1"/>
  <c r="H43" s="1"/>
  <c r="J41"/>
  <c r="E25"/>
  <c r="G12"/>
  <c r="K8"/>
  <c r="F13"/>
  <c r="G16"/>
  <c r="K9"/>
  <c r="E31"/>
  <c r="F17"/>
  <c r="AM48" i="29"/>
  <c r="AP48" s="1"/>
  <c r="AM47"/>
  <c r="AP47" s="1"/>
  <c r="AL51"/>
  <c r="AO51" s="1"/>
  <c r="AQ51" s="1"/>
  <c r="AR51" s="1"/>
  <c r="E51" s="1"/>
  <c r="AD51" s="1"/>
  <c r="AL50"/>
  <c r="AO50" s="1"/>
  <c r="AQ50" s="1"/>
  <c r="AR50" s="1"/>
  <c r="E50" s="1"/>
  <c r="AD50" s="1"/>
  <c r="AL49"/>
  <c r="AO49" s="1"/>
  <c r="AQ49" s="1"/>
  <c r="AR49" s="1"/>
  <c r="E49" s="1"/>
  <c r="AD49" s="1"/>
  <c r="AL46"/>
  <c r="AO46" s="1"/>
  <c r="AQ46" s="1"/>
  <c r="AR46" s="1"/>
  <c r="E46" s="1"/>
  <c r="AD46" s="1"/>
  <c r="AL47"/>
  <c r="AO47" s="1"/>
  <c r="AL48"/>
  <c r="AO48" s="1"/>
  <c r="AL53"/>
  <c r="AO53" s="1"/>
  <c r="AQ53" s="1"/>
  <c r="AR53" s="1"/>
  <c r="E53" s="1"/>
  <c r="AD53" s="1"/>
  <c r="AM40"/>
  <c r="AP40" s="1"/>
  <c r="AL43"/>
  <c r="AO43" s="1"/>
  <c r="AQ43" s="1"/>
  <c r="AR43" s="1"/>
  <c r="E43" s="1"/>
  <c r="AD43" s="1"/>
  <c r="AL42"/>
  <c r="AO42" s="1"/>
  <c r="AQ42" s="1"/>
  <c r="AR42" s="1"/>
  <c r="E42" s="1"/>
  <c r="AD42" s="1"/>
  <c r="AL41"/>
  <c r="AO41" s="1"/>
  <c r="AQ41" s="1"/>
  <c r="AR41" s="1"/>
  <c r="E41" s="1"/>
  <c r="AD41" s="1"/>
  <c r="AL40"/>
  <c r="AO40" s="1"/>
  <c r="AW66"/>
  <c r="AX66" s="1"/>
  <c r="AY66" s="1"/>
  <c r="AV66"/>
  <c r="AS66"/>
  <c r="AN66"/>
  <c r="AK66"/>
  <c r="AJ66"/>
  <c r="AW45"/>
  <c r="AV45"/>
  <c r="AS45"/>
  <c r="AN45"/>
  <c r="AK45"/>
  <c r="AJ45"/>
  <c r="AW44"/>
  <c r="AX44" s="1"/>
  <c r="AY44" s="1"/>
  <c r="AV44"/>
  <c r="AS44"/>
  <c r="AN44"/>
  <c r="AK44"/>
  <c r="AJ44"/>
  <c r="AM44" s="1"/>
  <c r="AP44" s="1"/>
  <c r="AW39"/>
  <c r="AV39"/>
  <c r="AS39"/>
  <c r="AN39"/>
  <c r="AK39"/>
  <c r="AJ39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140"/>
  <c r="AS141"/>
  <c r="AS5"/>
  <c r="AW37"/>
  <c r="AX37" s="1"/>
  <c r="AY37" s="1"/>
  <c r="AV37"/>
  <c r="AN37"/>
  <c r="AK37"/>
  <c r="AJ37"/>
  <c r="AW36"/>
  <c r="AV36"/>
  <c r="AN36"/>
  <c r="AK36"/>
  <c r="AJ36"/>
  <c r="AW35"/>
  <c r="AX35" s="1"/>
  <c r="AY35" s="1"/>
  <c r="AV35"/>
  <c r="AN35"/>
  <c r="AK35"/>
  <c r="AJ35"/>
  <c r="AM35" s="1"/>
  <c r="AP35" s="1"/>
  <c r="AW34"/>
  <c r="AV34"/>
  <c r="AN34"/>
  <c r="AK34"/>
  <c r="AJ34"/>
  <c r="AW33"/>
  <c r="AX33" s="1"/>
  <c r="AY33" s="1"/>
  <c r="AV33"/>
  <c r="AN33"/>
  <c r="AK33"/>
  <c r="AJ33"/>
  <c r="AM33" s="1"/>
  <c r="AP33" s="1"/>
  <c r="AW32"/>
  <c r="AV32"/>
  <c r="AN32"/>
  <c r="AK32"/>
  <c r="AM32" s="1"/>
  <c r="AP32" s="1"/>
  <c r="AJ32"/>
  <c r="AL32" s="1"/>
  <c r="AO32" s="1"/>
  <c r="Q9" i="35"/>
  <c r="P9"/>
  <c r="Q8"/>
  <c r="P8"/>
  <c r="Q7"/>
  <c r="P7"/>
  <c r="Q6"/>
  <c r="P6"/>
  <c r="Q5"/>
  <c r="P5"/>
  <c r="Q4"/>
  <c r="P4"/>
  <c r="Q3"/>
  <c r="P3"/>
  <c r="Q2"/>
  <c r="P2"/>
  <c r="J27" i="66" l="1"/>
  <c r="E27"/>
  <c r="E29" s="1"/>
  <c r="H29" s="1"/>
  <c r="E33"/>
  <c r="E35" s="1"/>
  <c r="H35" s="1"/>
  <c r="J33"/>
  <c r="AX32" i="29"/>
  <c r="AY32" s="1"/>
  <c r="AX34"/>
  <c r="AY34" s="1"/>
  <c r="AM36"/>
  <c r="AP36" s="1"/>
  <c r="AX36"/>
  <c r="AY36" s="1"/>
  <c r="AM39"/>
  <c r="AP39" s="1"/>
  <c r="AX39"/>
  <c r="AY39" s="1"/>
  <c r="AM45"/>
  <c r="AP45" s="1"/>
  <c r="AX45"/>
  <c r="AY45" s="1"/>
  <c r="E33" i="60"/>
  <c r="E35" s="1"/>
  <c r="H35" s="1"/>
  <c r="J33"/>
  <c r="J27"/>
  <c r="E27"/>
  <c r="E29" s="1"/>
  <c r="H29" s="1"/>
  <c r="E33" i="59"/>
  <c r="E35" s="1"/>
  <c r="H35" s="1"/>
  <c r="J33"/>
  <c r="J27"/>
  <c r="E27"/>
  <c r="E29" s="1"/>
  <c r="H29" s="1"/>
  <c r="E33" i="56"/>
  <c r="E35" s="1"/>
  <c r="H35" s="1"/>
  <c r="J33"/>
  <c r="J27"/>
  <c r="E27"/>
  <c r="E29" s="1"/>
  <c r="H29" s="1"/>
  <c r="E33" i="54"/>
  <c r="H35" s="1"/>
  <c r="J33"/>
  <c r="J27"/>
  <c r="E27"/>
  <c r="E29" s="1"/>
  <c r="H29" s="1"/>
  <c r="AM66" i="29"/>
  <c r="AP66" s="1"/>
  <c r="AQ48"/>
  <c r="AR48" s="1"/>
  <c r="E48" s="1"/>
  <c r="AD48" s="1"/>
  <c r="AQ47"/>
  <c r="AR47" s="1"/>
  <c r="AQ40"/>
  <c r="AR40" s="1"/>
  <c r="E40" s="1"/>
  <c r="AD40" s="1"/>
  <c r="AL66"/>
  <c r="AO66" s="1"/>
  <c r="AL45"/>
  <c r="AO45" s="1"/>
  <c r="AQ45" s="1"/>
  <c r="AR45" s="1"/>
  <c r="E45" s="1"/>
  <c r="AD45" s="1"/>
  <c r="AL44"/>
  <c r="AO44" s="1"/>
  <c r="AQ44" s="1"/>
  <c r="AR44" s="1"/>
  <c r="E44" s="1"/>
  <c r="AD44" s="1"/>
  <c r="AL39"/>
  <c r="AO39" s="1"/>
  <c r="AQ39" s="1"/>
  <c r="AR39" s="1"/>
  <c r="E39" s="1"/>
  <c r="AD39" s="1"/>
  <c r="AM37"/>
  <c r="AP37" s="1"/>
  <c r="AM34"/>
  <c r="AP34" s="1"/>
  <c r="AL37"/>
  <c r="AO37" s="1"/>
  <c r="AL36"/>
  <c r="AO36" s="1"/>
  <c r="AQ36" s="1"/>
  <c r="AR36" s="1"/>
  <c r="E36" s="1"/>
  <c r="AD36" s="1"/>
  <c r="AL35"/>
  <c r="AO35" s="1"/>
  <c r="AQ35" s="1"/>
  <c r="AR35" s="1"/>
  <c r="E35" s="1"/>
  <c r="AD35" s="1"/>
  <c r="AL34"/>
  <c r="AO34" s="1"/>
  <c r="AL33"/>
  <c r="AO33" s="1"/>
  <c r="AQ33" s="1"/>
  <c r="AR33" s="1"/>
  <c r="E33" s="1"/>
  <c r="AD33" s="1"/>
  <c r="AQ32"/>
  <c r="AR32" s="1"/>
  <c r="E32" s="1"/>
  <c r="AD32" s="1"/>
  <c r="AW38"/>
  <c r="AV38"/>
  <c r="AN38"/>
  <c r="AK38"/>
  <c r="AJ38"/>
  <c r="AW31"/>
  <c r="AV31"/>
  <c r="AN31"/>
  <c r="AK31"/>
  <c r="AJ31"/>
  <c r="AM31" l="1"/>
  <c r="AP31" s="1"/>
  <c r="AX31"/>
  <c r="AY31" s="1"/>
  <c r="AM38"/>
  <c r="AP38" s="1"/>
  <c r="AX38"/>
  <c r="AY38" s="1"/>
  <c r="AQ66"/>
  <c r="AR66" s="1"/>
  <c r="E66" s="1"/>
  <c r="AD66" s="1"/>
  <c r="E47"/>
  <c r="AD47" s="1"/>
  <c r="AQ37"/>
  <c r="AR37" s="1"/>
  <c r="E37" s="1"/>
  <c r="AD37" s="1"/>
  <c r="AQ34"/>
  <c r="AR34" s="1"/>
  <c r="E34" s="1"/>
  <c r="AD34" s="1"/>
  <c r="AL38"/>
  <c r="AO38" s="1"/>
  <c r="AQ38" s="1"/>
  <c r="AR38" s="1"/>
  <c r="E38" s="1"/>
  <c r="AD38" s="1"/>
  <c r="AL31"/>
  <c r="AO31" s="1"/>
  <c r="AQ31" s="1"/>
  <c r="AR31" s="1"/>
  <c r="E31" s="1"/>
  <c r="AD31" s="1"/>
  <c r="D7" i="32"/>
  <c r="T29" i="33"/>
  <c r="T28"/>
  <c r="T27"/>
  <c r="T26"/>
  <c r="T25"/>
  <c r="T24"/>
  <c r="P24"/>
  <c r="T23"/>
  <c r="P23"/>
  <c r="T22"/>
  <c r="P22"/>
  <c r="T21"/>
  <c r="P21"/>
  <c r="U15"/>
  <c r="T15"/>
  <c r="P15"/>
  <c r="U14"/>
  <c r="T14"/>
  <c r="P14"/>
  <c r="U13"/>
  <c r="T13"/>
  <c r="P13"/>
  <c r="E13"/>
  <c r="E15" s="1"/>
  <c r="E17" s="1"/>
  <c r="H17" s="1"/>
  <c r="U12"/>
  <c r="T12"/>
  <c r="P12"/>
  <c r="U11"/>
  <c r="T11"/>
  <c r="P11"/>
  <c r="U10"/>
  <c r="T10"/>
  <c r="P10"/>
  <c r="U9"/>
  <c r="T9"/>
  <c r="P9"/>
  <c r="U8"/>
  <c r="T8"/>
  <c r="P8"/>
  <c r="U7"/>
  <c r="T7"/>
  <c r="P7"/>
  <c r="U6"/>
  <c r="T6"/>
  <c r="P6"/>
  <c r="O18" i="32"/>
  <c r="G17"/>
  <c r="O7"/>
  <c r="F7"/>
  <c r="O6"/>
  <c r="F4"/>
  <c r="D6" s="1"/>
  <c r="E19" s="1"/>
  <c r="K18" s="1"/>
  <c r="M18" s="1"/>
  <c r="H2"/>
  <c r="F1"/>
  <c r="AW30" i="29"/>
  <c r="AV30"/>
  <c r="AN30"/>
  <c r="AK30"/>
  <c r="AJ30"/>
  <c r="AW29"/>
  <c r="AV29"/>
  <c r="AN29"/>
  <c r="AK29"/>
  <c r="AJ29"/>
  <c r="AM29" s="1"/>
  <c r="AW28"/>
  <c r="AV28"/>
  <c r="AN28"/>
  <c r="AK28"/>
  <c r="AJ28"/>
  <c r="AL28" s="1"/>
  <c r="AO28" s="1"/>
  <c r="AV6"/>
  <c r="AW6"/>
  <c r="AX6" s="1"/>
  <c r="AY6" s="1"/>
  <c r="AW7"/>
  <c r="AX7" s="1"/>
  <c r="AY7" s="1"/>
  <c r="AW8"/>
  <c r="AX8" s="1"/>
  <c r="AY8" s="1"/>
  <c r="AW9"/>
  <c r="AX9" s="1"/>
  <c r="AY9" s="1"/>
  <c r="AW10"/>
  <c r="AX10" s="1"/>
  <c r="AY10" s="1"/>
  <c r="AW11"/>
  <c r="AX11" s="1"/>
  <c r="AY11" s="1"/>
  <c r="AW12"/>
  <c r="AX12" s="1"/>
  <c r="AY12" s="1"/>
  <c r="AW13"/>
  <c r="AX13" s="1"/>
  <c r="AY13" s="1"/>
  <c r="AW14"/>
  <c r="AX14" s="1"/>
  <c r="AY14" s="1"/>
  <c r="AW15"/>
  <c r="AX15" s="1"/>
  <c r="AY15" s="1"/>
  <c r="AW16"/>
  <c r="AX16" s="1"/>
  <c r="AY16" s="1"/>
  <c r="AW17"/>
  <c r="AX17" s="1"/>
  <c r="AY17" s="1"/>
  <c r="AW18"/>
  <c r="AX18" s="1"/>
  <c r="AY18" s="1"/>
  <c r="AW19"/>
  <c r="AX19" s="1"/>
  <c r="AY19" s="1"/>
  <c r="AW20"/>
  <c r="AX20" s="1"/>
  <c r="AY20" s="1"/>
  <c r="AW21"/>
  <c r="AX21" s="1"/>
  <c r="AY21" s="1"/>
  <c r="AW22"/>
  <c r="AW23"/>
  <c r="AW24"/>
  <c r="AW25"/>
  <c r="AW26"/>
  <c r="AW27"/>
  <c r="AW140"/>
  <c r="AX140" s="1"/>
  <c r="AY140" s="1"/>
  <c r="AW141"/>
  <c r="AX141" s="1"/>
  <c r="AY141" s="1"/>
  <c r="AW5"/>
  <c r="AX5" s="1"/>
  <c r="AY5" s="1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140"/>
  <c r="AV141"/>
  <c r="AV5"/>
  <c r="AN27"/>
  <c r="AK27"/>
  <c r="AJ27"/>
  <c r="O2" i="31"/>
  <c r="P2"/>
  <c r="O3"/>
  <c r="P3"/>
  <c r="O4"/>
  <c r="P4"/>
  <c r="O5"/>
  <c r="P5"/>
  <c r="O6"/>
  <c r="P6"/>
  <c r="O7"/>
  <c r="P7"/>
  <c r="O8"/>
  <c r="P8"/>
  <c r="O9"/>
  <c r="P9"/>
  <c r="AX29" i="29" l="1"/>
  <c r="AY29" s="1"/>
  <c r="AX23"/>
  <c r="AY23" s="1"/>
  <c r="AX24"/>
  <c r="AY24" s="1"/>
  <c r="AX22"/>
  <c r="AY22" s="1"/>
  <c r="AX28"/>
  <c r="AY28" s="1"/>
  <c r="AM30"/>
  <c r="AP30" s="1"/>
  <c r="AM27"/>
  <c r="AP27" s="1"/>
  <c r="AX30"/>
  <c r="AY30" s="1"/>
  <c r="J15" i="33"/>
  <c r="E14" i="32"/>
  <c r="K7" s="1"/>
  <c r="M7" s="1"/>
  <c r="K2"/>
  <c r="N2" s="1"/>
  <c r="F20"/>
  <c r="E10"/>
  <c r="AX27" i="29"/>
  <c r="AY27" s="1"/>
  <c r="AP29"/>
  <c r="AL30"/>
  <c r="AO30" s="1"/>
  <c r="AL29"/>
  <c r="AO29" s="1"/>
  <c r="AM28"/>
  <c r="AP28" s="1"/>
  <c r="AQ28" s="1"/>
  <c r="AR28" s="1"/>
  <c r="E28" s="1"/>
  <c r="AD28" s="1"/>
  <c r="AX26"/>
  <c r="AY26" s="1"/>
  <c r="AX25"/>
  <c r="AY25" s="1"/>
  <c r="AL27"/>
  <c r="AO27" s="1"/>
  <c r="I4" i="30"/>
  <c r="I5"/>
  <c r="I6"/>
  <c r="I3"/>
  <c r="F4"/>
  <c r="F5"/>
  <c r="F6"/>
  <c r="F3"/>
  <c r="C4"/>
  <c r="C5"/>
  <c r="C6"/>
  <c r="C3"/>
  <c r="E3"/>
  <c r="H3"/>
  <c r="E4"/>
  <c r="H4"/>
  <c r="E5"/>
  <c r="H5"/>
  <c r="E6"/>
  <c r="H6"/>
  <c r="AJ19" i="29"/>
  <c r="AK19"/>
  <c r="AL19"/>
  <c r="AO19" s="1"/>
  <c r="AM19"/>
  <c r="AN19"/>
  <c r="AJ20"/>
  <c r="AK20"/>
  <c r="AL20"/>
  <c r="AO20" s="1"/>
  <c r="AN20"/>
  <c r="AJ21"/>
  <c r="AK21"/>
  <c r="AL21"/>
  <c r="AO21" s="1"/>
  <c r="AN21"/>
  <c r="AJ22"/>
  <c r="AK22"/>
  <c r="AN22"/>
  <c r="AJ23"/>
  <c r="AK23"/>
  <c r="AL23"/>
  <c r="AO23" s="1"/>
  <c r="AN23"/>
  <c r="AJ24"/>
  <c r="AK24"/>
  <c r="AL24"/>
  <c r="AO24" s="1"/>
  <c r="AN24"/>
  <c r="AJ25"/>
  <c r="AK25"/>
  <c r="AL25"/>
  <c r="AO25" s="1"/>
  <c r="AN25"/>
  <c r="AJ26"/>
  <c r="AK26"/>
  <c r="AL26"/>
  <c r="AO26" s="1"/>
  <c r="AN26"/>
  <c r="AJ140"/>
  <c r="AK140"/>
  <c r="AL140"/>
  <c r="AO140" s="1"/>
  <c r="AN140"/>
  <c r="AJ141"/>
  <c r="AK141"/>
  <c r="AL141"/>
  <c r="AO141" s="1"/>
  <c r="AN141"/>
  <c r="AJ5"/>
  <c r="AK6"/>
  <c r="AK7"/>
  <c r="AK8"/>
  <c r="AK9"/>
  <c r="AK10"/>
  <c r="AK11"/>
  <c r="AK12"/>
  <c r="AK13"/>
  <c r="AK14"/>
  <c r="AK15"/>
  <c r="AK16"/>
  <c r="AK17"/>
  <c r="AK18"/>
  <c r="AK5"/>
  <c r="AJ6"/>
  <c r="AL6" s="1"/>
  <c r="AO6" s="1"/>
  <c r="AJ7"/>
  <c r="AM7" s="1"/>
  <c r="AJ8"/>
  <c r="AL8" s="1"/>
  <c r="AO8" s="1"/>
  <c r="AJ9"/>
  <c r="AM9" s="1"/>
  <c r="AJ10"/>
  <c r="AL10" s="1"/>
  <c r="AO10" s="1"/>
  <c r="AJ11"/>
  <c r="AM11" s="1"/>
  <c r="AJ12"/>
  <c r="AL12" s="1"/>
  <c r="AO12" s="1"/>
  <c r="AJ13"/>
  <c r="AM13" s="1"/>
  <c r="AJ14"/>
  <c r="AL14" s="1"/>
  <c r="AO14" s="1"/>
  <c r="AJ15"/>
  <c r="AM15" s="1"/>
  <c r="AJ16"/>
  <c r="AL16" s="1"/>
  <c r="AO16" s="1"/>
  <c r="AJ17"/>
  <c r="AM17" s="1"/>
  <c r="AJ18"/>
  <c r="AM18" s="1"/>
  <c r="AP18" s="1"/>
  <c r="AN6"/>
  <c r="AN7"/>
  <c r="AN8"/>
  <c r="AN9"/>
  <c r="AN10"/>
  <c r="AN11"/>
  <c r="AN12"/>
  <c r="AN13"/>
  <c r="AN14"/>
  <c r="AN15"/>
  <c r="AN16"/>
  <c r="AN17"/>
  <c r="AN18"/>
  <c r="AN5"/>
  <c r="AM22" l="1"/>
  <c r="AQ27"/>
  <c r="AR27" s="1"/>
  <c r="E27" s="1"/>
  <c r="AD27" s="1"/>
  <c r="F15" i="32"/>
  <c r="AQ30" i="29"/>
  <c r="AR30" s="1"/>
  <c r="E30" s="1"/>
  <c r="AD30" s="1"/>
  <c r="AQ29"/>
  <c r="AR29" s="1"/>
  <c r="E29" s="1"/>
  <c r="AD29" s="1"/>
  <c r="K6" i="32"/>
  <c r="M6" s="1"/>
  <c r="E7" i="33"/>
  <c r="F11" i="32"/>
  <c r="AM141" i="29"/>
  <c r="AP141" s="1"/>
  <c r="AM140"/>
  <c r="AM26"/>
  <c r="AM25"/>
  <c r="AM24"/>
  <c r="AM23"/>
  <c r="AL22"/>
  <c r="AO22" s="1"/>
  <c r="AM20"/>
  <c r="AP20" s="1"/>
  <c r="AQ20" s="1"/>
  <c r="AR20" s="1"/>
  <c r="E20" s="1"/>
  <c r="AD20" s="1"/>
  <c r="AP19"/>
  <c r="AQ19" s="1"/>
  <c r="AR19" s="1"/>
  <c r="E19" s="1"/>
  <c r="AD19" s="1"/>
  <c r="AL17"/>
  <c r="AO17" s="1"/>
  <c r="AL13"/>
  <c r="AO13" s="1"/>
  <c r="AL9"/>
  <c r="AO9" s="1"/>
  <c r="AP17"/>
  <c r="AP15"/>
  <c r="AP13"/>
  <c r="AP11"/>
  <c r="AP9"/>
  <c r="AP7"/>
  <c r="AL15"/>
  <c r="AO15" s="1"/>
  <c r="AL11"/>
  <c r="AO11" s="1"/>
  <c r="AL7"/>
  <c r="AO7" s="1"/>
  <c r="AQ11"/>
  <c r="AR11" s="1"/>
  <c r="E11" s="1"/>
  <c r="AD11" s="1"/>
  <c r="AQ141"/>
  <c r="AR141" s="1"/>
  <c r="AM16"/>
  <c r="AP16" s="1"/>
  <c r="AQ16" s="1"/>
  <c r="AR16" s="1"/>
  <c r="E16" s="1"/>
  <c r="AD16" s="1"/>
  <c r="AM14"/>
  <c r="AP14" s="1"/>
  <c r="AQ14" s="1"/>
  <c r="AR14" s="1"/>
  <c r="E14" s="1"/>
  <c r="AD14" s="1"/>
  <c r="AM12"/>
  <c r="AP12" s="1"/>
  <c r="AQ12" s="1"/>
  <c r="AR12" s="1"/>
  <c r="E12" s="1"/>
  <c r="AD12" s="1"/>
  <c r="AM10"/>
  <c r="AP10" s="1"/>
  <c r="AQ10" s="1"/>
  <c r="AR10" s="1"/>
  <c r="E10" s="1"/>
  <c r="AD10" s="1"/>
  <c r="AM8"/>
  <c r="AP8" s="1"/>
  <c r="AQ8" s="1"/>
  <c r="AR8" s="1"/>
  <c r="E8" s="1"/>
  <c r="AD8" s="1"/>
  <c r="AM5"/>
  <c r="AP5" s="1"/>
  <c r="AP140"/>
  <c r="AQ140" s="1"/>
  <c r="AR140" s="1"/>
  <c r="E140" s="1"/>
  <c r="AD140" s="1"/>
  <c r="AP26"/>
  <c r="AP25"/>
  <c r="AQ25" s="1"/>
  <c r="AR25" s="1"/>
  <c r="E25" s="1"/>
  <c r="AD25" s="1"/>
  <c r="AP24"/>
  <c r="AQ24" s="1"/>
  <c r="AR24" s="1"/>
  <c r="E24" s="1"/>
  <c r="AD24" s="1"/>
  <c r="AP23"/>
  <c r="AQ23" s="1"/>
  <c r="AR23" s="1"/>
  <c r="E23" s="1"/>
  <c r="AD23" s="1"/>
  <c r="AQ26"/>
  <c r="AR26" s="1"/>
  <c r="E26" s="1"/>
  <c r="AD26" s="1"/>
  <c r="AP22"/>
  <c r="AL18"/>
  <c r="AO18" s="1"/>
  <c r="AQ18" s="1"/>
  <c r="AM21"/>
  <c r="AP21" s="1"/>
  <c r="AQ21" s="1"/>
  <c r="AR21" s="1"/>
  <c r="E21" s="1"/>
  <c r="AD21" s="1"/>
  <c r="AM6"/>
  <c r="AP6" s="1"/>
  <c r="AQ6" s="1"/>
  <c r="AR6" s="1"/>
  <c r="E6" s="1"/>
  <c r="AD6" s="1"/>
  <c r="AL5"/>
  <c r="AO5" s="1"/>
  <c r="AQ5" s="1"/>
  <c r="AR5" s="1"/>
  <c r="E5" s="1"/>
  <c r="AD5" s="1"/>
  <c r="O5" i="26"/>
  <c r="N5"/>
  <c r="O4"/>
  <c r="N4"/>
  <c r="O3"/>
  <c r="N3"/>
  <c r="O2"/>
  <c r="N2"/>
  <c r="O2" i="24"/>
  <c r="P2"/>
  <c r="O3"/>
  <c r="P3"/>
  <c r="O4"/>
  <c r="P4"/>
  <c r="O5"/>
  <c r="P5"/>
  <c r="H2" i="18"/>
  <c r="K2" s="1"/>
  <c r="F1"/>
  <c r="E162" i="21"/>
  <c r="F162" s="1"/>
  <c r="G162" s="1"/>
  <c r="H162" s="1"/>
  <c r="J162" s="1"/>
  <c r="F161"/>
  <c r="G161" s="1"/>
  <c r="H161" s="1"/>
  <c r="J161" s="1"/>
  <c r="E161"/>
  <c r="E160"/>
  <c r="F160" s="1"/>
  <c r="G160" s="1"/>
  <c r="H160" s="1"/>
  <c r="J160" s="1"/>
  <c r="F159"/>
  <c r="G159" s="1"/>
  <c r="H159" s="1"/>
  <c r="J159" s="1"/>
  <c r="E159"/>
  <c r="E158"/>
  <c r="F158" s="1"/>
  <c r="G158" s="1"/>
  <c r="H158" s="1"/>
  <c r="J158" s="1"/>
  <c r="F157"/>
  <c r="G157" s="1"/>
  <c r="H157" s="1"/>
  <c r="J157" s="1"/>
  <c r="E157"/>
  <c r="E156"/>
  <c r="F156" s="1"/>
  <c r="G156" s="1"/>
  <c r="H156" s="1"/>
  <c r="J156" s="1"/>
  <c r="F155"/>
  <c r="G155" s="1"/>
  <c r="H155" s="1"/>
  <c r="J155" s="1"/>
  <c r="E155"/>
  <c r="E154"/>
  <c r="F154" s="1"/>
  <c r="G154" s="1"/>
  <c r="H154" s="1"/>
  <c r="J154" s="1"/>
  <c r="F153"/>
  <c r="G153" s="1"/>
  <c r="H153" s="1"/>
  <c r="J153" s="1"/>
  <c r="E153"/>
  <c r="E152"/>
  <c r="F152" s="1"/>
  <c r="G152" s="1"/>
  <c r="H152" s="1"/>
  <c r="J152" s="1"/>
  <c r="F151"/>
  <c r="G151" s="1"/>
  <c r="H151" s="1"/>
  <c r="J151" s="1"/>
  <c r="E151"/>
  <c r="E150"/>
  <c r="F150" s="1"/>
  <c r="G150" s="1"/>
  <c r="H150" s="1"/>
  <c r="J150" s="1"/>
  <c r="F149"/>
  <c r="G149" s="1"/>
  <c r="H149" s="1"/>
  <c r="J149" s="1"/>
  <c r="E149"/>
  <c r="E148"/>
  <c r="F148" s="1"/>
  <c r="G148" s="1"/>
  <c r="H148" s="1"/>
  <c r="J148" s="1"/>
  <c r="F147"/>
  <c r="G147" s="1"/>
  <c r="H147" s="1"/>
  <c r="J147" s="1"/>
  <c r="E147"/>
  <c r="E146"/>
  <c r="F146" s="1"/>
  <c r="G146" s="1"/>
  <c r="H146" s="1"/>
  <c r="J146" s="1"/>
  <c r="F145"/>
  <c r="G145" s="1"/>
  <c r="H145" s="1"/>
  <c r="J145" s="1"/>
  <c r="E145"/>
  <c r="E144"/>
  <c r="F144" s="1"/>
  <c r="G144" s="1"/>
  <c r="H144" s="1"/>
  <c r="J144" s="1"/>
  <c r="F143"/>
  <c r="G143" s="1"/>
  <c r="H143" s="1"/>
  <c r="J143" s="1"/>
  <c r="E143"/>
  <c r="E142"/>
  <c r="F142" s="1"/>
  <c r="G142" s="1"/>
  <c r="H142" s="1"/>
  <c r="J142" s="1"/>
  <c r="F141"/>
  <c r="G141" s="1"/>
  <c r="H141" s="1"/>
  <c r="J141" s="1"/>
  <c r="E141"/>
  <c r="E140"/>
  <c r="F140" s="1"/>
  <c r="G140" s="1"/>
  <c r="H140" s="1"/>
  <c r="J140" s="1"/>
  <c r="F139"/>
  <c r="G139" s="1"/>
  <c r="H139" s="1"/>
  <c r="J139" s="1"/>
  <c r="E139"/>
  <c r="E138"/>
  <c r="F138" s="1"/>
  <c r="G138" s="1"/>
  <c r="H138" s="1"/>
  <c r="J138" s="1"/>
  <c r="F137"/>
  <c r="G137" s="1"/>
  <c r="H137" s="1"/>
  <c r="J137" s="1"/>
  <c r="E137"/>
  <c r="E136"/>
  <c r="F136" s="1"/>
  <c r="G136" s="1"/>
  <c r="H136" s="1"/>
  <c r="J136" s="1"/>
  <c r="F135"/>
  <c r="G135" s="1"/>
  <c r="H135" s="1"/>
  <c r="J135" s="1"/>
  <c r="E135"/>
  <c r="E134"/>
  <c r="F134" s="1"/>
  <c r="G134" s="1"/>
  <c r="H134" s="1"/>
  <c r="J134" s="1"/>
  <c r="F133"/>
  <c r="G133" s="1"/>
  <c r="H133" s="1"/>
  <c r="J133" s="1"/>
  <c r="E133"/>
  <c r="E132"/>
  <c r="F132" s="1"/>
  <c r="G132" s="1"/>
  <c r="H132" s="1"/>
  <c r="J132" s="1"/>
  <c r="F131"/>
  <c r="G131" s="1"/>
  <c r="H131" s="1"/>
  <c r="J131" s="1"/>
  <c r="E131"/>
  <c r="E130"/>
  <c r="F130" s="1"/>
  <c r="G130" s="1"/>
  <c r="H130" s="1"/>
  <c r="J130" s="1"/>
  <c r="F129"/>
  <c r="G129" s="1"/>
  <c r="H129" s="1"/>
  <c r="J129" s="1"/>
  <c r="E129"/>
  <c r="E128"/>
  <c r="F128" s="1"/>
  <c r="G128" s="1"/>
  <c r="H128" s="1"/>
  <c r="J128" s="1"/>
  <c r="F127"/>
  <c r="G127" s="1"/>
  <c r="H127" s="1"/>
  <c r="J127" s="1"/>
  <c r="E127"/>
  <c r="E126"/>
  <c r="F126" s="1"/>
  <c r="G126" s="1"/>
  <c r="H126" s="1"/>
  <c r="J126" s="1"/>
  <c r="F125"/>
  <c r="G125" s="1"/>
  <c r="H125" s="1"/>
  <c r="J125" s="1"/>
  <c r="E125"/>
  <c r="E124"/>
  <c r="F124" s="1"/>
  <c r="G124" s="1"/>
  <c r="H124" s="1"/>
  <c r="J124" s="1"/>
  <c r="F123"/>
  <c r="G123" s="1"/>
  <c r="H123" s="1"/>
  <c r="J123" s="1"/>
  <c r="E123"/>
  <c r="E122"/>
  <c r="F122" s="1"/>
  <c r="G122" s="1"/>
  <c r="H122" s="1"/>
  <c r="J122" s="1"/>
  <c r="F121"/>
  <c r="G121" s="1"/>
  <c r="H121" s="1"/>
  <c r="J121" s="1"/>
  <c r="E121"/>
  <c r="E120"/>
  <c r="F120" s="1"/>
  <c r="G120" s="1"/>
  <c r="H120" s="1"/>
  <c r="J120" s="1"/>
  <c r="F119"/>
  <c r="G119" s="1"/>
  <c r="H119" s="1"/>
  <c r="J119" s="1"/>
  <c r="E119"/>
  <c r="E118"/>
  <c r="F118" s="1"/>
  <c r="G118" s="1"/>
  <c r="H118" s="1"/>
  <c r="J118" s="1"/>
  <c r="F117"/>
  <c r="G117" s="1"/>
  <c r="H117" s="1"/>
  <c r="J117" s="1"/>
  <c r="E117"/>
  <c r="E116"/>
  <c r="F116" s="1"/>
  <c r="G116" s="1"/>
  <c r="H116" s="1"/>
  <c r="J116" s="1"/>
  <c r="F115"/>
  <c r="G115" s="1"/>
  <c r="H115" s="1"/>
  <c r="J115" s="1"/>
  <c r="E115"/>
  <c r="E114"/>
  <c r="F114" s="1"/>
  <c r="G114" s="1"/>
  <c r="H114" s="1"/>
  <c r="J114" s="1"/>
  <c r="F113"/>
  <c r="G113" s="1"/>
  <c r="H113" s="1"/>
  <c r="J113" s="1"/>
  <c r="E113"/>
  <c r="E112"/>
  <c r="F112" s="1"/>
  <c r="G112" s="1"/>
  <c r="H112" s="1"/>
  <c r="J112" s="1"/>
  <c r="F111"/>
  <c r="G111" s="1"/>
  <c r="H111" s="1"/>
  <c r="J111" s="1"/>
  <c r="E111"/>
  <c r="E110"/>
  <c r="F110" s="1"/>
  <c r="G110" s="1"/>
  <c r="H110" s="1"/>
  <c r="J110" s="1"/>
  <c r="F109"/>
  <c r="G109" s="1"/>
  <c r="H109" s="1"/>
  <c r="J109" s="1"/>
  <c r="E109"/>
  <c r="E108"/>
  <c r="F108" s="1"/>
  <c r="G108" s="1"/>
  <c r="H108" s="1"/>
  <c r="J108" s="1"/>
  <c r="F107"/>
  <c r="G107" s="1"/>
  <c r="H107" s="1"/>
  <c r="J107" s="1"/>
  <c r="E107"/>
  <c r="E106"/>
  <c r="F106" s="1"/>
  <c r="G106" s="1"/>
  <c r="H106" s="1"/>
  <c r="J106" s="1"/>
  <c r="F105"/>
  <c r="G105" s="1"/>
  <c r="H105" s="1"/>
  <c r="J105" s="1"/>
  <c r="E105"/>
  <c r="E104"/>
  <c r="F104" s="1"/>
  <c r="G104" s="1"/>
  <c r="H104" s="1"/>
  <c r="J104" s="1"/>
  <c r="F103"/>
  <c r="G103" s="1"/>
  <c r="H103" s="1"/>
  <c r="J103" s="1"/>
  <c r="E103"/>
  <c r="E102"/>
  <c r="F102" s="1"/>
  <c r="G102" s="1"/>
  <c r="H102" s="1"/>
  <c r="J102" s="1"/>
  <c r="F101"/>
  <c r="G101" s="1"/>
  <c r="H101" s="1"/>
  <c r="J101" s="1"/>
  <c r="E101"/>
  <c r="E100"/>
  <c r="F100" s="1"/>
  <c r="G100" s="1"/>
  <c r="H100" s="1"/>
  <c r="J100" s="1"/>
  <c r="F99"/>
  <c r="G99" s="1"/>
  <c r="H99" s="1"/>
  <c r="J99" s="1"/>
  <c r="E99"/>
  <c r="E98"/>
  <c r="F98" s="1"/>
  <c r="G98" s="1"/>
  <c r="H98" s="1"/>
  <c r="J98" s="1"/>
  <c r="F97"/>
  <c r="G97" s="1"/>
  <c r="H97" s="1"/>
  <c r="J97" s="1"/>
  <c r="E97"/>
  <c r="E96"/>
  <c r="F96" s="1"/>
  <c r="G96" s="1"/>
  <c r="H96" s="1"/>
  <c r="J96" s="1"/>
  <c r="F95"/>
  <c r="G95" s="1"/>
  <c r="H95" s="1"/>
  <c r="E95"/>
  <c r="E94"/>
  <c r="F94" s="1"/>
  <c r="G94" s="1"/>
  <c r="H94" s="1"/>
  <c r="J94" s="1"/>
  <c r="F93"/>
  <c r="G93" s="1"/>
  <c r="H93" s="1"/>
  <c r="J93" s="1"/>
  <c r="E93"/>
  <c r="E92"/>
  <c r="F92" s="1"/>
  <c r="G92" s="1"/>
  <c r="H92" s="1"/>
  <c r="J92" s="1"/>
  <c r="F91"/>
  <c r="G91" s="1"/>
  <c r="H91" s="1"/>
  <c r="J91" s="1"/>
  <c r="E91"/>
  <c r="E90"/>
  <c r="F90" s="1"/>
  <c r="G90" s="1"/>
  <c r="H90" s="1"/>
  <c r="J90" s="1"/>
  <c r="F89"/>
  <c r="G89" s="1"/>
  <c r="H89" s="1"/>
  <c r="J89" s="1"/>
  <c r="E89"/>
  <c r="E88"/>
  <c r="F88" s="1"/>
  <c r="G88" s="1"/>
  <c r="H88" s="1"/>
  <c r="J88" s="1"/>
  <c r="F87"/>
  <c r="G87" s="1"/>
  <c r="H87" s="1"/>
  <c r="J87" s="1"/>
  <c r="E87"/>
  <c r="E86"/>
  <c r="F86" s="1"/>
  <c r="G86" s="1"/>
  <c r="H86" s="1"/>
  <c r="J86" s="1"/>
  <c r="F85"/>
  <c r="G85" s="1"/>
  <c r="H85" s="1"/>
  <c r="J85" s="1"/>
  <c r="E85"/>
  <c r="E84"/>
  <c r="F84" s="1"/>
  <c r="G84" s="1"/>
  <c r="H84" s="1"/>
  <c r="J84" s="1"/>
  <c r="F83"/>
  <c r="G83" s="1"/>
  <c r="H83" s="1"/>
  <c r="J83" s="1"/>
  <c r="E83"/>
  <c r="E82"/>
  <c r="F82" s="1"/>
  <c r="G82" s="1"/>
  <c r="H82" s="1"/>
  <c r="J82" s="1"/>
  <c r="F81"/>
  <c r="G81" s="1"/>
  <c r="H81" s="1"/>
  <c r="J81" s="1"/>
  <c r="E81"/>
  <c r="E80"/>
  <c r="F80" s="1"/>
  <c r="G80" s="1"/>
  <c r="H80" s="1"/>
  <c r="J80" s="1"/>
  <c r="F79"/>
  <c r="G79" s="1"/>
  <c r="H79" s="1"/>
  <c r="J79" s="1"/>
  <c r="E79"/>
  <c r="E78"/>
  <c r="F78" s="1"/>
  <c r="G78" s="1"/>
  <c r="H78" s="1"/>
  <c r="J78" s="1"/>
  <c r="F77"/>
  <c r="G77" s="1"/>
  <c r="H77" s="1"/>
  <c r="J77" s="1"/>
  <c r="E77"/>
  <c r="E76"/>
  <c r="F76" s="1"/>
  <c r="G76" s="1"/>
  <c r="H76" s="1"/>
  <c r="J76" s="1"/>
  <c r="F75"/>
  <c r="G75" s="1"/>
  <c r="H75" s="1"/>
  <c r="J75" s="1"/>
  <c r="E75"/>
  <c r="E74"/>
  <c r="F74" s="1"/>
  <c r="G74" s="1"/>
  <c r="H74" s="1"/>
  <c r="J74" s="1"/>
  <c r="F73"/>
  <c r="G73" s="1"/>
  <c r="H73" s="1"/>
  <c r="J73" s="1"/>
  <c r="E73"/>
  <c r="E72"/>
  <c r="F72" s="1"/>
  <c r="G72" s="1"/>
  <c r="H72" s="1"/>
  <c r="J72" s="1"/>
  <c r="F71"/>
  <c r="G71" s="1"/>
  <c r="H71" s="1"/>
  <c r="J71" s="1"/>
  <c r="E71"/>
  <c r="E70"/>
  <c r="F70" s="1"/>
  <c r="G70" s="1"/>
  <c r="H70" s="1"/>
  <c r="J70" s="1"/>
  <c r="F69"/>
  <c r="G69" s="1"/>
  <c r="H69" s="1"/>
  <c r="J69" s="1"/>
  <c r="E69"/>
  <c r="E68"/>
  <c r="F68" s="1"/>
  <c r="G68" s="1"/>
  <c r="H68" s="1"/>
  <c r="J68" s="1"/>
  <c r="F67"/>
  <c r="G67" s="1"/>
  <c r="H67" s="1"/>
  <c r="J67" s="1"/>
  <c r="E67"/>
  <c r="E66"/>
  <c r="F66" s="1"/>
  <c r="G66" s="1"/>
  <c r="H66" s="1"/>
  <c r="J66" s="1"/>
  <c r="F65"/>
  <c r="G65" s="1"/>
  <c r="H65" s="1"/>
  <c r="J65" s="1"/>
  <c r="E65"/>
  <c r="E64"/>
  <c r="F64" s="1"/>
  <c r="G64" s="1"/>
  <c r="H64" s="1"/>
  <c r="J64" s="1"/>
  <c r="F63"/>
  <c r="G63" s="1"/>
  <c r="H63" s="1"/>
  <c r="J63" s="1"/>
  <c r="E63"/>
  <c r="E62"/>
  <c r="F62" s="1"/>
  <c r="G62" s="1"/>
  <c r="H62" s="1"/>
  <c r="J62" s="1"/>
  <c r="F61"/>
  <c r="G61" s="1"/>
  <c r="H61" s="1"/>
  <c r="J61" s="1"/>
  <c r="E61"/>
  <c r="E60"/>
  <c r="F60" s="1"/>
  <c r="G60" s="1"/>
  <c r="H60" s="1"/>
  <c r="J60" s="1"/>
  <c r="F59"/>
  <c r="G59" s="1"/>
  <c r="H59" s="1"/>
  <c r="J59" s="1"/>
  <c r="E59"/>
  <c r="E58"/>
  <c r="F58" s="1"/>
  <c r="G58" s="1"/>
  <c r="H58" s="1"/>
  <c r="J58" s="1"/>
  <c r="F57"/>
  <c r="G57" s="1"/>
  <c r="H57" s="1"/>
  <c r="J57" s="1"/>
  <c r="E57"/>
  <c r="E56"/>
  <c r="F56" s="1"/>
  <c r="G56" s="1"/>
  <c r="H56" s="1"/>
  <c r="J56" s="1"/>
  <c r="F55"/>
  <c r="G55" s="1"/>
  <c r="H55" s="1"/>
  <c r="J55" s="1"/>
  <c r="E55"/>
  <c r="E54"/>
  <c r="F54" s="1"/>
  <c r="G54" s="1"/>
  <c r="H54" s="1"/>
  <c r="J54" s="1"/>
  <c r="F53"/>
  <c r="G53" s="1"/>
  <c r="H53" s="1"/>
  <c r="J53" s="1"/>
  <c r="E53"/>
  <c r="E52"/>
  <c r="F52" s="1"/>
  <c r="G52" s="1"/>
  <c r="H52" s="1"/>
  <c r="J52" s="1"/>
  <c r="F51"/>
  <c r="G51" s="1"/>
  <c r="H51" s="1"/>
  <c r="J51" s="1"/>
  <c r="E51"/>
  <c r="E50"/>
  <c r="F50" s="1"/>
  <c r="G50" s="1"/>
  <c r="H50" s="1"/>
  <c r="J50" s="1"/>
  <c r="F49"/>
  <c r="G49" s="1"/>
  <c r="H49" s="1"/>
  <c r="J49" s="1"/>
  <c r="E49"/>
  <c r="E48"/>
  <c r="F48" s="1"/>
  <c r="G48" s="1"/>
  <c r="H48" s="1"/>
  <c r="J48" s="1"/>
  <c r="F47"/>
  <c r="G47" s="1"/>
  <c r="H47" s="1"/>
  <c r="J47" s="1"/>
  <c r="E47"/>
  <c r="E46"/>
  <c r="F46" s="1"/>
  <c r="G46" s="1"/>
  <c r="H46" s="1"/>
  <c r="J46" s="1"/>
  <c r="F45"/>
  <c r="G45" s="1"/>
  <c r="H45" s="1"/>
  <c r="J45" s="1"/>
  <c r="E45"/>
  <c r="E44"/>
  <c r="F44" s="1"/>
  <c r="G44" s="1"/>
  <c r="H44" s="1"/>
  <c r="J44" s="1"/>
  <c r="F43"/>
  <c r="G43" s="1"/>
  <c r="H43" s="1"/>
  <c r="J43" s="1"/>
  <c r="E43"/>
  <c r="E42"/>
  <c r="F42" s="1"/>
  <c r="G42" s="1"/>
  <c r="H42" s="1"/>
  <c r="J42" s="1"/>
  <c r="F41"/>
  <c r="G41" s="1"/>
  <c r="H41" s="1"/>
  <c r="J41" s="1"/>
  <c r="E41"/>
  <c r="E40"/>
  <c r="F40" s="1"/>
  <c r="G40" s="1"/>
  <c r="H40" s="1"/>
  <c r="J40" s="1"/>
  <c r="F39"/>
  <c r="G39" s="1"/>
  <c r="H39" s="1"/>
  <c r="J39" s="1"/>
  <c r="E39"/>
  <c r="E38"/>
  <c r="F38" s="1"/>
  <c r="G38" s="1"/>
  <c r="H38" s="1"/>
  <c r="J38" s="1"/>
  <c r="F37"/>
  <c r="G37" s="1"/>
  <c r="H37" s="1"/>
  <c r="J37" s="1"/>
  <c r="E37"/>
  <c r="E36"/>
  <c r="F36" s="1"/>
  <c r="G36" s="1"/>
  <c r="H36" s="1"/>
  <c r="J36" s="1"/>
  <c r="F35"/>
  <c r="G35" s="1"/>
  <c r="H35" s="1"/>
  <c r="J35" s="1"/>
  <c r="E35"/>
  <c r="E34"/>
  <c r="F34" s="1"/>
  <c r="G34" s="1"/>
  <c r="H34" s="1"/>
  <c r="J34" s="1"/>
  <c r="F33"/>
  <c r="G33" s="1"/>
  <c r="H33" s="1"/>
  <c r="J33" s="1"/>
  <c r="E33"/>
  <c r="E32"/>
  <c r="F32" s="1"/>
  <c r="G32" s="1"/>
  <c r="H32" s="1"/>
  <c r="J32" s="1"/>
  <c r="F31"/>
  <c r="G31" s="1"/>
  <c r="H31" s="1"/>
  <c r="J31" s="1"/>
  <c r="E31"/>
  <c r="E30"/>
  <c r="F30" s="1"/>
  <c r="G30" s="1"/>
  <c r="H30" s="1"/>
  <c r="J30" s="1"/>
  <c r="F29"/>
  <c r="G29" s="1"/>
  <c r="H29" s="1"/>
  <c r="J29" s="1"/>
  <c r="E29"/>
  <c r="E28"/>
  <c r="F28" s="1"/>
  <c r="G28" s="1"/>
  <c r="H28" s="1"/>
  <c r="J28" s="1"/>
  <c r="F27"/>
  <c r="G27" s="1"/>
  <c r="H27" s="1"/>
  <c r="J27" s="1"/>
  <c r="E27"/>
  <c r="E26"/>
  <c r="F26" s="1"/>
  <c r="G26" s="1"/>
  <c r="H26" s="1"/>
  <c r="J26" s="1"/>
  <c r="F25"/>
  <c r="G25" s="1"/>
  <c r="H25" s="1"/>
  <c r="J25" s="1"/>
  <c r="E25"/>
  <c r="E24"/>
  <c r="F24" s="1"/>
  <c r="G24" s="1"/>
  <c r="H24" s="1"/>
  <c r="J24" s="1"/>
  <c r="F23"/>
  <c r="G23" s="1"/>
  <c r="H23" s="1"/>
  <c r="J23" s="1"/>
  <c r="E23"/>
  <c r="E22"/>
  <c r="F22" s="1"/>
  <c r="G22" s="1"/>
  <c r="H22" s="1"/>
  <c r="J22" s="1"/>
  <c r="I10"/>
  <c r="I12" s="1"/>
  <c r="K8"/>
  <c r="AQ7" i="29" l="1"/>
  <c r="AR7" s="1"/>
  <c r="E7" s="1"/>
  <c r="AD7" s="1"/>
  <c r="AQ15"/>
  <c r="AR15" s="1"/>
  <c r="E15" s="1"/>
  <c r="AD15" s="1"/>
  <c r="AQ13"/>
  <c r="AR13" s="1"/>
  <c r="E13" s="1"/>
  <c r="AD13" s="1"/>
  <c r="J9" i="33"/>
  <c r="E9"/>
  <c r="E11" s="1"/>
  <c r="H11" s="1"/>
  <c r="AQ9" i="29"/>
  <c r="AR9" s="1"/>
  <c r="E9" s="1"/>
  <c r="AD9" s="1"/>
  <c r="AQ17"/>
  <c r="AR17" s="1"/>
  <c r="E17" s="1"/>
  <c r="AD17" s="1"/>
  <c r="AQ22"/>
  <c r="AR22" s="1"/>
  <c r="E22" s="1"/>
  <c r="AD22" s="1"/>
  <c r="AR18"/>
  <c r="E18" s="1"/>
  <c r="AD18" s="1"/>
  <c r="N2" i="18"/>
  <c r="J95" i="21"/>
  <c r="J15"/>
  <c r="J17" s="1"/>
  <c r="M17" s="1"/>
  <c r="A5" i="20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E13" i="8"/>
  <c r="E7"/>
  <c r="E9" s="1"/>
  <c r="E11" s="1"/>
  <c r="H11" s="1"/>
  <c r="E15"/>
  <c r="E17" s="1"/>
  <c r="H17" s="1"/>
  <c r="E162" i="19"/>
  <c r="F162" s="1"/>
  <c r="G162" s="1"/>
  <c r="E161"/>
  <c r="F161" s="1"/>
  <c r="G161" s="1"/>
  <c r="E160"/>
  <c r="F160" s="1"/>
  <c r="G160" s="1"/>
  <c r="E159"/>
  <c r="F159" s="1"/>
  <c r="G159" s="1"/>
  <c r="E158"/>
  <c r="F158" s="1"/>
  <c r="G158" s="1"/>
  <c r="E157"/>
  <c r="F157" s="1"/>
  <c r="G157" s="1"/>
  <c r="E156"/>
  <c r="F156" s="1"/>
  <c r="G156" s="1"/>
  <c r="E155"/>
  <c r="F155" s="1"/>
  <c r="G155" s="1"/>
  <c r="E154"/>
  <c r="F154" s="1"/>
  <c r="G154" s="1"/>
  <c r="E153"/>
  <c r="F153" s="1"/>
  <c r="G153" s="1"/>
  <c r="E152"/>
  <c r="F152" s="1"/>
  <c r="G152" s="1"/>
  <c r="E151"/>
  <c r="F151" s="1"/>
  <c r="G151" s="1"/>
  <c r="E150"/>
  <c r="F150" s="1"/>
  <c r="G150" s="1"/>
  <c r="E149"/>
  <c r="F149" s="1"/>
  <c r="G149" s="1"/>
  <c r="E148"/>
  <c r="F148" s="1"/>
  <c r="G148" s="1"/>
  <c r="E147"/>
  <c r="F147" s="1"/>
  <c r="G147" s="1"/>
  <c r="E146"/>
  <c r="F146" s="1"/>
  <c r="G146" s="1"/>
  <c r="E145"/>
  <c r="F145" s="1"/>
  <c r="G145" s="1"/>
  <c r="E144"/>
  <c r="F144" s="1"/>
  <c r="G144" s="1"/>
  <c r="E143"/>
  <c r="F143" s="1"/>
  <c r="G143" s="1"/>
  <c r="E142"/>
  <c r="F142" s="1"/>
  <c r="G142" s="1"/>
  <c r="E141"/>
  <c r="F141" s="1"/>
  <c r="G141" s="1"/>
  <c r="E140"/>
  <c r="F140" s="1"/>
  <c r="G140" s="1"/>
  <c r="E139"/>
  <c r="F139" s="1"/>
  <c r="G139" s="1"/>
  <c r="E138"/>
  <c r="F138" s="1"/>
  <c r="G138" s="1"/>
  <c r="E137"/>
  <c r="F137" s="1"/>
  <c r="G137" s="1"/>
  <c r="E136"/>
  <c r="F136" s="1"/>
  <c r="G136" s="1"/>
  <c r="E135"/>
  <c r="F135" s="1"/>
  <c r="G135" s="1"/>
  <c r="E134"/>
  <c r="F134" s="1"/>
  <c r="G134" s="1"/>
  <c r="E133"/>
  <c r="F133" s="1"/>
  <c r="G133" s="1"/>
  <c r="E132"/>
  <c r="F132" s="1"/>
  <c r="G132" s="1"/>
  <c r="E131"/>
  <c r="F131" s="1"/>
  <c r="G131" s="1"/>
  <c r="E130"/>
  <c r="F130" s="1"/>
  <c r="G130" s="1"/>
  <c r="E129"/>
  <c r="F129" s="1"/>
  <c r="G129" s="1"/>
  <c r="E128"/>
  <c r="F128" s="1"/>
  <c r="G128" s="1"/>
  <c r="E127"/>
  <c r="F127" s="1"/>
  <c r="G127" s="1"/>
  <c r="E126"/>
  <c r="F126" s="1"/>
  <c r="G126" s="1"/>
  <c r="E125"/>
  <c r="F125" s="1"/>
  <c r="G125" s="1"/>
  <c r="E124"/>
  <c r="F124" s="1"/>
  <c r="G124" s="1"/>
  <c r="E123"/>
  <c r="F123" s="1"/>
  <c r="G123" s="1"/>
  <c r="E122"/>
  <c r="F122" s="1"/>
  <c r="G122" s="1"/>
  <c r="E121"/>
  <c r="F121" s="1"/>
  <c r="G121" s="1"/>
  <c r="E120"/>
  <c r="F120" s="1"/>
  <c r="G120" s="1"/>
  <c r="E119"/>
  <c r="F119" s="1"/>
  <c r="G119" s="1"/>
  <c r="E118"/>
  <c r="F118" s="1"/>
  <c r="G118" s="1"/>
  <c r="E117"/>
  <c r="F117" s="1"/>
  <c r="G117" s="1"/>
  <c r="E116"/>
  <c r="F116" s="1"/>
  <c r="G116" s="1"/>
  <c r="E115"/>
  <c r="F115" s="1"/>
  <c r="G115" s="1"/>
  <c r="E114"/>
  <c r="F114" s="1"/>
  <c r="G114" s="1"/>
  <c r="E113"/>
  <c r="F113" s="1"/>
  <c r="G113" s="1"/>
  <c r="E112"/>
  <c r="F112" s="1"/>
  <c r="G112" s="1"/>
  <c r="E111"/>
  <c r="F111" s="1"/>
  <c r="G111" s="1"/>
  <c r="E110"/>
  <c r="F110" s="1"/>
  <c r="G110" s="1"/>
  <c r="E109"/>
  <c r="F109" s="1"/>
  <c r="G109" s="1"/>
  <c r="E108"/>
  <c r="F108" s="1"/>
  <c r="G108" s="1"/>
  <c r="E107"/>
  <c r="F107" s="1"/>
  <c r="G107" s="1"/>
  <c r="E106"/>
  <c r="F106" s="1"/>
  <c r="G106" s="1"/>
  <c r="E105"/>
  <c r="F105" s="1"/>
  <c r="G105" s="1"/>
  <c r="E104"/>
  <c r="F104" s="1"/>
  <c r="G104" s="1"/>
  <c r="E103"/>
  <c r="F103" s="1"/>
  <c r="G103" s="1"/>
  <c r="E102"/>
  <c r="F102" s="1"/>
  <c r="G102" s="1"/>
  <c r="E101"/>
  <c r="F101" s="1"/>
  <c r="G101" s="1"/>
  <c r="E100"/>
  <c r="F100" s="1"/>
  <c r="G100" s="1"/>
  <c r="E99"/>
  <c r="F99" s="1"/>
  <c r="G99" s="1"/>
  <c r="E98"/>
  <c r="F98" s="1"/>
  <c r="G98" s="1"/>
  <c r="E97"/>
  <c r="F97" s="1"/>
  <c r="G97" s="1"/>
  <c r="E96"/>
  <c r="F96" s="1"/>
  <c r="G96" s="1"/>
  <c r="E95"/>
  <c r="F95" s="1"/>
  <c r="G95" s="1"/>
  <c r="E94"/>
  <c r="F94" s="1"/>
  <c r="G94" s="1"/>
  <c r="E93"/>
  <c r="F93" s="1"/>
  <c r="G93" s="1"/>
  <c r="E92"/>
  <c r="F92" s="1"/>
  <c r="G92" s="1"/>
  <c r="E91"/>
  <c r="F91" s="1"/>
  <c r="G91" s="1"/>
  <c r="E90"/>
  <c r="F90" s="1"/>
  <c r="G90" s="1"/>
  <c r="E89"/>
  <c r="F89" s="1"/>
  <c r="G89" s="1"/>
  <c r="E88"/>
  <c r="F88" s="1"/>
  <c r="G88" s="1"/>
  <c r="E87"/>
  <c r="F87" s="1"/>
  <c r="G87" s="1"/>
  <c r="E86"/>
  <c r="F86" s="1"/>
  <c r="G86" s="1"/>
  <c r="E85"/>
  <c r="F85" s="1"/>
  <c r="G85" s="1"/>
  <c r="E84"/>
  <c r="F84" s="1"/>
  <c r="G84" s="1"/>
  <c r="E83"/>
  <c r="F83" s="1"/>
  <c r="G83" s="1"/>
  <c r="E82"/>
  <c r="F82" s="1"/>
  <c r="G82" s="1"/>
  <c r="E81"/>
  <c r="F81" s="1"/>
  <c r="G81" s="1"/>
  <c r="E80"/>
  <c r="F80" s="1"/>
  <c r="G80" s="1"/>
  <c r="E79"/>
  <c r="F79" s="1"/>
  <c r="G79" s="1"/>
  <c r="E78"/>
  <c r="F78" s="1"/>
  <c r="G78" s="1"/>
  <c r="E77"/>
  <c r="F77" s="1"/>
  <c r="G77" s="1"/>
  <c r="E76"/>
  <c r="F76" s="1"/>
  <c r="G76" s="1"/>
  <c r="E75"/>
  <c r="F75" s="1"/>
  <c r="G75" s="1"/>
  <c r="E74"/>
  <c r="F74" s="1"/>
  <c r="G74" s="1"/>
  <c r="E73"/>
  <c r="F73" s="1"/>
  <c r="G73" s="1"/>
  <c r="E72"/>
  <c r="F72" s="1"/>
  <c r="G72" s="1"/>
  <c r="E71"/>
  <c r="F71" s="1"/>
  <c r="G71" s="1"/>
  <c r="E70"/>
  <c r="F70" s="1"/>
  <c r="G70" s="1"/>
  <c r="E69"/>
  <c r="F69" s="1"/>
  <c r="G69" s="1"/>
  <c r="E68"/>
  <c r="F68" s="1"/>
  <c r="G68" s="1"/>
  <c r="E67"/>
  <c r="F67" s="1"/>
  <c r="G67" s="1"/>
  <c r="E66"/>
  <c r="F66" s="1"/>
  <c r="G66" s="1"/>
  <c r="E65"/>
  <c r="F65" s="1"/>
  <c r="G65" s="1"/>
  <c r="E64"/>
  <c r="F64" s="1"/>
  <c r="G64" s="1"/>
  <c r="E63"/>
  <c r="F63" s="1"/>
  <c r="G63" s="1"/>
  <c r="E62"/>
  <c r="F62" s="1"/>
  <c r="G62" s="1"/>
  <c r="E61"/>
  <c r="F61" s="1"/>
  <c r="G61" s="1"/>
  <c r="E60"/>
  <c r="F60" s="1"/>
  <c r="G60" s="1"/>
  <c r="E59"/>
  <c r="F59" s="1"/>
  <c r="G59" s="1"/>
  <c r="E58"/>
  <c r="F58" s="1"/>
  <c r="G58" s="1"/>
  <c r="E57"/>
  <c r="F57" s="1"/>
  <c r="G57" s="1"/>
  <c r="E56"/>
  <c r="F56" s="1"/>
  <c r="G56" s="1"/>
  <c r="E55"/>
  <c r="F55" s="1"/>
  <c r="G55" s="1"/>
  <c r="E54"/>
  <c r="F54" s="1"/>
  <c r="G54" s="1"/>
  <c r="E53"/>
  <c r="F53" s="1"/>
  <c r="G53" s="1"/>
  <c r="E52"/>
  <c r="F52" s="1"/>
  <c r="G52" s="1"/>
  <c r="E51"/>
  <c r="F51" s="1"/>
  <c r="G51" s="1"/>
  <c r="E50"/>
  <c r="F50" s="1"/>
  <c r="G50" s="1"/>
  <c r="E49"/>
  <c r="F49" s="1"/>
  <c r="G49" s="1"/>
  <c r="E48"/>
  <c r="F48" s="1"/>
  <c r="G48" s="1"/>
  <c r="E47"/>
  <c r="F47" s="1"/>
  <c r="G47" s="1"/>
  <c r="E46"/>
  <c r="F46" s="1"/>
  <c r="G46" s="1"/>
  <c r="E45"/>
  <c r="F45" s="1"/>
  <c r="G45" s="1"/>
  <c r="E44"/>
  <c r="F44" s="1"/>
  <c r="G44" s="1"/>
  <c r="E43"/>
  <c r="F43" s="1"/>
  <c r="G43" s="1"/>
  <c r="E42"/>
  <c r="F42" s="1"/>
  <c r="G42" s="1"/>
  <c r="E41"/>
  <c r="F41" s="1"/>
  <c r="G41" s="1"/>
  <c r="E40"/>
  <c r="F40" s="1"/>
  <c r="G40" s="1"/>
  <c r="E39"/>
  <c r="F39" s="1"/>
  <c r="G39" s="1"/>
  <c r="E38"/>
  <c r="F38" s="1"/>
  <c r="G38" s="1"/>
  <c r="E37"/>
  <c r="F37" s="1"/>
  <c r="G37" s="1"/>
  <c r="E36"/>
  <c r="F36" s="1"/>
  <c r="G36" s="1"/>
  <c r="E35"/>
  <c r="F35" s="1"/>
  <c r="G35" s="1"/>
  <c r="E34"/>
  <c r="F34" s="1"/>
  <c r="G34" s="1"/>
  <c r="E33"/>
  <c r="F33" s="1"/>
  <c r="G33" s="1"/>
  <c r="E32"/>
  <c r="F32" s="1"/>
  <c r="G32" s="1"/>
  <c r="E31"/>
  <c r="F31" s="1"/>
  <c r="G31" s="1"/>
  <c r="E30"/>
  <c r="F30" s="1"/>
  <c r="G30" s="1"/>
  <c r="E29"/>
  <c r="F29" s="1"/>
  <c r="G29" s="1"/>
  <c r="E28"/>
  <c r="F28" s="1"/>
  <c r="G28" s="1"/>
  <c r="E27"/>
  <c r="F27" s="1"/>
  <c r="G27" s="1"/>
  <c r="E26"/>
  <c r="F26" s="1"/>
  <c r="G26" s="1"/>
  <c r="E25"/>
  <c r="F25" s="1"/>
  <c r="G25" s="1"/>
  <c r="E24"/>
  <c r="F24" s="1"/>
  <c r="G24" s="1"/>
  <c r="E23"/>
  <c r="F23" s="1"/>
  <c r="G23" s="1"/>
  <c r="E22"/>
  <c r="F22" s="1"/>
  <c r="G22" s="1"/>
  <c r="K8"/>
  <c r="I10" s="1"/>
  <c r="I12" s="1"/>
  <c r="O7" i="18"/>
  <c r="Q7" s="1"/>
  <c r="O6"/>
  <c r="Q6" s="1"/>
  <c r="G17"/>
  <c r="O18"/>
  <c r="F7"/>
  <c r="D6"/>
  <c r="E19" s="1"/>
  <c r="K18" s="1"/>
  <c r="M18" s="1"/>
  <c r="F4"/>
  <c r="E162" i="16"/>
  <c r="F162" s="1"/>
  <c r="G162" s="1"/>
  <c r="E161"/>
  <c r="F161" s="1"/>
  <c r="G161" s="1"/>
  <c r="F160"/>
  <c r="G160" s="1"/>
  <c r="E160"/>
  <c r="E159"/>
  <c r="F159" s="1"/>
  <c r="G159" s="1"/>
  <c r="E158"/>
  <c r="F158" s="1"/>
  <c r="G158" s="1"/>
  <c r="E157"/>
  <c r="F157" s="1"/>
  <c r="G157" s="1"/>
  <c r="F156"/>
  <c r="G156" s="1"/>
  <c r="E156"/>
  <c r="E155"/>
  <c r="F155" s="1"/>
  <c r="G155" s="1"/>
  <c r="E154"/>
  <c r="F154" s="1"/>
  <c r="G154" s="1"/>
  <c r="E153"/>
  <c r="F153" s="1"/>
  <c r="G153" s="1"/>
  <c r="F152"/>
  <c r="G152" s="1"/>
  <c r="E152"/>
  <c r="E151"/>
  <c r="F151" s="1"/>
  <c r="G151" s="1"/>
  <c r="E150"/>
  <c r="F150" s="1"/>
  <c r="G150" s="1"/>
  <c r="E149"/>
  <c r="F149" s="1"/>
  <c r="G149" s="1"/>
  <c r="F148"/>
  <c r="G148" s="1"/>
  <c r="E148"/>
  <c r="E147"/>
  <c r="F147" s="1"/>
  <c r="G147" s="1"/>
  <c r="E146"/>
  <c r="F146" s="1"/>
  <c r="G146" s="1"/>
  <c r="E145"/>
  <c r="F145" s="1"/>
  <c r="G145" s="1"/>
  <c r="F144"/>
  <c r="G144" s="1"/>
  <c r="E144"/>
  <c r="E143"/>
  <c r="F143" s="1"/>
  <c r="G143" s="1"/>
  <c r="E142"/>
  <c r="F142" s="1"/>
  <c r="G142" s="1"/>
  <c r="E141"/>
  <c r="F141" s="1"/>
  <c r="G141" s="1"/>
  <c r="F140"/>
  <c r="G140" s="1"/>
  <c r="E140"/>
  <c r="E139"/>
  <c r="F139" s="1"/>
  <c r="G139" s="1"/>
  <c r="E138"/>
  <c r="F138" s="1"/>
  <c r="G138" s="1"/>
  <c r="E137"/>
  <c r="F137" s="1"/>
  <c r="G137" s="1"/>
  <c r="F136"/>
  <c r="G136" s="1"/>
  <c r="E136"/>
  <c r="E135"/>
  <c r="F135" s="1"/>
  <c r="G135" s="1"/>
  <c r="E134"/>
  <c r="F134" s="1"/>
  <c r="G134" s="1"/>
  <c r="E133"/>
  <c r="F133" s="1"/>
  <c r="G133" s="1"/>
  <c r="F132"/>
  <c r="G132" s="1"/>
  <c r="E132"/>
  <c r="E131"/>
  <c r="F131" s="1"/>
  <c r="G131" s="1"/>
  <c r="E130"/>
  <c r="F130" s="1"/>
  <c r="G130" s="1"/>
  <c r="E129"/>
  <c r="F129" s="1"/>
  <c r="G129" s="1"/>
  <c r="F128"/>
  <c r="G128" s="1"/>
  <c r="E128"/>
  <c r="E127"/>
  <c r="F127" s="1"/>
  <c r="G127" s="1"/>
  <c r="E126"/>
  <c r="F126" s="1"/>
  <c r="G126" s="1"/>
  <c r="E125"/>
  <c r="F125" s="1"/>
  <c r="G125" s="1"/>
  <c r="F124"/>
  <c r="G124" s="1"/>
  <c r="E124"/>
  <c r="E123"/>
  <c r="F123" s="1"/>
  <c r="G123" s="1"/>
  <c r="E122"/>
  <c r="F122" s="1"/>
  <c r="G122" s="1"/>
  <c r="E121"/>
  <c r="F121" s="1"/>
  <c r="G121" s="1"/>
  <c r="F120"/>
  <c r="G120" s="1"/>
  <c r="E120"/>
  <c r="E119"/>
  <c r="F119" s="1"/>
  <c r="G119" s="1"/>
  <c r="E118"/>
  <c r="F118" s="1"/>
  <c r="G118" s="1"/>
  <c r="E117"/>
  <c r="F117" s="1"/>
  <c r="G117" s="1"/>
  <c r="F116"/>
  <c r="G116" s="1"/>
  <c r="E116"/>
  <c r="E115"/>
  <c r="F115" s="1"/>
  <c r="G115" s="1"/>
  <c r="E114"/>
  <c r="F114" s="1"/>
  <c r="G114" s="1"/>
  <c r="E113"/>
  <c r="F113" s="1"/>
  <c r="G113" s="1"/>
  <c r="F112"/>
  <c r="G112" s="1"/>
  <c r="E112"/>
  <c r="E111"/>
  <c r="F111" s="1"/>
  <c r="G111" s="1"/>
  <c r="E110"/>
  <c r="F110" s="1"/>
  <c r="G110" s="1"/>
  <c r="E109"/>
  <c r="F109" s="1"/>
  <c r="G109" s="1"/>
  <c r="F108"/>
  <c r="G108" s="1"/>
  <c r="E108"/>
  <c r="E107"/>
  <c r="F107" s="1"/>
  <c r="G107" s="1"/>
  <c r="E106"/>
  <c r="F106" s="1"/>
  <c r="G106" s="1"/>
  <c r="E105"/>
  <c r="F105" s="1"/>
  <c r="G105" s="1"/>
  <c r="F104"/>
  <c r="G104" s="1"/>
  <c r="E104"/>
  <c r="E103"/>
  <c r="F103" s="1"/>
  <c r="G103" s="1"/>
  <c r="E102"/>
  <c r="F102" s="1"/>
  <c r="G102" s="1"/>
  <c r="E101"/>
  <c r="F101" s="1"/>
  <c r="G101" s="1"/>
  <c r="F100"/>
  <c r="G100" s="1"/>
  <c r="E100"/>
  <c r="E99"/>
  <c r="F99" s="1"/>
  <c r="G99" s="1"/>
  <c r="E98"/>
  <c r="F98" s="1"/>
  <c r="G98" s="1"/>
  <c r="E97"/>
  <c r="F97" s="1"/>
  <c r="G97" s="1"/>
  <c r="F96"/>
  <c r="G96" s="1"/>
  <c r="E96"/>
  <c r="E95"/>
  <c r="F95" s="1"/>
  <c r="G95" s="1"/>
  <c r="E94"/>
  <c r="F94" s="1"/>
  <c r="G94" s="1"/>
  <c r="E93"/>
  <c r="F93" s="1"/>
  <c r="G93" s="1"/>
  <c r="F92"/>
  <c r="G92" s="1"/>
  <c r="E92"/>
  <c r="E91"/>
  <c r="F91" s="1"/>
  <c r="G91" s="1"/>
  <c r="E90"/>
  <c r="F90" s="1"/>
  <c r="G90" s="1"/>
  <c r="E89"/>
  <c r="F89" s="1"/>
  <c r="G89" s="1"/>
  <c r="F88"/>
  <c r="G88" s="1"/>
  <c r="E88"/>
  <c r="E87"/>
  <c r="F87" s="1"/>
  <c r="G87" s="1"/>
  <c r="E86"/>
  <c r="F86" s="1"/>
  <c r="G86" s="1"/>
  <c r="E85"/>
  <c r="F85" s="1"/>
  <c r="G85" s="1"/>
  <c r="F84"/>
  <c r="G84" s="1"/>
  <c r="E84"/>
  <c r="E83"/>
  <c r="F83" s="1"/>
  <c r="G83" s="1"/>
  <c r="E82"/>
  <c r="F82" s="1"/>
  <c r="G82" s="1"/>
  <c r="E81"/>
  <c r="F81" s="1"/>
  <c r="G81" s="1"/>
  <c r="F80"/>
  <c r="G80" s="1"/>
  <c r="E80"/>
  <c r="E79"/>
  <c r="F79" s="1"/>
  <c r="G79" s="1"/>
  <c r="E78"/>
  <c r="F78" s="1"/>
  <c r="G78" s="1"/>
  <c r="E77"/>
  <c r="F77" s="1"/>
  <c r="G77" s="1"/>
  <c r="F76"/>
  <c r="G76" s="1"/>
  <c r="E76"/>
  <c r="E75"/>
  <c r="F75" s="1"/>
  <c r="G75" s="1"/>
  <c r="E74"/>
  <c r="F74" s="1"/>
  <c r="G74" s="1"/>
  <c r="E73"/>
  <c r="F73" s="1"/>
  <c r="G73" s="1"/>
  <c r="F72"/>
  <c r="G72" s="1"/>
  <c r="E72"/>
  <c r="E71"/>
  <c r="F71" s="1"/>
  <c r="G71" s="1"/>
  <c r="E70"/>
  <c r="F70" s="1"/>
  <c r="G70" s="1"/>
  <c r="E69"/>
  <c r="F69" s="1"/>
  <c r="G69" s="1"/>
  <c r="F68"/>
  <c r="G68" s="1"/>
  <c r="E68"/>
  <c r="E67"/>
  <c r="F67" s="1"/>
  <c r="G67" s="1"/>
  <c r="E66"/>
  <c r="F66" s="1"/>
  <c r="G66" s="1"/>
  <c r="E65"/>
  <c r="F65" s="1"/>
  <c r="G65" s="1"/>
  <c r="F64"/>
  <c r="G64" s="1"/>
  <c r="E64"/>
  <c r="E63"/>
  <c r="F63" s="1"/>
  <c r="G63" s="1"/>
  <c r="E62"/>
  <c r="F62" s="1"/>
  <c r="G62" s="1"/>
  <c r="E61"/>
  <c r="F61" s="1"/>
  <c r="G61" s="1"/>
  <c r="F60"/>
  <c r="G60" s="1"/>
  <c r="E60"/>
  <c r="E59"/>
  <c r="F59" s="1"/>
  <c r="G59" s="1"/>
  <c r="E58"/>
  <c r="F58" s="1"/>
  <c r="G58" s="1"/>
  <c r="E57"/>
  <c r="F57" s="1"/>
  <c r="G57" s="1"/>
  <c r="F56"/>
  <c r="G56" s="1"/>
  <c r="E56"/>
  <c r="E55"/>
  <c r="F55" s="1"/>
  <c r="G55" s="1"/>
  <c r="E54"/>
  <c r="F54" s="1"/>
  <c r="G54" s="1"/>
  <c r="E53"/>
  <c r="F53" s="1"/>
  <c r="G53" s="1"/>
  <c r="F52"/>
  <c r="G52" s="1"/>
  <c r="E52"/>
  <c r="E51"/>
  <c r="F51" s="1"/>
  <c r="G51" s="1"/>
  <c r="E50"/>
  <c r="F50" s="1"/>
  <c r="G50" s="1"/>
  <c r="E49"/>
  <c r="F49" s="1"/>
  <c r="G49" s="1"/>
  <c r="F48"/>
  <c r="G48" s="1"/>
  <c r="E48"/>
  <c r="E47"/>
  <c r="F47" s="1"/>
  <c r="G47" s="1"/>
  <c r="E46"/>
  <c r="F46" s="1"/>
  <c r="G46" s="1"/>
  <c r="E45"/>
  <c r="F45" s="1"/>
  <c r="G45" s="1"/>
  <c r="F44"/>
  <c r="G44" s="1"/>
  <c r="E44"/>
  <c r="E43"/>
  <c r="F43" s="1"/>
  <c r="G43" s="1"/>
  <c r="E42"/>
  <c r="F42" s="1"/>
  <c r="G42" s="1"/>
  <c r="E41"/>
  <c r="F41" s="1"/>
  <c r="G41" s="1"/>
  <c r="F40"/>
  <c r="G40" s="1"/>
  <c r="E40"/>
  <c r="E39"/>
  <c r="F39" s="1"/>
  <c r="G39" s="1"/>
  <c r="E38"/>
  <c r="F38" s="1"/>
  <c r="G38" s="1"/>
  <c r="E37"/>
  <c r="F37" s="1"/>
  <c r="G37" s="1"/>
  <c r="F36"/>
  <c r="G36" s="1"/>
  <c r="E36"/>
  <c r="E35"/>
  <c r="F35" s="1"/>
  <c r="G35" s="1"/>
  <c r="E34"/>
  <c r="F34" s="1"/>
  <c r="G34" s="1"/>
  <c r="E33"/>
  <c r="F33" s="1"/>
  <c r="G33" s="1"/>
  <c r="F32"/>
  <c r="G32" s="1"/>
  <c r="H32" s="1"/>
  <c r="J32" s="1"/>
  <c r="E32"/>
  <c r="E31"/>
  <c r="F31" s="1"/>
  <c r="G31" s="1"/>
  <c r="H31" s="1"/>
  <c r="J31" s="1"/>
  <c r="E30"/>
  <c r="F30" s="1"/>
  <c r="G30" s="1"/>
  <c r="E29"/>
  <c r="F29" s="1"/>
  <c r="G29" s="1"/>
  <c r="F28"/>
  <c r="G28" s="1"/>
  <c r="H28" s="1"/>
  <c r="J28" s="1"/>
  <c r="E28"/>
  <c r="E27"/>
  <c r="F27" s="1"/>
  <c r="G27" s="1"/>
  <c r="H27" s="1"/>
  <c r="J27" s="1"/>
  <c r="E26"/>
  <c r="F26" s="1"/>
  <c r="G26" s="1"/>
  <c r="E25"/>
  <c r="F25" s="1"/>
  <c r="G25" s="1"/>
  <c r="F24"/>
  <c r="G24" s="1"/>
  <c r="H24" s="1"/>
  <c r="J24" s="1"/>
  <c r="E24"/>
  <c r="E23"/>
  <c r="F23" s="1"/>
  <c r="G23" s="1"/>
  <c r="H23" s="1"/>
  <c r="J23" s="1"/>
  <c r="E22"/>
  <c r="F22" s="1"/>
  <c r="G22" s="1"/>
  <c r="K8"/>
  <c r="I10" s="1"/>
  <c r="I12" s="1"/>
  <c r="F187" i="15"/>
  <c r="G187" s="1"/>
  <c r="F186"/>
  <c r="G186" s="1"/>
  <c r="F185"/>
  <c r="G185" s="1"/>
  <c r="F184"/>
  <c r="G184" s="1"/>
  <c r="F183"/>
  <c r="G183" s="1"/>
  <c r="F182"/>
  <c r="G182" s="1"/>
  <c r="F181"/>
  <c r="G181" s="1"/>
  <c r="F180"/>
  <c r="G180" s="1"/>
  <c r="F179"/>
  <c r="G179" s="1"/>
  <c r="F178"/>
  <c r="G178" s="1"/>
  <c r="F177"/>
  <c r="G177" s="1"/>
  <c r="F176"/>
  <c r="G176" s="1"/>
  <c r="F175"/>
  <c r="G175" s="1"/>
  <c r="F174"/>
  <c r="G174" s="1"/>
  <c r="F173"/>
  <c r="G173" s="1"/>
  <c r="F172"/>
  <c r="G172" s="1"/>
  <c r="F171"/>
  <c r="G171" s="1"/>
  <c r="F170"/>
  <c r="G170" s="1"/>
  <c r="F169"/>
  <c r="G169" s="1"/>
  <c r="F168"/>
  <c r="G168" s="1"/>
  <c r="F167"/>
  <c r="G167" s="1"/>
  <c r="F166"/>
  <c r="G166" s="1"/>
  <c r="F165"/>
  <c r="G165" s="1"/>
  <c r="F164"/>
  <c r="G164" s="1"/>
  <c r="F163"/>
  <c r="G163" s="1"/>
  <c r="F162"/>
  <c r="G162" s="1"/>
  <c r="F161"/>
  <c r="G161" s="1"/>
  <c r="F160"/>
  <c r="G160" s="1"/>
  <c r="F159"/>
  <c r="G159" s="1"/>
  <c r="F158"/>
  <c r="G158" s="1"/>
  <c r="F157"/>
  <c r="G157" s="1"/>
  <c r="F156"/>
  <c r="G156" s="1"/>
  <c r="F155"/>
  <c r="G155" s="1"/>
  <c r="F154"/>
  <c r="G154" s="1"/>
  <c r="F153"/>
  <c r="G153" s="1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K8"/>
  <c r="I10" s="1"/>
  <c r="I12" s="1"/>
  <c r="F1" i="6"/>
  <c r="E162" i="13"/>
  <c r="F162" s="1"/>
  <c r="G162" s="1"/>
  <c r="E161"/>
  <c r="E160"/>
  <c r="F160" s="1"/>
  <c r="G160" s="1"/>
  <c r="E159"/>
  <c r="E158"/>
  <c r="F158" s="1"/>
  <c r="G158" s="1"/>
  <c r="E157"/>
  <c r="E156"/>
  <c r="F156" s="1"/>
  <c r="G156" s="1"/>
  <c r="E155"/>
  <c r="E154"/>
  <c r="F154" s="1"/>
  <c r="G154" s="1"/>
  <c r="E153"/>
  <c r="E152"/>
  <c r="F152" s="1"/>
  <c r="G152" s="1"/>
  <c r="E151"/>
  <c r="E150"/>
  <c r="F150" s="1"/>
  <c r="G150" s="1"/>
  <c r="E149"/>
  <c r="E148"/>
  <c r="F148" s="1"/>
  <c r="G148" s="1"/>
  <c r="E147"/>
  <c r="E146"/>
  <c r="F146" s="1"/>
  <c r="G146" s="1"/>
  <c r="E145"/>
  <c r="E144"/>
  <c r="F144" s="1"/>
  <c r="G144" s="1"/>
  <c r="E143"/>
  <c r="E142"/>
  <c r="F142" s="1"/>
  <c r="G142" s="1"/>
  <c r="E141"/>
  <c r="E140"/>
  <c r="F140" s="1"/>
  <c r="G140" s="1"/>
  <c r="E139"/>
  <c r="E138"/>
  <c r="F138" s="1"/>
  <c r="G138" s="1"/>
  <c r="E137"/>
  <c r="E136"/>
  <c r="F136" s="1"/>
  <c r="G136" s="1"/>
  <c r="E135"/>
  <c r="E134"/>
  <c r="F134" s="1"/>
  <c r="G134" s="1"/>
  <c r="E133"/>
  <c r="E132"/>
  <c r="F132" s="1"/>
  <c r="G132" s="1"/>
  <c r="E131"/>
  <c r="E130"/>
  <c r="F130" s="1"/>
  <c r="G130" s="1"/>
  <c r="E129"/>
  <c r="E128"/>
  <c r="F128" s="1"/>
  <c r="G128" s="1"/>
  <c r="E127"/>
  <c r="E126"/>
  <c r="F126" s="1"/>
  <c r="G126" s="1"/>
  <c r="E125"/>
  <c r="E124"/>
  <c r="F124" s="1"/>
  <c r="G124" s="1"/>
  <c r="E123"/>
  <c r="E122"/>
  <c r="F122" s="1"/>
  <c r="G122" s="1"/>
  <c r="E121"/>
  <c r="E120"/>
  <c r="F120" s="1"/>
  <c r="G120" s="1"/>
  <c r="E119"/>
  <c r="E118"/>
  <c r="F118" s="1"/>
  <c r="G118" s="1"/>
  <c r="E117"/>
  <c r="E116"/>
  <c r="F116" s="1"/>
  <c r="G116" s="1"/>
  <c r="E115"/>
  <c r="E114"/>
  <c r="F114" s="1"/>
  <c r="G114" s="1"/>
  <c r="E113"/>
  <c r="E112"/>
  <c r="F112" s="1"/>
  <c r="G112" s="1"/>
  <c r="E111"/>
  <c r="E110"/>
  <c r="F110" s="1"/>
  <c r="G110" s="1"/>
  <c r="E109"/>
  <c r="E108"/>
  <c r="F108" s="1"/>
  <c r="G108" s="1"/>
  <c r="E107"/>
  <c r="E106"/>
  <c r="F106" s="1"/>
  <c r="G106" s="1"/>
  <c r="E105"/>
  <c r="E104"/>
  <c r="F104" s="1"/>
  <c r="G104" s="1"/>
  <c r="E103"/>
  <c r="E102"/>
  <c r="F102" s="1"/>
  <c r="G102" s="1"/>
  <c r="E101"/>
  <c r="E100"/>
  <c r="F100" s="1"/>
  <c r="G100" s="1"/>
  <c r="E99"/>
  <c r="E98"/>
  <c r="F98" s="1"/>
  <c r="G98" s="1"/>
  <c r="E97"/>
  <c r="E96"/>
  <c r="F96" s="1"/>
  <c r="G96" s="1"/>
  <c r="E95"/>
  <c r="E94"/>
  <c r="F94" s="1"/>
  <c r="G94" s="1"/>
  <c r="E93"/>
  <c r="E92"/>
  <c r="F92" s="1"/>
  <c r="G92" s="1"/>
  <c r="E91"/>
  <c r="E90"/>
  <c r="F90" s="1"/>
  <c r="G90" s="1"/>
  <c r="E89"/>
  <c r="E88"/>
  <c r="F88" s="1"/>
  <c r="G88" s="1"/>
  <c r="E87"/>
  <c r="E86"/>
  <c r="F86" s="1"/>
  <c r="G86" s="1"/>
  <c r="E85"/>
  <c r="E84"/>
  <c r="F84" s="1"/>
  <c r="G84" s="1"/>
  <c r="E83"/>
  <c r="E82"/>
  <c r="F82" s="1"/>
  <c r="G82" s="1"/>
  <c r="E81"/>
  <c r="E80"/>
  <c r="F80" s="1"/>
  <c r="G80" s="1"/>
  <c r="E79"/>
  <c r="E78"/>
  <c r="F78" s="1"/>
  <c r="G78" s="1"/>
  <c r="E77"/>
  <c r="E76"/>
  <c r="F76" s="1"/>
  <c r="G76" s="1"/>
  <c r="E75"/>
  <c r="E74"/>
  <c r="F74" s="1"/>
  <c r="G74" s="1"/>
  <c r="E73"/>
  <c r="E72"/>
  <c r="F72" s="1"/>
  <c r="G72" s="1"/>
  <c r="E71"/>
  <c r="E70"/>
  <c r="F70" s="1"/>
  <c r="G70" s="1"/>
  <c r="E69"/>
  <c r="E68"/>
  <c r="F68" s="1"/>
  <c r="G68" s="1"/>
  <c r="E67"/>
  <c r="E66"/>
  <c r="F66" s="1"/>
  <c r="G66" s="1"/>
  <c r="E65"/>
  <c r="E64"/>
  <c r="F64" s="1"/>
  <c r="G64" s="1"/>
  <c r="E63"/>
  <c r="E62"/>
  <c r="F62" s="1"/>
  <c r="G62" s="1"/>
  <c r="E61"/>
  <c r="E60"/>
  <c r="F60" s="1"/>
  <c r="G60" s="1"/>
  <c r="E59"/>
  <c r="E58"/>
  <c r="F58" s="1"/>
  <c r="G58" s="1"/>
  <c r="E57"/>
  <c r="E56"/>
  <c r="F56" s="1"/>
  <c r="G56" s="1"/>
  <c r="E55"/>
  <c r="E54"/>
  <c r="F54" s="1"/>
  <c r="G54" s="1"/>
  <c r="E53"/>
  <c r="E52"/>
  <c r="F52" s="1"/>
  <c r="G52" s="1"/>
  <c r="E51"/>
  <c r="E50"/>
  <c r="F50" s="1"/>
  <c r="G50" s="1"/>
  <c r="E49"/>
  <c r="E48"/>
  <c r="F48" s="1"/>
  <c r="G48" s="1"/>
  <c r="E47"/>
  <c r="E46"/>
  <c r="F46" s="1"/>
  <c r="G46" s="1"/>
  <c r="E45"/>
  <c r="E44"/>
  <c r="F44" s="1"/>
  <c r="G44" s="1"/>
  <c r="E43"/>
  <c r="E42"/>
  <c r="F42" s="1"/>
  <c r="G42" s="1"/>
  <c r="E41"/>
  <c r="E40"/>
  <c r="F40" s="1"/>
  <c r="G40" s="1"/>
  <c r="E39"/>
  <c r="E38"/>
  <c r="F38" s="1"/>
  <c r="G38" s="1"/>
  <c r="E37"/>
  <c r="E36"/>
  <c r="F36" s="1"/>
  <c r="G36" s="1"/>
  <c r="E35"/>
  <c r="E34"/>
  <c r="F34" s="1"/>
  <c r="G34" s="1"/>
  <c r="E33"/>
  <c r="E32"/>
  <c r="F32" s="1"/>
  <c r="G32" s="1"/>
  <c r="E31"/>
  <c r="E30"/>
  <c r="F30" s="1"/>
  <c r="G30" s="1"/>
  <c r="E29"/>
  <c r="E28"/>
  <c r="F28" s="1"/>
  <c r="G28" s="1"/>
  <c r="E27"/>
  <c r="E26"/>
  <c r="F26" s="1"/>
  <c r="G26" s="1"/>
  <c r="E25"/>
  <c r="E24"/>
  <c r="F24" s="1"/>
  <c r="G24" s="1"/>
  <c r="E23"/>
  <c r="E22"/>
  <c r="F22" s="1"/>
  <c r="G22" s="1"/>
  <c r="F187" i="14"/>
  <c r="G187" s="1"/>
  <c r="F186"/>
  <c r="G186" s="1"/>
  <c r="F185"/>
  <c r="G185" s="1"/>
  <c r="F184"/>
  <c r="G184" s="1"/>
  <c r="F183"/>
  <c r="G183" s="1"/>
  <c r="F182"/>
  <c r="G182" s="1"/>
  <c r="F181"/>
  <c r="G181" s="1"/>
  <c r="F180"/>
  <c r="G180" s="1"/>
  <c r="F179"/>
  <c r="G179" s="1"/>
  <c r="F178"/>
  <c r="G178" s="1"/>
  <c r="F177"/>
  <c r="G177" s="1"/>
  <c r="F176"/>
  <c r="G176" s="1"/>
  <c r="F175"/>
  <c r="G175" s="1"/>
  <c r="F174"/>
  <c r="G174" s="1"/>
  <c r="F173"/>
  <c r="G173" s="1"/>
  <c r="F172"/>
  <c r="G172" s="1"/>
  <c r="F171"/>
  <c r="G171" s="1"/>
  <c r="F170"/>
  <c r="G170" s="1"/>
  <c r="F169"/>
  <c r="G169" s="1"/>
  <c r="F168"/>
  <c r="G168" s="1"/>
  <c r="F167"/>
  <c r="G167" s="1"/>
  <c r="F166"/>
  <c r="G166" s="1"/>
  <c r="F165"/>
  <c r="G165" s="1"/>
  <c r="F164"/>
  <c r="G164" s="1"/>
  <c r="F163"/>
  <c r="G163" s="1"/>
  <c r="F162"/>
  <c r="G162" s="1"/>
  <c r="F161"/>
  <c r="G161" s="1"/>
  <c r="F160"/>
  <c r="G160" s="1"/>
  <c r="F159"/>
  <c r="G159" s="1"/>
  <c r="F158"/>
  <c r="G158" s="1"/>
  <c r="F157"/>
  <c r="G157" s="1"/>
  <c r="F156"/>
  <c r="G156" s="1"/>
  <c r="F155"/>
  <c r="G155" s="1"/>
  <c r="F154"/>
  <c r="G154" s="1"/>
  <c r="F153"/>
  <c r="G153" s="1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K8"/>
  <c r="I10" s="1"/>
  <c r="H111" s="1"/>
  <c r="J111" s="1"/>
  <c r="F161" i="13"/>
  <c r="G161" s="1"/>
  <c r="F159"/>
  <c r="G159" s="1"/>
  <c r="F157"/>
  <c r="G157" s="1"/>
  <c r="F155"/>
  <c r="G155" s="1"/>
  <c r="F153"/>
  <c r="G153" s="1"/>
  <c r="F151"/>
  <c r="G151" s="1"/>
  <c r="F149"/>
  <c r="G149" s="1"/>
  <c r="F147"/>
  <c r="G147" s="1"/>
  <c r="F145"/>
  <c r="G145" s="1"/>
  <c r="F143"/>
  <c r="G143" s="1"/>
  <c r="F141"/>
  <c r="G141" s="1"/>
  <c r="F139"/>
  <c r="G139" s="1"/>
  <c r="F137"/>
  <c r="G137" s="1"/>
  <c r="F135"/>
  <c r="G135" s="1"/>
  <c r="F133"/>
  <c r="G133" s="1"/>
  <c r="F131"/>
  <c r="G131" s="1"/>
  <c r="F129"/>
  <c r="G129" s="1"/>
  <c r="F127"/>
  <c r="G127" s="1"/>
  <c r="F125"/>
  <c r="G125" s="1"/>
  <c r="F123"/>
  <c r="G123" s="1"/>
  <c r="F121"/>
  <c r="G121" s="1"/>
  <c r="F119"/>
  <c r="G119" s="1"/>
  <c r="F117"/>
  <c r="G117" s="1"/>
  <c r="F115"/>
  <c r="G115" s="1"/>
  <c r="F113"/>
  <c r="G113" s="1"/>
  <c r="F111"/>
  <c r="G111" s="1"/>
  <c r="F109"/>
  <c r="G109" s="1"/>
  <c r="F107"/>
  <c r="G107" s="1"/>
  <c r="F105"/>
  <c r="G105" s="1"/>
  <c r="F103"/>
  <c r="G103" s="1"/>
  <c r="F101"/>
  <c r="G101" s="1"/>
  <c r="F99"/>
  <c r="G99" s="1"/>
  <c r="F97"/>
  <c r="G97" s="1"/>
  <c r="F95"/>
  <c r="G95" s="1"/>
  <c r="F93"/>
  <c r="G93" s="1"/>
  <c r="F91"/>
  <c r="G91" s="1"/>
  <c r="F89"/>
  <c r="G89" s="1"/>
  <c r="F87"/>
  <c r="G87" s="1"/>
  <c r="F85"/>
  <c r="G85" s="1"/>
  <c r="F83"/>
  <c r="G83" s="1"/>
  <c r="F81"/>
  <c r="G81" s="1"/>
  <c r="F79"/>
  <c r="G79" s="1"/>
  <c r="F77"/>
  <c r="G77" s="1"/>
  <c r="F75"/>
  <c r="G75" s="1"/>
  <c r="F73"/>
  <c r="G73" s="1"/>
  <c r="F71"/>
  <c r="G71" s="1"/>
  <c r="F69"/>
  <c r="G69" s="1"/>
  <c r="F67"/>
  <c r="G67" s="1"/>
  <c r="F65"/>
  <c r="G65" s="1"/>
  <c r="F63"/>
  <c r="G63" s="1"/>
  <c r="F61"/>
  <c r="G61" s="1"/>
  <c r="F59"/>
  <c r="G59" s="1"/>
  <c r="F57"/>
  <c r="G57" s="1"/>
  <c r="F55"/>
  <c r="G55" s="1"/>
  <c r="F53"/>
  <c r="G53" s="1"/>
  <c r="F51"/>
  <c r="G51" s="1"/>
  <c r="F49"/>
  <c r="G49" s="1"/>
  <c r="F47"/>
  <c r="G47" s="1"/>
  <c r="F45"/>
  <c r="G45" s="1"/>
  <c r="F43"/>
  <c r="G43" s="1"/>
  <c r="F41"/>
  <c r="G41" s="1"/>
  <c r="F39"/>
  <c r="G39" s="1"/>
  <c r="F37"/>
  <c r="G37" s="1"/>
  <c r="F35"/>
  <c r="G35" s="1"/>
  <c r="F33"/>
  <c r="G33" s="1"/>
  <c r="F31"/>
  <c r="G31" s="1"/>
  <c r="F29"/>
  <c r="G29" s="1"/>
  <c r="F27"/>
  <c r="G27" s="1"/>
  <c r="F25"/>
  <c r="G25" s="1"/>
  <c r="F23"/>
  <c r="G23" s="1"/>
  <c r="K8"/>
  <c r="I10" s="1"/>
  <c r="I12" s="1"/>
  <c r="T26" i="8"/>
  <c r="T27"/>
  <c r="T28"/>
  <c r="T29"/>
  <c r="T25"/>
  <c r="T22"/>
  <c r="T23"/>
  <c r="T24"/>
  <c r="T21"/>
  <c r="P22"/>
  <c r="P7"/>
  <c r="P8"/>
  <c r="P9"/>
  <c r="P10"/>
  <c r="P11"/>
  <c r="P12"/>
  <c r="P13"/>
  <c r="P14"/>
  <c r="P15"/>
  <c r="P6"/>
  <c r="U7"/>
  <c r="U8"/>
  <c r="U9"/>
  <c r="U10"/>
  <c r="U11"/>
  <c r="U12"/>
  <c r="U13"/>
  <c r="U14"/>
  <c r="U15"/>
  <c r="U6"/>
  <c r="T7"/>
  <c r="T8"/>
  <c r="T9"/>
  <c r="T10"/>
  <c r="T11"/>
  <c r="T12"/>
  <c r="T13"/>
  <c r="T14"/>
  <c r="T15"/>
  <c r="T6"/>
  <c r="F15" i="7"/>
  <c r="F16"/>
  <c r="F17"/>
  <c r="F14"/>
  <c r="F7" i="6"/>
  <c r="F4"/>
  <c r="D6" s="1"/>
  <c r="E19" s="1"/>
  <c r="K18" s="1"/>
  <c r="M18" s="1"/>
  <c r="E9" i="1"/>
  <c r="I22" i="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21"/>
  <c r="G25" i="5"/>
  <c r="G26"/>
  <c r="G27"/>
  <c r="G28"/>
  <c r="G29"/>
  <c r="G30"/>
  <c r="G31"/>
  <c r="G32"/>
  <c r="G33"/>
  <c r="G24"/>
  <c r="E25"/>
  <c r="E26"/>
  <c r="E27"/>
  <c r="E28"/>
  <c r="E29"/>
  <c r="E30"/>
  <c r="E31"/>
  <c r="E32"/>
  <c r="E33"/>
  <c r="E24"/>
  <c r="M25"/>
  <c r="M26"/>
  <c r="M27"/>
  <c r="M28"/>
  <c r="M29"/>
  <c r="M30"/>
  <c r="M31"/>
  <c r="M32"/>
  <c r="M33"/>
  <c r="M24"/>
  <c r="L25"/>
  <c r="L26"/>
  <c r="L27"/>
  <c r="L28"/>
  <c r="L29"/>
  <c r="L30"/>
  <c r="L31"/>
  <c r="L32"/>
  <c r="L33"/>
  <c r="L24"/>
  <c r="J19"/>
  <c r="J26"/>
  <c r="J27"/>
  <c r="J28"/>
  <c r="J29"/>
  <c r="J30"/>
  <c r="J31"/>
  <c r="J32"/>
  <c r="J33"/>
  <c r="J25"/>
  <c r="P9" i="1"/>
  <c r="AB32"/>
  <c r="Y32"/>
  <c r="X32"/>
  <c r="X34"/>
  <c r="X35"/>
  <c r="X36"/>
  <c r="X37"/>
  <c r="X38"/>
  <c r="X39"/>
  <c r="X40"/>
  <c r="X41"/>
  <c r="X42"/>
  <c r="X33"/>
  <c r="Y34"/>
  <c r="AB34"/>
  <c r="Y35"/>
  <c r="AB35"/>
  <c r="Y36"/>
  <c r="AB36"/>
  <c r="Y37"/>
  <c r="AB37"/>
  <c r="Y38"/>
  <c r="AB38"/>
  <c r="Y39"/>
  <c r="AB39"/>
  <c r="Y40"/>
  <c r="AB40"/>
  <c r="Y41"/>
  <c r="AB41"/>
  <c r="Y42"/>
  <c r="AB42"/>
  <c r="Y33"/>
  <c r="AB33"/>
  <c r="H8" i="2"/>
  <c r="H11"/>
  <c r="D37"/>
  <c r="E37" s="1"/>
  <c r="D38"/>
  <c r="E38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/>
  <c r="D47"/>
  <c r="E47" s="1"/>
  <c r="D48"/>
  <c r="E48" s="1"/>
  <c r="D49"/>
  <c r="E49" s="1"/>
  <c r="D50"/>
  <c r="E50"/>
  <c r="D51"/>
  <c r="E51" s="1"/>
  <c r="F51" s="1"/>
  <c r="D52"/>
  <c r="E52"/>
  <c r="D53"/>
  <c r="E53" s="1"/>
  <c r="D54"/>
  <c r="E54" s="1"/>
  <c r="D55"/>
  <c r="E55" s="1"/>
  <c r="F55" s="1"/>
  <c r="D56"/>
  <c r="E56"/>
  <c r="D57"/>
  <c r="E57" s="1"/>
  <c r="D58"/>
  <c r="E58" s="1"/>
  <c r="D59"/>
  <c r="E59" s="1"/>
  <c r="F59" s="1"/>
  <c r="D60"/>
  <c r="E60"/>
  <c r="D61"/>
  <c r="E61" s="1"/>
  <c r="D62"/>
  <c r="E62" s="1"/>
  <c r="D63"/>
  <c r="E63" s="1"/>
  <c r="F63" s="1"/>
  <c r="D64"/>
  <c r="E64"/>
  <c r="D65"/>
  <c r="E65" s="1"/>
  <c r="D66"/>
  <c r="E66" s="1"/>
  <c r="D67"/>
  <c r="E67" s="1"/>
  <c r="F67" s="1"/>
  <c r="D68"/>
  <c r="E68"/>
  <c r="D69"/>
  <c r="E69" s="1"/>
  <c r="D70"/>
  <c r="E70" s="1"/>
  <c r="D71"/>
  <c r="E71" s="1"/>
  <c r="F71" s="1"/>
  <c r="D72"/>
  <c r="E72"/>
  <c r="D73"/>
  <c r="E73" s="1"/>
  <c r="D74"/>
  <c r="E74" s="1"/>
  <c r="D75"/>
  <c r="E75" s="1"/>
  <c r="F75" s="1"/>
  <c r="D76"/>
  <c r="E76"/>
  <c r="D77"/>
  <c r="E77" s="1"/>
  <c r="D78"/>
  <c r="E78" s="1"/>
  <c r="D79"/>
  <c r="E79" s="1"/>
  <c r="F79" s="1"/>
  <c r="D80"/>
  <c r="E80"/>
  <c r="D81"/>
  <c r="E81" s="1"/>
  <c r="D82"/>
  <c r="E82" s="1"/>
  <c r="D5" i="1"/>
  <c r="F5"/>
  <c r="F11"/>
  <c r="D13"/>
  <c r="D21" i="2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F32" s="1"/>
  <c r="H32" s="1"/>
  <c r="D33"/>
  <c r="E33" s="1"/>
  <c r="D34"/>
  <c r="E34" s="1"/>
  <c r="D35"/>
  <c r="E35" s="1"/>
  <c r="D36"/>
  <c r="E36" s="1"/>
  <c r="F36" s="1"/>
  <c r="D20"/>
  <c r="E20" s="1"/>
  <c r="N5" i="1"/>
  <c r="P5"/>
  <c r="P11"/>
  <c r="N13"/>
  <c r="E14" i="2"/>
  <c r="C16" s="1"/>
  <c r="I8" s="1"/>
  <c r="J8" s="1"/>
  <c r="C11"/>
  <c r="C10"/>
  <c r="H22" i="15" l="1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J82" s="1"/>
  <c r="H84"/>
  <c r="J84" s="1"/>
  <c r="H86"/>
  <c r="J86" s="1"/>
  <c r="H88"/>
  <c r="J88" s="1"/>
  <c r="H90"/>
  <c r="J90" s="1"/>
  <c r="H92"/>
  <c r="J92" s="1"/>
  <c r="H94"/>
  <c r="J94" s="1"/>
  <c r="H96"/>
  <c r="J96" s="1"/>
  <c r="H98"/>
  <c r="J98" s="1"/>
  <c r="H23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H89"/>
  <c r="J89" s="1"/>
  <c r="H91"/>
  <c r="J91" s="1"/>
  <c r="H93"/>
  <c r="J93" s="1"/>
  <c r="H95"/>
  <c r="J95" s="1"/>
  <c r="H97"/>
  <c r="J97" s="1"/>
  <c r="H99"/>
  <c r="J99" s="1"/>
  <c r="E4" i="7"/>
  <c r="E7" s="1"/>
  <c r="E9" s="1"/>
  <c r="H9" s="1"/>
  <c r="J7"/>
  <c r="J9" i="8"/>
  <c r="J15"/>
  <c r="P23"/>
  <c r="P21"/>
  <c r="H22" i="19"/>
  <c r="J22" s="1"/>
  <c r="H23"/>
  <c r="J23" s="1"/>
  <c r="H26"/>
  <c r="J26" s="1"/>
  <c r="H27"/>
  <c r="J27" s="1"/>
  <c r="H30"/>
  <c r="J30" s="1"/>
  <c r="H31"/>
  <c r="J31" s="1"/>
  <c r="H34"/>
  <c r="J34" s="1"/>
  <c r="H35"/>
  <c r="J35" s="1"/>
  <c r="H38"/>
  <c r="J38" s="1"/>
  <c r="H39"/>
  <c r="J39" s="1"/>
  <c r="H42"/>
  <c r="J42" s="1"/>
  <c r="H43"/>
  <c r="J43" s="1"/>
  <c r="H46"/>
  <c r="J46" s="1"/>
  <c r="H47"/>
  <c r="J47" s="1"/>
  <c r="H24"/>
  <c r="J24" s="1"/>
  <c r="H25"/>
  <c r="J25" s="1"/>
  <c r="H28"/>
  <c r="J28" s="1"/>
  <c r="H29"/>
  <c r="J29" s="1"/>
  <c r="H32"/>
  <c r="J32" s="1"/>
  <c r="H33"/>
  <c r="J33" s="1"/>
  <c r="H36"/>
  <c r="J36" s="1"/>
  <c r="H37"/>
  <c r="J37" s="1"/>
  <c r="H40"/>
  <c r="J40" s="1"/>
  <c r="H41"/>
  <c r="J41" s="1"/>
  <c r="H44"/>
  <c r="J44" s="1"/>
  <c r="H45"/>
  <c r="J45" s="1"/>
  <c r="H48"/>
  <c r="J48" s="1"/>
  <c r="H50"/>
  <c r="J50" s="1"/>
  <c r="H51"/>
  <c r="J51" s="1"/>
  <c r="H54"/>
  <c r="J54" s="1"/>
  <c r="H55"/>
  <c r="J55" s="1"/>
  <c r="H58"/>
  <c r="J58" s="1"/>
  <c r="H59"/>
  <c r="J59" s="1"/>
  <c r="H62"/>
  <c r="J62" s="1"/>
  <c r="H63"/>
  <c r="J63" s="1"/>
  <c r="H66"/>
  <c r="J66" s="1"/>
  <c r="H67"/>
  <c r="J67" s="1"/>
  <c r="H70"/>
  <c r="J70" s="1"/>
  <c r="H71"/>
  <c r="J71" s="1"/>
  <c r="H74"/>
  <c r="J74" s="1"/>
  <c r="H75"/>
  <c r="J75" s="1"/>
  <c r="H78"/>
  <c r="J78" s="1"/>
  <c r="H79"/>
  <c r="J79" s="1"/>
  <c r="H82"/>
  <c r="J82" s="1"/>
  <c r="H83"/>
  <c r="J83" s="1"/>
  <c r="H86"/>
  <c r="J86" s="1"/>
  <c r="H87"/>
  <c r="J87" s="1"/>
  <c r="H90"/>
  <c r="J90" s="1"/>
  <c r="H91"/>
  <c r="J91" s="1"/>
  <c r="H94"/>
  <c r="J94" s="1"/>
  <c r="H95"/>
  <c r="J95" s="1"/>
  <c r="H98"/>
  <c r="J98" s="1"/>
  <c r="H99"/>
  <c r="J99" s="1"/>
  <c r="H102"/>
  <c r="J102" s="1"/>
  <c r="H103"/>
  <c r="J103" s="1"/>
  <c r="H106"/>
  <c r="J106" s="1"/>
  <c r="H107"/>
  <c r="J107" s="1"/>
  <c r="H110"/>
  <c r="J110" s="1"/>
  <c r="H111"/>
  <c r="J111" s="1"/>
  <c r="H114"/>
  <c r="J114" s="1"/>
  <c r="H115"/>
  <c r="J115" s="1"/>
  <c r="H118"/>
  <c r="J118" s="1"/>
  <c r="H119"/>
  <c r="J119" s="1"/>
  <c r="H122"/>
  <c r="J122" s="1"/>
  <c r="H123"/>
  <c r="J123" s="1"/>
  <c r="H126"/>
  <c r="J126" s="1"/>
  <c r="H127"/>
  <c r="J127" s="1"/>
  <c r="H130"/>
  <c r="J130" s="1"/>
  <c r="H131"/>
  <c r="J131" s="1"/>
  <c r="H134"/>
  <c r="J134" s="1"/>
  <c r="H135"/>
  <c r="J135" s="1"/>
  <c r="H138"/>
  <c r="J138" s="1"/>
  <c r="H139"/>
  <c r="J139" s="1"/>
  <c r="H142"/>
  <c r="J142" s="1"/>
  <c r="H143"/>
  <c r="J143" s="1"/>
  <c r="H146"/>
  <c r="J146" s="1"/>
  <c r="H147"/>
  <c r="J147" s="1"/>
  <c r="H150"/>
  <c r="J150" s="1"/>
  <c r="H151"/>
  <c r="J151" s="1"/>
  <c r="H154"/>
  <c r="J154" s="1"/>
  <c r="H155"/>
  <c r="J155" s="1"/>
  <c r="H158"/>
  <c r="J158" s="1"/>
  <c r="H159"/>
  <c r="J159" s="1"/>
  <c r="H162"/>
  <c r="J162" s="1"/>
  <c r="H49"/>
  <c r="J49" s="1"/>
  <c r="H52"/>
  <c r="H53"/>
  <c r="J53" s="1"/>
  <c r="H56"/>
  <c r="J56" s="1"/>
  <c r="H57"/>
  <c r="J57" s="1"/>
  <c r="H60"/>
  <c r="J60" s="1"/>
  <c r="H61"/>
  <c r="J61" s="1"/>
  <c r="H64"/>
  <c r="J64" s="1"/>
  <c r="H65"/>
  <c r="J65" s="1"/>
  <c r="H68"/>
  <c r="J68" s="1"/>
  <c r="H69"/>
  <c r="J69" s="1"/>
  <c r="H72"/>
  <c r="J72" s="1"/>
  <c r="H73"/>
  <c r="J73" s="1"/>
  <c r="H76"/>
  <c r="J76" s="1"/>
  <c r="H77"/>
  <c r="J77" s="1"/>
  <c r="H80"/>
  <c r="J80" s="1"/>
  <c r="H81"/>
  <c r="J81" s="1"/>
  <c r="H84"/>
  <c r="J84" s="1"/>
  <c r="H85"/>
  <c r="J85" s="1"/>
  <c r="H88"/>
  <c r="J88" s="1"/>
  <c r="H89"/>
  <c r="J89" s="1"/>
  <c r="H92"/>
  <c r="J92" s="1"/>
  <c r="H93"/>
  <c r="J93" s="1"/>
  <c r="H96"/>
  <c r="J96" s="1"/>
  <c r="H97"/>
  <c r="J97" s="1"/>
  <c r="H100"/>
  <c r="J100" s="1"/>
  <c r="H101"/>
  <c r="J101" s="1"/>
  <c r="H104"/>
  <c r="J104" s="1"/>
  <c r="H105"/>
  <c r="J105" s="1"/>
  <c r="H108"/>
  <c r="J108" s="1"/>
  <c r="H109"/>
  <c r="J109" s="1"/>
  <c r="H112"/>
  <c r="J112" s="1"/>
  <c r="H113"/>
  <c r="J113" s="1"/>
  <c r="H116"/>
  <c r="J116" s="1"/>
  <c r="H117"/>
  <c r="J117" s="1"/>
  <c r="H120"/>
  <c r="J120" s="1"/>
  <c r="H121"/>
  <c r="J121" s="1"/>
  <c r="H124"/>
  <c r="J124" s="1"/>
  <c r="H125"/>
  <c r="J125" s="1"/>
  <c r="H128"/>
  <c r="J128" s="1"/>
  <c r="H129"/>
  <c r="J129" s="1"/>
  <c r="H132"/>
  <c r="J132" s="1"/>
  <c r="H133"/>
  <c r="J133" s="1"/>
  <c r="H136"/>
  <c r="J136" s="1"/>
  <c r="H137"/>
  <c r="J137" s="1"/>
  <c r="H140"/>
  <c r="J140" s="1"/>
  <c r="H141"/>
  <c r="J141" s="1"/>
  <c r="H144"/>
  <c r="J144" s="1"/>
  <c r="H145"/>
  <c r="J145" s="1"/>
  <c r="H148"/>
  <c r="J148" s="1"/>
  <c r="H149"/>
  <c r="J149" s="1"/>
  <c r="H152"/>
  <c r="J152" s="1"/>
  <c r="H153"/>
  <c r="J153" s="1"/>
  <c r="H156"/>
  <c r="J156" s="1"/>
  <c r="H157"/>
  <c r="J157" s="1"/>
  <c r="H160"/>
  <c r="J160" s="1"/>
  <c r="H161"/>
  <c r="J161" s="1"/>
  <c r="P24" i="8"/>
  <c r="F20" i="18"/>
  <c r="E10"/>
  <c r="E14"/>
  <c r="F11"/>
  <c r="F15"/>
  <c r="H22" i="16"/>
  <c r="J22" s="1"/>
  <c r="H25"/>
  <c r="J25" s="1"/>
  <c r="H26"/>
  <c r="J26" s="1"/>
  <c r="H29"/>
  <c r="J29" s="1"/>
  <c r="H30"/>
  <c r="J30" s="1"/>
  <c r="H33"/>
  <c r="J33" s="1"/>
  <c r="H34"/>
  <c r="J34" s="1"/>
  <c r="H37"/>
  <c r="J37" s="1"/>
  <c r="H38"/>
  <c r="J38" s="1"/>
  <c r="H41"/>
  <c r="J41" s="1"/>
  <c r="H35"/>
  <c r="J35" s="1"/>
  <c r="H36"/>
  <c r="J36" s="1"/>
  <c r="H39"/>
  <c r="J39" s="1"/>
  <c r="H40"/>
  <c r="J40" s="1"/>
  <c r="H42"/>
  <c r="J42" s="1"/>
  <c r="H45"/>
  <c r="J45" s="1"/>
  <c r="H46"/>
  <c r="J46" s="1"/>
  <c r="H49"/>
  <c r="J49" s="1"/>
  <c r="H50"/>
  <c r="J50" s="1"/>
  <c r="H53"/>
  <c r="J53" s="1"/>
  <c r="H54"/>
  <c r="J54" s="1"/>
  <c r="H57"/>
  <c r="J57" s="1"/>
  <c r="H58"/>
  <c r="J58" s="1"/>
  <c r="H61"/>
  <c r="J61" s="1"/>
  <c r="H62"/>
  <c r="J62" s="1"/>
  <c r="H65"/>
  <c r="J65" s="1"/>
  <c r="H66"/>
  <c r="J66" s="1"/>
  <c r="H69"/>
  <c r="J69" s="1"/>
  <c r="H70"/>
  <c r="J70" s="1"/>
  <c r="H73"/>
  <c r="J73" s="1"/>
  <c r="H74"/>
  <c r="J74" s="1"/>
  <c r="H77"/>
  <c r="J77" s="1"/>
  <c r="H78"/>
  <c r="J78" s="1"/>
  <c r="H81"/>
  <c r="J81" s="1"/>
  <c r="H82"/>
  <c r="J82" s="1"/>
  <c r="H85"/>
  <c r="J85" s="1"/>
  <c r="H86"/>
  <c r="J86" s="1"/>
  <c r="H89"/>
  <c r="J89" s="1"/>
  <c r="H90"/>
  <c r="J90" s="1"/>
  <c r="H93"/>
  <c r="J93" s="1"/>
  <c r="H94"/>
  <c r="J94" s="1"/>
  <c r="H97"/>
  <c r="J97" s="1"/>
  <c r="H98"/>
  <c r="J98" s="1"/>
  <c r="H101"/>
  <c r="J101" s="1"/>
  <c r="H102"/>
  <c r="J102" s="1"/>
  <c r="H105"/>
  <c r="J105" s="1"/>
  <c r="H106"/>
  <c r="J106" s="1"/>
  <c r="H109"/>
  <c r="J109" s="1"/>
  <c r="H110"/>
  <c r="J110" s="1"/>
  <c r="H113"/>
  <c r="J113" s="1"/>
  <c r="H114"/>
  <c r="J114" s="1"/>
  <c r="H117"/>
  <c r="J117" s="1"/>
  <c r="H118"/>
  <c r="J118" s="1"/>
  <c r="H121"/>
  <c r="J121" s="1"/>
  <c r="H122"/>
  <c r="J122" s="1"/>
  <c r="H125"/>
  <c r="J125" s="1"/>
  <c r="H126"/>
  <c r="J126" s="1"/>
  <c r="H129"/>
  <c r="J129" s="1"/>
  <c r="H130"/>
  <c r="J130" s="1"/>
  <c r="H133"/>
  <c r="J133" s="1"/>
  <c r="H134"/>
  <c r="J134" s="1"/>
  <c r="H137"/>
  <c r="J137" s="1"/>
  <c r="H138"/>
  <c r="J138" s="1"/>
  <c r="H141"/>
  <c r="J141" s="1"/>
  <c r="H142"/>
  <c r="J142" s="1"/>
  <c r="H145"/>
  <c r="J145" s="1"/>
  <c r="H146"/>
  <c r="J146" s="1"/>
  <c r="H149"/>
  <c r="J149" s="1"/>
  <c r="H150"/>
  <c r="J150" s="1"/>
  <c r="H153"/>
  <c r="J153" s="1"/>
  <c r="H154"/>
  <c r="J154" s="1"/>
  <c r="H157"/>
  <c r="J157" s="1"/>
  <c r="H158"/>
  <c r="J158" s="1"/>
  <c r="H161"/>
  <c r="J161" s="1"/>
  <c r="H162"/>
  <c r="J162" s="1"/>
  <c r="H43"/>
  <c r="J43" s="1"/>
  <c r="H44"/>
  <c r="J44" s="1"/>
  <c r="H47"/>
  <c r="J47" s="1"/>
  <c r="H48"/>
  <c r="J48" s="1"/>
  <c r="H51"/>
  <c r="J51" s="1"/>
  <c r="H52"/>
  <c r="J52" s="1"/>
  <c r="H55"/>
  <c r="J55" s="1"/>
  <c r="H56"/>
  <c r="J56" s="1"/>
  <c r="H59"/>
  <c r="J59" s="1"/>
  <c r="H60"/>
  <c r="J60" s="1"/>
  <c r="H63"/>
  <c r="J63" s="1"/>
  <c r="H64"/>
  <c r="J64" s="1"/>
  <c r="H67"/>
  <c r="J67" s="1"/>
  <c r="H68"/>
  <c r="J68" s="1"/>
  <c r="H71"/>
  <c r="J71" s="1"/>
  <c r="H72"/>
  <c r="J72" s="1"/>
  <c r="H75"/>
  <c r="J75" s="1"/>
  <c r="H76"/>
  <c r="J76" s="1"/>
  <c r="H79"/>
  <c r="J79" s="1"/>
  <c r="H80"/>
  <c r="J80" s="1"/>
  <c r="H83"/>
  <c r="J83" s="1"/>
  <c r="H84"/>
  <c r="J84" s="1"/>
  <c r="H87"/>
  <c r="H88"/>
  <c r="J88" s="1"/>
  <c r="H91"/>
  <c r="J91" s="1"/>
  <c r="H92"/>
  <c r="J92" s="1"/>
  <c r="H95"/>
  <c r="J95" s="1"/>
  <c r="H96"/>
  <c r="J96" s="1"/>
  <c r="H99"/>
  <c r="J99" s="1"/>
  <c r="H100"/>
  <c r="J100" s="1"/>
  <c r="H103"/>
  <c r="J103" s="1"/>
  <c r="H104"/>
  <c r="J104" s="1"/>
  <c r="H107"/>
  <c r="J107" s="1"/>
  <c r="H108"/>
  <c r="J108" s="1"/>
  <c r="H111"/>
  <c r="J111" s="1"/>
  <c r="H112"/>
  <c r="J112" s="1"/>
  <c r="H115"/>
  <c r="J115" s="1"/>
  <c r="H116"/>
  <c r="J116" s="1"/>
  <c r="H119"/>
  <c r="J119" s="1"/>
  <c r="H120"/>
  <c r="J120" s="1"/>
  <c r="H123"/>
  <c r="J123" s="1"/>
  <c r="H124"/>
  <c r="J124" s="1"/>
  <c r="H127"/>
  <c r="J127" s="1"/>
  <c r="H128"/>
  <c r="J128" s="1"/>
  <c r="H131"/>
  <c r="J131" s="1"/>
  <c r="H132"/>
  <c r="J132" s="1"/>
  <c r="H135"/>
  <c r="J135" s="1"/>
  <c r="H136"/>
  <c r="J136" s="1"/>
  <c r="H139"/>
  <c r="J139" s="1"/>
  <c r="H140"/>
  <c r="J140" s="1"/>
  <c r="H143"/>
  <c r="J143" s="1"/>
  <c r="H144"/>
  <c r="J144" s="1"/>
  <c r="H147"/>
  <c r="J147" s="1"/>
  <c r="H148"/>
  <c r="J148" s="1"/>
  <c r="H151"/>
  <c r="J151" s="1"/>
  <c r="H152"/>
  <c r="J152" s="1"/>
  <c r="H155"/>
  <c r="J155" s="1"/>
  <c r="H156"/>
  <c r="J156" s="1"/>
  <c r="H159"/>
  <c r="J159" s="1"/>
  <c r="H160"/>
  <c r="J160" s="1"/>
  <c r="H101" i="15"/>
  <c r="J101" s="1"/>
  <c r="H103"/>
  <c r="J103" s="1"/>
  <c r="H105"/>
  <c r="J105" s="1"/>
  <c r="H107"/>
  <c r="J107" s="1"/>
  <c r="H109"/>
  <c r="J109" s="1"/>
  <c r="H111"/>
  <c r="J111" s="1"/>
  <c r="H1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133"/>
  <c r="J133" s="1"/>
  <c r="H135"/>
  <c r="J135" s="1"/>
  <c r="H137"/>
  <c r="J137" s="1"/>
  <c r="H139"/>
  <c r="J139" s="1"/>
  <c r="H141"/>
  <c r="J141" s="1"/>
  <c r="H143"/>
  <c r="J143" s="1"/>
  <c r="H145"/>
  <c r="J145" s="1"/>
  <c r="H147"/>
  <c r="J147" s="1"/>
  <c r="H149"/>
  <c r="J149" s="1"/>
  <c r="H151"/>
  <c r="J151" s="1"/>
  <c r="H153"/>
  <c r="J153" s="1"/>
  <c r="H155"/>
  <c r="J155" s="1"/>
  <c r="H157"/>
  <c r="J157" s="1"/>
  <c r="H159"/>
  <c r="J159" s="1"/>
  <c r="H161"/>
  <c r="J161" s="1"/>
  <c r="H163"/>
  <c r="J163" s="1"/>
  <c r="H165"/>
  <c r="J165" s="1"/>
  <c r="H167"/>
  <c r="J167" s="1"/>
  <c r="H169"/>
  <c r="J169" s="1"/>
  <c r="H171"/>
  <c r="J171" s="1"/>
  <c r="H173"/>
  <c r="J173" s="1"/>
  <c r="H175"/>
  <c r="J175" s="1"/>
  <c r="H177"/>
  <c r="J177" s="1"/>
  <c r="H179"/>
  <c r="J179" s="1"/>
  <c r="H181"/>
  <c r="J181" s="1"/>
  <c r="H183"/>
  <c r="J183" s="1"/>
  <c r="H185"/>
  <c r="J185" s="1"/>
  <c r="H187"/>
  <c r="J187" s="1"/>
  <c r="H100"/>
  <c r="J100" s="1"/>
  <c r="H102"/>
  <c r="J102" s="1"/>
  <c r="H104"/>
  <c r="J104" s="1"/>
  <c r="H106"/>
  <c r="J106" s="1"/>
  <c r="H108"/>
  <c r="J108" s="1"/>
  <c r="H110"/>
  <c r="J110" s="1"/>
  <c r="H112"/>
  <c r="J112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H134"/>
  <c r="J134" s="1"/>
  <c r="H136"/>
  <c r="J136" s="1"/>
  <c r="H138"/>
  <c r="J138" s="1"/>
  <c r="H140"/>
  <c r="J140" s="1"/>
  <c r="H142"/>
  <c r="J142" s="1"/>
  <c r="H144"/>
  <c r="J144" s="1"/>
  <c r="H146"/>
  <c r="J146" s="1"/>
  <c r="H148"/>
  <c r="J148" s="1"/>
  <c r="H150"/>
  <c r="J150" s="1"/>
  <c r="H152"/>
  <c r="J152" s="1"/>
  <c r="H154"/>
  <c r="J154" s="1"/>
  <c r="H156"/>
  <c r="J156" s="1"/>
  <c r="H158"/>
  <c r="J158" s="1"/>
  <c r="H160"/>
  <c r="J160" s="1"/>
  <c r="H162"/>
  <c r="J162" s="1"/>
  <c r="H164"/>
  <c r="J164" s="1"/>
  <c r="H166"/>
  <c r="J166" s="1"/>
  <c r="H168"/>
  <c r="J168" s="1"/>
  <c r="H170"/>
  <c r="J170" s="1"/>
  <c r="H172"/>
  <c r="J172" s="1"/>
  <c r="H174"/>
  <c r="J174" s="1"/>
  <c r="H176"/>
  <c r="J176" s="1"/>
  <c r="H178"/>
  <c r="J178" s="1"/>
  <c r="H180"/>
  <c r="J180" s="1"/>
  <c r="H182"/>
  <c r="J182" s="1"/>
  <c r="H184"/>
  <c r="J184" s="1"/>
  <c r="H186"/>
  <c r="J186" s="1"/>
  <c r="F20" i="6"/>
  <c r="H23" i="14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H89"/>
  <c r="J89" s="1"/>
  <c r="H91"/>
  <c r="J91" s="1"/>
  <c r="H93"/>
  <c r="J93" s="1"/>
  <c r="H95"/>
  <c r="J95" s="1"/>
  <c r="H97"/>
  <c r="J97" s="1"/>
  <c r="H99"/>
  <c r="J99" s="1"/>
  <c r="H101"/>
  <c r="J101" s="1"/>
  <c r="H103"/>
  <c r="J103" s="1"/>
  <c r="H105"/>
  <c r="J105" s="1"/>
  <c r="H22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J82" s="1"/>
  <c r="H84"/>
  <c r="J84" s="1"/>
  <c r="H86"/>
  <c r="J86" s="1"/>
  <c r="H88"/>
  <c r="J88" s="1"/>
  <c r="H90"/>
  <c r="J90" s="1"/>
  <c r="H92"/>
  <c r="J92" s="1"/>
  <c r="H94"/>
  <c r="J94" s="1"/>
  <c r="H96"/>
  <c r="J96" s="1"/>
  <c r="H98"/>
  <c r="J98" s="1"/>
  <c r="H100"/>
  <c r="J100" s="1"/>
  <c r="H102"/>
  <c r="J102" s="1"/>
  <c r="H104"/>
  <c r="J104" s="1"/>
  <c r="H106"/>
  <c r="J106" s="1"/>
  <c r="H22" i="13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J82" s="1"/>
  <c r="H84"/>
  <c r="J84" s="1"/>
  <c r="H86"/>
  <c r="J86" s="1"/>
  <c r="H88"/>
  <c r="J88" s="1"/>
  <c r="H90"/>
  <c r="J90" s="1"/>
  <c r="H92"/>
  <c r="J92" s="1"/>
  <c r="H94"/>
  <c r="J94" s="1"/>
  <c r="H96"/>
  <c r="J96" s="1"/>
  <c r="H98"/>
  <c r="J98" s="1"/>
  <c r="H100"/>
  <c r="J100" s="1"/>
  <c r="H102"/>
  <c r="J102" s="1"/>
  <c r="H104"/>
  <c r="J104" s="1"/>
  <c r="H106"/>
  <c r="J106" s="1"/>
  <c r="H108"/>
  <c r="J108" s="1"/>
  <c r="H110"/>
  <c r="J110" s="1"/>
  <c r="H112"/>
  <c r="J112" s="1"/>
  <c r="H23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H89"/>
  <c r="J89" s="1"/>
  <c r="H91"/>
  <c r="J91" s="1"/>
  <c r="H93"/>
  <c r="J93" s="1"/>
  <c r="H95"/>
  <c r="J95" s="1"/>
  <c r="H97"/>
  <c r="J97" s="1"/>
  <c r="H99"/>
  <c r="J99" s="1"/>
  <c r="H101"/>
  <c r="J101" s="1"/>
  <c r="H103"/>
  <c r="J103" s="1"/>
  <c r="H105"/>
  <c r="J105" s="1"/>
  <c r="H107"/>
  <c r="J107" s="1"/>
  <c r="H109"/>
  <c r="J109" s="1"/>
  <c r="H111"/>
  <c r="J111" s="1"/>
  <c r="I12" i="14"/>
  <c r="H107"/>
  <c r="J107" s="1"/>
  <c r="H108"/>
  <c r="J108" s="1"/>
  <c r="H109"/>
  <c r="J109" s="1"/>
  <c r="H110"/>
  <c r="J110" s="1"/>
  <c r="H1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133"/>
  <c r="J133" s="1"/>
  <c r="H135"/>
  <c r="J135" s="1"/>
  <c r="H137"/>
  <c r="J137" s="1"/>
  <c r="H139"/>
  <c r="J139" s="1"/>
  <c r="H141"/>
  <c r="J141" s="1"/>
  <c r="H143"/>
  <c r="J143" s="1"/>
  <c r="H145"/>
  <c r="J145" s="1"/>
  <c r="H147"/>
  <c r="J147" s="1"/>
  <c r="H149"/>
  <c r="J149" s="1"/>
  <c r="H151"/>
  <c r="J151" s="1"/>
  <c r="H153"/>
  <c r="J153" s="1"/>
  <c r="H155"/>
  <c r="J155" s="1"/>
  <c r="H157"/>
  <c r="J157" s="1"/>
  <c r="H159"/>
  <c r="J159" s="1"/>
  <c r="H161"/>
  <c r="J161" s="1"/>
  <c r="H163"/>
  <c r="J163" s="1"/>
  <c r="H165"/>
  <c r="J165" s="1"/>
  <c r="H167"/>
  <c r="J167" s="1"/>
  <c r="H169"/>
  <c r="J169" s="1"/>
  <c r="H171"/>
  <c r="J171" s="1"/>
  <c r="H173"/>
  <c r="J173" s="1"/>
  <c r="H175"/>
  <c r="J175" s="1"/>
  <c r="H177"/>
  <c r="J177" s="1"/>
  <c r="H179"/>
  <c r="J179" s="1"/>
  <c r="H181"/>
  <c r="J181" s="1"/>
  <c r="H183"/>
  <c r="J183" s="1"/>
  <c r="H185"/>
  <c r="J185" s="1"/>
  <c r="H187"/>
  <c r="J187" s="1"/>
  <c r="H112"/>
  <c r="J112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H134"/>
  <c r="J134" s="1"/>
  <c r="H136"/>
  <c r="J136" s="1"/>
  <c r="H138"/>
  <c r="J138" s="1"/>
  <c r="H140"/>
  <c r="J140" s="1"/>
  <c r="H142"/>
  <c r="J142" s="1"/>
  <c r="H144"/>
  <c r="J144" s="1"/>
  <c r="H146"/>
  <c r="J146" s="1"/>
  <c r="H148"/>
  <c r="J148" s="1"/>
  <c r="H150"/>
  <c r="J150" s="1"/>
  <c r="H152"/>
  <c r="J152" s="1"/>
  <c r="H154"/>
  <c r="J154" s="1"/>
  <c r="H156"/>
  <c r="J156" s="1"/>
  <c r="H158"/>
  <c r="J158" s="1"/>
  <c r="H160"/>
  <c r="J160" s="1"/>
  <c r="H162"/>
  <c r="J162" s="1"/>
  <c r="H164"/>
  <c r="J164" s="1"/>
  <c r="H166"/>
  <c r="J166" s="1"/>
  <c r="H168"/>
  <c r="J168" s="1"/>
  <c r="H170"/>
  <c r="J170" s="1"/>
  <c r="H172"/>
  <c r="J172" s="1"/>
  <c r="H174"/>
  <c r="J174" s="1"/>
  <c r="H176"/>
  <c r="J176" s="1"/>
  <c r="H178"/>
  <c r="J178" s="1"/>
  <c r="H180"/>
  <c r="J180" s="1"/>
  <c r="H182"/>
  <c r="J182" s="1"/>
  <c r="H184"/>
  <c r="J184" s="1"/>
  <c r="H186"/>
  <c r="J186" s="1"/>
  <c r="H113" i="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133"/>
  <c r="J133" s="1"/>
  <c r="H135"/>
  <c r="J135" s="1"/>
  <c r="H137"/>
  <c r="J137" s="1"/>
  <c r="H139"/>
  <c r="J139" s="1"/>
  <c r="H141"/>
  <c r="J141" s="1"/>
  <c r="H143"/>
  <c r="J143" s="1"/>
  <c r="H145"/>
  <c r="J145" s="1"/>
  <c r="H147"/>
  <c r="J147" s="1"/>
  <c r="H149"/>
  <c r="J149" s="1"/>
  <c r="H151"/>
  <c r="J151" s="1"/>
  <c r="H153"/>
  <c r="J153" s="1"/>
  <c r="H155"/>
  <c r="J155" s="1"/>
  <c r="H157"/>
  <c r="J157" s="1"/>
  <c r="H159"/>
  <c r="J159" s="1"/>
  <c r="H161"/>
  <c r="J161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H134"/>
  <c r="J134" s="1"/>
  <c r="H136"/>
  <c r="J136" s="1"/>
  <c r="H138"/>
  <c r="J138" s="1"/>
  <c r="H140"/>
  <c r="J140" s="1"/>
  <c r="H142"/>
  <c r="J142" s="1"/>
  <c r="H144"/>
  <c r="J144" s="1"/>
  <c r="H146"/>
  <c r="J146" s="1"/>
  <c r="H148"/>
  <c r="J148" s="1"/>
  <c r="H150"/>
  <c r="J150" s="1"/>
  <c r="H152"/>
  <c r="J152" s="1"/>
  <c r="H154"/>
  <c r="J154" s="1"/>
  <c r="H156"/>
  <c r="J156" s="1"/>
  <c r="H158"/>
  <c r="J158" s="1"/>
  <c r="H160"/>
  <c r="J160" s="1"/>
  <c r="H162"/>
  <c r="J162" s="1"/>
  <c r="E10" i="6"/>
  <c r="K6" s="1"/>
  <c r="M6" s="1"/>
  <c r="E14"/>
  <c r="K7" s="1"/>
  <c r="M7" s="1"/>
  <c r="G32" i="2"/>
  <c r="J32"/>
  <c r="G79"/>
  <c r="H79"/>
  <c r="J79"/>
  <c r="G71"/>
  <c r="H71"/>
  <c r="J71"/>
  <c r="G63"/>
  <c r="H63"/>
  <c r="J63"/>
  <c r="G55"/>
  <c r="H55"/>
  <c r="J55"/>
  <c r="F34"/>
  <c r="F81"/>
  <c r="F77"/>
  <c r="F73"/>
  <c r="F69"/>
  <c r="F65"/>
  <c r="F61"/>
  <c r="F57"/>
  <c r="F53"/>
  <c r="F49"/>
  <c r="F45"/>
  <c r="F41"/>
  <c r="F37"/>
  <c r="N21" i="1"/>
  <c r="O21" s="1"/>
  <c r="P21" s="1"/>
  <c r="R21" s="1"/>
  <c r="N18"/>
  <c r="O18" s="1"/>
  <c r="P18" s="1"/>
  <c r="R18" s="1"/>
  <c r="N19"/>
  <c r="O19" s="1"/>
  <c r="P19" s="1"/>
  <c r="R19" s="1"/>
  <c r="N20"/>
  <c r="O20" s="1"/>
  <c r="P20" s="1"/>
  <c r="R20" s="1"/>
  <c r="N22"/>
  <c r="O22" s="1"/>
  <c r="P22" s="1"/>
  <c r="R22" s="1"/>
  <c r="N23"/>
  <c r="O23" s="1"/>
  <c r="P23" s="1"/>
  <c r="R23" s="1"/>
  <c r="N24"/>
  <c r="O24" s="1"/>
  <c r="P24" s="1"/>
  <c r="R24" s="1"/>
  <c r="N25"/>
  <c r="O25" s="1"/>
  <c r="P25" s="1"/>
  <c r="R25" s="1"/>
  <c r="N26"/>
  <c r="O26" s="1"/>
  <c r="P26" s="1"/>
  <c r="R26" s="1"/>
  <c r="N27"/>
  <c r="O27" s="1"/>
  <c r="P27" s="1"/>
  <c r="R27" s="1"/>
  <c r="N28"/>
  <c r="O28" s="1"/>
  <c r="P28" s="1"/>
  <c r="R28" s="1"/>
  <c r="N29"/>
  <c r="O29" s="1"/>
  <c r="P29" s="1"/>
  <c r="R29" s="1"/>
  <c r="N30"/>
  <c r="O30" s="1"/>
  <c r="P30" s="1"/>
  <c r="R30" s="1"/>
  <c r="N31"/>
  <c r="O31" s="1"/>
  <c r="P31" s="1"/>
  <c r="R31" s="1"/>
  <c r="N32"/>
  <c r="O32" s="1"/>
  <c r="P32" s="1"/>
  <c r="R32" s="1"/>
  <c r="N33"/>
  <c r="O33" s="1"/>
  <c r="P33" s="1"/>
  <c r="R33" s="1"/>
  <c r="N34"/>
  <c r="O34" s="1"/>
  <c r="P34" s="1"/>
  <c r="R34" s="1"/>
  <c r="N35"/>
  <c r="O35" s="1"/>
  <c r="P35" s="1"/>
  <c r="R35" s="1"/>
  <c r="N36"/>
  <c r="O36" s="1"/>
  <c r="P36" s="1"/>
  <c r="R36" s="1"/>
  <c r="N37"/>
  <c r="O37" s="1"/>
  <c r="P37" s="1"/>
  <c r="R37" s="1"/>
  <c r="N38"/>
  <c r="O38" s="1"/>
  <c r="P38" s="1"/>
  <c r="R38" s="1"/>
  <c r="N39"/>
  <c r="O39" s="1"/>
  <c r="P39" s="1"/>
  <c r="R39" s="1"/>
  <c r="N40"/>
  <c r="O40" s="1"/>
  <c r="P40" s="1"/>
  <c r="R40" s="1"/>
  <c r="N41"/>
  <c r="O41" s="1"/>
  <c r="P41" s="1"/>
  <c r="R41" s="1"/>
  <c r="N42"/>
  <c r="O42" s="1"/>
  <c r="P42" s="1"/>
  <c r="R42" s="1"/>
  <c r="N43"/>
  <c r="O43" s="1"/>
  <c r="P43" s="1"/>
  <c r="R43" s="1"/>
  <c r="N44"/>
  <c r="O44" s="1"/>
  <c r="P44" s="1"/>
  <c r="R44" s="1"/>
  <c r="N45"/>
  <c r="O45" s="1"/>
  <c r="P45" s="1"/>
  <c r="R45" s="1"/>
  <c r="N46"/>
  <c r="O46" s="1"/>
  <c r="P46" s="1"/>
  <c r="R46" s="1"/>
  <c r="N47"/>
  <c r="O47" s="1"/>
  <c r="P47" s="1"/>
  <c r="R47" s="1"/>
  <c r="N48"/>
  <c r="O48" s="1"/>
  <c r="P48" s="1"/>
  <c r="R48" s="1"/>
  <c r="N49"/>
  <c r="O49" s="1"/>
  <c r="P49" s="1"/>
  <c r="R49" s="1"/>
  <c r="N50"/>
  <c r="O50" s="1"/>
  <c r="P50" s="1"/>
  <c r="R50" s="1"/>
  <c r="N51"/>
  <c r="O51" s="1"/>
  <c r="P51" s="1"/>
  <c r="R51" s="1"/>
  <c r="N52"/>
  <c r="O52" s="1"/>
  <c r="P52" s="1"/>
  <c r="R52" s="1"/>
  <c r="N53"/>
  <c r="O53" s="1"/>
  <c r="P53" s="1"/>
  <c r="R53" s="1"/>
  <c r="N17"/>
  <c r="O17" s="1"/>
  <c r="P17" s="1"/>
  <c r="R17" s="1"/>
  <c r="G36" i="2"/>
  <c r="J36"/>
  <c r="H36"/>
  <c r="G75"/>
  <c r="H75"/>
  <c r="J75"/>
  <c r="G67"/>
  <c r="H67"/>
  <c r="J67"/>
  <c r="G59"/>
  <c r="H59"/>
  <c r="J59"/>
  <c r="G51"/>
  <c r="H51"/>
  <c r="J51"/>
  <c r="F47"/>
  <c r="F43"/>
  <c r="F39"/>
  <c r="D18" i="1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17"/>
  <c r="E17" s="1"/>
  <c r="F17" s="1"/>
  <c r="F30" i="2"/>
  <c r="F28"/>
  <c r="F26"/>
  <c r="F24"/>
  <c r="F20"/>
  <c r="F35"/>
  <c r="F33"/>
  <c r="F31"/>
  <c r="F29"/>
  <c r="F27"/>
  <c r="F25"/>
  <c r="F23"/>
  <c r="F21"/>
  <c r="I11"/>
  <c r="J11" s="1"/>
  <c r="F22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J87" i="14" l="1"/>
  <c r="J15"/>
  <c r="J17" s="1"/>
  <c r="M17" s="1"/>
  <c r="J87" i="13"/>
  <c r="J15"/>
  <c r="J17" s="1"/>
  <c r="M17" s="1"/>
  <c r="J87" i="16"/>
  <c r="J15"/>
  <c r="J17" s="1"/>
  <c r="M17" s="1"/>
  <c r="J52" i="19"/>
  <c r="J15"/>
  <c r="J17" s="1"/>
  <c r="M17" s="1"/>
  <c r="J87" i="15"/>
  <c r="J15"/>
  <c r="J17" s="1"/>
  <c r="M17" s="1"/>
  <c r="F15" i="6"/>
  <c r="F11"/>
  <c r="J40" i="2"/>
  <c r="G40"/>
  <c r="H40"/>
  <c r="J48"/>
  <c r="G48"/>
  <c r="H48"/>
  <c r="J56"/>
  <c r="G56"/>
  <c r="H56"/>
  <c r="J38"/>
  <c r="G38"/>
  <c r="H38"/>
  <c r="J42"/>
  <c r="G42"/>
  <c r="H42"/>
  <c r="J46"/>
  <c r="G46"/>
  <c r="H46"/>
  <c r="J50"/>
  <c r="G50"/>
  <c r="H50"/>
  <c r="J54"/>
  <c r="G54"/>
  <c r="H54"/>
  <c r="J58"/>
  <c r="G58"/>
  <c r="H58"/>
  <c r="J62"/>
  <c r="G62"/>
  <c r="H62"/>
  <c r="J66"/>
  <c r="G66"/>
  <c r="H66"/>
  <c r="J70"/>
  <c r="G70"/>
  <c r="H70"/>
  <c r="J74"/>
  <c r="G74"/>
  <c r="H74"/>
  <c r="J78"/>
  <c r="G78"/>
  <c r="H78"/>
  <c r="J82"/>
  <c r="G82"/>
  <c r="H82"/>
  <c r="G23"/>
  <c r="H23"/>
  <c r="J23"/>
  <c r="G27"/>
  <c r="H27"/>
  <c r="J27"/>
  <c r="G31"/>
  <c r="H31"/>
  <c r="J31"/>
  <c r="G35"/>
  <c r="H35"/>
  <c r="J35"/>
  <c r="G24"/>
  <c r="J24"/>
  <c r="H24"/>
  <c r="G28"/>
  <c r="J28"/>
  <c r="H28"/>
  <c r="I17" i="1"/>
  <c r="H17"/>
  <c r="I52"/>
  <c r="H52"/>
  <c r="I50"/>
  <c r="H50"/>
  <c r="I48"/>
  <c r="H48"/>
  <c r="I46"/>
  <c r="H46"/>
  <c r="I44"/>
  <c r="H44"/>
  <c r="I42"/>
  <c r="H42"/>
  <c r="I40"/>
  <c r="H40"/>
  <c r="I38"/>
  <c r="H38"/>
  <c r="I36"/>
  <c r="H36"/>
  <c r="I34"/>
  <c r="H34"/>
  <c r="I32"/>
  <c r="H32"/>
  <c r="I30"/>
  <c r="H30"/>
  <c r="I28"/>
  <c r="H28"/>
  <c r="I26"/>
  <c r="H26"/>
  <c r="I24"/>
  <c r="H24"/>
  <c r="I22"/>
  <c r="H22"/>
  <c r="I20"/>
  <c r="H20"/>
  <c r="I18"/>
  <c r="H18"/>
  <c r="G43" i="2"/>
  <c r="H43"/>
  <c r="J43"/>
  <c r="G37"/>
  <c r="H37"/>
  <c r="J37"/>
  <c r="G45"/>
  <c r="H45"/>
  <c r="J45"/>
  <c r="G53"/>
  <c r="H53"/>
  <c r="J53"/>
  <c r="G61"/>
  <c r="H61"/>
  <c r="J61"/>
  <c r="G69"/>
  <c r="H69"/>
  <c r="J69"/>
  <c r="G77"/>
  <c r="H77"/>
  <c r="J77"/>
  <c r="G34"/>
  <c r="J34"/>
  <c r="H34"/>
  <c r="J44"/>
  <c r="G44"/>
  <c r="H44"/>
  <c r="J52"/>
  <c r="G52"/>
  <c r="H52"/>
  <c r="J60"/>
  <c r="G60"/>
  <c r="H60"/>
  <c r="J64"/>
  <c r="G64"/>
  <c r="H64"/>
  <c r="J68"/>
  <c r="G68"/>
  <c r="H68"/>
  <c r="J72"/>
  <c r="G72"/>
  <c r="H72"/>
  <c r="J76"/>
  <c r="G76"/>
  <c r="H76"/>
  <c r="J80"/>
  <c r="G80"/>
  <c r="H80"/>
  <c r="G22"/>
  <c r="J22"/>
  <c r="H22"/>
  <c r="G21"/>
  <c r="H21"/>
  <c r="J21"/>
  <c r="G25"/>
  <c r="H25"/>
  <c r="J25"/>
  <c r="G29"/>
  <c r="H29"/>
  <c r="J29"/>
  <c r="G33"/>
  <c r="H33"/>
  <c r="J33"/>
  <c r="G20"/>
  <c r="J20"/>
  <c r="H20"/>
  <c r="G26"/>
  <c r="J26"/>
  <c r="H26"/>
  <c r="G30"/>
  <c r="J30"/>
  <c r="H30"/>
  <c r="I53" i="1"/>
  <c r="H53"/>
  <c r="I51"/>
  <c r="H51"/>
  <c r="I49"/>
  <c r="H49"/>
  <c r="I47"/>
  <c r="H47"/>
  <c r="I45"/>
  <c r="H45"/>
  <c r="I43"/>
  <c r="H43"/>
  <c r="I41"/>
  <c r="H41"/>
  <c r="I39"/>
  <c r="H39"/>
  <c r="I37"/>
  <c r="H37"/>
  <c r="I35"/>
  <c r="H35"/>
  <c r="I33"/>
  <c r="H33"/>
  <c r="I31"/>
  <c r="H31"/>
  <c r="I29"/>
  <c r="H29"/>
  <c r="I27"/>
  <c r="H27"/>
  <c r="I25"/>
  <c r="H25"/>
  <c r="I23"/>
  <c r="H23"/>
  <c r="I21"/>
  <c r="H21"/>
  <c r="I19"/>
  <c r="H19"/>
  <c r="G39" i="2"/>
  <c r="H39"/>
  <c r="J39"/>
  <c r="G47"/>
  <c r="H47"/>
  <c r="J47"/>
  <c r="G41"/>
  <c r="H41"/>
  <c r="J41"/>
  <c r="G49"/>
  <c r="H49"/>
  <c r="J49"/>
  <c r="G57"/>
  <c r="H57"/>
  <c r="J57"/>
  <c r="G65"/>
  <c r="H65"/>
  <c r="J65"/>
  <c r="G73"/>
  <c r="H73"/>
  <c r="J73"/>
  <c r="G81"/>
  <c r="H81"/>
  <c r="J81"/>
</calcChain>
</file>

<file path=xl/comments1.xml><?xml version="1.0" encoding="utf-8"?>
<comments xmlns="http://schemas.openxmlformats.org/spreadsheetml/2006/main">
  <authors>
    <author>adim.zhou</author>
    <author>Billie.Chien</author>
  </authors>
  <commentList>
    <comment ref="O25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31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C77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Ares_NHT</t>
        </r>
        <r>
          <rPr>
            <sz val="9"/>
            <color indexed="81"/>
            <rFont val="細明體"/>
            <family val="3"/>
            <charset val="136"/>
          </rPr>
          <t>相似</t>
        </r>
      </text>
    </comment>
    <comment ref="C78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Pan_B285_36100</t>
        </r>
        <r>
          <rPr>
            <sz val="9"/>
            <color indexed="81"/>
            <rFont val="細明體"/>
            <family val="3"/>
            <charset val="136"/>
          </rPr>
          <t>相似</t>
        </r>
      </text>
    </comment>
    <comment ref="C87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Ares_NHT</t>
        </r>
        <r>
          <rPr>
            <sz val="9"/>
            <color indexed="81"/>
            <rFont val="細明體"/>
            <family val="3"/>
            <charset val="136"/>
          </rPr>
          <t>相似</t>
        </r>
      </text>
    </comment>
    <comment ref="E87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Initial</t>
        </r>
      </text>
    </comment>
  </commentList>
</comments>
</file>

<file path=xl/sharedStrings.xml><?xml version="1.0" encoding="utf-8"?>
<sst xmlns="http://schemas.openxmlformats.org/spreadsheetml/2006/main" count="10668" uniqueCount="2120">
  <si>
    <t>R-sense</t>
    <phoneticPr fontId="10" type="noConversion"/>
  </si>
  <si>
    <t>CGH OP</t>
    <phoneticPr fontId="10" type="noConversion"/>
  </si>
  <si>
    <t>R1</t>
    <phoneticPr fontId="10" type="noConversion"/>
  </si>
  <si>
    <t>R</t>
    <phoneticPr fontId="10" type="noConversion"/>
  </si>
  <si>
    <t>R2</t>
    <phoneticPr fontId="10" type="noConversion"/>
  </si>
  <si>
    <t>kR</t>
    <phoneticPr fontId="10" type="noConversion"/>
  </si>
  <si>
    <t>Gain=</t>
    <phoneticPr fontId="10" type="noConversion"/>
  </si>
  <si>
    <t>R1/R2</t>
    <phoneticPr fontId="10" type="noConversion"/>
  </si>
  <si>
    <t>mR ==&gt;</t>
    <phoneticPr fontId="10" type="noConversion"/>
  </si>
  <si>
    <t>Current(mA)</t>
    <phoneticPr fontId="10" type="noConversion"/>
  </si>
  <si>
    <t>V-Rsense(mv)</t>
    <phoneticPr fontId="10" type="noConversion"/>
  </si>
  <si>
    <t>OP-Output(mV)</t>
    <phoneticPr fontId="10" type="noConversion"/>
  </si>
  <si>
    <t>CHG OP</t>
    <phoneticPr fontId="10" type="noConversion"/>
  </si>
  <si>
    <t>ADC</t>
    <phoneticPr fontId="10" type="noConversion"/>
  </si>
  <si>
    <t>ADC calculate</t>
    <phoneticPr fontId="10" type="noConversion"/>
  </si>
  <si>
    <t>ADC res.</t>
    <phoneticPr fontId="10" type="noConversion"/>
  </si>
  <si>
    <t>bits ==&gt;</t>
    <phoneticPr fontId="10" type="noConversion"/>
  </si>
  <si>
    <t>ADC Ref.</t>
    <phoneticPr fontId="10" type="noConversion"/>
  </si>
  <si>
    <t>V</t>
    <phoneticPr fontId="10" type="noConversion"/>
  </si>
  <si>
    <t>mV</t>
    <phoneticPr fontId="10" type="noConversion"/>
  </si>
  <si>
    <t>a step</t>
    <phoneticPr fontId="10" type="noConversion"/>
  </si>
  <si>
    <t>VBAT</t>
    <phoneticPr fontId="10" type="noConversion"/>
  </si>
  <si>
    <t>R2 (對地)</t>
    <phoneticPr fontId="10" type="noConversion"/>
  </si>
  <si>
    <t>Cell Min Vol</t>
    <phoneticPr fontId="10" type="noConversion"/>
  </si>
  <si>
    <t>Cell Max Vol</t>
    <phoneticPr fontId="10" type="noConversion"/>
  </si>
  <si>
    <t>Max Vol</t>
    <phoneticPr fontId="10" type="noConversion"/>
  </si>
  <si>
    <t>Min Vol</t>
    <phoneticPr fontId="10" type="noConversion"/>
  </si>
  <si>
    <t>Serial cell</t>
    <phoneticPr fontId="10" type="noConversion"/>
  </si>
  <si>
    <t>Vbat (V)</t>
    <phoneticPr fontId="10" type="noConversion"/>
  </si>
  <si>
    <t>分壓output(mV)</t>
    <phoneticPr fontId="10" type="noConversion"/>
  </si>
  <si>
    <t>分壓output(V)</t>
    <phoneticPr fontId="10" type="noConversion"/>
  </si>
  <si>
    <t>mA to ADC factor</t>
    <phoneticPr fontId="10" type="noConversion"/>
  </si>
  <si>
    <t>mv to ADC Factor</t>
    <phoneticPr fontId="10" type="noConversion"/>
  </si>
  <si>
    <t>10mV to ADC factor</t>
    <phoneticPr fontId="10" type="noConversion"/>
  </si>
  <si>
    <t>Factor = (R1+R2)/R2 * ADC_Step</t>
    <phoneticPr fontId="10" type="noConversion"/>
  </si>
  <si>
    <t>DSG OP</t>
    <phoneticPr fontId="10" type="noConversion"/>
  </si>
  <si>
    <t>Factor = Rsense(R) * op_gain / ADC step(mV)</t>
    <phoneticPr fontId="10" type="noConversion"/>
  </si>
  <si>
    <t>10mA to ADC factor</t>
    <phoneticPr fontId="10" type="noConversion"/>
  </si>
  <si>
    <t>////////////////////////////////////////////////////////////////</t>
  </si>
  <si>
    <t>//    VDD (3.3V) |------Resistor1--+---NTC-----|GND</t>
  </si>
  <si>
    <t>// NTC Thermistor setting by voltage</t>
    <phoneticPr fontId="10" type="noConversion"/>
  </si>
  <si>
    <t>VDD</t>
    <phoneticPr fontId="10" type="noConversion"/>
  </si>
  <si>
    <t>NTC 溫度(度)</t>
    <phoneticPr fontId="10" type="noConversion"/>
  </si>
  <si>
    <t>NTC (kR)</t>
    <phoneticPr fontId="10" type="noConversion"/>
  </si>
  <si>
    <t>//  NTC 25 Celcius = 10kR;        NTC 0  Celcius = 27.391kR</t>
    <phoneticPr fontId="10" type="noConversion"/>
  </si>
  <si>
    <t>//  NTC 40 Celcius = 5.8281kR;    NTC 45 Celcius = 4.9183kR</t>
    <phoneticPr fontId="10" type="noConversion"/>
  </si>
  <si>
    <t>//  NTC 50 Celcius = 4.1709kR;    NTC 55 Celcius = 3.5539kR</t>
    <phoneticPr fontId="10" type="noConversion"/>
  </si>
  <si>
    <t>//  NTC 60 Celcius = 3.0417kR;    NTC 65 Celcius = 2.6144kR</t>
    <phoneticPr fontId="10" type="noConversion"/>
  </si>
  <si>
    <t>//  NTC 70 Celcius = 2.2559kR;    NTC 75 Celcius = 1.9538kR</t>
    <phoneticPr fontId="10" type="noConversion"/>
  </si>
  <si>
    <t>//  NTC 80 Celcius = 1.6980kR;    NTC 85 Celcius = 1.4805kR</t>
    <phoneticPr fontId="10" type="noConversion"/>
  </si>
  <si>
    <t>//                       thermal voltage output</t>
    <phoneticPr fontId="10" type="noConversion"/>
  </si>
  <si>
    <t>thermal voltage output (V)</t>
    <phoneticPr fontId="10" type="noConversion"/>
  </si>
  <si>
    <t>output (mV)</t>
    <phoneticPr fontId="10" type="noConversion"/>
  </si>
  <si>
    <t>factor</t>
    <phoneticPr fontId="10" type="noConversion"/>
  </si>
  <si>
    <t>1/ADC RES</t>
    <phoneticPr fontId="10" type="noConversion"/>
  </si>
  <si>
    <t>ADC to Voltage</t>
    <phoneticPr fontId="10" type="noConversion"/>
  </si>
  <si>
    <t>adc vol(mv)</t>
    <phoneticPr fontId="10" type="noConversion"/>
  </si>
  <si>
    <t>battery(V)</t>
    <phoneticPr fontId="10" type="noConversion"/>
  </si>
  <si>
    <t>Battery Vol(V)</t>
    <phoneticPr fontId="10" type="noConversion"/>
  </si>
  <si>
    <t>ADC OFFSET</t>
    <phoneticPr fontId="10" type="noConversion"/>
  </si>
  <si>
    <t>實際值-理論值</t>
    <phoneticPr fontId="10" type="noConversion"/>
  </si>
  <si>
    <t>量測實際ADC</t>
    <phoneticPr fontId="10" type="noConversion"/>
  </si>
  <si>
    <t>量測實際值</t>
    <phoneticPr fontId="10" type="noConversion"/>
  </si>
  <si>
    <t>offset</t>
    <phoneticPr fontId="10" type="noConversion"/>
  </si>
  <si>
    <t>分壓(V)</t>
    <phoneticPr fontId="10" type="noConversion"/>
  </si>
  <si>
    <t>ADC_OFFSET</t>
    <phoneticPr fontId="10" type="noConversion"/>
  </si>
  <si>
    <t>op out (mV)</t>
    <phoneticPr fontId="10" type="noConversion"/>
  </si>
  <si>
    <t>input (A)</t>
    <phoneticPr fontId="10" type="noConversion"/>
  </si>
  <si>
    <t>Rsense</t>
    <phoneticPr fontId="10" type="noConversion"/>
  </si>
  <si>
    <t>DSG OP ADC</t>
    <phoneticPr fontId="10" type="noConversion"/>
  </si>
  <si>
    <t>倍</t>
    <phoneticPr fontId="10" type="noConversion"/>
  </si>
  <si>
    <t>DSG (A)</t>
    <phoneticPr fontId="10" type="noConversion"/>
  </si>
  <si>
    <t>R-sense(mV)</t>
    <phoneticPr fontId="10" type="noConversion"/>
  </si>
  <si>
    <t>OP-Out(mV)</t>
    <phoneticPr fontId="10" type="noConversion"/>
  </si>
  <si>
    <t>gain</t>
    <phoneticPr fontId="10" type="noConversion"/>
  </si>
  <si>
    <t>adc 10 bit</t>
    <phoneticPr fontId="10" type="noConversion"/>
  </si>
  <si>
    <t>ADC ref</t>
    <phoneticPr fontId="10" type="noConversion"/>
  </si>
  <si>
    <t>mv</t>
    <phoneticPr fontId="10" type="noConversion"/>
  </si>
  <si>
    <t>ADC setp</t>
    <phoneticPr fontId="10" type="noConversion"/>
  </si>
  <si>
    <t>ADC Valu</t>
    <phoneticPr fontId="10" type="noConversion"/>
  </si>
  <si>
    <t>R-calcul</t>
    <phoneticPr fontId="10" type="noConversion"/>
  </si>
  <si>
    <t>mR</t>
    <phoneticPr fontId="10" type="noConversion"/>
  </si>
  <si>
    <t>error tol</t>
    <phoneticPr fontId="10" type="noConversion"/>
  </si>
  <si>
    <t>ADC factor</t>
    <phoneticPr fontId="10" type="noConversion"/>
  </si>
  <si>
    <t>V</t>
    <phoneticPr fontId="10" type="noConversion"/>
  </si>
  <si>
    <t>adc step</t>
    <phoneticPr fontId="10" type="noConversion"/>
  </si>
  <si>
    <t>Gain</t>
    <phoneticPr fontId="10" type="noConversion"/>
  </si>
  <si>
    <t>DSG OP</t>
    <phoneticPr fontId="10" type="noConversion"/>
  </si>
  <si>
    <t>ADC offset</t>
    <phoneticPr fontId="10" type="noConversion"/>
  </si>
  <si>
    <t>硬體設定及校正值</t>
    <phoneticPr fontId="10" type="noConversion"/>
  </si>
  <si>
    <t>10mA to ADC Factor = mA to ADC Factor / 10</t>
    <phoneticPr fontId="10" type="noConversion"/>
  </si>
  <si>
    <t>1mA to ADC Factor = Rsense(R) * op_gain / ADC step(mV)</t>
    <phoneticPr fontId="10" type="noConversion"/>
  </si>
  <si>
    <t>1mA to ADC Factor</t>
  </si>
  <si>
    <t xml:space="preserve">CHG </t>
    <phoneticPr fontId="10" type="noConversion"/>
  </si>
  <si>
    <t>輸入電流(mA)</t>
  </si>
  <si>
    <t>DSG</t>
    <phoneticPr fontId="10" type="noConversion"/>
  </si>
  <si>
    <t>//實際值-理論值</t>
  </si>
  <si>
    <t>//實際值-理論值</t>
    <phoneticPr fontId="10" type="noConversion"/>
  </si>
  <si>
    <t>voltage</t>
    <phoneticPr fontId="10" type="noConversion"/>
  </si>
  <si>
    <t>Factor</t>
    <phoneticPr fontId="10" type="noConversion"/>
  </si>
  <si>
    <t>mV to ADC</t>
    <phoneticPr fontId="10" type="noConversion"/>
  </si>
  <si>
    <t>輸入ADC</t>
    <phoneticPr fontId="10" type="noConversion"/>
  </si>
  <si>
    <t>輸入實際電壓(mV)</t>
    <phoneticPr fontId="10" type="noConversion"/>
  </si>
  <si>
    <t>理論電壓(mV)</t>
    <phoneticPr fontId="10" type="noConversion"/>
  </si>
  <si>
    <t>輸入ADC讀值</t>
    <phoneticPr fontId="10" type="noConversion"/>
  </si>
  <si>
    <t>ADC Offset 值</t>
    <phoneticPr fontId="10" type="noConversion"/>
  </si>
  <si>
    <t>(實際值-理論值)</t>
    <phoneticPr fontId="10" type="noConversion"/>
  </si>
  <si>
    <t>理論值=實際值-Offset</t>
    <phoneticPr fontId="10" type="noConversion"/>
  </si>
  <si>
    <t>add, length, flash sec.,offset, value</t>
    <phoneticPr fontId="10" type="noConversion"/>
  </si>
  <si>
    <t>理論電流(mA)</t>
    <phoneticPr fontId="10" type="noConversion"/>
  </si>
  <si>
    <t>CHG</t>
    <phoneticPr fontId="10" type="noConversion"/>
  </si>
  <si>
    <t>ADC 理論值</t>
    <phoneticPr fontId="10" type="noConversion"/>
  </si>
  <si>
    <r>
      <t xml:space="preserve">e0 03 01 17 </t>
    </r>
    <r>
      <rPr>
        <sz val="12"/>
        <color rgb="FFFF0000"/>
        <rFont val="新細明體"/>
        <family val="1"/>
        <charset val="136"/>
      </rPr>
      <t>fb</t>
    </r>
    <phoneticPr fontId="10" type="noConversion"/>
  </si>
  <si>
    <t>I2C Address : 0x48</t>
    <phoneticPr fontId="10" type="noConversion"/>
  </si>
  <si>
    <t>(實際值-理論值)</t>
    <phoneticPr fontId="10" type="noConversion"/>
  </si>
  <si>
    <r>
      <t xml:space="preserve">e0 03 01 16 </t>
    </r>
    <r>
      <rPr>
        <sz val="12"/>
        <color rgb="FFFF0000"/>
        <rFont val="新細明體"/>
        <family val="1"/>
        <charset val="136"/>
      </rPr>
      <t>fb</t>
    </r>
    <phoneticPr fontId="10" type="noConversion"/>
  </si>
  <si>
    <t>V</t>
    <phoneticPr fontId="18" type="noConversion"/>
  </si>
  <si>
    <t>Final Voltage Check</t>
  </si>
  <si>
    <t>LED Display</t>
  </si>
  <si>
    <t>Over Discharge Current Protection</t>
  </si>
  <si>
    <t>Over charge Current Protection</t>
  </si>
  <si>
    <t>Fast Discharge Current</t>
  </si>
  <si>
    <t>Fast Charge Current</t>
  </si>
  <si>
    <t>動態串壓差 Test</t>
  </si>
  <si>
    <t>Cell Balance Test</t>
  </si>
  <si>
    <t>OTPR-FSG</t>
  </si>
  <si>
    <t>OTP-DSG</t>
  </si>
  <si>
    <t>OTPR-CHG</t>
  </si>
  <si>
    <t>OTP-CHG</t>
  </si>
  <si>
    <t>2nd UVPR</t>
  </si>
  <si>
    <t>2nd UVP</t>
  </si>
  <si>
    <t>1st UVPR</t>
  </si>
  <si>
    <t>1st UVP</t>
  </si>
  <si>
    <t>2nd OVPR</t>
  </si>
  <si>
    <t>2nd OVP(Protect IC) 1s</t>
  </si>
  <si>
    <t>1st OVPR</t>
  </si>
  <si>
    <t xml:space="preserve">1st OVP(MCU) </t>
  </si>
  <si>
    <t>PCBA Power On Consumption</t>
  </si>
  <si>
    <t>Temperature Tolerance Chk</t>
  </si>
  <si>
    <t>Current Tolerance Chk</t>
  </si>
  <si>
    <t>Voltage Tolerance Chk</t>
  </si>
  <si>
    <t>Calibration</t>
  </si>
  <si>
    <t>Read S/N</t>
  </si>
  <si>
    <t>Write S/N</t>
  </si>
  <si>
    <t>F/W Version Check</t>
  </si>
  <si>
    <t>F/W Programming</t>
  </si>
  <si>
    <t>Remark</t>
    <phoneticPr fontId="18" type="noConversion"/>
  </si>
  <si>
    <t>SFC</t>
    <phoneticPr fontId="18" type="noConversion"/>
  </si>
  <si>
    <t>Product Test</t>
    <phoneticPr fontId="18" type="noConversion"/>
  </si>
  <si>
    <t>Item</t>
    <phoneticPr fontId="18" type="noConversion"/>
  </si>
  <si>
    <t>Maximum Discharge Current</t>
    <phoneticPr fontId="18" type="noConversion"/>
  </si>
  <si>
    <t>Maximum Charge Current</t>
    <phoneticPr fontId="18" type="noConversion"/>
  </si>
  <si>
    <t>Maximum Voltage</t>
    <phoneticPr fontId="18" type="noConversion"/>
  </si>
  <si>
    <t>Stage2 : ST Solution</t>
    <phoneticPr fontId="18" type="noConversion"/>
  </si>
  <si>
    <t>Maximum Temperature</t>
    <phoneticPr fontId="18" type="noConversion"/>
  </si>
  <si>
    <t>Temperature  Offset</t>
    <phoneticPr fontId="18" type="noConversion"/>
  </si>
  <si>
    <t>Discharge Current Offset</t>
    <phoneticPr fontId="18" type="noConversion"/>
  </si>
  <si>
    <t>Charge Current Offset</t>
    <phoneticPr fontId="18" type="noConversion"/>
  </si>
  <si>
    <t>Votage Offset</t>
    <phoneticPr fontId="18" type="noConversion"/>
  </si>
  <si>
    <t>Cycle Count</t>
    <phoneticPr fontId="18" type="noConversion"/>
  </si>
  <si>
    <t>Parallel</t>
    <phoneticPr fontId="18" type="noConversion"/>
  </si>
  <si>
    <t>Series</t>
    <phoneticPr fontId="18" type="noConversion"/>
  </si>
  <si>
    <t>Cell Type</t>
    <phoneticPr fontId="18" type="noConversion"/>
  </si>
  <si>
    <t>FW Version</t>
    <phoneticPr fontId="18" type="noConversion"/>
  </si>
  <si>
    <t>Series Number</t>
    <phoneticPr fontId="18" type="noConversion"/>
  </si>
  <si>
    <t>Manufacture Date</t>
    <phoneticPr fontId="18" type="noConversion"/>
  </si>
  <si>
    <t>TI Solution</t>
    <phoneticPr fontId="18" type="noConversion"/>
  </si>
  <si>
    <t>Manufacture Name</t>
    <phoneticPr fontId="18" type="noConversion"/>
  </si>
  <si>
    <t>EEPROM</t>
    <phoneticPr fontId="18" type="noConversion"/>
  </si>
  <si>
    <t>LEV</t>
    <phoneticPr fontId="18" type="noConversion"/>
  </si>
  <si>
    <r>
      <t xml:space="preserve">e0 03 01 18 </t>
    </r>
    <r>
      <rPr>
        <sz val="12"/>
        <color rgb="FFFF0000"/>
        <rFont val="新細明體"/>
        <family val="1"/>
        <charset val="136"/>
      </rPr>
      <t>fb</t>
    </r>
    <phoneticPr fontId="10" type="noConversion"/>
  </si>
  <si>
    <t>VERSION</t>
  </si>
  <si>
    <t>MINOR_VERSION</t>
  </si>
  <si>
    <t>寫入資料</t>
    <phoneticPr fontId="10" type="noConversion"/>
  </si>
  <si>
    <t>e0 04 01 00 XX XX</t>
    <phoneticPr fontId="10" type="noConversion"/>
  </si>
  <si>
    <t>e0 04 01 02 XX XX</t>
    <phoneticPr fontId="10" type="noConversion"/>
  </si>
  <si>
    <t>e0 04 01 04 XX XX</t>
    <phoneticPr fontId="10" type="noConversion"/>
  </si>
  <si>
    <t>e0 0A 01 22 (XX ~ XX)(8 bytes)</t>
    <phoneticPr fontId="10" type="noConversion"/>
  </si>
  <si>
    <t>e0 0E 01 2A (XX ~ XX)(12 bytes)</t>
    <phoneticPr fontId="10" type="noConversion"/>
  </si>
  <si>
    <t>e0 04 00 00 XX XX</t>
    <phoneticPr fontId="10" type="noConversion"/>
  </si>
  <si>
    <t>e0 03 00 03 XX</t>
    <phoneticPr fontId="10" type="noConversion"/>
  </si>
  <si>
    <t>e0 03 00 02 XX</t>
    <phoneticPr fontId="10" type="noConversion"/>
  </si>
  <si>
    <t>DSG</t>
    <phoneticPr fontId="10" type="noConversion"/>
  </si>
  <si>
    <t>opa(v)</t>
    <phoneticPr fontId="10" type="noConversion"/>
  </si>
  <si>
    <t>PCB r sense(mv)</t>
    <phoneticPr fontId="10" type="noConversion"/>
  </si>
  <si>
    <t>adc 讀值</t>
    <phoneticPr fontId="10" type="noConversion"/>
  </si>
  <si>
    <t>current(A)</t>
    <phoneticPr fontId="10" type="noConversion"/>
  </si>
  <si>
    <t>r sense (mV)</t>
    <phoneticPr fontId="10" type="noConversion"/>
  </si>
  <si>
    <t>ADC 計算值</t>
    <phoneticPr fontId="10" type="noConversion"/>
  </si>
  <si>
    <t>gain r-sense</t>
    <phoneticPr fontId="10" type="noConversion"/>
  </si>
  <si>
    <t>gain pcb</t>
    <phoneticPr fontId="10" type="noConversion"/>
  </si>
  <si>
    <t>CHG</t>
    <phoneticPr fontId="10" type="noConversion"/>
  </si>
  <si>
    <t>Thinking NTC</t>
    <phoneticPr fontId="10" type="noConversion"/>
  </si>
  <si>
    <t>//  Resistor1 = 15kR</t>
    <phoneticPr fontId="10" type="noConversion"/>
  </si>
  <si>
    <t>MITSUBISHI    NTC</t>
    <phoneticPr fontId="10" type="noConversion"/>
  </si>
  <si>
    <t xml:space="preserve">ST MCU  </t>
    <phoneticPr fontId="10" type="noConversion"/>
  </si>
  <si>
    <t>//                                             |</t>
    <phoneticPr fontId="10" type="noConversion"/>
  </si>
  <si>
    <t>//                                           |</t>
    <phoneticPr fontId="10" type="noConversion"/>
  </si>
  <si>
    <t>factor</t>
    <phoneticPr fontId="10" type="noConversion"/>
  </si>
  <si>
    <t>NTC (R)</t>
    <phoneticPr fontId="10" type="noConversion"/>
  </si>
  <si>
    <t>Max Detection CHG Current</t>
    <phoneticPr fontId="10" type="noConversion"/>
  </si>
  <si>
    <t>mA</t>
    <phoneticPr fontId="10" type="noConversion"/>
  </si>
  <si>
    <t>Max Detection DSG Current</t>
    <phoneticPr fontId="10" type="noConversion"/>
  </si>
  <si>
    <t>1mV to ADC Factor</t>
    <phoneticPr fontId="10" type="noConversion"/>
  </si>
  <si>
    <t>// Battery Voltage circuit and setting</t>
  </si>
  <si>
    <t>//    Battery |------Resistor1----+---Resistor2-----|GND</t>
  </si>
  <si>
    <t>Max DetectionVbat Voltage</t>
    <phoneticPr fontId="10" type="noConversion"/>
  </si>
  <si>
    <t>mV</t>
    <phoneticPr fontId="10" type="noConversion"/>
  </si>
  <si>
    <t>輸入電壓(mV)</t>
    <phoneticPr fontId="10" type="noConversion"/>
  </si>
  <si>
    <t xml:space="preserve">//                                voltage output </t>
    <phoneticPr fontId="10" type="noConversion"/>
  </si>
  <si>
    <t>//                                to MCU ADC in</t>
    <phoneticPr fontId="10" type="noConversion"/>
  </si>
  <si>
    <t>//   Voltage |       1000KR        |     43.2KR</t>
    <phoneticPr fontId="10" type="noConversion"/>
  </si>
  <si>
    <t>1mV to ADC Factor = 1/ (ADC step_mV / (Vbat_R2 / (Vbat_R1+Vbat_R2))) ==&gt;小數點6位</t>
    <phoneticPr fontId="10" type="noConversion"/>
  </si>
  <si>
    <t>ADC</t>
    <phoneticPr fontId="10" type="noConversion"/>
  </si>
  <si>
    <t>Values</t>
    <phoneticPr fontId="10" type="noConversion"/>
  </si>
  <si>
    <t>MANUFACTURE_DATE</t>
  </si>
  <si>
    <t>Year</t>
    <phoneticPr fontId="10" type="noConversion"/>
  </si>
  <si>
    <t>Month</t>
    <phoneticPr fontId="10" type="noConversion"/>
  </si>
  <si>
    <t>Day</t>
    <phoneticPr fontId="10" type="noConversion"/>
  </si>
  <si>
    <t>//   Voltage |       1000KR        |     56KR</t>
    <phoneticPr fontId="10" type="noConversion"/>
  </si>
  <si>
    <t>ADC Values</t>
    <phoneticPr fontId="10" type="noConversion"/>
  </si>
  <si>
    <t>分壓系數</t>
    <phoneticPr fontId="10" type="noConversion"/>
  </si>
  <si>
    <t>To MCU Voltage(mV)</t>
    <phoneticPr fontId="10" type="noConversion"/>
  </si>
  <si>
    <t>To MCU Voltage(mV)</t>
    <phoneticPr fontId="10" type="noConversion"/>
  </si>
  <si>
    <r>
      <t>THINKING(興勤)</t>
    </r>
    <r>
      <rPr>
        <sz val="16"/>
        <color rgb="FF4D5132"/>
        <rFont val="Arial"/>
        <family val="2"/>
      </rPr>
      <t xml:space="preserve"> 21K0000000271L</t>
    </r>
  </si>
  <si>
    <t>MITSUBISHI J</t>
  </si>
  <si>
    <t>BH30-3J103FB-050-B</t>
  </si>
  <si>
    <t>Ｂ值 : 25/50 ＝ 3450K±1%</t>
    <phoneticPr fontId="10" type="noConversion"/>
  </si>
  <si>
    <t>BH30-3H103FB</t>
    <phoneticPr fontId="10" type="noConversion"/>
  </si>
  <si>
    <t>Ｂ值 : 25/50 ＝ 3370 K±1%</t>
    <phoneticPr fontId="10" type="noConversion"/>
  </si>
  <si>
    <t>TI Solution setting (I2C)</t>
    <phoneticPr fontId="10" type="noConversion"/>
  </si>
  <si>
    <t>DSG</t>
    <phoneticPr fontId="10" type="noConversion"/>
  </si>
  <si>
    <r>
      <t xml:space="preserve">d0 01 </t>
    </r>
    <r>
      <rPr>
        <sz val="12"/>
        <color rgb="FFFF0000"/>
        <rFont val="新細明體"/>
        <family val="1"/>
        <charset val="136"/>
      </rPr>
      <t>xx</t>
    </r>
    <phoneticPr fontId="10" type="noConversion"/>
  </si>
  <si>
    <t>CHG</t>
    <phoneticPr fontId="10" type="noConversion"/>
  </si>
  <si>
    <r>
      <t xml:space="preserve">d1 01 </t>
    </r>
    <r>
      <rPr>
        <sz val="12"/>
        <color rgb="FFFF0000"/>
        <rFont val="新細明體"/>
        <family val="1"/>
        <charset val="136"/>
      </rPr>
      <t>xx</t>
    </r>
    <phoneticPr fontId="10" type="noConversion"/>
  </si>
  <si>
    <t>cmd,length,value</t>
    <phoneticPr fontId="10" type="noConversion"/>
  </si>
  <si>
    <t>ST Solution Setting (Urat)</t>
    <phoneticPr fontId="10" type="noConversion"/>
  </si>
  <si>
    <t>Vbat</t>
    <phoneticPr fontId="10" type="noConversion"/>
  </si>
  <si>
    <r>
      <t>d3 01</t>
    </r>
    <r>
      <rPr>
        <sz val="12"/>
        <color rgb="FFFF0000"/>
        <rFont val="新細明體"/>
        <family val="1"/>
        <charset val="136"/>
      </rPr>
      <t xml:space="preserve"> xx</t>
    </r>
    <phoneticPr fontId="10" type="noConversion"/>
  </si>
  <si>
    <t>(cmd,length,value)</t>
    <phoneticPr fontId="10" type="noConversion"/>
  </si>
  <si>
    <t>NTC輸入實際值 10K</t>
    <phoneticPr fontId="10" type="noConversion"/>
  </si>
  <si>
    <t>度</t>
    <phoneticPr fontId="10" type="noConversion"/>
  </si>
  <si>
    <t>at 25 度</t>
    <phoneticPr fontId="10" type="noConversion"/>
  </si>
  <si>
    <t>校正值</t>
    <phoneticPr fontId="10" type="noConversion"/>
  </si>
  <si>
    <r>
      <t>d2 01</t>
    </r>
    <r>
      <rPr>
        <sz val="12"/>
        <color rgb="FFFF0000"/>
        <rFont val="新細明體"/>
        <family val="1"/>
        <charset val="136"/>
      </rPr>
      <t xml:space="preserve"> xx</t>
    </r>
    <phoneticPr fontId="10" type="noConversion"/>
  </si>
  <si>
    <t>NTC1</t>
    <phoneticPr fontId="10" type="noConversion"/>
  </si>
  <si>
    <t>NTC2</t>
    <phoneticPr fontId="10" type="noConversion"/>
  </si>
  <si>
    <r>
      <t>d4 01</t>
    </r>
    <r>
      <rPr>
        <sz val="12"/>
        <color rgb="FFFF0000"/>
        <rFont val="新細明體"/>
        <family val="1"/>
        <charset val="136"/>
      </rPr>
      <t xml:space="preserve"> xx</t>
    </r>
    <phoneticPr fontId="10" type="noConversion"/>
  </si>
  <si>
    <t>CHG 輸入實際電流</t>
    <phoneticPr fontId="10" type="noConversion"/>
  </si>
  <si>
    <t>(mA)</t>
    <phoneticPr fontId="10" type="noConversion"/>
  </si>
  <si>
    <t>CHG</t>
    <phoneticPr fontId="10" type="noConversion"/>
  </si>
  <si>
    <t>DSG</t>
    <phoneticPr fontId="10" type="noConversion"/>
  </si>
  <si>
    <t>DSG 輸入實際電流</t>
    <phoneticPr fontId="10" type="noConversion"/>
  </si>
  <si>
    <t>校正值取最後兩位數</t>
    <phoneticPr fontId="10" type="noConversion"/>
  </si>
  <si>
    <t>校正值</t>
    <phoneticPr fontId="10" type="noConversion"/>
  </si>
  <si>
    <t>TW team</t>
    <phoneticPr fontId="10" type="noConversion"/>
  </si>
  <si>
    <t>WJ Team</t>
    <phoneticPr fontId="10" type="noConversion"/>
  </si>
  <si>
    <t>Item</t>
    <phoneticPr fontId="10" type="noConversion"/>
  </si>
  <si>
    <t>Account</t>
  </si>
  <si>
    <t>Project</t>
    <phoneticPr fontId="10" type="noConversion"/>
  </si>
  <si>
    <t>F/W Name</t>
    <phoneticPr fontId="10" type="noConversion"/>
  </si>
  <si>
    <t>Spec</t>
    <phoneticPr fontId="10" type="noConversion"/>
  </si>
  <si>
    <t>Structure</t>
    <phoneticPr fontId="10" type="noConversion"/>
  </si>
  <si>
    <t>LED Num</t>
    <phoneticPr fontId="10" type="noConversion"/>
  </si>
  <si>
    <t>Cell Vender</t>
    <phoneticPr fontId="10" type="noConversion"/>
  </si>
  <si>
    <t>Cell Capacity</t>
    <phoneticPr fontId="10" type="noConversion"/>
  </si>
  <si>
    <t>Communication</t>
    <phoneticPr fontId="10" type="noConversion"/>
  </si>
  <si>
    <t xml:space="preserve"> Set Comm. Iso.</t>
    <phoneticPr fontId="10" type="noConversion"/>
  </si>
  <si>
    <t>Comm. Port (Tx/Rx)</t>
    <phoneticPr fontId="10" type="noConversion"/>
  </si>
  <si>
    <t>Output Pin</t>
    <phoneticPr fontId="10" type="noConversion"/>
  </si>
  <si>
    <t>EPM</t>
    <phoneticPr fontId="10" type="noConversion"/>
  </si>
  <si>
    <t>MPM</t>
    <phoneticPr fontId="10" type="noConversion"/>
  </si>
  <si>
    <t>TPM</t>
    <phoneticPr fontId="10" type="noConversion"/>
  </si>
  <si>
    <t>EE</t>
    <phoneticPr fontId="10" type="noConversion"/>
  </si>
  <si>
    <t>ME</t>
    <phoneticPr fontId="10" type="noConversion"/>
  </si>
  <si>
    <t>SW</t>
    <phoneticPr fontId="10" type="noConversion"/>
  </si>
  <si>
    <t>TFix</t>
    <phoneticPr fontId="10" type="noConversion"/>
  </si>
  <si>
    <t>PE</t>
    <phoneticPr fontId="10" type="noConversion"/>
  </si>
  <si>
    <t>AFix</t>
    <phoneticPr fontId="10" type="noConversion"/>
  </si>
  <si>
    <t>IE</t>
    <phoneticPr fontId="10" type="noConversion"/>
  </si>
  <si>
    <t>Ananda</t>
    <phoneticPr fontId="10" type="noConversion"/>
  </si>
  <si>
    <t>A-120602 (Demeter -102)</t>
    <phoneticPr fontId="10" type="noConversion"/>
  </si>
  <si>
    <t>36V/10.4Ah</t>
    <phoneticPr fontId="10" type="noConversion"/>
  </si>
  <si>
    <t>10S/4P</t>
    <phoneticPr fontId="10" type="noConversion"/>
  </si>
  <si>
    <t>4 LEDs</t>
    <phoneticPr fontId="10" type="noConversion"/>
  </si>
  <si>
    <t>SDI</t>
    <phoneticPr fontId="10" type="noConversion"/>
  </si>
  <si>
    <t>26H</t>
    <phoneticPr fontId="10" type="noConversion"/>
  </si>
  <si>
    <t>1-Wire(TX)</t>
    <phoneticPr fontId="10" type="noConversion"/>
  </si>
  <si>
    <t>No Isolator</t>
  </si>
  <si>
    <t>Maping(PA2/PA3)</t>
    <phoneticPr fontId="10" type="noConversion"/>
  </si>
  <si>
    <t>4 Pins</t>
    <phoneticPr fontId="10" type="noConversion"/>
  </si>
  <si>
    <t>Billie</t>
    <phoneticPr fontId="10" type="noConversion"/>
  </si>
  <si>
    <t>Sunny.Xie</t>
    <phoneticPr fontId="10" type="noConversion"/>
  </si>
  <si>
    <t>Andy / Bird</t>
    <phoneticPr fontId="10" type="noConversion"/>
  </si>
  <si>
    <t>Leo</t>
    <phoneticPr fontId="10" type="noConversion"/>
  </si>
  <si>
    <t>Rick</t>
    <phoneticPr fontId="10" type="noConversion"/>
  </si>
  <si>
    <t>Changfei</t>
    <phoneticPr fontId="10" type="noConversion"/>
  </si>
  <si>
    <t>Volins</t>
    <phoneticPr fontId="10" type="noConversion"/>
  </si>
  <si>
    <t>Lily</t>
    <phoneticPr fontId="10" type="noConversion"/>
  </si>
  <si>
    <t>Pipi</t>
    <phoneticPr fontId="10" type="noConversion"/>
  </si>
  <si>
    <t>Alice</t>
    <phoneticPr fontId="10" type="noConversion"/>
  </si>
  <si>
    <t>A-120603 (Aurola-102)</t>
    <phoneticPr fontId="10" type="noConversion"/>
  </si>
  <si>
    <t>5 LEDs</t>
    <phoneticPr fontId="10" type="noConversion"/>
  </si>
  <si>
    <t>SDI</t>
  </si>
  <si>
    <t>26H</t>
  </si>
  <si>
    <t>2 Pins</t>
    <phoneticPr fontId="10" type="noConversion"/>
  </si>
  <si>
    <t>Jason</t>
    <phoneticPr fontId="10" type="noConversion"/>
  </si>
  <si>
    <t>Mill</t>
    <phoneticPr fontId="10" type="noConversion"/>
  </si>
  <si>
    <t>Jinn</t>
    <phoneticPr fontId="10" type="noConversion"/>
  </si>
  <si>
    <t>A-120604 (Ceres-78)</t>
    <phoneticPr fontId="10" type="noConversion"/>
  </si>
  <si>
    <t>36V/7.8Ah</t>
    <phoneticPr fontId="10" type="noConversion"/>
  </si>
  <si>
    <t>10S/3P</t>
    <phoneticPr fontId="10" type="noConversion"/>
  </si>
  <si>
    <t>0 LED</t>
    <phoneticPr fontId="10" type="noConversion"/>
  </si>
  <si>
    <t>Wen.Zhao</t>
    <phoneticPr fontId="10" type="noConversion"/>
  </si>
  <si>
    <t>Peggy</t>
    <phoneticPr fontId="10" type="noConversion"/>
  </si>
  <si>
    <t>Winnie</t>
    <phoneticPr fontId="10" type="noConversion"/>
  </si>
  <si>
    <t>A-120701 (Eos-78)</t>
    <phoneticPr fontId="10" type="noConversion"/>
  </si>
  <si>
    <t>Demeter-A (48V)</t>
    <phoneticPr fontId="10" type="noConversion"/>
  </si>
  <si>
    <t>N/A</t>
    <phoneticPr fontId="10" type="noConversion"/>
  </si>
  <si>
    <t>N/A</t>
  </si>
  <si>
    <t>Demeter A-48V-8.8A</t>
    <phoneticPr fontId="10" type="noConversion"/>
  </si>
  <si>
    <t>48V/8.8Ah</t>
    <phoneticPr fontId="10" type="noConversion"/>
  </si>
  <si>
    <t>13S/4P</t>
    <phoneticPr fontId="10" type="noConversion"/>
  </si>
  <si>
    <t>3 LEDs</t>
    <phoneticPr fontId="10" type="noConversion"/>
  </si>
  <si>
    <t>22H</t>
    <phoneticPr fontId="10" type="noConversion"/>
  </si>
  <si>
    <t>TX/RX</t>
  </si>
  <si>
    <t>Isolator</t>
  </si>
  <si>
    <t>Direct(PC5/PC6)</t>
  </si>
  <si>
    <t>6 Pins</t>
    <phoneticPr fontId="10" type="noConversion"/>
  </si>
  <si>
    <t>Demeter A-48V-10.4A</t>
    <phoneticPr fontId="10" type="noConversion"/>
  </si>
  <si>
    <t>48V/10.4Ah</t>
    <phoneticPr fontId="10" type="noConversion"/>
  </si>
  <si>
    <t>13S/4P</t>
  </si>
  <si>
    <t>3 LEDs</t>
  </si>
  <si>
    <t>6 Pins</t>
  </si>
  <si>
    <t>Demeter A+ (36V)</t>
    <phoneticPr fontId="10" type="noConversion"/>
  </si>
  <si>
    <t>36V/10.4Ah</t>
  </si>
  <si>
    <t>Demeter B-48V-8.8A</t>
    <phoneticPr fontId="10" type="noConversion"/>
  </si>
  <si>
    <t>Demeter B (48V)</t>
    <phoneticPr fontId="10" type="noConversion"/>
  </si>
  <si>
    <t>48V/10.4Ah</t>
  </si>
  <si>
    <t>Demeter B+ (36V)</t>
    <phoneticPr fontId="10" type="noConversion"/>
  </si>
  <si>
    <t>Pan (B)</t>
    <phoneticPr fontId="10" type="noConversion"/>
  </si>
  <si>
    <t>No Isolator</t>
    <phoneticPr fontId="10" type="noConversion"/>
  </si>
  <si>
    <t>Nick</t>
    <phoneticPr fontId="10" type="noConversion"/>
  </si>
  <si>
    <t>Pan (T)</t>
  </si>
  <si>
    <t xml:space="preserve">Cupid </t>
  </si>
  <si>
    <t>26V/5.2Ah</t>
    <phoneticPr fontId="10" type="noConversion"/>
  </si>
  <si>
    <t>7S/2P</t>
    <phoneticPr fontId="10" type="noConversion"/>
  </si>
  <si>
    <t>Isolator</t>
    <phoneticPr fontId="10" type="noConversion"/>
  </si>
  <si>
    <t>5 Pins</t>
    <phoneticPr fontId="10" type="noConversion"/>
  </si>
  <si>
    <t>26V/7.8Ah</t>
    <phoneticPr fontId="10" type="noConversion"/>
  </si>
  <si>
    <t>7S/3P</t>
    <phoneticPr fontId="10" type="noConversion"/>
  </si>
  <si>
    <t>Pan A (T)</t>
  </si>
  <si>
    <t>Zhiguang</t>
    <phoneticPr fontId="10" type="noConversion"/>
  </si>
  <si>
    <t>Pan A (B)</t>
  </si>
  <si>
    <t>NTC Type</t>
    <phoneticPr fontId="10" type="noConversion"/>
  </si>
  <si>
    <t>MITSUBISHI H</t>
    <phoneticPr fontId="10" type="noConversion"/>
  </si>
  <si>
    <t>Ｂ值 : 25/85 ＝ 3413 K±1%</t>
    <phoneticPr fontId="10" type="noConversion"/>
  </si>
  <si>
    <r>
      <rPr>
        <sz val="12"/>
        <color indexed="9"/>
        <rFont val="Tahoma"/>
        <family val="2"/>
      </rPr>
      <t>.</t>
    </r>
    <r>
      <rPr>
        <sz val="12"/>
        <rFont val="Tahoma"/>
        <family val="2"/>
      </rPr>
      <t>-</t>
    </r>
    <r>
      <rPr>
        <sz val="12"/>
        <color indexed="8"/>
        <rFont val="Tahoma"/>
        <family val="2"/>
      </rPr>
      <t>5~10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</si>
  <si>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Temp and SOC High</t>
    <phoneticPr fontId="10" type="noConversion"/>
  </si>
  <si>
    <t>SOC High</t>
    <phoneticPr fontId="10" type="noConversion"/>
  </si>
  <si>
    <t>SOC Low</t>
    <phoneticPr fontId="10" type="noConversion"/>
  </si>
  <si>
    <r>
      <t>65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</si>
  <si>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DOTP-R</t>
    <phoneticPr fontId="10" type="noConversion"/>
  </si>
  <si>
    <t>DOTP</t>
    <phoneticPr fontId="10" type="noConversion"/>
  </si>
  <si>
    <r>
      <t>0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~ 58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</si>
  <si>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COTP-R</t>
    <phoneticPr fontId="10" type="noConversion"/>
  </si>
  <si>
    <r>
      <t xml:space="preserve">&lt;-5 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 ,  &gt;62 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</si>
  <si>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COTP Charging</t>
    <phoneticPr fontId="10" type="noConversion"/>
  </si>
  <si>
    <t>COTP Initial</t>
    <phoneticPr fontId="10" type="noConversion"/>
  </si>
  <si>
    <t>125A +-50A(100uS~700uS Delay)</t>
    <phoneticPr fontId="10" type="noConversion"/>
  </si>
  <si>
    <t>SCP</t>
    <phoneticPr fontId="10" type="noConversion"/>
  </si>
  <si>
    <t xml:space="preserve"> Release after charge applied </t>
  </si>
  <si>
    <t>ODCP-R</t>
    <phoneticPr fontId="10" type="noConversion"/>
  </si>
  <si>
    <t>50A+-7.5A (5mS~15mS Delay)</t>
    <phoneticPr fontId="10" type="noConversion"/>
  </si>
  <si>
    <t>ODCP</t>
    <phoneticPr fontId="10" type="noConversion"/>
  </si>
  <si>
    <r>
      <t xml:space="preserve">5Sec (Repeat 3 Times Latch, </t>
    </r>
    <r>
      <rPr>
        <sz val="12"/>
        <color indexed="8"/>
        <rFont val="新細明體"/>
        <family val="1"/>
        <charset val="136"/>
      </rPr>
      <t>按</t>
    </r>
    <r>
      <rPr>
        <sz val="12"/>
        <color indexed="8"/>
        <rFont val="Tahoma"/>
        <family val="2"/>
      </rPr>
      <t>switch</t>
    </r>
    <r>
      <rPr>
        <sz val="12"/>
        <color indexed="8"/>
        <rFont val="新細明體"/>
        <family val="1"/>
        <charset val="136"/>
      </rPr>
      <t>回復</t>
    </r>
    <r>
      <rPr>
        <sz val="12"/>
        <color indexed="8"/>
        <rFont val="Tahoma"/>
        <family val="2"/>
      </rPr>
      <t xml:space="preserve"> or </t>
    </r>
    <r>
      <rPr>
        <sz val="12"/>
        <color indexed="8"/>
        <rFont val="新細明體"/>
        <family val="1"/>
        <charset val="136"/>
      </rPr>
      <t>放電回復</t>
    </r>
    <r>
      <rPr>
        <sz val="12"/>
        <color indexed="8"/>
        <rFont val="Tahoma"/>
        <family val="2"/>
      </rPr>
      <t>)</t>
    </r>
    <phoneticPr fontId="10" type="noConversion"/>
  </si>
  <si>
    <t>OCCP-R</t>
    <phoneticPr fontId="10" type="noConversion"/>
  </si>
  <si>
    <t xml:space="preserve">4.5A (1Sec Delay) </t>
    <phoneticPr fontId="10" type="noConversion"/>
  </si>
  <si>
    <t>OCCP</t>
    <phoneticPr fontId="10" type="noConversion"/>
  </si>
  <si>
    <t>3V+-100mV (Max 5mSec Delay)</t>
    <phoneticPr fontId="10" type="noConversion"/>
  </si>
  <si>
    <r>
      <rPr>
        <sz val="12"/>
        <color indexed="8"/>
        <rFont val="新細明體"/>
        <family val="1"/>
        <charset val="136"/>
      </rPr>
      <t>偵測充電電流回復</t>
    </r>
    <phoneticPr fontId="10" type="noConversion"/>
  </si>
  <si>
    <t>UVP-R</t>
    <phoneticPr fontId="10" type="noConversion"/>
  </si>
  <si>
    <t>2.5V+-80mV (0.5~1.5Sec Delay)</t>
    <phoneticPr fontId="10" type="noConversion"/>
  </si>
  <si>
    <t>19.5V / 28V / 36.5V+-300mV (3Sec Delay)</t>
    <phoneticPr fontId="10" type="noConversion"/>
  </si>
  <si>
    <t>UVP</t>
    <phoneticPr fontId="10" type="noConversion"/>
  </si>
  <si>
    <t>4.15V+-50mV (0.05~0.15Sec Delay)</t>
    <phoneticPr fontId="10" type="noConversion"/>
  </si>
  <si>
    <t>29V / 41.5V / 54V+-300mV</t>
    <phoneticPr fontId="10" type="noConversion"/>
  </si>
  <si>
    <t>OVP-R</t>
    <phoneticPr fontId="10" type="noConversion"/>
  </si>
  <si>
    <t>4.25V+-25mV (0.5~1.5Sec Delay)</t>
    <phoneticPr fontId="10" type="noConversion"/>
  </si>
  <si>
    <t>29.8V / 42.4V / 55V +-300mV (3Sec Delay)</t>
    <phoneticPr fontId="10" type="noConversion"/>
  </si>
  <si>
    <t>OVP</t>
    <phoneticPr fontId="10" type="noConversion"/>
  </si>
  <si>
    <t>HW_Cell Voltage(24V/36V / 48V)</t>
    <phoneticPr fontId="10" type="noConversion"/>
  </si>
  <si>
    <t>SW_(24V/36V / 48V)</t>
    <phoneticPr fontId="10" type="noConversion"/>
  </si>
  <si>
    <r>
      <t>80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@&gt;8A , 70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@&lt;8A </t>
    </r>
    <r>
      <rPr>
        <sz val="12"/>
        <color rgb="FFFF0000"/>
        <rFont val="Tahoma"/>
        <family val="2"/>
      </rPr>
      <t xml:space="preserve"> (ST Sample : 85</t>
    </r>
    <r>
      <rPr>
        <sz val="12"/>
        <color rgb="FFFF0000"/>
        <rFont val="新細明體"/>
        <family val="1"/>
        <charset val="136"/>
      </rPr>
      <t>℃</t>
    </r>
    <r>
      <rPr>
        <sz val="12"/>
        <color rgb="FFFF0000"/>
        <rFont val="Tahoma"/>
        <family val="2"/>
      </rPr>
      <t xml:space="preserve"> @&gt;8A)</t>
    </r>
    <phoneticPr fontId="10" type="noConversion"/>
  </si>
  <si>
    <r>
      <t xml:space="preserve">Cycle Count &lt;100 and &gt;500  </t>
    </r>
    <r>
      <rPr>
        <sz val="12"/>
        <color rgb="FFFF0000"/>
        <rFont val="Tahoma"/>
        <family val="2"/>
      </rPr>
      <t>(ST Sample : 150)</t>
    </r>
    <phoneticPr fontId="10" type="noConversion"/>
  </si>
  <si>
    <r>
      <t xml:space="preserve">Cycle Count </t>
    </r>
    <r>
      <rPr>
        <sz val="12"/>
        <color indexed="8"/>
        <rFont val="新細明體"/>
        <family val="1"/>
        <charset val="136"/>
      </rPr>
      <t>≧</t>
    </r>
    <r>
      <rPr>
        <sz val="12"/>
        <color indexed="8"/>
        <rFont val="Tahoma"/>
        <family val="2"/>
      </rPr>
      <t xml:space="preserve">100 and </t>
    </r>
    <r>
      <rPr>
        <sz val="12"/>
        <color indexed="8"/>
        <rFont val="新細明體"/>
        <family val="1"/>
        <charset val="136"/>
      </rPr>
      <t>≦</t>
    </r>
    <r>
      <rPr>
        <sz val="12"/>
        <color indexed="8"/>
        <rFont val="Tahoma"/>
        <family val="2"/>
      </rPr>
      <t xml:space="preserve">500  </t>
    </r>
    <r>
      <rPr>
        <sz val="12"/>
        <color rgb="FFFF0000"/>
        <rFont val="Tahoma"/>
        <family val="2"/>
      </rPr>
      <t>(ST Sample : 150)</t>
    </r>
    <phoneticPr fontId="10" type="noConversion"/>
  </si>
  <si>
    <t>_Cupid_7S_3P_5LED_SDI26H_SAMPLES_</t>
    <phoneticPr fontId="10" type="noConversion"/>
  </si>
  <si>
    <t>_Pan_10S4P3LED_SDI26H_SAMPLES_</t>
    <phoneticPr fontId="10" type="noConversion"/>
  </si>
  <si>
    <t>_Demeter_B_13S_4P_3LED_SDI26H_SAMPLES_</t>
    <phoneticPr fontId="10" type="noConversion"/>
  </si>
  <si>
    <t>_Eos_A120701_10S_3P_4LED_SDI26H_SAMPLES_</t>
    <phoneticPr fontId="10" type="noConversion"/>
  </si>
  <si>
    <t>Direct(PC5/PC6)</t>
    <phoneticPr fontId="10" type="noConversion"/>
  </si>
  <si>
    <t>Mitsubishi H Type(B:3413)</t>
  </si>
  <si>
    <t>Mitsubishi H Type(B:3413)</t>
    <phoneticPr fontId="10" type="noConversion"/>
  </si>
  <si>
    <t>Mitsubishi H Type(B:3413)</t>
    <phoneticPr fontId="10" type="noConversion"/>
  </si>
  <si>
    <t>N/A</t>
    <phoneticPr fontId="10" type="noConversion"/>
  </si>
  <si>
    <t>_Aurola_A120603_10S_4P_5LED_SDI26H_SAMPLES_</t>
    <phoneticPr fontId="10" type="noConversion"/>
  </si>
  <si>
    <t>_Demeter_A_13S_4P_3LED_SDI22H_SAMPLES_</t>
  </si>
  <si>
    <t>_Demeter_B_13S_4P_3LED_SDI26H_SAMPLES_</t>
  </si>
  <si>
    <t>_Demeter_B_PLUS_10S_4P_3LED_SDI26H_SAMPLES_</t>
  </si>
  <si>
    <t>_Demeter_B_PLUS_10S_4P_3LED_SDI26H_SAMPLES_</t>
    <phoneticPr fontId="10" type="noConversion"/>
  </si>
  <si>
    <t>Ananda</t>
  </si>
  <si>
    <t>Ananda</t>
    <phoneticPr fontId="10" type="noConversion"/>
  </si>
  <si>
    <t>New Pan</t>
    <phoneticPr fontId="10" type="noConversion"/>
  </si>
  <si>
    <t>Mitsubishi H Type(B:3413)</t>
    <phoneticPr fontId="10" type="noConversion"/>
  </si>
  <si>
    <t>N/A</t>
    <phoneticPr fontId="10" type="noConversion"/>
  </si>
  <si>
    <t>48V-B type</t>
    <phoneticPr fontId="56" type="noConversion"/>
  </si>
  <si>
    <t>DAK740000-W0Q1E04LT</t>
    <phoneticPr fontId="18" type="noConversion"/>
  </si>
  <si>
    <t>SDI</t>
    <phoneticPr fontId="56" type="noConversion"/>
  </si>
  <si>
    <t>13S4P</t>
    <phoneticPr fontId="58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</si>
  <si>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下放電</t>
    </r>
    <phoneticPr fontId="58" type="noConversion"/>
  </si>
  <si>
    <t>00M</t>
    <phoneticPr fontId="56" type="noConversion"/>
  </si>
  <si>
    <t>NA</t>
    <phoneticPr fontId="56" type="noConversion"/>
  </si>
  <si>
    <t>48V/10.0Ah</t>
    <phoneticPr fontId="56" type="noConversion"/>
  </si>
  <si>
    <t>DAKB00104-W021E01L</t>
    <phoneticPr fontId="58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</si>
  <si>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</si>
  <si>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13S4P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</si>
  <si>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6" type="noConversion"/>
  </si>
  <si>
    <t>00L</t>
    <phoneticPr fontId="56" type="noConversion"/>
  </si>
  <si>
    <t>DAKB00104-W021E02L</t>
    <phoneticPr fontId="58" type="noConversion"/>
  </si>
  <si>
    <t>24V-B Type</t>
    <phoneticPr fontId="56" type="noConversion"/>
  </si>
  <si>
    <t>DAK740000-W0Q1E05LT</t>
  </si>
  <si>
    <t>7S3P</t>
    <phoneticPr fontId="58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</si>
  <si>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190mm</t>
    </r>
    <r>
      <rPr>
        <b/>
        <sz val="10"/>
        <rFont val="細明體"/>
        <family val="3"/>
        <charset val="136"/>
      </rPr>
      <t>铝管</t>
    </r>
  </si>
  <si>
    <t>00P</t>
    <phoneticPr fontId="56" type="noConversion"/>
  </si>
  <si>
    <t>Black</t>
    <phoneticPr fontId="56" type="noConversion"/>
  </si>
  <si>
    <t>DAKB00760-W021E01LT</t>
    <phoneticPr fontId="58" type="noConversion"/>
  </si>
  <si>
    <t>MP</t>
    <phoneticPr fontId="56" type="noConversion"/>
  </si>
  <si>
    <t>Pan_B190_26076</t>
    <phoneticPr fontId="56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</si>
  <si>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285mm</t>
    </r>
    <r>
      <rPr>
        <b/>
        <sz val="10"/>
        <rFont val="細明體"/>
        <family val="3"/>
        <charset val="136"/>
      </rPr>
      <t>铝管</t>
    </r>
    <phoneticPr fontId="56" type="noConversion"/>
  </si>
  <si>
    <t>00N</t>
    <phoneticPr fontId="56" type="noConversion"/>
  </si>
  <si>
    <t>Silver</t>
    <phoneticPr fontId="56" type="noConversion"/>
  </si>
  <si>
    <t>DAKB00780-W021E02LT</t>
    <phoneticPr fontId="58" type="noConversion"/>
  </si>
  <si>
    <t>Pan_B285_26076</t>
    <phoneticPr fontId="56" type="noConversion"/>
  </si>
  <si>
    <t>36V-B type</t>
    <phoneticPr fontId="56" type="noConversion"/>
  </si>
  <si>
    <t>DAK740000-W0Q1E06LT</t>
  </si>
  <si>
    <t>10S4P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</si>
  <si>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银鱼上方电</t>
    </r>
    <phoneticPr fontId="56" type="noConversion"/>
  </si>
  <si>
    <t>00B</t>
    <phoneticPr fontId="56" type="noConversion"/>
  </si>
  <si>
    <t>36V/10.0Ah</t>
    <phoneticPr fontId="56" type="noConversion"/>
  </si>
  <si>
    <t>DAKB00104-W021E04L</t>
    <phoneticPr fontId="58" type="noConversion"/>
  </si>
  <si>
    <t>Pan_T_36100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</si>
  <si>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银鱼下放电</t>
    </r>
    <r>
      <rPr>
        <b/>
        <sz val="10"/>
        <rFont val="Times New Roman"/>
        <family val="1"/>
      </rPr>
      <t>285mm</t>
    </r>
    <r>
      <rPr>
        <b/>
        <sz val="10"/>
        <rFont val="宋体"/>
        <family val="3"/>
        <charset val="134"/>
      </rPr>
      <t>铝管</t>
    </r>
    <phoneticPr fontId="56" type="noConversion"/>
  </si>
  <si>
    <t>00A</t>
    <phoneticPr fontId="56" type="noConversion"/>
  </si>
  <si>
    <t>DAKB00104-W021E05L</t>
    <phoneticPr fontId="58" type="noConversion"/>
  </si>
  <si>
    <t>Pan_B285_36100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</si>
  <si>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215</t>
    </r>
    <r>
      <rPr>
        <b/>
        <sz val="10"/>
        <rFont val="华文楷体"/>
        <family val="3"/>
        <charset val="134"/>
      </rPr>
      <t>）</t>
    </r>
    <phoneticPr fontId="56" type="noConversion"/>
  </si>
  <si>
    <t>009</t>
    <phoneticPr fontId="56" type="noConversion"/>
  </si>
  <si>
    <t>White</t>
    <phoneticPr fontId="56" type="noConversion"/>
  </si>
  <si>
    <t>DAKB90100-W021E01LT</t>
    <phoneticPr fontId="58" type="noConversion"/>
  </si>
  <si>
    <t>DAKB90104-W021E02L</t>
    <phoneticPr fontId="58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</si>
  <si>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</si>
  <si>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00J</t>
    <phoneticPr fontId="56" type="noConversion"/>
  </si>
  <si>
    <t>DAKB90100-W021E03LT</t>
    <phoneticPr fontId="58" type="noConversion"/>
  </si>
  <si>
    <t>Demeter_B285_48100</t>
    <phoneticPr fontId="56" type="noConversion"/>
  </si>
  <si>
    <t>DAKB00104-W021E03L</t>
    <phoneticPr fontId="58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</si>
  <si>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phoneticPr fontId="56" type="noConversion"/>
  </si>
  <si>
    <t>00F</t>
    <phoneticPr fontId="56" type="noConversion"/>
  </si>
  <si>
    <t>DAKB90104-W021E05LT</t>
    <phoneticPr fontId="58" type="noConversion"/>
  </si>
  <si>
    <t>Demeter_A_48100</t>
    <phoneticPr fontId="56" type="noConversion"/>
  </si>
  <si>
    <t>DAKB00104-W021E06L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</si>
  <si>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</si>
  <si>
    <t>00G</t>
    <phoneticPr fontId="56" type="noConversion"/>
  </si>
  <si>
    <t>DAKB90104-W021E01L</t>
    <phoneticPr fontId="56" type="noConversion"/>
  </si>
  <si>
    <t>Demeter_A_36100</t>
    <phoneticPr fontId="56" type="noConversion"/>
  </si>
  <si>
    <r>
      <rPr>
        <b/>
        <sz val="10"/>
        <rFont val="ヒラギノ角ゴ ProN W6"/>
        <family val="3"/>
        <charset val="128"/>
      </rPr>
      <t>惠</t>
    </r>
    <r>
      <rPr>
        <b/>
        <sz val="10"/>
        <rFont val="儷宋 Pro"/>
        <family val="3"/>
        <charset val="136"/>
      </rPr>
      <t>业</t>
    </r>
    <r>
      <rPr>
        <b/>
        <sz val="10"/>
        <rFont val="細明體"/>
        <family val="3"/>
        <charset val="136"/>
      </rPr>
      <t>,</t>
    </r>
    <r>
      <rPr>
        <b/>
        <sz val="10"/>
        <rFont val="ヒラギノ角ゴ ProN W6"/>
        <family val="3"/>
        <charset val="128"/>
      </rPr>
      <t>塑苹果</t>
    </r>
  </si>
  <si>
    <t>DAKB90104-W021E04LT</t>
    <phoneticPr fontId="56" type="noConversion"/>
  </si>
  <si>
    <t>24V-B type</t>
    <phoneticPr fontId="56" type="noConversion"/>
  </si>
  <si>
    <t>惠业, 側拉式</t>
    <phoneticPr fontId="56" type="noConversion"/>
  </si>
  <si>
    <t>00D</t>
    <phoneticPr fontId="58" type="noConversion"/>
  </si>
  <si>
    <t>White</t>
    <phoneticPr fontId="58" type="noConversion"/>
  </si>
  <si>
    <t>26V/7.6Ah</t>
  </si>
  <si>
    <t>DAKB90780-W021E01LT</t>
    <phoneticPr fontId="58" type="noConversion"/>
  </si>
  <si>
    <t>7S2P</t>
    <phoneticPr fontId="56" type="noConversion"/>
  </si>
  <si>
    <t>00C</t>
    <phoneticPr fontId="56" type="noConversion"/>
  </si>
  <si>
    <t>26V/5.0Ah</t>
  </si>
  <si>
    <t>DAKB00520-W021E01L</t>
    <phoneticPr fontId="58" type="noConversion"/>
  </si>
  <si>
    <t>DAK740000-W0Q1E06LT</t>
    <phoneticPr fontId="18" type="noConversion"/>
  </si>
  <si>
    <t>10S3P</t>
    <phoneticPr fontId="56" type="noConversion"/>
  </si>
  <si>
    <t>NA, 管藏電池</t>
    <phoneticPr fontId="56" type="noConversion"/>
  </si>
  <si>
    <t>007</t>
    <phoneticPr fontId="56" type="noConversion"/>
  </si>
  <si>
    <t>36V/7.6Ah</t>
    <phoneticPr fontId="56" type="noConversion"/>
  </si>
  <si>
    <t>DAKB00780-W021E01L</t>
    <phoneticPr fontId="56" type="noConversion"/>
  </si>
  <si>
    <t>Ceres_36076</t>
    <phoneticPr fontId="56" type="noConversion"/>
  </si>
  <si>
    <t>山山,珍妮包</t>
    <phoneticPr fontId="56" type="noConversion"/>
  </si>
  <si>
    <t>008</t>
    <phoneticPr fontId="56" type="noConversion"/>
  </si>
  <si>
    <t>36V/7.6Ah</t>
  </si>
  <si>
    <t>DAKB90760-W021E01LT</t>
    <phoneticPr fontId="56" type="noConversion"/>
  </si>
  <si>
    <t>Eos_36076</t>
    <phoneticPr fontId="56" type="noConversion"/>
  </si>
  <si>
    <t>DAKB90900-W021E02L</t>
    <phoneticPr fontId="56" type="noConversion"/>
  </si>
  <si>
    <t>山山, 動車二號</t>
    <phoneticPr fontId="56" type="noConversion"/>
  </si>
  <si>
    <t>006</t>
    <phoneticPr fontId="56" type="noConversion"/>
  </si>
  <si>
    <t>DAKB00900-W021E02L</t>
    <phoneticPr fontId="58" type="noConversion"/>
  </si>
  <si>
    <t>Aurola_36100</t>
    <phoneticPr fontId="56" type="noConversion"/>
  </si>
  <si>
    <t>Yellow</t>
    <phoneticPr fontId="56" type="noConversion"/>
  </si>
  <si>
    <t>DAKB00100-W021E01LT</t>
    <phoneticPr fontId="56" type="noConversion"/>
  </si>
  <si>
    <t>DAKB90100-W021E02LT</t>
    <phoneticPr fontId="56" type="noConversion"/>
  </si>
  <si>
    <t>Type</t>
    <phoneticPr fontId="56" type="noConversion"/>
  </si>
  <si>
    <t>EOL Date</t>
    <phoneticPr fontId="56" type="noConversion"/>
  </si>
  <si>
    <t>Cell capacity</t>
    <phoneticPr fontId="56" type="noConversion"/>
  </si>
  <si>
    <t>Cell vendor</t>
    <phoneticPr fontId="56" type="noConversion"/>
  </si>
  <si>
    <t>Structure</t>
    <phoneticPr fontId="56" type="noConversion"/>
  </si>
  <si>
    <t>Case vendor</t>
    <phoneticPr fontId="56" type="noConversion"/>
  </si>
  <si>
    <t>Project code</t>
    <phoneticPr fontId="56" type="noConversion"/>
  </si>
  <si>
    <t>Updated Ananda P/N</t>
    <phoneticPr fontId="56" type="noConversion"/>
  </si>
  <si>
    <t>Original Ananda P/N</t>
    <phoneticPr fontId="56" type="noConversion"/>
  </si>
  <si>
    <t>Color</t>
    <phoneticPr fontId="56" type="noConversion"/>
  </si>
  <si>
    <t>Spec</t>
    <phoneticPr fontId="56" type="noConversion"/>
  </si>
  <si>
    <t>Dynapack P/N</t>
    <phoneticPr fontId="56" type="noConversion"/>
  </si>
  <si>
    <t>Ananda Reply</t>
    <phoneticPr fontId="56" type="noConversion"/>
  </si>
  <si>
    <t>Date</t>
    <phoneticPr fontId="10" type="noConversion"/>
  </si>
  <si>
    <t>10000 mAh</t>
    <phoneticPr fontId="56" type="noConversion"/>
  </si>
  <si>
    <t>Haima_36100</t>
    <phoneticPr fontId="56" type="noConversion"/>
  </si>
  <si>
    <t>7600 mAh</t>
    <phoneticPr fontId="56" type="noConversion"/>
  </si>
  <si>
    <t>26V/7.8Ah</t>
    <phoneticPr fontId="56" type="noConversion"/>
  </si>
  <si>
    <t>10S5P</t>
    <phoneticPr fontId="56" type="noConversion"/>
  </si>
  <si>
    <t>00S</t>
  </si>
  <si>
    <t>13000 mAh</t>
    <phoneticPr fontId="56" type="noConversion"/>
  </si>
  <si>
    <t>36V/13.0Ah</t>
    <phoneticPr fontId="56" type="noConversion"/>
  </si>
  <si>
    <t>DAKB00130-W021E01LT</t>
    <phoneticPr fontId="58" type="noConversion"/>
  </si>
  <si>
    <t>Pan_B285_36130</t>
    <phoneticPr fontId="56" type="noConversion"/>
  </si>
  <si>
    <t>天博海豚 (長度:300)</t>
    <phoneticPr fontId="56" type="noConversion"/>
  </si>
  <si>
    <t>00T </t>
  </si>
  <si>
    <t> 2411043015</t>
  </si>
  <si>
    <t>DAKB00760-W021E02LT</t>
    <phoneticPr fontId="58" type="noConversion"/>
  </si>
  <si>
    <t>Dolphin_B300_36100</t>
    <phoneticPr fontId="56" type="noConversion"/>
  </si>
  <si>
    <t>Demeter_B215_36100C</t>
    <phoneticPr fontId="56" type="noConversion"/>
  </si>
  <si>
    <t>Cupid_26076C</t>
    <phoneticPr fontId="56" type="noConversion"/>
  </si>
  <si>
    <t>5000 mAh</t>
    <phoneticPr fontId="56" type="noConversion"/>
  </si>
  <si>
    <t>Cupid _26050C</t>
    <phoneticPr fontId="56" type="noConversion"/>
  </si>
  <si>
    <t>00U</t>
  </si>
  <si>
    <t>DAKB00100-W021E02LT</t>
    <phoneticPr fontId="58" type="noConversion"/>
  </si>
  <si>
    <t>Aurola_36100C</t>
    <phoneticPr fontId="56" type="noConversion"/>
  </si>
  <si>
    <r>
      <t>Charger P/N (</t>
    </r>
    <r>
      <rPr>
        <b/>
        <sz val="10"/>
        <color theme="2"/>
        <rFont val="細明體"/>
        <family val="3"/>
        <charset val="136"/>
      </rPr>
      <t>國內版</t>
    </r>
    <r>
      <rPr>
        <b/>
        <sz val="10"/>
        <color theme="2"/>
        <rFont val="Times New Roman"/>
        <family val="1"/>
      </rPr>
      <t>)</t>
    </r>
    <phoneticPr fontId="56" type="noConversion"/>
  </si>
  <si>
    <t>Design Capacity</t>
    <phoneticPr fontId="56" type="noConversion"/>
  </si>
  <si>
    <t>Project Name</t>
    <phoneticPr fontId="56" type="noConversion"/>
  </si>
  <si>
    <t>Project code</t>
    <phoneticPr fontId="56" type="noConversion"/>
  </si>
  <si>
    <t>Case vendor</t>
    <phoneticPr fontId="56" type="noConversion"/>
  </si>
  <si>
    <t>Structure</t>
    <phoneticPr fontId="56" type="noConversion"/>
  </si>
  <si>
    <t>Cell vendor</t>
    <phoneticPr fontId="56" type="noConversion"/>
  </si>
  <si>
    <t>Cell capacity</t>
    <phoneticPr fontId="56" type="noConversion"/>
  </si>
  <si>
    <t>EOL Date</t>
    <phoneticPr fontId="56" type="noConversion"/>
  </si>
  <si>
    <r>
      <t>Charger P/N (</t>
    </r>
    <r>
      <rPr>
        <b/>
        <sz val="10"/>
        <color theme="2"/>
        <rFont val="細明體"/>
        <family val="3"/>
        <charset val="136"/>
      </rPr>
      <t>國內版</t>
    </r>
    <r>
      <rPr>
        <b/>
        <sz val="10"/>
        <color theme="2"/>
        <rFont val="Times New Roman"/>
        <family val="1"/>
      </rPr>
      <t>)</t>
    </r>
    <phoneticPr fontId="56" type="noConversion"/>
  </si>
  <si>
    <t>Type</t>
    <phoneticPr fontId="56" type="noConversion"/>
  </si>
  <si>
    <t>Aurola_36100NB</t>
    <phoneticPr fontId="56" type="noConversion"/>
  </si>
  <si>
    <t>MP</t>
    <phoneticPr fontId="56" type="noConversion"/>
  </si>
  <si>
    <t>DAKB90100-W021E02LT</t>
    <phoneticPr fontId="56" type="noConversion"/>
  </si>
  <si>
    <t>36V/10.0Ah</t>
    <phoneticPr fontId="56" type="noConversion"/>
  </si>
  <si>
    <t>White</t>
    <phoneticPr fontId="56" type="noConversion"/>
  </si>
  <si>
    <t>006</t>
    <phoneticPr fontId="56" type="noConversion"/>
  </si>
  <si>
    <t>山山, 動車二號</t>
    <phoneticPr fontId="56" type="noConversion"/>
  </si>
  <si>
    <t>10S4P</t>
    <phoneticPr fontId="56" type="noConversion"/>
  </si>
  <si>
    <t>SDI</t>
    <phoneticPr fontId="56" type="noConversion"/>
  </si>
  <si>
    <t>DAKB00100-W021E01LT</t>
    <phoneticPr fontId="56" type="noConversion"/>
  </si>
  <si>
    <t>Yellow</t>
    <phoneticPr fontId="56" type="noConversion"/>
  </si>
  <si>
    <t>NA</t>
    <phoneticPr fontId="56" type="noConversion"/>
  </si>
  <si>
    <t>DAKB00900-W021E02L</t>
    <phoneticPr fontId="58" type="noConversion"/>
  </si>
  <si>
    <t>Silver</t>
    <phoneticPr fontId="56" type="noConversion"/>
  </si>
  <si>
    <t>Aurola_36100CB</t>
    <phoneticPr fontId="56" type="noConversion"/>
  </si>
  <si>
    <t>Sample</t>
    <phoneticPr fontId="56" type="noConversion"/>
  </si>
  <si>
    <t>DAKB00100-W021E02LT</t>
    <phoneticPr fontId="58" type="noConversion"/>
  </si>
  <si>
    <t>Eos_36076NB</t>
    <phoneticPr fontId="56" type="noConversion"/>
  </si>
  <si>
    <t>DAKB90900-W021E02L</t>
    <phoneticPr fontId="56" type="noConversion"/>
  </si>
  <si>
    <t>36V/7.6Ah</t>
    <phoneticPr fontId="56" type="noConversion"/>
  </si>
  <si>
    <t>Black</t>
    <phoneticPr fontId="56" type="noConversion"/>
  </si>
  <si>
    <t>008</t>
    <phoneticPr fontId="56" type="noConversion"/>
  </si>
  <si>
    <t>山山,珍妮包</t>
    <phoneticPr fontId="56" type="noConversion"/>
  </si>
  <si>
    <t>10S3P</t>
    <phoneticPr fontId="56" type="noConversion"/>
  </si>
  <si>
    <t>DAK740000-W0Q1E06LT</t>
    <phoneticPr fontId="18" type="noConversion"/>
  </si>
  <si>
    <t>36V-B type</t>
    <phoneticPr fontId="56" type="noConversion"/>
  </si>
  <si>
    <t>DAKB90760-W021E01LT</t>
    <phoneticPr fontId="56" type="noConversion"/>
  </si>
  <si>
    <t>Ceres_36076NB</t>
    <phoneticPr fontId="56" type="noConversion"/>
  </si>
  <si>
    <t>DAKB00780-W021E01L</t>
    <phoneticPr fontId="56" type="noConversion"/>
  </si>
  <si>
    <t>007</t>
    <phoneticPr fontId="56" type="noConversion"/>
  </si>
  <si>
    <t>NA, 管藏電池</t>
    <phoneticPr fontId="56" type="noConversion"/>
  </si>
  <si>
    <t>Cupid _26050CB</t>
    <phoneticPr fontId="56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</si>
  <si>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</si>
  <si>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DAKB00520-W021E01L</t>
    <phoneticPr fontId="58" type="noConversion"/>
  </si>
  <si>
    <t>00C</t>
    <phoneticPr fontId="56" type="noConversion"/>
  </si>
  <si>
    <t>惠业, 側拉式</t>
    <phoneticPr fontId="56" type="noConversion"/>
  </si>
  <si>
    <t>7S2P</t>
    <phoneticPr fontId="56" type="noConversion"/>
  </si>
  <si>
    <t>24V-B type</t>
    <phoneticPr fontId="56" type="noConversion"/>
  </si>
  <si>
    <t>Cupid_26076CB</t>
    <phoneticPr fontId="56" type="noConversion"/>
  </si>
  <si>
    <t>DAKB90780-W021E01LT</t>
    <phoneticPr fontId="58" type="noConversion"/>
  </si>
  <si>
    <t>White</t>
    <phoneticPr fontId="58" type="noConversion"/>
  </si>
  <si>
    <t>00D</t>
    <phoneticPr fontId="58" type="noConversion"/>
  </si>
  <si>
    <t>7S3P</t>
    <phoneticPr fontId="58" type="noConversion"/>
  </si>
  <si>
    <t>Demeter_A_36100NB</t>
    <phoneticPr fontId="56" type="noConversion"/>
  </si>
  <si>
    <t>DAKB90104-W021E04LT</t>
    <phoneticPr fontId="56" type="noConversion"/>
  </si>
  <si>
    <t>00G</t>
    <phoneticPr fontId="56" type="noConversion"/>
  </si>
  <si>
    <t>DAKB90104-W021E01L</t>
    <phoneticPr fontId="56" type="noConversion"/>
  </si>
  <si>
    <t>Demeter_A_48100NB</t>
    <phoneticPr fontId="56" type="noConversion"/>
  </si>
  <si>
    <t>DAKB00104-W021E06L</t>
    <phoneticPr fontId="56" type="noConversion"/>
  </si>
  <si>
    <t>48V/10.0Ah</t>
    <phoneticPr fontId="56" type="noConversion"/>
  </si>
  <si>
    <t>00F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</si>
  <si>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phoneticPr fontId="56" type="noConversion"/>
  </si>
  <si>
    <t>13S4P</t>
    <phoneticPr fontId="56" type="noConversion"/>
  </si>
  <si>
    <t>DAK740000-W0Q1E04LT</t>
    <phoneticPr fontId="18" type="noConversion"/>
  </si>
  <si>
    <t>48V-B type</t>
    <phoneticPr fontId="56" type="noConversion"/>
  </si>
  <si>
    <t>DAKB90104-W021E05LT</t>
    <phoneticPr fontId="58" type="noConversion"/>
  </si>
  <si>
    <t>Demeter_B285_48100NB</t>
    <phoneticPr fontId="56" type="noConversion"/>
  </si>
  <si>
    <t>DAKB00104-W021E03L</t>
    <phoneticPr fontId="58" type="noConversion"/>
  </si>
  <si>
    <t>00J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</si>
  <si>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</si>
  <si>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DAKB90100-W021E03LT</t>
    <phoneticPr fontId="58" type="noConversion"/>
  </si>
  <si>
    <t>Demeter_B215_36100CB</t>
    <phoneticPr fontId="56" type="noConversion"/>
  </si>
  <si>
    <t>DAKB90104-W021E02L</t>
    <phoneticPr fontId="58" type="noConversion"/>
  </si>
  <si>
    <t>009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</si>
  <si>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215</t>
    </r>
    <r>
      <rPr>
        <b/>
        <sz val="10"/>
        <rFont val="华文楷体"/>
        <family val="3"/>
        <charset val="134"/>
      </rPr>
      <t>）</t>
    </r>
    <phoneticPr fontId="56" type="noConversion"/>
  </si>
  <si>
    <t>DAKB90100-W021E01LT</t>
    <phoneticPr fontId="58" type="noConversion"/>
  </si>
  <si>
    <t>Ares-TB_36100NB</t>
    <phoneticPr fontId="56" type="noConversion"/>
  </si>
  <si>
    <t>DAKB00100-W021E04LT</t>
    <phoneticPr fontId="56" type="noConversion"/>
  </si>
  <si>
    <t>00T</t>
    <phoneticPr fontId="56" type="noConversion"/>
  </si>
  <si>
    <t>天博TB107</t>
    <phoneticPr fontId="56" type="noConversion"/>
  </si>
  <si>
    <t>Ares-TB_36100ND</t>
    <phoneticPr fontId="56" type="noConversion"/>
  </si>
  <si>
    <t>DAKB00100-W021E06LT</t>
    <phoneticPr fontId="56" type="noConversion"/>
  </si>
  <si>
    <t>00V</t>
    <phoneticPr fontId="56" type="noConversion"/>
  </si>
  <si>
    <t>天博TB107 (蓮花充電頭)</t>
    <phoneticPr fontId="56" type="noConversion"/>
  </si>
  <si>
    <t>Pan_B285_36100N</t>
    <phoneticPr fontId="56" type="noConversion"/>
  </si>
  <si>
    <t>DAKB00104-W021E05L</t>
    <phoneticPr fontId="58" type="noConversion"/>
  </si>
  <si>
    <t>00A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</si>
  <si>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银鱼下放电</t>
    </r>
    <r>
      <rPr>
        <b/>
        <sz val="10"/>
        <rFont val="Times New Roman"/>
        <family val="1"/>
      </rPr>
      <t>285mm</t>
    </r>
    <r>
      <rPr>
        <b/>
        <sz val="10"/>
        <rFont val="宋体"/>
        <family val="3"/>
        <charset val="134"/>
      </rPr>
      <t>铝管</t>
    </r>
    <phoneticPr fontId="56" type="noConversion"/>
  </si>
  <si>
    <t>Pan_B285_36130N</t>
    <phoneticPr fontId="56" type="noConversion"/>
  </si>
  <si>
    <t>DAKB00130-W021E01LT</t>
    <phoneticPr fontId="58" type="noConversion"/>
  </si>
  <si>
    <t>36V/13.0Ah</t>
    <phoneticPr fontId="56" type="noConversion"/>
  </si>
  <si>
    <t>10S5P</t>
    <phoneticPr fontId="56" type="noConversion"/>
  </si>
  <si>
    <t>Pan_B285_26076N</t>
    <phoneticPr fontId="56" type="noConversion"/>
  </si>
  <si>
    <t>DAKB00780-W021E02LT</t>
    <phoneticPr fontId="58" type="noConversion"/>
  </si>
  <si>
    <t>26V/7.8Ah</t>
    <phoneticPr fontId="56" type="noConversion"/>
  </si>
  <si>
    <t>00N</t>
    <phoneticPr fontId="56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</si>
  <si>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285mm</t>
    </r>
    <r>
      <rPr>
        <b/>
        <sz val="10"/>
        <rFont val="細明體"/>
        <family val="3"/>
        <charset val="136"/>
      </rPr>
      <t>铝管</t>
    </r>
    <phoneticPr fontId="56" type="noConversion"/>
  </si>
  <si>
    <t>Pan_B190_26076N</t>
    <phoneticPr fontId="56" type="noConversion"/>
  </si>
  <si>
    <t>DAKB00760-W021E01LT</t>
    <phoneticPr fontId="58" type="noConversion"/>
  </si>
  <si>
    <t>00P</t>
    <phoneticPr fontId="56" type="noConversion"/>
  </si>
  <si>
    <t>Pan_T_36100N</t>
    <phoneticPr fontId="56" type="noConversion"/>
  </si>
  <si>
    <t>DAKB00104-W021E04L</t>
    <phoneticPr fontId="58" type="noConversion"/>
  </si>
  <si>
    <t>00B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</si>
  <si>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银鱼上方电</t>
    </r>
    <phoneticPr fontId="56" type="noConversion"/>
  </si>
  <si>
    <t>Ares-HM_36100</t>
    <phoneticPr fontId="56" type="noConversion"/>
  </si>
  <si>
    <t>DAKB00100-W021E05LT</t>
    <phoneticPr fontId="58" type="noConversion"/>
  </si>
  <si>
    <t>00K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</si>
  <si>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海馬</t>
    </r>
    <phoneticPr fontId="56" type="noConversion"/>
  </si>
  <si>
    <t>DAKB00100-W021E03LT</t>
    <phoneticPr fontId="58" type="noConversion"/>
  </si>
  <si>
    <t>DAKB00104-W021E02L</t>
    <phoneticPr fontId="58" type="noConversion"/>
  </si>
  <si>
    <t>00L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</si>
  <si>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6" type="noConversion"/>
  </si>
  <si>
    <t>DAKB00104-W021E01L</t>
    <phoneticPr fontId="58" type="noConversion"/>
  </si>
  <si>
    <t>00M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</si>
  <si>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下放電</t>
    </r>
    <phoneticPr fontId="58" type="noConversion"/>
  </si>
  <si>
    <t>13S4P</t>
    <phoneticPr fontId="58" type="noConversion"/>
  </si>
  <si>
    <t>Ares-HM_36100</t>
    <phoneticPr fontId="56" type="noConversion"/>
  </si>
  <si>
    <t>Ares-HM_36100_SU</t>
    <phoneticPr fontId="56" type="noConversion"/>
  </si>
  <si>
    <t>10S4P</t>
    <phoneticPr fontId="56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</si>
  <si>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</si>
  <si>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Pan_T_36100_Y</t>
    <phoneticPr fontId="56" type="noConversion"/>
  </si>
  <si>
    <t>Silver</t>
    <phoneticPr fontId="56" type="noConversion"/>
  </si>
  <si>
    <t>Pan_B285_36100_Y</t>
    <phoneticPr fontId="56" type="noConversion"/>
  </si>
  <si>
    <t>天博TB107 蓮花頭(長度: 300mm)</t>
    <phoneticPr fontId="56" type="noConversion"/>
  </si>
  <si>
    <t>Ares-TB300_36100_D</t>
    <phoneticPr fontId="56" type="noConversion"/>
  </si>
  <si>
    <t>天博TB107 (長度:300mm)</t>
    <phoneticPr fontId="56" type="noConversion"/>
  </si>
  <si>
    <t>DAKB00100-W021E04LT</t>
    <phoneticPr fontId="56" type="noConversion"/>
  </si>
  <si>
    <t>Ares-TB300_36100_N</t>
    <phoneticPr fontId="56" type="noConversion"/>
  </si>
  <si>
    <t>00J</t>
    <phoneticPr fontId="56" type="noConversion"/>
  </si>
  <si>
    <t>Demeter_A_48100_S</t>
    <phoneticPr fontId="56" type="noConversion"/>
  </si>
  <si>
    <t>24V-B type</t>
    <phoneticPr fontId="56" type="noConversion"/>
  </si>
  <si>
    <t>Cupid_26076_SU</t>
    <phoneticPr fontId="56" type="noConversion"/>
  </si>
  <si>
    <t>DAKB00520-W021E01L</t>
    <phoneticPr fontId="58" type="noConversion"/>
  </si>
  <si>
    <t>Cupid _26050_SU</t>
    <phoneticPr fontId="56" type="noConversion"/>
  </si>
  <si>
    <t>10S3P</t>
    <phoneticPr fontId="56" type="noConversion"/>
  </si>
  <si>
    <t>Aurola_36100_SU</t>
    <phoneticPr fontId="56" type="noConversion"/>
  </si>
  <si>
    <t>DAKB90100-W021E02LT</t>
    <phoneticPr fontId="56" type="noConversion"/>
  </si>
  <si>
    <t>Structure</t>
    <phoneticPr fontId="56" type="noConversion"/>
  </si>
  <si>
    <t>Updated Ananda P/N</t>
    <phoneticPr fontId="56" type="noConversion"/>
  </si>
  <si>
    <t>36V/10.0Ah</t>
  </si>
  <si>
    <t>Dophlin</t>
    <phoneticPr fontId="18" type="noConversion"/>
  </si>
  <si>
    <t>Haimai</t>
    <phoneticPr fontId="18" type="noConversion"/>
  </si>
  <si>
    <t>V</t>
    <phoneticPr fontId="18" type="noConversion"/>
  </si>
  <si>
    <t>26V/7.8Ah</t>
  </si>
  <si>
    <t>Pan_B190_26076_N</t>
  </si>
  <si>
    <t>Pan_B285_26076_N</t>
  </si>
  <si>
    <t>Pan_B285_36100_N</t>
  </si>
  <si>
    <t>Cupid _26050_SU</t>
  </si>
  <si>
    <t>Ceres_36076_N</t>
  </si>
  <si>
    <t>Demeter_B215_36100_S</t>
  </si>
  <si>
    <t>Eos_36076_N</t>
  </si>
  <si>
    <t>Aurola_36100_SU</t>
  </si>
  <si>
    <t>Aurola_36100_N</t>
  </si>
  <si>
    <t>auto sleeping</t>
    <phoneticPr fontId="18" type="noConversion"/>
  </si>
  <si>
    <t>LED</t>
    <phoneticPr fontId="18" type="noConversion"/>
  </si>
  <si>
    <t>NTC1</t>
    <phoneticPr fontId="18" type="noConversion"/>
  </si>
  <si>
    <t>Spec</t>
  </si>
  <si>
    <t>Old Project Name</t>
    <phoneticPr fontId="18" type="noConversion"/>
  </si>
  <si>
    <t>FW 簡碼代號(含順序)</t>
    <phoneticPr fontId="18" type="noConversion"/>
  </si>
  <si>
    <t>USBC</t>
    <phoneticPr fontId="18" type="noConversion"/>
  </si>
  <si>
    <t>SW1</t>
    <phoneticPr fontId="18" type="noConversion"/>
  </si>
  <si>
    <t>NTC2</t>
    <phoneticPr fontId="18" type="noConversion"/>
  </si>
  <si>
    <t>SW2</t>
    <phoneticPr fontId="18" type="noConversion"/>
  </si>
  <si>
    <t>A-120603</t>
    <phoneticPr fontId="18" type="noConversion"/>
  </si>
  <si>
    <t>A-120701</t>
    <phoneticPr fontId="18" type="noConversion"/>
  </si>
  <si>
    <t>A-120602</t>
    <phoneticPr fontId="18" type="noConversion"/>
  </si>
  <si>
    <t>A-120604</t>
    <phoneticPr fontId="18" type="noConversion"/>
  </si>
  <si>
    <t>Cupid-5.2Ah</t>
    <phoneticPr fontId="18" type="noConversion"/>
  </si>
  <si>
    <t>Cupid-7.8Ah</t>
    <phoneticPr fontId="18" type="noConversion"/>
  </si>
  <si>
    <t>Pan (B)-10Ah</t>
    <phoneticPr fontId="18" type="noConversion"/>
  </si>
  <si>
    <t>Pan (B)-26V</t>
    <phoneticPr fontId="18" type="noConversion"/>
  </si>
  <si>
    <t>Cell</t>
    <phoneticPr fontId="18" type="noConversion"/>
  </si>
  <si>
    <t>SDI26H</t>
    <phoneticPr fontId="18" type="noConversion"/>
  </si>
  <si>
    <t>Condition "V"</t>
    <phoneticPr fontId="10" type="noConversion"/>
  </si>
  <si>
    <t>Condition "AH"</t>
    <phoneticPr fontId="10" type="noConversion"/>
  </si>
  <si>
    <t>Condition Vol</t>
    <phoneticPr fontId="10" type="noConversion"/>
  </si>
  <si>
    <t>Condition Ah</t>
    <phoneticPr fontId="10" type="noConversion"/>
  </si>
  <si>
    <t>Condition cell</t>
    <phoneticPr fontId="10" type="noConversion"/>
  </si>
  <si>
    <t>Condition Scell</t>
    <phoneticPr fontId="10" type="noConversion"/>
  </si>
  <si>
    <t>Condition Pcell</t>
    <phoneticPr fontId="10" type="noConversion"/>
  </si>
  <si>
    <t>Condition S/P check</t>
    <phoneticPr fontId="10" type="noConversion"/>
  </si>
  <si>
    <t>SDI26H</t>
    <phoneticPr fontId="18" type="noConversion"/>
  </si>
  <si>
    <t>Condition S1</t>
    <phoneticPr fontId="18" type="noConversion"/>
  </si>
  <si>
    <t>Condition S2</t>
    <phoneticPr fontId="18" type="noConversion"/>
  </si>
  <si>
    <t>Ares_HM_36100_NU</t>
    <phoneticPr fontId="18" type="noConversion"/>
  </si>
  <si>
    <t>Ares_TB300_36100_N</t>
    <phoneticPr fontId="18" type="noConversion"/>
  </si>
  <si>
    <r>
      <rPr>
        <b/>
        <sz val="10"/>
        <color rgb="FFFF0000"/>
        <rFont val="細明體"/>
        <family val="3"/>
        <charset val="136"/>
      </rPr>
      <t>非</t>
    </r>
    <r>
      <rPr>
        <b/>
        <sz val="10"/>
        <color rgb="FFFF0000"/>
        <rFont val="Calibri"/>
        <family val="2"/>
      </rPr>
      <t>MCU</t>
    </r>
    <r>
      <rPr>
        <b/>
        <sz val="10"/>
        <color rgb="FFFF0000"/>
        <rFont val="細明體"/>
        <family val="3"/>
        <charset val="136"/>
      </rPr>
      <t>控制</t>
    </r>
    <phoneticPr fontId="18" type="noConversion"/>
  </si>
  <si>
    <t>New Project Name</t>
    <phoneticPr fontId="18" type="noConversion"/>
  </si>
  <si>
    <t>Ares_HM_36100_SU</t>
    <phoneticPr fontId="18" type="noConversion"/>
  </si>
  <si>
    <t>Pan_B285_48130_Y</t>
    <phoneticPr fontId="18" type="noConversion"/>
  </si>
  <si>
    <t>COM</t>
    <phoneticPr fontId="18" type="noConversion"/>
  </si>
  <si>
    <t>Blight</t>
    <phoneticPr fontId="18" type="noConversion"/>
  </si>
  <si>
    <t>Slight</t>
    <phoneticPr fontId="18" type="noConversion"/>
  </si>
  <si>
    <t>USB</t>
    <phoneticPr fontId="18" type="noConversion"/>
  </si>
  <si>
    <r>
      <rPr>
        <b/>
        <sz val="16"/>
        <color rgb="FFFF0000"/>
        <rFont val="細明體"/>
        <family val="3"/>
        <charset val="136"/>
      </rPr>
      <t>待確認</t>
    </r>
    <phoneticPr fontId="18" type="noConversion"/>
  </si>
  <si>
    <t>36V/10.0Ah</t>
    <phoneticPr fontId="10" type="noConversion"/>
  </si>
  <si>
    <t>36V/7.6Ah</t>
    <phoneticPr fontId="10" type="noConversion"/>
  </si>
  <si>
    <t>V</t>
    <phoneticPr fontId="18" type="noConversion"/>
  </si>
  <si>
    <t>百利銀魚</t>
    <phoneticPr fontId="18" type="noConversion"/>
  </si>
  <si>
    <t>26V/10.0Ah</t>
    <phoneticPr fontId="18" type="noConversion"/>
  </si>
  <si>
    <t>V</t>
    <phoneticPr fontId="18" type="noConversion"/>
  </si>
  <si>
    <t>Coulomb Counter</t>
    <phoneticPr fontId="18" type="noConversion"/>
  </si>
  <si>
    <t>Dynamic UVP With Temperature</t>
    <phoneticPr fontId="18" type="noConversion"/>
  </si>
  <si>
    <t>CC</t>
    <phoneticPr fontId="18" type="noConversion"/>
  </si>
  <si>
    <t>DUVP</t>
    <phoneticPr fontId="18" type="noConversion"/>
  </si>
  <si>
    <t>Pan_B300_36100_Y</t>
    <phoneticPr fontId="18" type="noConversion"/>
  </si>
  <si>
    <r>
      <t>&gt;25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phoneticPr fontId="18" type="noConversion"/>
  </si>
  <si>
    <r>
      <t>15~25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C </t>
    </r>
    <phoneticPr fontId="18" type="noConversion"/>
  </si>
  <si>
    <r>
      <t>0~15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phoneticPr fontId="18" type="noConversion"/>
  </si>
  <si>
    <r>
      <t>&lt;0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phoneticPr fontId="18" type="noConversion"/>
  </si>
  <si>
    <t>Voltage (mV)</t>
    <phoneticPr fontId="18" type="noConversion"/>
  </si>
  <si>
    <t>Temp</t>
    <phoneticPr fontId="18" type="noConversion"/>
  </si>
  <si>
    <t>13S : 48V</t>
    <phoneticPr fontId="18" type="noConversion"/>
  </si>
  <si>
    <t>7S : 26V</t>
    <phoneticPr fontId="18" type="noConversion"/>
  </si>
  <si>
    <t>10S : 36V</t>
    <phoneticPr fontId="18" type="noConversion"/>
  </si>
  <si>
    <t>Cell Vol</t>
    <phoneticPr fontId="10" type="noConversion"/>
  </si>
  <si>
    <t>2.6H</t>
    <phoneticPr fontId="56" type="noConversion"/>
  </si>
  <si>
    <t>48V/10.0Ah</t>
    <phoneticPr fontId="56" type="noConversion"/>
  </si>
  <si>
    <t>DAKB00104-W021E01L</t>
    <phoneticPr fontId="58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</si>
  <si>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</si>
  <si>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48V-B type</t>
    <phoneticPr fontId="56" type="noConversion"/>
  </si>
  <si>
    <t>DAK740000-W0Q1E04LT</t>
    <phoneticPr fontId="18" type="noConversion"/>
  </si>
  <si>
    <t>2.6H</t>
    <phoneticPr fontId="56" type="noConversion"/>
  </si>
  <si>
    <t>SDI</t>
    <phoneticPr fontId="56" type="noConversion"/>
  </si>
  <si>
    <t>13S4P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</si>
  <si>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6" type="noConversion"/>
  </si>
  <si>
    <t>00L</t>
    <phoneticPr fontId="56" type="noConversion"/>
  </si>
  <si>
    <t>NA</t>
    <phoneticPr fontId="56" type="noConversion"/>
  </si>
  <si>
    <t>DAKB00104-W021E02L</t>
    <phoneticPr fontId="58" type="noConversion"/>
  </si>
  <si>
    <t>36V-B type</t>
    <phoneticPr fontId="56" type="noConversion"/>
  </si>
  <si>
    <t>10S4P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</si>
  <si>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海馬</t>
    </r>
    <phoneticPr fontId="56" type="noConversion"/>
  </si>
  <si>
    <t>Black</t>
    <phoneticPr fontId="56" type="noConversion"/>
  </si>
  <si>
    <t>36V/10.0Ah</t>
    <phoneticPr fontId="56" type="noConversion"/>
  </si>
  <si>
    <t>DAKB00100-W021E05LT</t>
    <phoneticPr fontId="56" type="noConversion"/>
  </si>
  <si>
    <t>Sample</t>
    <phoneticPr fontId="56" type="noConversion"/>
  </si>
  <si>
    <t>Haimai</t>
    <phoneticPr fontId="56" type="noConversion"/>
  </si>
  <si>
    <t>Ares-HM_36100_NU</t>
    <phoneticPr fontId="56" type="noConversion"/>
  </si>
  <si>
    <t>White</t>
    <phoneticPr fontId="56" type="noConversion"/>
  </si>
  <si>
    <t>DAKB00100-W021E03LT</t>
    <phoneticPr fontId="58" type="noConversion"/>
  </si>
  <si>
    <t>2.6FM</t>
    <phoneticPr fontId="56" type="noConversion"/>
  </si>
  <si>
    <t>DAKB00100-W021E17LT</t>
    <phoneticPr fontId="56" type="noConversion"/>
  </si>
  <si>
    <t>Ares-HM_36100_SU</t>
    <phoneticPr fontId="56" type="noConversion"/>
  </si>
  <si>
    <t>DAKB00100-W021E09LT</t>
    <phoneticPr fontId="56" type="noConversion"/>
  </si>
  <si>
    <t>DAKB00100-W021E18LT</t>
    <phoneticPr fontId="56" type="noConversion"/>
  </si>
  <si>
    <t>DAKB00100-W021E08LT</t>
    <phoneticPr fontId="56" type="noConversion"/>
  </si>
  <si>
    <t>DAKB00104-W021E02L</t>
    <phoneticPr fontId="56" type="noConversion"/>
  </si>
  <si>
    <t>Pan A-T</t>
    <phoneticPr fontId="56" type="noConversion"/>
  </si>
  <si>
    <t>DAKB00104-W021E01L</t>
    <phoneticPr fontId="56" type="noConversion"/>
  </si>
  <si>
    <t>Pan A-B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</si>
  <si>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银鱼上方电</t>
    </r>
    <phoneticPr fontId="56" type="noConversion"/>
  </si>
  <si>
    <t>Sliver</t>
    <phoneticPr fontId="56" type="noConversion"/>
  </si>
  <si>
    <t>DAKB00104-W021E05L</t>
    <phoneticPr fontId="58" type="noConversion"/>
  </si>
  <si>
    <t>Pan_B_36100_Y</t>
    <phoneticPr fontId="56" type="noConversion"/>
  </si>
  <si>
    <t>00B</t>
    <phoneticPr fontId="56" type="noConversion"/>
  </si>
  <si>
    <t>DAKB00104-W021E04L</t>
    <phoneticPr fontId="58" type="noConversion"/>
  </si>
  <si>
    <t>Pan_T_36100_Y</t>
    <phoneticPr fontId="56" type="noConversion"/>
  </si>
  <si>
    <t>48V/13.0Ah</t>
    <phoneticPr fontId="56" type="noConversion"/>
  </si>
  <si>
    <t>DAKB00130-W021E04LT</t>
    <phoneticPr fontId="56" type="noConversion"/>
  </si>
  <si>
    <t>MP</t>
    <phoneticPr fontId="56" type="noConversion"/>
  </si>
  <si>
    <t>Pan_B285_48100_Y</t>
    <phoneticPr fontId="56" type="noConversion"/>
  </si>
  <si>
    <t>DAKB00130-W021E02HT</t>
    <phoneticPr fontId="56" type="noConversion"/>
  </si>
  <si>
    <t>Pan_B285_48130_Y</t>
    <phoneticPr fontId="56" type="noConversion"/>
  </si>
  <si>
    <t>DAKB00100-W021E13LT</t>
    <phoneticPr fontId="56" type="noConversion"/>
  </si>
  <si>
    <t>DAKB90104-W021E03LT</t>
    <phoneticPr fontId="56" type="noConversion"/>
  </si>
  <si>
    <t>10S5P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</si>
  <si>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银鱼下放电</t>
    </r>
    <r>
      <rPr>
        <b/>
        <sz val="10"/>
        <rFont val="Times New Roman"/>
        <family val="1"/>
      </rPr>
      <t>285mm</t>
    </r>
    <r>
      <rPr>
        <b/>
        <sz val="10"/>
        <rFont val="宋体"/>
        <family val="3"/>
        <charset val="134"/>
      </rPr>
      <t>铝管</t>
    </r>
    <phoneticPr fontId="56" type="noConversion"/>
  </si>
  <si>
    <t>36V/13.0Ah</t>
    <phoneticPr fontId="56" type="noConversion"/>
  </si>
  <si>
    <t>DAKB00100-W021E11LT</t>
    <phoneticPr fontId="58" type="noConversion"/>
  </si>
  <si>
    <t>Pan_B285_36130_Y</t>
    <phoneticPr fontId="56" type="noConversion"/>
  </si>
  <si>
    <t>DAKB00130-W021E01LT</t>
    <phoneticPr fontId="58" type="noConversion"/>
  </si>
  <si>
    <t>00A</t>
    <phoneticPr fontId="56" type="noConversion"/>
  </si>
  <si>
    <t>DAKB00100-W021E12LT</t>
    <phoneticPr fontId="58" type="noConversion"/>
  </si>
  <si>
    <t>Pan_B285_36100_Y</t>
    <phoneticPr fontId="56" type="noConversion"/>
  </si>
  <si>
    <t>7S3P</t>
    <phoneticPr fontId="58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</si>
  <si>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285mm</t>
    </r>
    <r>
      <rPr>
        <b/>
        <sz val="10"/>
        <rFont val="細明體"/>
        <family val="3"/>
        <charset val="136"/>
      </rPr>
      <t>铝管</t>
    </r>
    <phoneticPr fontId="56" type="noConversion"/>
  </si>
  <si>
    <t>00N</t>
    <phoneticPr fontId="56" type="noConversion"/>
  </si>
  <si>
    <t>Silver</t>
    <phoneticPr fontId="56" type="noConversion"/>
  </si>
  <si>
    <t>26V/7.8Ah</t>
    <phoneticPr fontId="56" type="noConversion"/>
  </si>
  <si>
    <t>DAKB00780-W021E03LT</t>
    <phoneticPr fontId="58" type="noConversion"/>
  </si>
  <si>
    <t>Pan_B285_26076_Y</t>
    <phoneticPr fontId="56" type="noConversion"/>
  </si>
  <si>
    <t>DAKB00780-W021E02LT</t>
    <phoneticPr fontId="58" type="noConversion"/>
  </si>
  <si>
    <t>00P</t>
    <phoneticPr fontId="56" type="noConversion"/>
  </si>
  <si>
    <t>DAKB00780-W021E04LT</t>
    <phoneticPr fontId="58" type="noConversion"/>
  </si>
  <si>
    <t>Pan_B190_26076_Y</t>
    <phoneticPr fontId="56" type="noConversion"/>
  </si>
  <si>
    <t>DAKB00760-W021E01LT</t>
    <phoneticPr fontId="58" type="noConversion"/>
  </si>
  <si>
    <t>天博TB107 蓮花頭(長度: 300mm)</t>
    <phoneticPr fontId="56" type="noConversion"/>
  </si>
  <si>
    <t>00V</t>
    <phoneticPr fontId="56" type="noConversion"/>
  </si>
  <si>
    <t>DAKB00100-W021E15LT</t>
    <phoneticPr fontId="56" type="noConversion"/>
  </si>
  <si>
    <t>Dophlin</t>
    <phoneticPr fontId="56" type="noConversion"/>
  </si>
  <si>
    <t>Ares-TB300_36100_D</t>
    <phoneticPr fontId="56" type="noConversion"/>
  </si>
  <si>
    <t>天博TB107 (長度:300mm)</t>
    <phoneticPr fontId="56" type="noConversion"/>
  </si>
  <si>
    <t>00T</t>
    <phoneticPr fontId="56" type="noConversion"/>
  </si>
  <si>
    <t>DAKB00100-W021E14LT</t>
    <phoneticPr fontId="56" type="noConversion"/>
  </si>
  <si>
    <t>Ares-TB300_36100_N</t>
    <phoneticPr fontId="56" type="noConversion"/>
  </si>
  <si>
    <t>DAKB00100-W021E04LT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</si>
  <si>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215</t>
    </r>
    <r>
      <rPr>
        <b/>
        <sz val="10"/>
        <rFont val="华文楷体"/>
        <family val="3"/>
        <charset val="134"/>
      </rPr>
      <t>）</t>
    </r>
    <phoneticPr fontId="56" type="noConversion"/>
  </si>
  <si>
    <t>DAKB0010K-W021E02LT</t>
    <phoneticPr fontId="58" type="noConversion"/>
  </si>
  <si>
    <t>A-120602</t>
    <phoneticPr fontId="56" type="noConversion"/>
  </si>
  <si>
    <t>Demeter_B215_36100_S</t>
    <phoneticPr fontId="56" type="noConversion"/>
  </si>
  <si>
    <t>DAKB90100-W021E01LT</t>
    <phoneticPr fontId="58" type="noConversion"/>
  </si>
  <si>
    <t>DAKB90104-W021E02L</t>
    <phoneticPr fontId="58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</si>
  <si>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</si>
  <si>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DAKB90100-W021E03LT</t>
    <phoneticPr fontId="58" type="noConversion"/>
  </si>
  <si>
    <t>Demeter_B285_48100_S</t>
    <phoneticPr fontId="56" type="noConversion"/>
  </si>
  <si>
    <t>DAKB0010K-W021E01LT</t>
    <phoneticPr fontId="58" type="noConversion"/>
  </si>
  <si>
    <t>DAKB00104-W021E03L</t>
    <phoneticPr fontId="58" type="noConversion"/>
  </si>
  <si>
    <t>Dummy</t>
    <phoneticPr fontId="56" type="noConversion"/>
  </si>
  <si>
    <t>ATL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</si>
  <si>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透明殼</t>
    </r>
    <r>
      <rPr>
        <b/>
        <sz val="10"/>
        <rFont val="Times New Roman"/>
        <family val="1"/>
      </rPr>
      <t>)</t>
    </r>
    <phoneticPr fontId="56" type="noConversion"/>
  </si>
  <si>
    <t>DAKB0010K-W0G1E06LT</t>
    <phoneticPr fontId="58" type="noConversion"/>
  </si>
  <si>
    <t>Demeter_A_48100_S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</si>
  <si>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phoneticPr fontId="56" type="noConversion"/>
  </si>
  <si>
    <t>DAKB90104-W021E05LT</t>
    <phoneticPr fontId="58" type="noConversion"/>
  </si>
  <si>
    <t>DAKB00104-W021E06L</t>
    <phoneticPr fontId="56" type="noConversion"/>
  </si>
  <si>
    <t>13S3P</t>
    <phoneticPr fontId="56" type="noConversion"/>
  </si>
  <si>
    <t>48V/8.6Ah</t>
    <phoneticPr fontId="56" type="noConversion"/>
  </si>
  <si>
    <t>DAKB90860-W021E01LT</t>
    <phoneticPr fontId="56" type="noConversion"/>
  </si>
  <si>
    <t>Demeter_A_48086_S</t>
    <phoneticPr fontId="56" type="noConversion"/>
  </si>
  <si>
    <t>DAKB90104-W021E01L</t>
    <phoneticPr fontId="56" type="noConversion"/>
  </si>
  <si>
    <t>Demeter_A_36100_S</t>
    <phoneticPr fontId="56" type="noConversion"/>
  </si>
  <si>
    <t>DAKB90104-W021E04LT</t>
    <phoneticPr fontId="56" type="noConversion"/>
  </si>
  <si>
    <t>山山 海宝二号</t>
    <phoneticPr fontId="56" type="noConversion"/>
  </si>
  <si>
    <t>005</t>
    <phoneticPr fontId="58" type="noConversion"/>
  </si>
  <si>
    <t>DAKB90900-W021E01L</t>
    <phoneticPr fontId="56" type="noConversion"/>
  </si>
  <si>
    <t>Demeter-102</t>
    <phoneticPr fontId="56" type="noConversion"/>
  </si>
  <si>
    <t>24V-B type</t>
    <phoneticPr fontId="56" type="noConversion"/>
  </si>
  <si>
    <t>惠业, 側拉式</t>
    <phoneticPr fontId="56" type="noConversion"/>
  </si>
  <si>
    <t>Black</t>
    <phoneticPr fontId="58" type="noConversion"/>
  </si>
  <si>
    <t>DAKB00760-W021E03LT</t>
    <phoneticPr fontId="58" type="noConversion"/>
  </si>
  <si>
    <t>Cupid_26076_SU</t>
    <phoneticPr fontId="56" type="noConversion"/>
  </si>
  <si>
    <t>00D</t>
    <phoneticPr fontId="58" type="noConversion"/>
  </si>
  <si>
    <t>White</t>
    <phoneticPr fontId="58" type="noConversion"/>
  </si>
  <si>
    <t>DAKB00760-W021E05LT</t>
    <phoneticPr fontId="58" type="noConversion"/>
  </si>
  <si>
    <t>DAKB90780-W021E01LT</t>
    <phoneticPr fontId="58" type="noConversion"/>
  </si>
  <si>
    <t>7S2P</t>
    <phoneticPr fontId="56" type="noConversion"/>
  </si>
  <si>
    <t>00C</t>
    <phoneticPr fontId="56" type="noConversion"/>
  </si>
  <si>
    <t>DAKB00500-W021E01L</t>
    <phoneticPr fontId="58" type="noConversion"/>
  </si>
  <si>
    <t>Cupid _26050_SU</t>
    <phoneticPr fontId="56" type="noConversion"/>
  </si>
  <si>
    <t>DAKB00520-W021E01L</t>
    <phoneticPr fontId="58" type="noConversion"/>
  </si>
  <si>
    <t>DAK740000-W0Q1E06LT</t>
    <phoneticPr fontId="18" type="noConversion"/>
  </si>
  <si>
    <t>10S3P</t>
    <phoneticPr fontId="56" type="noConversion"/>
  </si>
  <si>
    <t>NA, 管藏電池</t>
    <phoneticPr fontId="56" type="noConversion"/>
  </si>
  <si>
    <t>007</t>
    <phoneticPr fontId="56" type="noConversion"/>
  </si>
  <si>
    <t>36V/7.6Ah</t>
    <phoneticPr fontId="56" type="noConversion"/>
  </si>
  <si>
    <t>DAKB00760-W021E04LT</t>
    <phoneticPr fontId="56" type="noConversion"/>
  </si>
  <si>
    <t>A-120604</t>
    <phoneticPr fontId="56" type="noConversion"/>
  </si>
  <si>
    <t>Ceres_36076_N</t>
    <phoneticPr fontId="56" type="noConversion"/>
  </si>
  <si>
    <t>DAKB00780-W021E01L</t>
    <phoneticPr fontId="56" type="noConversion"/>
  </si>
  <si>
    <t>山山,珍妮包</t>
    <phoneticPr fontId="56" type="noConversion"/>
  </si>
  <si>
    <t>008</t>
    <phoneticPr fontId="56" type="noConversion"/>
  </si>
  <si>
    <t>DAKB00760-W021E07LT</t>
    <phoneticPr fontId="56" type="noConversion"/>
  </si>
  <si>
    <t>A-120701</t>
    <phoneticPr fontId="56" type="noConversion"/>
  </si>
  <si>
    <t>Eos_36076_N</t>
    <phoneticPr fontId="56" type="noConversion"/>
  </si>
  <si>
    <t>DAKB90760-W021E01LT</t>
    <phoneticPr fontId="56" type="noConversion"/>
  </si>
  <si>
    <t>DAKB00760-W021E06LT</t>
    <phoneticPr fontId="56" type="noConversion"/>
  </si>
  <si>
    <t>DAKB90900-W021E02L</t>
    <phoneticPr fontId="56" type="noConversion"/>
  </si>
  <si>
    <t>山山, 動車二號</t>
    <phoneticPr fontId="56" type="noConversion"/>
  </si>
  <si>
    <t>DAKB00100-W021E19LT</t>
    <phoneticPr fontId="58" type="noConversion"/>
  </si>
  <si>
    <t>Aurola_36100_SU</t>
    <phoneticPr fontId="56" type="noConversion"/>
  </si>
  <si>
    <t>DAKB00100-W021E02LT</t>
    <phoneticPr fontId="58" type="noConversion"/>
  </si>
  <si>
    <t>006</t>
    <phoneticPr fontId="56" type="noConversion"/>
  </si>
  <si>
    <t>DAKB00100-W021E22LT</t>
    <phoneticPr fontId="58" type="noConversion"/>
  </si>
  <si>
    <t>A-120603</t>
    <phoneticPr fontId="56" type="noConversion"/>
  </si>
  <si>
    <t>Aurola_36100_N</t>
    <phoneticPr fontId="56" type="noConversion"/>
  </si>
  <si>
    <t>DAKB00900-W021E02L</t>
    <phoneticPr fontId="58" type="noConversion"/>
  </si>
  <si>
    <t>Yellow</t>
    <phoneticPr fontId="56" type="noConversion"/>
  </si>
  <si>
    <t>DAKB00100-W021E20LT</t>
    <phoneticPr fontId="56" type="noConversion"/>
  </si>
  <si>
    <t>DAKB00100-W021E01LT</t>
    <phoneticPr fontId="56" type="noConversion"/>
  </si>
  <si>
    <t>DAKB00100-W021E16LT</t>
    <phoneticPr fontId="56" type="noConversion"/>
  </si>
  <si>
    <t>DAKB90100-W021E02LT</t>
    <phoneticPr fontId="56" type="noConversion"/>
  </si>
  <si>
    <t>Type</t>
    <phoneticPr fontId="56" type="noConversion"/>
  </si>
  <si>
    <r>
      <t>Charger P/N (</t>
    </r>
    <r>
      <rPr>
        <b/>
        <sz val="10"/>
        <color theme="2"/>
        <rFont val="細明體"/>
        <family val="3"/>
        <charset val="136"/>
      </rPr>
      <t>國內版</t>
    </r>
    <r>
      <rPr>
        <b/>
        <sz val="10"/>
        <color theme="2"/>
        <rFont val="Times New Roman"/>
        <family val="1"/>
      </rPr>
      <t>)</t>
    </r>
    <phoneticPr fontId="56" type="noConversion"/>
  </si>
  <si>
    <t>EOL Date</t>
    <phoneticPr fontId="56" type="noConversion"/>
  </si>
  <si>
    <t>Cell capacity</t>
    <phoneticPr fontId="56" type="noConversion"/>
  </si>
  <si>
    <t>Cell vendor</t>
    <phoneticPr fontId="56" type="noConversion"/>
  </si>
  <si>
    <t>Structure</t>
    <phoneticPr fontId="56" type="noConversion"/>
  </si>
  <si>
    <t>Case vendor</t>
    <phoneticPr fontId="56" type="noConversion"/>
  </si>
  <si>
    <t>Project code</t>
    <phoneticPr fontId="56" type="noConversion"/>
  </si>
  <si>
    <t>Updated Ananda P/N</t>
    <phoneticPr fontId="56" type="noConversion"/>
  </si>
  <si>
    <t>Original Ananda P/N</t>
    <phoneticPr fontId="56" type="noConversion"/>
  </si>
  <si>
    <t>Color</t>
    <phoneticPr fontId="56" type="noConversion"/>
  </si>
  <si>
    <t>Spec</t>
    <phoneticPr fontId="56" type="noConversion"/>
  </si>
  <si>
    <t>Dynapack P/N</t>
    <phoneticPr fontId="56" type="noConversion"/>
  </si>
  <si>
    <t>Ananda Reply</t>
    <phoneticPr fontId="56" type="noConversion"/>
  </si>
  <si>
    <t>Old Project Name</t>
    <phoneticPr fontId="56" type="noConversion"/>
  </si>
  <si>
    <t>Project Name</t>
    <phoneticPr fontId="56" type="noConversion"/>
  </si>
  <si>
    <t>Ares_TB300_36100_D</t>
    <phoneticPr fontId="18" type="noConversion"/>
  </si>
  <si>
    <t>Dynapack
P/N</t>
    <phoneticPr fontId="18" type="noConversion"/>
  </si>
  <si>
    <t>36V/10.0Ah</t>
    <phoneticPr fontId="18" type="noConversion"/>
  </si>
  <si>
    <t>Pan_B285_36100_Y</t>
    <phoneticPr fontId="18" type="noConversion"/>
  </si>
  <si>
    <t>Pan_B260_26100_Y</t>
    <phoneticPr fontId="18" type="noConversion"/>
  </si>
  <si>
    <t>DAKB00104-W021E05L</t>
    <phoneticPr fontId="58" type="noConversion"/>
  </si>
  <si>
    <t>AH</t>
    <phoneticPr fontId="18" type="noConversion"/>
  </si>
  <si>
    <t>DAKB00104-W021E05L
85KB0010K0-W021E6L</t>
    <phoneticPr fontId="18" type="noConversion"/>
  </si>
  <si>
    <t>DAKB00100-W021E12LT
85KB0010K0-W021E2L</t>
    <phoneticPr fontId="18" type="noConversion"/>
  </si>
  <si>
    <t>SDI26FM</t>
    <phoneticPr fontId="18" type="noConversion"/>
  </si>
  <si>
    <t>DAKB00100-W021E06LT
85KB001000-W021E1L</t>
    <phoneticPr fontId="18" type="noConversion"/>
  </si>
  <si>
    <t>36V/10.0Ah</t>
    <phoneticPr fontId="18" type="noConversion"/>
  </si>
  <si>
    <t>36V/10.0Ah</t>
    <phoneticPr fontId="18" type="noConversion"/>
  </si>
  <si>
    <t>find DAK &lt;br&gt;</t>
    <phoneticPr fontId="18" type="noConversion"/>
  </si>
  <si>
    <t>is dak blank</t>
    <phoneticPr fontId="18" type="noConversion"/>
  </si>
  <si>
    <t>DAK Name</t>
    <phoneticPr fontId="18" type="noConversion"/>
  </si>
  <si>
    <t>Condition S3</t>
    <phoneticPr fontId="18" type="noConversion"/>
  </si>
  <si>
    <t>自動產生</t>
    <phoneticPr fontId="18" type="noConversion"/>
  </si>
  <si>
    <r>
      <t>FW File Name
(</t>
    </r>
    <r>
      <rPr>
        <b/>
        <sz val="16"/>
        <color rgb="FF000000"/>
        <rFont val="細明體"/>
        <family val="3"/>
        <charset val="136"/>
      </rPr>
      <t>自動產生</t>
    </r>
    <r>
      <rPr>
        <b/>
        <sz val="16"/>
        <color rgb="FF000000"/>
        <rFont val="Calibri"/>
        <family val="2"/>
      </rPr>
      <t>)</t>
    </r>
    <phoneticPr fontId="18" type="noConversion"/>
  </si>
  <si>
    <t>DAKB00100-W021E26LT</t>
    <phoneticPr fontId="18" type="noConversion"/>
  </si>
  <si>
    <t>SDI26FM</t>
    <phoneticPr fontId="18" type="noConversion"/>
  </si>
  <si>
    <t>26V/15.5Ah</t>
    <phoneticPr fontId="18" type="noConversion"/>
  </si>
  <si>
    <t>DAKB00100-W021E15LT
85KB001000-W021E3L</t>
    <phoneticPr fontId="18" type="noConversion"/>
  </si>
  <si>
    <t>R</t>
    <phoneticPr fontId="18" type="noConversion"/>
  </si>
  <si>
    <t>R sense
value
(10uR)</t>
    <phoneticPr fontId="18" type="noConversion"/>
  </si>
  <si>
    <t>Condition S4</t>
    <phoneticPr fontId="18" type="noConversion"/>
  </si>
  <si>
    <t>Ares_TB300_48100_N</t>
    <phoneticPr fontId="18" type="noConversion"/>
  </si>
  <si>
    <t>Pan_B285_36130_N</t>
    <phoneticPr fontId="18" type="noConversion"/>
  </si>
  <si>
    <t>Pan (B)-13Ah</t>
    <phoneticPr fontId="18" type="noConversion"/>
  </si>
  <si>
    <t>36V/13.0Ah</t>
    <phoneticPr fontId="18" type="noConversion"/>
  </si>
  <si>
    <t>36V/13.0Ah</t>
    <phoneticPr fontId="18" type="noConversion"/>
  </si>
  <si>
    <t>DAKB00130-W021E05LT
85KB0013K0-W021E2L</t>
    <phoneticPr fontId="18" type="noConversion"/>
  </si>
  <si>
    <t>DAKB00155-W021E01LT</t>
    <phoneticPr fontId="18" type="noConversion"/>
  </si>
  <si>
    <t>00K</t>
  </si>
  <si>
    <t>洪都</t>
    <phoneticPr fontId="56" type="noConversion"/>
  </si>
  <si>
    <t>DAK740000-W0Q1E21LT</t>
  </si>
  <si>
    <t>7S4P</t>
    <phoneticPr fontId="56" type="noConversion"/>
  </si>
  <si>
    <t>012</t>
    <phoneticPr fontId="10" type="noConversion"/>
  </si>
  <si>
    <t>Red</t>
    <phoneticPr fontId="56" type="noConversion"/>
  </si>
  <si>
    <t>26V/10.0Ah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</si>
  <si>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8" type="noConversion"/>
  </si>
  <si>
    <t>綠源銀魚</t>
    <phoneticPr fontId="56" type="noConversion"/>
  </si>
  <si>
    <t>TBC</t>
    <phoneticPr fontId="56" type="noConversion"/>
  </si>
  <si>
    <t>DAKB00100-W021E28LT</t>
    <phoneticPr fontId="56" type="noConversion"/>
  </si>
  <si>
    <t>13S5P</t>
    <phoneticPr fontId="56" type="noConversion"/>
  </si>
  <si>
    <t>百利一号_铝桶长度300</t>
    <phoneticPr fontId="56" type="noConversion"/>
  </si>
  <si>
    <t>00Y</t>
    <phoneticPr fontId="56" type="noConversion"/>
  </si>
  <si>
    <t>36V/10Ah</t>
    <phoneticPr fontId="56" type="noConversion"/>
  </si>
  <si>
    <t>DAKB00100-W021E24LT</t>
    <phoneticPr fontId="56" type="noConversion"/>
  </si>
  <si>
    <t>Pan_B300_36100_Y</t>
    <phoneticPr fontId="56" type="noConversion"/>
  </si>
  <si>
    <t>百利一号_铝桶长度260</t>
    <phoneticPr fontId="56" type="noConversion"/>
  </si>
  <si>
    <t>00X</t>
    <phoneticPr fontId="56" type="noConversion"/>
  </si>
  <si>
    <t>26V/10Ah</t>
    <phoneticPr fontId="56" type="noConversion"/>
  </si>
  <si>
    <t>DAKB00100-W021E23LT</t>
    <phoneticPr fontId="56" type="noConversion"/>
  </si>
  <si>
    <t>Pan_B260_26100_Y</t>
    <phoneticPr fontId="56" type="noConversion"/>
  </si>
  <si>
    <t>Pan_B285_48100_Y</t>
    <phoneticPr fontId="56" type="noConversion"/>
  </si>
  <si>
    <t>00W</t>
    <phoneticPr fontId="56" type="noConversion"/>
  </si>
  <si>
    <r>
      <rPr>
        <b/>
        <sz val="10"/>
        <color theme="1"/>
        <rFont val="宋体"/>
        <family val="3"/>
        <charset val="134"/>
      </rPr>
      <t>惠业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宋体"/>
        <family val="3"/>
        <charset val="134"/>
      </rPr>
      <t>银鱼下放电</t>
    </r>
    <r>
      <rPr>
        <b/>
        <sz val="10"/>
        <color theme="1"/>
        <rFont val="Times New Roman"/>
        <family val="1"/>
      </rPr>
      <t>285mm</t>
    </r>
    <r>
      <rPr>
        <b/>
        <sz val="10"/>
        <color theme="1"/>
        <rFont val="宋体"/>
        <family val="3"/>
        <charset val="134"/>
      </rPr>
      <t>铝管</t>
    </r>
    <phoneticPr fontId="56" type="noConversion"/>
  </si>
  <si>
    <t>DAKB00780-W021E03LT</t>
    <phoneticPr fontId="58" type="noConversion"/>
  </si>
  <si>
    <t>7S6P</t>
    <phoneticPr fontId="56" type="noConversion"/>
  </si>
  <si>
    <t>天博115 (Dell頭)</t>
    <phoneticPr fontId="56" type="noConversion"/>
  </si>
  <si>
    <t>26V/15.5Ah</t>
    <phoneticPr fontId="56" type="noConversion"/>
  </si>
  <si>
    <t>DAKB00155-W021E01LT</t>
    <phoneticPr fontId="56" type="noConversion"/>
  </si>
  <si>
    <t>Ares115_26150_N</t>
    <phoneticPr fontId="56" type="noConversion"/>
  </si>
  <si>
    <r>
      <t>天博</t>
    </r>
    <r>
      <rPr>
        <b/>
        <sz val="10"/>
        <color theme="1"/>
        <rFont val="Verdana"/>
        <family val="2"/>
      </rPr>
      <t>115 (Dell</t>
    </r>
    <r>
      <rPr>
        <b/>
        <sz val="10"/>
        <color theme="1"/>
        <rFont val="新細明體"/>
        <family val="1"/>
        <charset val="136"/>
      </rPr>
      <t>頭</t>
    </r>
    <r>
      <rPr>
        <b/>
        <sz val="10"/>
        <color theme="1"/>
        <rFont val="Verdana"/>
        <family val="2"/>
      </rPr>
      <t>)</t>
    </r>
    <phoneticPr fontId="56" type="noConversion"/>
  </si>
  <si>
    <t>00Z</t>
    <phoneticPr fontId="56" type="noConversion"/>
  </si>
  <si>
    <t>DAKB00100-W021E25LT</t>
    <phoneticPr fontId="56" type="noConversion"/>
  </si>
  <si>
    <t>Ares115_26100_N</t>
    <phoneticPr fontId="56" type="noConversion"/>
  </si>
  <si>
    <t>天博TB107  (Dell頭)</t>
    <phoneticPr fontId="56" type="noConversion"/>
  </si>
  <si>
    <t>010</t>
    <phoneticPr fontId="56" type="noConversion"/>
  </si>
  <si>
    <t>DAKB00100-W021E26LT</t>
    <phoneticPr fontId="56" type="noConversion"/>
  </si>
  <si>
    <t>Ares-TB300_48100_N</t>
    <phoneticPr fontId="56" type="noConversion"/>
  </si>
  <si>
    <t>DAKB00100-W021E15LT</t>
    <phoneticPr fontId="56" type="noConversion"/>
  </si>
  <si>
    <t>DAKB0010K-W021E01LT</t>
    <phoneticPr fontId="58" type="noConversion"/>
  </si>
  <si>
    <t>00E</t>
    <phoneticPr fontId="56" type="noConversion"/>
  </si>
  <si>
    <t>DAKB00500-W021E01L</t>
    <phoneticPr fontId="58" type="noConversion"/>
  </si>
  <si>
    <t>Customer</t>
    <phoneticPr fontId="56" type="noConversion"/>
  </si>
  <si>
    <t>PanBH350_26100_N</t>
    <phoneticPr fontId="56" type="noConversion"/>
  </si>
  <si>
    <t>DAKB00100-W021E27LT</t>
    <phoneticPr fontId="18" type="noConversion"/>
  </si>
  <si>
    <r>
      <rPr>
        <sz val="16"/>
        <color rgb="FF000000"/>
        <rFont val="細明體"/>
        <family val="3"/>
        <charset val="136"/>
      </rPr>
      <t>洪都</t>
    </r>
    <r>
      <rPr>
        <sz val="16"/>
        <color rgb="FF000000"/>
        <rFont val="Calibri"/>
        <family val="2"/>
      </rPr>
      <t>(</t>
    </r>
    <r>
      <rPr>
        <sz val="16"/>
        <color rgb="FF000000"/>
        <rFont val="細明體"/>
        <family val="3"/>
        <charset val="136"/>
      </rPr>
      <t>紅</t>
    </r>
    <r>
      <rPr>
        <sz val="16"/>
        <color rgb="FF000000"/>
        <rFont val="Calibri"/>
        <family val="2"/>
      </rPr>
      <t>)</t>
    </r>
    <phoneticPr fontId="18" type="noConversion"/>
  </si>
  <si>
    <t>26V/10.0Ah</t>
    <phoneticPr fontId="18" type="noConversion"/>
  </si>
  <si>
    <t>V</t>
    <phoneticPr fontId="18" type="noConversion"/>
  </si>
  <si>
    <t>N3</t>
    <phoneticPr fontId="18" type="noConversion"/>
  </si>
  <si>
    <t>hoursing no led and SW
FW set 3LED and SW</t>
    <phoneticPr fontId="18" type="noConversion"/>
  </si>
  <si>
    <t>PanBH350_26100_N</t>
    <phoneticPr fontId="18" type="noConversion"/>
  </si>
  <si>
    <t>85K</t>
    <phoneticPr fontId="56" type="noConversion"/>
  </si>
  <si>
    <t>85KB001000-W021E5L</t>
    <phoneticPr fontId="56" type="noConversion"/>
  </si>
  <si>
    <t>Ceres_36076_N</t>
    <phoneticPr fontId="56" type="noConversion"/>
  </si>
  <si>
    <t>DAKB00760-W021E05LT</t>
    <phoneticPr fontId="58" type="noConversion"/>
  </si>
  <si>
    <t>Demeter-102</t>
    <phoneticPr fontId="56" type="noConversion"/>
  </si>
  <si>
    <t>005</t>
    <phoneticPr fontId="58" type="noConversion"/>
  </si>
  <si>
    <t>山山 海宝二号</t>
    <phoneticPr fontId="56" type="noConversion"/>
  </si>
  <si>
    <t>Demeter_A_48086_S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</si>
  <si>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透明殼</t>
    </r>
    <r>
      <rPr>
        <b/>
        <sz val="10"/>
        <rFont val="Times New Roman"/>
        <family val="1"/>
      </rPr>
      <t>)</t>
    </r>
    <phoneticPr fontId="56" type="noConversion"/>
  </si>
  <si>
    <t>Demeter_B285_48100_S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</si>
  <si>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</si>
  <si>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Demeter_B215_36100_S</t>
    <phoneticPr fontId="56" type="noConversion"/>
  </si>
  <si>
    <t>DAKB0010K-W021E02LT</t>
    <phoneticPr fontId="58" type="noConversion"/>
  </si>
  <si>
    <t>85KB001000-W021E4L</t>
    <phoneticPr fontId="56" type="noConversion"/>
  </si>
  <si>
    <t>DAKB0010K-W021E03LT</t>
    <phoneticPr fontId="56" type="noConversion"/>
  </si>
  <si>
    <t>DAKB00100-W021E14LT</t>
    <phoneticPr fontId="56" type="noConversion"/>
  </si>
  <si>
    <t>DAKB00100-W021E06LT</t>
    <phoneticPr fontId="56" type="noConversion"/>
  </si>
  <si>
    <t>85KB001000-W021E1L</t>
    <phoneticPr fontId="56" type="noConversion"/>
  </si>
  <si>
    <t>85KB001000-W021E3L</t>
    <phoneticPr fontId="56" type="noConversion"/>
  </si>
  <si>
    <t>85KB001000-W021E8L</t>
    <phoneticPr fontId="56" type="noConversion"/>
  </si>
  <si>
    <t>85KB001000-W021E01L</t>
    <phoneticPr fontId="56" type="noConversion"/>
  </si>
  <si>
    <t>85KB001550-W021E1L</t>
    <phoneticPr fontId="56" type="noConversion"/>
  </si>
  <si>
    <t>Pan_B190_26076_Y</t>
    <phoneticPr fontId="56" type="noConversion"/>
  </si>
  <si>
    <t>DAKB00780-W021E04LT</t>
    <phoneticPr fontId="58" type="noConversion"/>
  </si>
  <si>
    <t>Pan_B285_26076_Y</t>
    <phoneticPr fontId="56" type="noConversion"/>
  </si>
  <si>
    <t>85KB0010K0-W021E5LH</t>
    <phoneticPr fontId="56" type="noConversion"/>
  </si>
  <si>
    <t>85KB0010K0-W021E2L</t>
    <phoneticPr fontId="56" type="noConversion"/>
  </si>
  <si>
    <t>Pan_B285_36130_Y</t>
    <phoneticPr fontId="56" type="noConversion"/>
  </si>
  <si>
    <t>85KB0013K0-W021E2L</t>
    <phoneticPr fontId="56" type="noConversion"/>
  </si>
  <si>
    <t>DAKB00100-W021E13LT</t>
    <phoneticPr fontId="56" type="noConversion"/>
  </si>
  <si>
    <t>85KB0010K0-W021E4L</t>
    <phoneticPr fontId="56" type="noConversion"/>
  </si>
  <si>
    <t>48V/13.0Ah</t>
    <phoneticPr fontId="56" type="noConversion"/>
  </si>
  <si>
    <t>DAKB00130-W021E04LT</t>
    <phoneticPr fontId="56" type="noConversion"/>
  </si>
  <si>
    <t>85K0013K0-W021E1L</t>
    <phoneticPr fontId="56" type="noConversion"/>
  </si>
  <si>
    <t>DAKB00100-W021E30LT</t>
    <phoneticPr fontId="56" type="noConversion"/>
  </si>
  <si>
    <t>85KB001000-W021E6L</t>
    <phoneticPr fontId="56" type="noConversion"/>
  </si>
  <si>
    <t>DAKB00100-W021E29LT</t>
    <phoneticPr fontId="56" type="noConversion"/>
  </si>
  <si>
    <t>85KB001000-W021E7L</t>
    <phoneticPr fontId="56" type="noConversion"/>
  </si>
  <si>
    <t>Pan_B_36100_Y</t>
    <phoneticPr fontId="56" type="noConversion"/>
  </si>
  <si>
    <t>Pan A-T</t>
    <phoneticPr fontId="56" type="noConversion"/>
  </si>
  <si>
    <t>Pan A-B</t>
    <phoneticPr fontId="56" type="noConversion"/>
  </si>
  <si>
    <t>DAKB00104-W021E01L</t>
    <phoneticPr fontId="56" type="noConversion"/>
  </si>
  <si>
    <t>DAKB00100-W021E27LT</t>
  </si>
  <si>
    <t>Pan_LT360_36182_D</t>
    <phoneticPr fontId="56" type="noConversion"/>
  </si>
  <si>
    <t>013</t>
    <phoneticPr fontId="10" type="noConversion"/>
  </si>
  <si>
    <t>樂途銀魚</t>
    <phoneticPr fontId="56" type="noConversion"/>
  </si>
  <si>
    <t>10S7P</t>
    <phoneticPr fontId="56" type="noConversion"/>
  </si>
  <si>
    <t>DC Jack</t>
    <phoneticPr fontId="56" type="noConversion"/>
  </si>
  <si>
    <t>Haimai</t>
    <phoneticPr fontId="56" type="noConversion"/>
  </si>
  <si>
    <t>DAKB00100-W021E08LT</t>
    <phoneticPr fontId="56" type="noConversion"/>
  </si>
  <si>
    <t>85KB0010K0-W021E1L</t>
    <phoneticPr fontId="56" type="noConversion"/>
  </si>
  <si>
    <t>DAKB00100-W021E09LT</t>
    <phoneticPr fontId="56" type="noConversion"/>
  </si>
  <si>
    <t>DAKB00100-W021E17LT</t>
    <phoneticPr fontId="56" type="noConversion"/>
  </si>
  <si>
    <t>Ares-HM_36100_NU</t>
    <phoneticPr fontId="56" type="noConversion"/>
  </si>
  <si>
    <t>DAKB00100-W021E03LT</t>
    <phoneticPr fontId="58" type="noConversion"/>
  </si>
  <si>
    <t>Pan_LT360_36182_D</t>
    <phoneticPr fontId="18" type="noConversion"/>
  </si>
  <si>
    <t>DAKB00182-W021E01LT</t>
    <phoneticPr fontId="10" type="noConversion"/>
  </si>
  <si>
    <t xml:space="preserve">85KB001820-W021E01L </t>
    <phoneticPr fontId="10" type="noConversion"/>
  </si>
  <si>
    <t>DAKB00182-W021E01LT
85KB001820-W021E01L</t>
    <phoneticPr fontId="18" type="noConversion"/>
  </si>
  <si>
    <t>36V/18.2Ah</t>
    <phoneticPr fontId="56" type="noConversion"/>
  </si>
  <si>
    <t>36V/18.2Ah</t>
    <phoneticPr fontId="18" type="noConversion"/>
  </si>
  <si>
    <t>Pan_B320_48130_Y</t>
    <phoneticPr fontId="56" type="noConversion"/>
  </si>
  <si>
    <t>DAKB00130-W021E06LT</t>
    <phoneticPr fontId="56" type="noConversion"/>
  </si>
  <si>
    <t>85KB001300-W021E1L</t>
    <phoneticPr fontId="56" type="noConversion"/>
  </si>
  <si>
    <t>Pan_B320_48100_Y</t>
  </si>
  <si>
    <t>Pan_B320_48100_Y</t>
    <phoneticPr fontId="56" type="noConversion"/>
  </si>
  <si>
    <t>85KB001000-W021E9L</t>
    <phoneticPr fontId="56" type="noConversion"/>
  </si>
  <si>
    <t>DAKB00100-W021E28LT
85KB001000-W021E9L</t>
    <phoneticPr fontId="18" type="noConversion"/>
  </si>
  <si>
    <t>綠源銀魚</t>
    <phoneticPr fontId="56" type="noConversion"/>
  </si>
  <si>
    <t>綠源銀魚</t>
    <phoneticPr fontId="18" type="noConversion"/>
  </si>
  <si>
    <t>48V/13.0Ah</t>
    <phoneticPr fontId="56" type="noConversion"/>
  </si>
  <si>
    <t>48V/13.0Ah</t>
    <phoneticPr fontId="18" type="noConversion"/>
  </si>
  <si>
    <t>48V/10.0Ah</t>
    <phoneticPr fontId="56" type="noConversion"/>
  </si>
  <si>
    <t>48V/10.0Ah</t>
    <phoneticPr fontId="18" type="noConversion"/>
  </si>
  <si>
    <t>48V/10.0AH</t>
    <phoneticPr fontId="18" type="noConversion"/>
  </si>
  <si>
    <t>Ares_TB300_48100_D</t>
    <phoneticPr fontId="18" type="noConversion"/>
  </si>
  <si>
    <t>RTC
WakeUp</t>
    <phoneticPr fontId="18" type="noConversion"/>
  </si>
  <si>
    <t>Wup</t>
    <phoneticPr fontId="18" type="noConversion"/>
  </si>
  <si>
    <t>Aslp</t>
    <phoneticPr fontId="18" type="noConversion"/>
  </si>
  <si>
    <t>Pan_B285_36100_Y</t>
    <phoneticPr fontId="18" type="noConversion"/>
  </si>
  <si>
    <t>DAKB00100-W021E12LT
85KB0010K0-W021E2L</t>
    <phoneticPr fontId="18" type="noConversion"/>
  </si>
  <si>
    <t>36V/10.0Ah</t>
    <phoneticPr fontId="18" type="noConversion"/>
  </si>
  <si>
    <t>SDI26FM</t>
    <phoneticPr fontId="18" type="noConversion"/>
  </si>
  <si>
    <t>V</t>
    <phoneticPr fontId="18" type="noConversion"/>
  </si>
  <si>
    <t>DAKB00130-W021E04LT</t>
    <phoneticPr fontId="18" type="noConversion"/>
  </si>
  <si>
    <t>48V/10.0Ah</t>
    <phoneticPr fontId="18" type="noConversion"/>
  </si>
  <si>
    <t>48V/13.0Ah</t>
    <phoneticPr fontId="18" type="noConversion"/>
  </si>
  <si>
    <t>Pan_B285_48130_Y</t>
    <phoneticPr fontId="18" type="noConversion"/>
  </si>
  <si>
    <t>Pan (B)-13Ah</t>
    <phoneticPr fontId="18" type="noConversion"/>
  </si>
  <si>
    <t>48V/13.0AH</t>
    <phoneticPr fontId="18" type="noConversion"/>
  </si>
  <si>
    <t>SDI26H</t>
    <phoneticPr fontId="18" type="noConversion"/>
  </si>
  <si>
    <t>Pan (B)-13Ah</t>
    <phoneticPr fontId="18" type="noConversion"/>
  </si>
  <si>
    <t>Pan (B)</t>
  </si>
  <si>
    <t>LowDrv</t>
    <phoneticPr fontId="18" type="noConversion"/>
  </si>
  <si>
    <r>
      <t>Ares115_26150_</t>
    </r>
    <r>
      <rPr>
        <b/>
        <sz val="16"/>
        <color rgb="FF0070C0"/>
        <rFont val="Calibri"/>
        <family val="2"/>
      </rPr>
      <t>D</t>
    </r>
    <phoneticPr fontId="18" type="noConversion"/>
  </si>
  <si>
    <t>DAKB00100-W021E31LT</t>
  </si>
  <si>
    <t>36V/10.0Ah</t>
    <phoneticPr fontId="18" type="noConversion"/>
  </si>
  <si>
    <r>
      <t>Ares115_36100_</t>
    </r>
    <r>
      <rPr>
        <b/>
        <sz val="16"/>
        <color rgb="FFFF0000"/>
        <rFont val="Calibri"/>
        <family val="2"/>
      </rPr>
      <t>D</t>
    </r>
    <phoneticPr fontId="18" type="noConversion"/>
  </si>
  <si>
    <t>DAK740000-W0R1E03LT</t>
  </si>
  <si>
    <t>Item</t>
  </si>
  <si>
    <t>Project</t>
  </si>
  <si>
    <t>Gauge IC</t>
  </si>
  <si>
    <t>EPM</t>
  </si>
  <si>
    <t>TPM</t>
  </si>
  <si>
    <t>RD EE</t>
  </si>
  <si>
    <t>RD ME</t>
  </si>
  <si>
    <t>MPM</t>
  </si>
  <si>
    <t>SW</t>
  </si>
  <si>
    <t>EE</t>
  </si>
  <si>
    <t>Fix</t>
  </si>
  <si>
    <t>PE</t>
  </si>
  <si>
    <t>AFix</t>
  </si>
  <si>
    <t>IE</t>
  </si>
  <si>
    <t>Innergie</t>
  </si>
  <si>
    <t>Pad cell (2Cell)</t>
  </si>
  <si>
    <t>ASUS</t>
  </si>
  <si>
    <t>TX300D</t>
  </si>
  <si>
    <t>BQ20Z45</t>
  </si>
  <si>
    <t>Allen</t>
  </si>
  <si>
    <t>Wen.Zhao</t>
  </si>
  <si>
    <t>TX300P</t>
  </si>
  <si>
    <t>Delta</t>
  </si>
  <si>
    <t>Cumi</t>
  </si>
  <si>
    <t>Max1789</t>
  </si>
  <si>
    <t>MPE</t>
  </si>
  <si>
    <t>P7300</t>
  </si>
  <si>
    <t>bq27541</t>
  </si>
  <si>
    <t>Harris</t>
  </si>
  <si>
    <t>ENEOS</t>
  </si>
  <si>
    <t>Ginza: Shinbashi-B</t>
  </si>
  <si>
    <t>BQ20Z459</t>
  </si>
  <si>
    <t>Elaine</t>
  </si>
  <si>
    <t>Ginza: Shinbashi-H</t>
  </si>
  <si>
    <t>Ginza: Ginza-C</t>
  </si>
  <si>
    <t>Jason</t>
  </si>
  <si>
    <t>Mill</t>
  </si>
  <si>
    <t>Leo</t>
  </si>
  <si>
    <t>Peggy</t>
  </si>
  <si>
    <t>Ares-TB300_48100_N</t>
  </si>
  <si>
    <t>David</t>
  </si>
  <si>
    <t>Gary</t>
  </si>
  <si>
    <t>Emmet</t>
  </si>
  <si>
    <t>LEV Engineer Sample label rule code</t>
    <phoneticPr fontId="10" type="noConversion"/>
  </si>
  <si>
    <t>电池组版本码</t>
    <phoneticPr fontId="10" type="noConversion"/>
  </si>
  <si>
    <t xml:space="preserve"> SN(采用十进制）</t>
    <phoneticPr fontId="10" type="noConversion"/>
  </si>
  <si>
    <t>年月日代码（2013年10月12日代码131012）</t>
    <phoneticPr fontId="10" type="noConversion"/>
  </si>
  <si>
    <t>工程样品代码:ES</t>
    <phoneticPr fontId="10" type="noConversion"/>
  </si>
  <si>
    <t>电芯代码（Panasonic:1   SDI:2）</t>
    <phoneticPr fontId="10" type="noConversion"/>
  </si>
  <si>
    <t>Dynapack代码:D</t>
    <phoneticPr fontId="10" type="noConversion"/>
  </si>
  <si>
    <t>DAKB00130-W021E08LT</t>
    <phoneticPr fontId="18" type="noConversion"/>
  </si>
  <si>
    <t>48V/13.0Ah</t>
    <phoneticPr fontId="18" type="noConversion"/>
  </si>
  <si>
    <t>Ares_NHT350_48130_D</t>
    <phoneticPr fontId="18" type="noConversion"/>
  </si>
  <si>
    <t>26V - 7S</t>
    <phoneticPr fontId="10" type="noConversion"/>
  </si>
  <si>
    <t>4LED</t>
    <phoneticPr fontId="10" type="noConversion"/>
  </si>
  <si>
    <t>// for 4 LEDs DSG display with 5 status</t>
  </si>
  <si>
    <t>// 5 status :</t>
  </si>
  <si>
    <t>// status1 : blinking led1 ==&gt; under and include DSG_CAPACITY_DISPLAY_TH_1.</t>
  </si>
  <si>
    <t>// status2 : light led1 ==&gt;    under and include DSG_CAPACITY_DISPLAY_TH_2. and bigger than DSG_CAPACITY_DISPLAY_TH_1.</t>
  </si>
  <si>
    <t>// status3 : light led2 ==&gt;    under and include DSG_CAPACITY_DISPLAY_TH_3. and bigger than DSG_CAPACITY_DISPLAY_TH_2.</t>
  </si>
  <si>
    <t>// status4 : light led3 ==&gt;    under and include DSG_CAPACITY_DISPLAY_TH_4. and bigger than DSG_CAPACITY_DISPLAY_TH_3.</t>
  </si>
  <si>
    <t>// status5 : light led4 ==&gt;    bigger than DSG_CAPACITY_DISPLAY_TH_4.</t>
  </si>
  <si>
    <t>#define _ee_uint_DSG_CAPACITY_DISPLAY_TH_1     16</t>
  </si>
  <si>
    <t>#define _ee_uint_DSG_CAPACITY_DISPLAY_TH_2     37</t>
  </si>
  <si>
    <t>#define _ee_uint_DSG_CAPACITY_DISPLAY_TH_3     58</t>
  </si>
  <si>
    <t>#define _ee_uint_DSG_CAPACITY_DISPLAY_TH_4     79</t>
  </si>
  <si>
    <r>
      <t>2</t>
    </r>
    <r>
      <rPr>
        <sz val="12"/>
        <color theme="1"/>
        <rFont val="新細明體"/>
        <family val="2"/>
        <charset val="136"/>
        <scheme val="minor"/>
      </rPr>
      <t>5786 mV</t>
    </r>
    <phoneticPr fontId="10" type="noConversion"/>
  </si>
  <si>
    <t>(17.5)</t>
    <phoneticPr fontId="10" type="noConversion"/>
  </si>
  <si>
    <r>
      <t>2</t>
    </r>
    <r>
      <rPr>
        <sz val="12"/>
        <color theme="1"/>
        <rFont val="新細明體"/>
        <family val="2"/>
        <charset val="136"/>
        <scheme val="minor"/>
      </rPr>
      <t>6387 mV</t>
    </r>
    <phoneticPr fontId="10" type="noConversion"/>
  </si>
  <si>
    <t>(37.5)</t>
    <phoneticPr fontId="10" type="noConversion"/>
  </si>
  <si>
    <r>
      <t>2</t>
    </r>
    <r>
      <rPr>
        <sz val="12"/>
        <color theme="1"/>
        <rFont val="新細明體"/>
        <family val="2"/>
        <charset val="136"/>
        <scheme val="minor"/>
      </rPr>
      <t>7035 mV</t>
    </r>
    <phoneticPr fontId="10" type="noConversion"/>
  </si>
  <si>
    <t>(60)</t>
    <phoneticPr fontId="10" type="noConversion"/>
  </si>
  <si>
    <r>
      <t>2</t>
    </r>
    <r>
      <rPr>
        <sz val="12"/>
        <color theme="1"/>
        <rFont val="新細明體"/>
        <family val="2"/>
        <charset val="136"/>
        <scheme val="minor"/>
      </rPr>
      <t>7912 mV</t>
    </r>
    <phoneticPr fontId="10" type="noConversion"/>
  </si>
  <si>
    <t>(80)</t>
    <phoneticPr fontId="10" type="noConversion"/>
  </si>
  <si>
    <r>
      <t>紅:改一次,</t>
    </r>
    <r>
      <rPr>
        <b/>
        <sz val="12"/>
        <color theme="3" tint="0.39997558519241921"/>
        <rFont val="新細明體"/>
        <family val="1"/>
        <charset val="136"/>
        <scheme val="minor"/>
      </rPr>
      <t>藍:改二次</t>
    </r>
    <r>
      <rPr>
        <b/>
        <sz val="12"/>
        <color theme="1"/>
        <rFont val="新細明體"/>
        <family val="2"/>
        <charset val="136"/>
        <scheme val="minor"/>
      </rPr>
      <t>, 綠:改三次</t>
    </r>
    <phoneticPr fontId="18" type="noConversion"/>
  </si>
  <si>
    <t xml:space="preserve">UV_RELEASE </t>
    <phoneticPr fontId="18" type="noConversion"/>
  </si>
  <si>
    <t>43500 mV</t>
    <phoneticPr fontId="10" type="noConversion"/>
  </si>
  <si>
    <t>or In CHG Status</t>
    <phoneticPr fontId="10" type="noConversion"/>
  </si>
  <si>
    <t>23450 mV</t>
    <phoneticPr fontId="10" type="noConversion"/>
  </si>
  <si>
    <t>33500 mV</t>
    <phoneticPr fontId="10" type="noConversion"/>
  </si>
  <si>
    <t>Ares_TB350_48130_N</t>
    <phoneticPr fontId="18" type="noConversion"/>
  </si>
  <si>
    <t>Demeter_36100_N</t>
  </si>
  <si>
    <t>DAKB00100-W021E32LT</t>
    <phoneticPr fontId="18" type="noConversion"/>
  </si>
  <si>
    <t>36V/10.0Ah</t>
    <phoneticPr fontId="18" type="noConversion"/>
  </si>
  <si>
    <t>DAKB00130-W021E10LT</t>
    <phoneticPr fontId="18" type="noConversion"/>
  </si>
  <si>
    <t>Pan_THY3_48130_Y</t>
    <phoneticPr fontId="18" type="noConversion"/>
  </si>
  <si>
    <t>DAKB00130-W021E09LT</t>
    <phoneticPr fontId="18" type="noConversion"/>
  </si>
  <si>
    <t>V</t>
    <phoneticPr fontId="18" type="noConversion"/>
  </si>
  <si>
    <t>V</t>
    <phoneticPr fontId="18" type="noConversion"/>
  </si>
  <si>
    <t>48V/13.0Ah</t>
    <phoneticPr fontId="18" type="noConversion"/>
  </si>
  <si>
    <t>Pan_B285_48100_Y</t>
    <phoneticPr fontId="18" type="noConversion"/>
  </si>
  <si>
    <t>Pan_B285_48100_Y</t>
    <phoneticPr fontId="18" type="noConversion"/>
  </si>
  <si>
    <t>Pan_B320_48130_Y</t>
    <phoneticPr fontId="18" type="noConversion"/>
  </si>
  <si>
    <t>Pan_B320_48130_Y</t>
    <phoneticPr fontId="18" type="noConversion"/>
  </si>
  <si>
    <t>DAKB00130-W021E06LT
85KB001300-W021E1L</t>
    <phoneticPr fontId="18" type="noConversion"/>
  </si>
  <si>
    <t>DAKB00130-W021E06LT
85KB001300-W021E1L</t>
    <phoneticPr fontId="18" type="noConversion"/>
  </si>
  <si>
    <t>DAKB00100-W021E13LT</t>
    <phoneticPr fontId="18" type="noConversion"/>
  </si>
  <si>
    <t>DAKB00100-W021E13LT</t>
    <phoneticPr fontId="18" type="noConversion"/>
  </si>
  <si>
    <t>48V/10.0Ah</t>
    <phoneticPr fontId="18" type="noConversion"/>
  </si>
  <si>
    <t>Pan (B)</t>
    <phoneticPr fontId="18" type="noConversion"/>
  </si>
  <si>
    <t>Pan (B)</t>
    <phoneticPr fontId="18" type="noConversion"/>
  </si>
  <si>
    <t>綠源銀魚</t>
    <phoneticPr fontId="18" type="noConversion"/>
  </si>
  <si>
    <t>MSW1</t>
    <phoneticPr fontId="18" type="noConversion"/>
  </si>
  <si>
    <t>Magnetic Reed SW1</t>
    <phoneticPr fontId="18" type="noConversion"/>
  </si>
  <si>
    <t>36V/10.0Ah</t>
    <phoneticPr fontId="18" type="noConversion"/>
  </si>
  <si>
    <t>樂途銀魚</t>
    <phoneticPr fontId="18" type="noConversion"/>
  </si>
  <si>
    <t>Pan_BLT360_36182_DU</t>
    <phoneticPr fontId="18" type="noConversion"/>
  </si>
  <si>
    <t>36V/18.2Ah</t>
    <phoneticPr fontId="18" type="noConversion"/>
  </si>
  <si>
    <t>Pan_BBL260_26100_Y</t>
    <phoneticPr fontId="18" type="noConversion"/>
  </si>
  <si>
    <t>百利銀魚</t>
    <phoneticPr fontId="18" type="noConversion"/>
  </si>
  <si>
    <t>26V/10.0Ah</t>
    <phoneticPr fontId="18" type="noConversion"/>
  </si>
  <si>
    <t>Pan_BLT360_36182_D</t>
  </si>
  <si>
    <t>DAKB00100-W021E33LT</t>
    <phoneticPr fontId="18" type="noConversion"/>
  </si>
  <si>
    <t>DAKB00182-W021E03LT
85KB001820-W021E03L</t>
    <phoneticPr fontId="18" type="noConversion"/>
  </si>
  <si>
    <t>DAKB00100-W021E30LT
85KB001000-W021E6L</t>
    <phoneticPr fontId="18" type="noConversion"/>
  </si>
  <si>
    <t>DAKB00182-W021E01LT
85KB001820-W021E01L</t>
    <phoneticPr fontId="18" type="noConversion"/>
  </si>
  <si>
    <t>V3.0.24.1_20131211
for test 2013/12/11</t>
    <phoneticPr fontId="18" type="noConversion"/>
  </si>
  <si>
    <t>V3.0.24.1_20131211</t>
    <phoneticPr fontId="18" type="noConversion"/>
  </si>
  <si>
    <t>V3.0.24.1_20131211</t>
    <phoneticPr fontId="18" type="noConversion"/>
  </si>
  <si>
    <t>V3.1.24.1_20131211
SW2 for Back Light</t>
    <phoneticPr fontId="18" type="noConversion"/>
  </si>
  <si>
    <t>V3.0.24.1_20131209</t>
    <phoneticPr fontId="18" type="noConversion"/>
  </si>
  <si>
    <t>V3.0.24.1_20131210</t>
    <phoneticPr fontId="18" type="noConversion"/>
  </si>
  <si>
    <t>Last Release</t>
    <phoneticPr fontId="18" type="noConversion"/>
  </si>
  <si>
    <t>DAKB00100-W021E25LT</t>
    <phoneticPr fontId="18" type="noConversion"/>
  </si>
  <si>
    <t>V2.16.20.1</t>
  </si>
  <si>
    <t>V2.16.20.1</t>
    <phoneticPr fontId="18" type="noConversion"/>
  </si>
  <si>
    <t>V2.19.23.1</t>
  </si>
  <si>
    <t>Ares_SSHB_36130_D</t>
    <phoneticPr fontId="18" type="noConversion"/>
  </si>
  <si>
    <t>36V/13.0Ah</t>
    <phoneticPr fontId="18" type="noConversion"/>
  </si>
  <si>
    <t>海豹二號</t>
    <phoneticPr fontId="18" type="noConversion"/>
  </si>
  <si>
    <t>Pan_BJX296_36100_Y</t>
    <phoneticPr fontId="18" type="noConversion"/>
  </si>
  <si>
    <t>Pan_B285_36100_Y</t>
    <phoneticPr fontId="18" type="noConversion"/>
  </si>
  <si>
    <t>36V/10.0Ah</t>
    <phoneticPr fontId="18" type="noConversion"/>
  </si>
  <si>
    <t>Pan_BLT360_36156_D</t>
    <phoneticPr fontId="18" type="noConversion"/>
  </si>
  <si>
    <t>36V/15.6Ah</t>
    <phoneticPr fontId="18" type="noConversion"/>
  </si>
  <si>
    <t>85KB001000-W021E10L</t>
    <phoneticPr fontId="10" type="noConversion"/>
  </si>
  <si>
    <t>DAKB00100-W021E36LT</t>
    <phoneticPr fontId="10" type="noConversion"/>
  </si>
  <si>
    <t>Pan_BLT360_36100_D</t>
    <phoneticPr fontId="10" type="noConversion"/>
  </si>
  <si>
    <t>85KB001560-W021E01L</t>
    <phoneticPr fontId="10" type="noConversion"/>
  </si>
  <si>
    <t>DAKB00156-W021E01LT</t>
    <phoneticPr fontId="10" type="noConversion"/>
  </si>
  <si>
    <t>Pan_BLT360_36156_D</t>
    <phoneticPr fontId="10" type="noConversion"/>
  </si>
  <si>
    <t>85KB001040-W021E01L</t>
    <phoneticPr fontId="10" type="noConversion"/>
  </si>
  <si>
    <t>DAKB00104-W021E07LT</t>
    <phoneticPr fontId="10" type="noConversion"/>
  </si>
  <si>
    <t>PAN_BLT330_36104_D</t>
    <phoneticPr fontId="10" type="noConversion"/>
  </si>
  <si>
    <t>85KB001000-W021E11L</t>
    <phoneticPr fontId="10" type="noConversion"/>
  </si>
  <si>
    <t>DAKB0010K-W021E04LT</t>
    <phoneticPr fontId="10" type="noConversion"/>
  </si>
  <si>
    <t>Ares_LT1_36100_D</t>
    <phoneticPr fontId="10" type="noConversion"/>
  </si>
  <si>
    <t>Pan_TYD1_48130_D</t>
    <phoneticPr fontId="10" type="noConversion"/>
  </si>
  <si>
    <t>Demeter_B350_48130_N</t>
    <phoneticPr fontId="10" type="noConversion"/>
  </si>
  <si>
    <t>85KB001000-W021E07L</t>
    <phoneticPr fontId="10" type="noConversion"/>
  </si>
  <si>
    <t>DAKB00100-W021E34LT</t>
    <phoneticPr fontId="10" type="noConversion"/>
  </si>
  <si>
    <t>85KB001000-W021E06L</t>
    <phoneticPr fontId="10" type="noConversion"/>
  </si>
  <si>
    <t>DAKB00100-W021E33LT</t>
    <phoneticPr fontId="10" type="noConversion"/>
  </si>
  <si>
    <t>Pan_BJX325_36100_D</t>
  </si>
  <si>
    <t xml:space="preserve">85KB001820-W021E01L </t>
  </si>
  <si>
    <t>DAKB00182-W021E01LT</t>
  </si>
  <si>
    <t>DAKB00130-W021E05LT</t>
    <phoneticPr fontId="58" type="noConversion"/>
  </si>
  <si>
    <t>ST</t>
    <phoneticPr fontId="58" type="noConversion"/>
  </si>
  <si>
    <t>Lily.gu</t>
    <phoneticPr fontId="10" type="noConversion"/>
  </si>
  <si>
    <t>Volins.ren</t>
    <phoneticPr fontId="10" type="noConversion"/>
  </si>
  <si>
    <t>Jinn.li</t>
    <phoneticPr fontId="10" type="noConversion"/>
  </si>
  <si>
    <t>Leo.lee</t>
    <phoneticPr fontId="10" type="noConversion"/>
  </si>
  <si>
    <t>Changfei.shu</t>
    <phoneticPr fontId="10" type="noConversion"/>
  </si>
  <si>
    <t>Nick</t>
    <phoneticPr fontId="58" type="noConversion"/>
  </si>
  <si>
    <t>Leo</t>
    <phoneticPr fontId="58" type="noConversion"/>
  </si>
  <si>
    <t>Bird/Terry</t>
    <phoneticPr fontId="58" type="noConversion"/>
  </si>
  <si>
    <t>Elaine</t>
    <phoneticPr fontId="10" type="noConversion"/>
  </si>
  <si>
    <t>Alice.zhang</t>
    <phoneticPr fontId="10" type="noConversion"/>
  </si>
  <si>
    <t>Vader</t>
    <phoneticPr fontId="10" type="noConversion"/>
  </si>
  <si>
    <t>Jason</t>
    <phoneticPr fontId="58" type="noConversion"/>
  </si>
  <si>
    <t>Ares_TB350_48130_N</t>
    <phoneticPr fontId="58" type="noConversion"/>
  </si>
  <si>
    <t>Bird</t>
    <phoneticPr fontId="10" type="noConversion"/>
  </si>
  <si>
    <t>Ming</t>
    <phoneticPr fontId="10" type="noConversion"/>
  </si>
  <si>
    <t>Alice.wang</t>
    <phoneticPr fontId="10" type="noConversion"/>
  </si>
  <si>
    <t>Winnie.zhang</t>
    <phoneticPr fontId="10" type="noConversion"/>
  </si>
  <si>
    <t>Lily.yan</t>
    <phoneticPr fontId="10" type="noConversion"/>
  </si>
  <si>
    <t>NA</t>
    <phoneticPr fontId="10" type="noConversion"/>
  </si>
  <si>
    <t>Terry</t>
    <phoneticPr fontId="10" type="noConversion"/>
  </si>
  <si>
    <t>Miles/Peggy</t>
    <phoneticPr fontId="10" type="noConversion"/>
  </si>
  <si>
    <t>Emmet</t>
    <phoneticPr fontId="10" type="noConversion"/>
  </si>
  <si>
    <t>Ares-HM_36100_SU</t>
    <phoneticPr fontId="10" type="noConversion"/>
  </si>
  <si>
    <t>Pan_T_36100_Y</t>
    <phoneticPr fontId="10" type="noConversion"/>
  </si>
  <si>
    <t>Pan_B285_36130_Y</t>
    <phoneticPr fontId="10" type="noConversion"/>
  </si>
  <si>
    <t>Pan_B285_36100_Y</t>
    <phoneticPr fontId="10" type="noConversion"/>
  </si>
  <si>
    <t>Ares-TB300_36100_D</t>
    <phoneticPr fontId="10" type="noConversion"/>
  </si>
  <si>
    <t>Ares-TB300_36100_N</t>
    <phoneticPr fontId="10" type="noConversion"/>
  </si>
  <si>
    <t>Demeter_B215_36100_S</t>
    <phoneticPr fontId="10" type="noConversion"/>
  </si>
  <si>
    <t>Demeter_B285_48100_S</t>
    <phoneticPr fontId="10" type="noConversion"/>
  </si>
  <si>
    <t>Demeter_A_48100_S</t>
    <phoneticPr fontId="10" type="noConversion"/>
  </si>
  <si>
    <t>Demeter_A_36100_S</t>
    <phoneticPr fontId="10" type="noConversion"/>
  </si>
  <si>
    <t>Cupid_26076_SU</t>
    <phoneticPr fontId="10" type="noConversion"/>
  </si>
  <si>
    <t>Cupid _26050_SU</t>
    <phoneticPr fontId="10" type="noConversion"/>
  </si>
  <si>
    <t>Ceres_36076_N (A120604)</t>
    <phoneticPr fontId="10" type="noConversion"/>
  </si>
  <si>
    <t>Eos_36076_N (A120701)</t>
    <phoneticPr fontId="10" type="noConversion"/>
  </si>
  <si>
    <t>Aurola_36100_SU (A120603)</t>
    <phoneticPr fontId="10" type="noConversion"/>
  </si>
  <si>
    <t>Aurola_36100_N (A120603)</t>
    <phoneticPr fontId="10" type="noConversion"/>
  </si>
  <si>
    <t>Miles/Nick</t>
    <phoneticPr fontId="10" type="noConversion"/>
  </si>
  <si>
    <t>Gary/Emmet</t>
    <phoneticPr fontId="10" type="noConversion"/>
  </si>
  <si>
    <t>SMT-WJ-Pad Cell</t>
    <phoneticPr fontId="10" type="noConversion"/>
  </si>
  <si>
    <t>SMT</t>
    <phoneticPr fontId="10" type="noConversion"/>
  </si>
  <si>
    <t>SMT-KS-Asus-N550</t>
    <phoneticPr fontId="10" type="noConversion"/>
  </si>
  <si>
    <t>SMT-KS-Asus-N750</t>
    <phoneticPr fontId="10" type="noConversion"/>
  </si>
  <si>
    <t>SMT-KS-HP-LA04041</t>
    <phoneticPr fontId="10" type="noConversion"/>
  </si>
  <si>
    <t>SMT-KS-HP-MU06047</t>
    <phoneticPr fontId="10" type="noConversion"/>
  </si>
  <si>
    <t>SN</t>
    <phoneticPr fontId="10" type="noConversion"/>
  </si>
  <si>
    <t>Steven</t>
    <phoneticPr fontId="10" type="noConversion"/>
  </si>
  <si>
    <t>Hilti</t>
    <phoneticPr fontId="10" type="noConversion"/>
  </si>
  <si>
    <t>SR61</t>
    <phoneticPr fontId="10" type="noConversion"/>
  </si>
  <si>
    <t>Searay</t>
    <phoneticPr fontId="10" type="noConversion"/>
  </si>
  <si>
    <t>Julia(EOL)</t>
    <phoneticPr fontId="10" type="noConversion"/>
  </si>
  <si>
    <t>Hypercom</t>
    <phoneticPr fontId="10" type="noConversion"/>
  </si>
  <si>
    <t>Hawkeye</t>
    <phoneticPr fontId="10" type="noConversion"/>
  </si>
  <si>
    <t>Dory(EOL)</t>
    <phoneticPr fontId="10" type="noConversion"/>
  </si>
  <si>
    <t>CK60</t>
    <phoneticPr fontId="10" type="noConversion"/>
  </si>
  <si>
    <t>Cedar</t>
    <phoneticPr fontId="10" type="noConversion"/>
  </si>
  <si>
    <t>Bravo</t>
    <phoneticPr fontId="10" type="noConversion"/>
  </si>
  <si>
    <t>OE2</t>
    <phoneticPr fontId="10" type="noConversion"/>
  </si>
  <si>
    <t>E2</t>
    <phoneticPr fontId="10" type="noConversion"/>
  </si>
  <si>
    <t>Evergo</t>
    <phoneticPr fontId="10" type="noConversion"/>
  </si>
  <si>
    <t>David</t>
    <phoneticPr fontId="10" type="noConversion"/>
  </si>
  <si>
    <t>Eddie</t>
    <phoneticPr fontId="10" type="noConversion"/>
  </si>
  <si>
    <t>Jim</t>
    <phoneticPr fontId="10" type="noConversion"/>
  </si>
  <si>
    <t>Pocket cell2</t>
    <phoneticPr fontId="10" type="noConversion"/>
  </si>
  <si>
    <r>
      <rPr>
        <sz val="16"/>
        <color rgb="FF000000"/>
        <rFont val="細明體"/>
        <family val="3"/>
        <charset val="136"/>
      </rPr>
      <t>巨翔</t>
    </r>
    <r>
      <rPr>
        <sz val="16"/>
        <color rgb="FF000000"/>
        <rFont val="Calibri"/>
        <family val="2"/>
      </rPr>
      <t xml:space="preserve"> from Pan_B285_36100_Y</t>
    </r>
    <phoneticPr fontId="18" type="noConversion"/>
  </si>
  <si>
    <t>Housing no Led, no SW
V3.1.24.1_20131218</t>
    <phoneticPr fontId="18" type="noConversion"/>
  </si>
  <si>
    <t>V3.1.24.1_20131218</t>
    <phoneticPr fontId="18" type="noConversion"/>
  </si>
  <si>
    <t>Demeter_B350_48130_N</t>
    <phoneticPr fontId="18" type="noConversion"/>
  </si>
  <si>
    <t>八方電機</t>
    <phoneticPr fontId="18" type="noConversion"/>
  </si>
  <si>
    <t>48V/13.0Ah</t>
    <phoneticPr fontId="18" type="noConversion"/>
  </si>
  <si>
    <t>Pan_BLT330_36104_DU</t>
    <phoneticPr fontId="10" type="noConversion"/>
  </si>
  <si>
    <t>36V/10.4Ah</t>
    <phoneticPr fontId="18" type="noConversion"/>
  </si>
  <si>
    <t>Demeter_B_PLUS_36100</t>
    <phoneticPr fontId="18" type="noConversion"/>
  </si>
  <si>
    <t>36V/10.0Ah</t>
    <phoneticPr fontId="18" type="noConversion"/>
  </si>
  <si>
    <t>SDI26H</t>
    <phoneticPr fontId="18" type="noConversion"/>
  </si>
  <si>
    <t>V</t>
    <phoneticPr fontId="18" type="noConversion"/>
  </si>
  <si>
    <r>
      <rPr>
        <sz val="12"/>
        <color theme="1"/>
        <rFont val="細明體"/>
        <family val="3"/>
        <charset val="136"/>
      </rPr>
      <t>重工</t>
    </r>
    <r>
      <rPr>
        <sz val="12"/>
        <color theme="1"/>
        <rFont val="Calibri"/>
        <family val="2"/>
      </rPr>
      <t>3pcs, V3.3.24.1_20131225_143429</t>
    </r>
    <phoneticPr fontId="18" type="noConversion"/>
  </si>
  <si>
    <t>V</t>
    <phoneticPr fontId="18" type="noConversion"/>
  </si>
  <si>
    <t>V3.3.24.1_20131226</t>
    <phoneticPr fontId="18" type="noConversion"/>
  </si>
  <si>
    <t>36V/10.0Ah</t>
    <phoneticPr fontId="18" type="noConversion"/>
  </si>
  <si>
    <t>Ares_LT1_36100_D</t>
    <phoneticPr fontId="18" type="noConversion"/>
  </si>
  <si>
    <t>Ares115_36100_D</t>
    <phoneticPr fontId="18" type="noConversion"/>
  </si>
  <si>
    <t>新寶</t>
    <phoneticPr fontId="18" type="noConversion"/>
  </si>
  <si>
    <t>36V/10.0Ah</t>
    <phoneticPr fontId="18" type="noConversion"/>
  </si>
  <si>
    <t>V3.3.24.1_20140102</t>
    <phoneticPr fontId="18" type="noConversion"/>
  </si>
  <si>
    <t>V3.3.24.1_20140104</t>
    <phoneticPr fontId="18" type="noConversion"/>
  </si>
  <si>
    <t>Pan_BLT330_36104_DU</t>
    <phoneticPr fontId="18" type="noConversion"/>
  </si>
  <si>
    <t>Pan_BLT330_36104_D</t>
    <phoneticPr fontId="18" type="noConversion"/>
  </si>
  <si>
    <t>樂途</t>
  </si>
  <si>
    <t>樂途</t>
    <phoneticPr fontId="18" type="noConversion"/>
  </si>
  <si>
    <t>Aurola_36100_N</t>
    <phoneticPr fontId="18" type="noConversion"/>
  </si>
  <si>
    <t>A-120603</t>
  </si>
  <si>
    <t>A-120603</t>
    <phoneticPr fontId="18" type="noConversion"/>
  </si>
  <si>
    <t>Rework from TI version
V3.3.24.1_20140107
NTC Thinking</t>
    <phoneticPr fontId="18" type="noConversion"/>
  </si>
  <si>
    <t>台鈴</t>
    <phoneticPr fontId="18" type="noConversion"/>
  </si>
  <si>
    <t>36V/5.2Ah</t>
    <phoneticPr fontId="18" type="noConversion"/>
  </si>
  <si>
    <t>Pan_YD310_36050_D</t>
    <phoneticPr fontId="18" type="noConversion"/>
  </si>
  <si>
    <t>Pan_BTL305_36052_D</t>
    <phoneticPr fontId="18" type="noConversion"/>
  </si>
  <si>
    <t>Pan_BYD310_36052_D</t>
    <phoneticPr fontId="18" type="noConversion"/>
  </si>
  <si>
    <t>雅迪管藏</t>
    <phoneticPr fontId="18" type="noConversion"/>
  </si>
  <si>
    <t>改成 Pan_BYD310_36052_D</t>
    <phoneticPr fontId="18" type="noConversion"/>
  </si>
  <si>
    <t>36V/5.0Ah</t>
    <phoneticPr fontId="18" type="noConversion"/>
  </si>
  <si>
    <t>SDI26FM</t>
    <phoneticPr fontId="18" type="noConversion"/>
  </si>
  <si>
    <t>V</t>
    <phoneticPr fontId="18" type="noConversion"/>
  </si>
  <si>
    <t>N3</t>
    <phoneticPr fontId="18" type="noConversion"/>
  </si>
  <si>
    <t>hoursing no led and SW
FW set 3LED and SW</t>
    <phoneticPr fontId="18" type="noConversion"/>
  </si>
  <si>
    <t>ADC</t>
    <phoneticPr fontId="10" type="noConversion"/>
  </si>
  <si>
    <t>Rsense Vol(mV)</t>
    <phoneticPr fontId="10" type="noConversion"/>
  </si>
  <si>
    <t>Gain</t>
    <phoneticPr fontId="10" type="noConversion"/>
  </si>
  <si>
    <t>Pan_LT470_29078</t>
    <phoneticPr fontId="18" type="noConversion"/>
  </si>
  <si>
    <t>樂途</t>
    <phoneticPr fontId="18" type="noConversion"/>
  </si>
  <si>
    <t>樂途管藏</t>
    <phoneticPr fontId="18" type="noConversion"/>
  </si>
  <si>
    <t>29V/7.8Ah</t>
    <phoneticPr fontId="18" type="noConversion"/>
  </si>
  <si>
    <t>DL</t>
    <phoneticPr fontId="18" type="noConversion"/>
  </si>
  <si>
    <t>CL</t>
    <phoneticPr fontId="18" type="noConversion"/>
  </si>
  <si>
    <t>DSG Mos
IO reverse
Lo = On</t>
    <phoneticPr fontId="18" type="noConversion"/>
  </si>
  <si>
    <t>CHG Mos
IO reverse
Lo = On</t>
    <phoneticPr fontId="18" type="noConversion"/>
  </si>
  <si>
    <t>Bird/Terry</t>
    <phoneticPr fontId="10" type="noConversion"/>
  </si>
  <si>
    <t>Ming</t>
    <phoneticPr fontId="58" type="noConversion"/>
  </si>
  <si>
    <t>Ares_TB350_48160_N</t>
    <phoneticPr fontId="58" type="noConversion"/>
  </si>
  <si>
    <t>Pan_TYD1_48100_D</t>
    <phoneticPr fontId="10" type="noConversion"/>
  </si>
  <si>
    <t>Pan_B325_36100_Y</t>
    <phoneticPr fontId="10" type="noConversion"/>
  </si>
  <si>
    <t>Demeter-102</t>
    <phoneticPr fontId="10" type="noConversion"/>
  </si>
  <si>
    <t>Nick / Mill</t>
  </si>
  <si>
    <t>V</t>
    <phoneticPr fontId="18" type="noConversion"/>
  </si>
  <si>
    <t>Pan_BLY460_48130_D</t>
    <phoneticPr fontId="18" type="noConversion"/>
  </si>
  <si>
    <t>綠源</t>
    <phoneticPr fontId="18" type="noConversion"/>
  </si>
  <si>
    <t>48V/13.0Ah</t>
    <phoneticPr fontId="18" type="noConversion"/>
  </si>
  <si>
    <t>未出</t>
    <phoneticPr fontId="18" type="noConversion"/>
  </si>
  <si>
    <t>19V/2.6Ah</t>
    <phoneticPr fontId="18" type="noConversion"/>
  </si>
  <si>
    <t>WirelessChg_19026</t>
    <phoneticPr fontId="18" type="noConversion"/>
  </si>
  <si>
    <t>36V/10.0Ah</t>
    <phoneticPr fontId="18" type="noConversion"/>
  </si>
  <si>
    <t>Pan_BSMI345_36100_D</t>
    <phoneticPr fontId="18" type="noConversion"/>
  </si>
  <si>
    <t>Pan_TYD1_48130_N</t>
    <phoneticPr fontId="18" type="noConversion"/>
  </si>
  <si>
    <t>雅迪管藏</t>
    <phoneticPr fontId="18" type="noConversion"/>
  </si>
  <si>
    <t>雅迪</t>
    <phoneticPr fontId="18" type="noConversion"/>
  </si>
  <si>
    <t>思米洛</t>
    <phoneticPr fontId="18" type="noConversion"/>
  </si>
  <si>
    <t>48v/13.0Ah</t>
    <phoneticPr fontId="18" type="noConversion"/>
  </si>
  <si>
    <t>hoursing no led and SW
FW set 3LED and SW
V3.3.24.1_20140122</t>
    <phoneticPr fontId="18" type="noConversion"/>
  </si>
  <si>
    <t>Dsg mos ctr reverse
hoursing no led and SW
FW set 3LED and SW</t>
    <phoneticPr fontId="18" type="noConversion"/>
  </si>
  <si>
    <t>hoursing no led and SW
FW set 3LED and SW
V3.4.24.1_20140218</t>
    <phoneticPr fontId="18" type="noConversion"/>
  </si>
  <si>
    <t>Ares115_26100_D</t>
  </si>
  <si>
    <t>DAKB00100-W021E25LT</t>
  </si>
  <si>
    <r>
      <t>Ares115_26100_</t>
    </r>
    <r>
      <rPr>
        <b/>
        <strike/>
        <sz val="16"/>
        <color rgb="FF0070C0"/>
        <rFont val="Calibri"/>
        <family val="2"/>
      </rPr>
      <t>D</t>
    </r>
    <phoneticPr fontId="18" type="noConversion"/>
  </si>
  <si>
    <t>26V/10.0Ah</t>
    <phoneticPr fontId="18" type="noConversion"/>
  </si>
  <si>
    <r>
      <rPr>
        <sz val="12"/>
        <color theme="1"/>
        <rFont val="細明體"/>
        <family val="3"/>
        <charset val="136"/>
      </rPr>
      <t>批量未完，
先不升級</t>
    </r>
    <r>
      <rPr>
        <sz val="12"/>
        <color theme="1"/>
        <rFont val="Calibri"/>
        <family val="2"/>
      </rPr>
      <t>FW</t>
    </r>
    <phoneticPr fontId="18" type="noConversion"/>
  </si>
  <si>
    <t>V3.5.24.1_20140220
hoursing no led and SW
FW set 3LED and SW</t>
    <phoneticPr fontId="18" type="noConversion"/>
  </si>
  <si>
    <t>SDI26H</t>
    <phoneticPr fontId="18" type="noConversion"/>
  </si>
  <si>
    <r>
      <rPr>
        <sz val="12"/>
        <color theme="1"/>
        <rFont val="細明體"/>
        <family val="3"/>
        <charset val="136"/>
      </rPr>
      <t>重工</t>
    </r>
    <r>
      <rPr>
        <sz val="12"/>
        <color theme="1"/>
        <rFont val="Calibri"/>
        <family val="2"/>
      </rPr>
      <t>from TI
V3.5.24.1_20140224</t>
    </r>
    <phoneticPr fontId="18" type="noConversion"/>
  </si>
  <si>
    <t>26V/10Ah</t>
    <phoneticPr fontId="18" type="noConversion"/>
  </si>
  <si>
    <t>Pan_BG196_26100</t>
    <phoneticPr fontId="18" type="noConversion"/>
  </si>
  <si>
    <t>奔集</t>
    <phoneticPr fontId="18" type="noConversion"/>
  </si>
  <si>
    <t>only 85K</t>
    <phoneticPr fontId="18" type="noConversion"/>
  </si>
  <si>
    <t>交由客戶組裝</t>
    <phoneticPr fontId="18" type="noConversion"/>
  </si>
  <si>
    <t>N4</t>
    <phoneticPr fontId="18" type="noConversion"/>
  </si>
  <si>
    <t>Pan_BJX325_36100_D</t>
    <phoneticPr fontId="18" type="noConversion"/>
  </si>
  <si>
    <t>Pan_BJX325_36100_Y</t>
    <phoneticPr fontId="18" type="noConversion"/>
  </si>
  <si>
    <t>36V/10.0Ah</t>
    <phoneticPr fontId="18" type="noConversion"/>
  </si>
  <si>
    <t>SDI22FM</t>
    <phoneticPr fontId="18" type="noConversion"/>
  </si>
  <si>
    <t>36V/8.8Ah</t>
    <phoneticPr fontId="18" type="noConversion"/>
  </si>
  <si>
    <t>DAKB08800-W021E01LT</t>
    <phoneticPr fontId="18" type="noConversion"/>
  </si>
  <si>
    <t>巨翔</t>
    <phoneticPr fontId="18" type="noConversion"/>
  </si>
  <si>
    <t>Mill.Yau(姚治平)/
Miles.Tsai(蔡銘煌)</t>
    <phoneticPr fontId="18" type="noConversion"/>
  </si>
  <si>
    <t>4.1 電芯框體(Cell Frame)
4.2 散熱片(Heatsink)</t>
    <phoneticPr fontId="18" type="noConversion"/>
  </si>
  <si>
    <t>Nick.Tseng(曾國銘)/
Volcano.Wu(吳俊璋)</t>
    <phoneticPr fontId="18" type="noConversion"/>
  </si>
  <si>
    <t>3.1 分壓線(Sense Wires), 
3.2 電源線(Power Wires), 
3.3 板端接頭(WTB Connector), 
3.4 板端LED, 
3.5 板端按鍵(Switch), 
3.6 充電接頭(Charge Connector), 
3.7 放電接頭(Discharge Connector)</t>
    <phoneticPr fontId="18" type="noConversion"/>
  </si>
  <si>
    <t>Peggy.Chen(陳佩琪)</t>
    <phoneticPr fontId="18" type="noConversion"/>
  </si>
  <si>
    <t>Vader.Tsai(蔡盈安)</t>
    <phoneticPr fontId="18" type="noConversion"/>
  </si>
  <si>
    <t>2.1 鎳片(Ni-plate), 
2.2. 螺絲(Screw)</t>
    <phoneticPr fontId="18" type="noConversion"/>
  </si>
  <si>
    <r>
      <t>1. LEV專案中使用之線材,空中接頭,端子,LED及按鍵(Switch)等</t>
    </r>
    <r>
      <rPr>
        <sz val="12"/>
        <color rgb="FF0000FF"/>
        <rFont val="新細明體"/>
        <family val="1"/>
        <charset val="136"/>
        <scheme val="minor"/>
      </rPr>
      <t>相關規格承認書取得及設計選用準則提供</t>
    </r>
    <r>
      <rPr>
        <sz val="12"/>
        <rFont val="宋体"/>
      </rPr>
      <t xml:space="preserve">.
2. </t>
    </r>
    <r>
      <rPr>
        <sz val="12"/>
        <color rgb="FF0000FF"/>
        <rFont val="新細明體"/>
        <family val="1"/>
        <charset val="136"/>
        <scheme val="minor"/>
      </rPr>
      <t>料件管控清單</t>
    </r>
    <r>
      <rPr>
        <sz val="12"/>
        <rFont val="宋体"/>
      </rPr>
      <t xml:space="preserve">,優先選用清單內現有料件,以避免新增不必要料件;如有新增部分需於設計審查會議中提出確認.
3. </t>
    </r>
    <r>
      <rPr>
        <sz val="12"/>
        <color rgb="FF0000FF"/>
        <rFont val="新細明體"/>
        <family val="1"/>
        <charset val="136"/>
        <scheme val="minor"/>
      </rPr>
      <t>協助取得樣品,管控樣品及審查提供廠商之圖面</t>
    </r>
    <r>
      <rPr>
        <sz val="12"/>
        <rFont val="宋体"/>
      </rPr>
      <t xml:space="preserve">,避免不斷更新圖面予廠商造成版本混亂及作業困擾.
4. </t>
    </r>
    <r>
      <rPr>
        <sz val="12"/>
        <color rgb="FF0000FF"/>
        <rFont val="新細明體"/>
        <family val="1"/>
        <charset val="136"/>
        <scheme val="minor"/>
      </rPr>
      <t>提供零組件設計準則(Design Guideline)</t>
    </r>
    <r>
      <rPr>
        <sz val="12"/>
        <rFont val="宋体"/>
      </rPr>
      <t>,以建立該LEV電池組設計資料庫.</t>
    </r>
    <phoneticPr fontId="18" type="noConversion"/>
  </si>
  <si>
    <t>1. 填充材(EVA)
2. 玻纖防水袋(Glass Fiber Tape)
3. 防拆標籤(Warranty Label)</t>
    <phoneticPr fontId="18" type="noConversion"/>
  </si>
  <si>
    <t>註記
(Comment)</t>
    <phoneticPr fontId="18" type="noConversion"/>
  </si>
  <si>
    <t>代理人</t>
    <phoneticPr fontId="18" type="noConversion"/>
  </si>
  <si>
    <t>成員
(Member)</t>
    <phoneticPr fontId="18" type="noConversion"/>
  </si>
  <si>
    <t>機構料件分配
(Professional Task)</t>
    <phoneticPr fontId="18" type="noConversion"/>
  </si>
  <si>
    <t>項次
(Index)</t>
    <phoneticPr fontId="18" type="noConversion"/>
  </si>
  <si>
    <t>ATD-ME 零組件工作分配</t>
    <phoneticPr fontId="18" type="noConversion"/>
  </si>
  <si>
    <t>Billie</t>
    <phoneticPr fontId="58" type="noConversion"/>
  </si>
  <si>
    <r>
      <t>Pan_BLT305_36078_D (</t>
    </r>
    <r>
      <rPr>
        <sz val="10"/>
        <color indexed="8"/>
        <rFont val="細明體"/>
        <family val="3"/>
        <charset val="136"/>
      </rPr>
      <t>台鈴</t>
    </r>
    <r>
      <rPr>
        <sz val="10"/>
        <color indexed="8"/>
        <rFont val="Times New Roman"/>
        <family val="1"/>
      </rPr>
      <t>)</t>
    </r>
    <phoneticPr fontId="10" type="noConversion"/>
  </si>
  <si>
    <t>Ananda</t>
    <phoneticPr fontId="58" type="noConversion"/>
  </si>
  <si>
    <r>
      <t>Pan_SL305_36087_D (</t>
    </r>
    <r>
      <rPr>
        <sz val="10"/>
        <rFont val="細明體"/>
        <family val="3"/>
        <charset val="136"/>
      </rPr>
      <t>興隆</t>
    </r>
    <r>
      <rPr>
        <sz val="10"/>
        <rFont val="Times New Roman"/>
        <family val="1"/>
      </rPr>
      <t>)</t>
    </r>
    <phoneticPr fontId="10" type="noConversion"/>
  </si>
  <si>
    <t>Pan_BJX325_36100_Y</t>
    <phoneticPr fontId="10" type="noConversion"/>
  </si>
  <si>
    <t>Pan_BLT300_36104_D</t>
    <phoneticPr fontId="10" type="noConversion"/>
  </si>
  <si>
    <t>Pan_BLT330_36156_D</t>
    <phoneticPr fontId="10" type="noConversion"/>
  </si>
  <si>
    <t>Volcano</t>
  </si>
  <si>
    <r>
      <t>Pan_BTG1439_36088_N (</t>
    </r>
    <r>
      <rPr>
        <sz val="10"/>
        <rFont val="細明體"/>
        <family val="3"/>
        <charset val="136"/>
      </rPr>
      <t>天宮一號</t>
    </r>
    <r>
      <rPr>
        <sz val="10"/>
        <rFont val="Times New Roman"/>
        <family val="1"/>
      </rPr>
      <t>)</t>
    </r>
    <phoneticPr fontId="10" type="noConversion"/>
  </si>
  <si>
    <t>Pan_BLT360_48130_DU</t>
    <phoneticPr fontId="10" type="noConversion"/>
  </si>
  <si>
    <t>IRIS</t>
    <phoneticPr fontId="10" type="noConversion"/>
  </si>
  <si>
    <t>JPN</t>
    <phoneticPr fontId="10" type="noConversion"/>
  </si>
  <si>
    <r>
      <t>Pan_BG196_26100 (</t>
    </r>
    <r>
      <rPr>
        <sz val="10"/>
        <color indexed="8"/>
        <rFont val="細明體"/>
        <family val="3"/>
        <charset val="136"/>
      </rPr>
      <t>奔集</t>
    </r>
    <r>
      <rPr>
        <sz val="10"/>
        <color indexed="8"/>
        <rFont val="Times New Roman"/>
        <family val="1"/>
      </rPr>
      <t>)</t>
    </r>
    <phoneticPr fontId="10" type="noConversion"/>
  </si>
  <si>
    <r>
      <t>Pan_BYD305_36052_D(</t>
    </r>
    <r>
      <rPr>
        <sz val="10"/>
        <color indexed="8"/>
        <rFont val="細明體"/>
        <family val="3"/>
        <charset val="136"/>
      </rPr>
      <t>雅迪</t>
    </r>
    <r>
      <rPr>
        <sz val="10"/>
        <color indexed="8"/>
        <rFont val="Times New Roman"/>
        <family val="1"/>
      </rPr>
      <t>)</t>
    </r>
    <phoneticPr fontId="10" type="noConversion"/>
  </si>
  <si>
    <r>
      <t>Pan_BTL305_36052_D(</t>
    </r>
    <r>
      <rPr>
        <sz val="10"/>
        <color indexed="8"/>
        <rFont val="細明體"/>
        <family val="3"/>
        <charset val="136"/>
      </rPr>
      <t>台鈴</t>
    </r>
    <r>
      <rPr>
        <sz val="10"/>
        <color indexed="8"/>
        <rFont val="Times New Roman"/>
        <family val="1"/>
      </rPr>
      <t>)</t>
    </r>
    <phoneticPr fontId="10" type="noConversion"/>
  </si>
  <si>
    <r>
      <t>Pan_BSMI345_36100_D(</t>
    </r>
    <r>
      <rPr>
        <sz val="10"/>
        <color indexed="8"/>
        <rFont val="細明體"/>
        <family val="3"/>
        <charset val="136"/>
      </rPr>
      <t>斯米諾</t>
    </r>
    <r>
      <rPr>
        <sz val="10"/>
        <color indexed="8"/>
        <rFont val="Times New Roman"/>
        <family val="1"/>
      </rPr>
      <t>)</t>
    </r>
    <phoneticPr fontId="10" type="noConversion"/>
  </si>
  <si>
    <r>
      <t>Pan_BLY460_48130_D (</t>
    </r>
    <r>
      <rPr>
        <sz val="10"/>
        <color indexed="8"/>
        <rFont val="細明體"/>
        <family val="3"/>
        <charset val="136"/>
      </rPr>
      <t>綠源</t>
    </r>
    <r>
      <rPr>
        <sz val="10"/>
        <color indexed="8"/>
        <rFont val="Times New Roman"/>
        <family val="1"/>
      </rPr>
      <t>)</t>
    </r>
    <phoneticPr fontId="10" type="noConversion"/>
  </si>
  <si>
    <t>Gary</t>
    <phoneticPr fontId="10" type="noConversion"/>
  </si>
  <si>
    <r>
      <t>Ares_SSHB_36100_D (</t>
    </r>
    <r>
      <rPr>
        <sz val="10"/>
        <color indexed="8"/>
        <rFont val="細明體"/>
        <family val="3"/>
        <charset val="136"/>
      </rPr>
      <t>海豹二號</t>
    </r>
    <r>
      <rPr>
        <sz val="10"/>
        <color indexed="8"/>
        <rFont val="Times New Roman"/>
        <family val="1"/>
      </rPr>
      <t>)</t>
    </r>
    <phoneticPr fontId="10" type="noConversion"/>
  </si>
  <si>
    <r>
      <t>Pan_BJX296_36100_Y (</t>
    </r>
    <r>
      <rPr>
        <sz val="10"/>
        <rFont val="細明體"/>
        <family val="3"/>
        <charset val="136"/>
      </rPr>
      <t>精進</t>
    </r>
    <r>
      <rPr>
        <sz val="10"/>
        <rFont val="Times New Roman"/>
        <family val="1"/>
      </rPr>
      <t>)</t>
    </r>
    <phoneticPr fontId="10" type="noConversion"/>
  </si>
  <si>
    <r>
      <t>Pan_BJX325_36100_D (</t>
    </r>
    <r>
      <rPr>
        <sz val="10"/>
        <rFont val="細明體"/>
        <family val="3"/>
        <charset val="136"/>
      </rPr>
      <t>巨翔</t>
    </r>
    <r>
      <rPr>
        <sz val="10"/>
        <rFont val="Times New Roman"/>
        <family val="1"/>
      </rPr>
      <t>)</t>
    </r>
    <phoneticPr fontId="58" type="noConversion"/>
  </si>
  <si>
    <r>
      <t>Ares_NHT350_48130_D(</t>
    </r>
    <r>
      <rPr>
        <sz val="10"/>
        <rFont val="細明體"/>
        <family val="3"/>
        <charset val="136"/>
      </rPr>
      <t>新海豚</t>
    </r>
    <r>
      <rPr>
        <sz val="10"/>
        <rFont val="Times New Roman"/>
        <family val="1"/>
      </rPr>
      <t>)</t>
    </r>
    <phoneticPr fontId="10" type="noConversion"/>
  </si>
  <si>
    <r>
      <t>Pan_BBL260_26078_Y (</t>
    </r>
    <r>
      <rPr>
        <sz val="10"/>
        <rFont val="細明體"/>
        <family val="3"/>
        <charset val="136"/>
      </rPr>
      <t>百利</t>
    </r>
    <r>
      <rPr>
        <sz val="10"/>
        <rFont val="Times New Roman"/>
        <family val="1"/>
      </rPr>
      <t>)</t>
    </r>
    <phoneticPr fontId="10" type="noConversion"/>
  </si>
  <si>
    <t>Pan_BLT_36182_DU</t>
    <phoneticPr fontId="10" type="noConversion"/>
  </si>
  <si>
    <r>
      <t>Pan_THY3_48130_Y (</t>
    </r>
    <r>
      <rPr>
        <sz val="10"/>
        <rFont val="細明體"/>
        <family val="3"/>
        <charset val="136"/>
      </rPr>
      <t>鋰電三號</t>
    </r>
    <r>
      <rPr>
        <sz val="10"/>
        <rFont val="Times New Roman"/>
        <family val="1"/>
      </rPr>
      <t>)</t>
    </r>
    <phoneticPr fontId="10" type="noConversion"/>
  </si>
  <si>
    <r>
      <t>Pan_LT360_36100_D(</t>
    </r>
    <r>
      <rPr>
        <sz val="10"/>
        <color indexed="8"/>
        <rFont val="細明體"/>
        <family val="3"/>
        <charset val="136"/>
      </rPr>
      <t>樂途</t>
    </r>
    <r>
      <rPr>
        <sz val="10"/>
        <color indexed="8"/>
        <rFont val="Times New Roman"/>
        <family val="1"/>
      </rPr>
      <t>)</t>
    </r>
    <phoneticPr fontId="10" type="noConversion"/>
  </si>
  <si>
    <r>
      <t>Pan_LT360_36156_D(</t>
    </r>
    <r>
      <rPr>
        <sz val="10"/>
        <color indexed="8"/>
        <rFont val="細明體"/>
        <family val="3"/>
        <charset val="136"/>
      </rPr>
      <t>樂途</t>
    </r>
    <r>
      <rPr>
        <sz val="10"/>
        <color indexed="8"/>
        <rFont val="Times New Roman"/>
        <family val="1"/>
      </rPr>
      <t>)</t>
    </r>
    <phoneticPr fontId="10" type="noConversion"/>
  </si>
  <si>
    <r>
      <t>Pan_LT360_36182_D(</t>
    </r>
    <r>
      <rPr>
        <sz val="10"/>
        <color indexed="8"/>
        <rFont val="細明體"/>
        <family val="3"/>
        <charset val="136"/>
      </rPr>
      <t>樂途</t>
    </r>
    <r>
      <rPr>
        <sz val="10"/>
        <color indexed="8"/>
        <rFont val="Times New Roman"/>
        <family val="1"/>
      </rPr>
      <t>)</t>
    </r>
    <phoneticPr fontId="10" type="noConversion"/>
  </si>
  <si>
    <r>
      <t>Pan_BH350_26100_N</t>
    </r>
    <r>
      <rPr>
        <sz val="10"/>
        <color indexed="8"/>
        <rFont val="細明體"/>
        <family val="3"/>
        <charset val="136"/>
      </rPr>
      <t>（洪都）</t>
    </r>
    <phoneticPr fontId="10" type="noConversion"/>
  </si>
  <si>
    <r>
      <t>Pan_B320_48100_Y(</t>
    </r>
    <r>
      <rPr>
        <sz val="10"/>
        <color indexed="8"/>
        <rFont val="細明體"/>
        <family val="3"/>
        <charset val="136"/>
      </rPr>
      <t>綠源</t>
    </r>
    <r>
      <rPr>
        <sz val="10"/>
        <color indexed="8"/>
        <rFont val="Times New Roman"/>
        <family val="1"/>
      </rPr>
      <t>)</t>
    </r>
    <phoneticPr fontId="10" type="noConversion"/>
  </si>
  <si>
    <r>
      <t>Pan_B320_48130_Y(</t>
    </r>
    <r>
      <rPr>
        <sz val="10"/>
        <color indexed="8"/>
        <rFont val="細明體"/>
        <family val="3"/>
        <charset val="136"/>
      </rPr>
      <t>綠源</t>
    </r>
    <r>
      <rPr>
        <sz val="10"/>
        <color indexed="8"/>
        <rFont val="Times New Roman"/>
        <family val="1"/>
      </rPr>
      <t>)</t>
    </r>
    <phoneticPr fontId="10" type="noConversion"/>
  </si>
  <si>
    <r>
      <t>Pan_B300_36100_Y</t>
    </r>
    <r>
      <rPr>
        <sz val="10"/>
        <color indexed="8"/>
        <rFont val="細明體"/>
        <family val="3"/>
        <charset val="136"/>
      </rPr>
      <t>（百利）</t>
    </r>
    <phoneticPr fontId="10" type="noConversion"/>
  </si>
  <si>
    <r>
      <t>Pan_B260_26100_Y</t>
    </r>
    <r>
      <rPr>
        <sz val="10"/>
        <color indexed="8"/>
        <rFont val="細明體"/>
        <family val="3"/>
        <charset val="136"/>
      </rPr>
      <t>（百利）</t>
    </r>
    <phoneticPr fontId="10" type="noConversion"/>
  </si>
  <si>
    <r>
      <t>Pan_B285_48130_Y</t>
    </r>
    <r>
      <rPr>
        <sz val="10"/>
        <rFont val="細明體"/>
        <family val="3"/>
        <charset val="136"/>
      </rPr>
      <t>（洪都）</t>
    </r>
    <phoneticPr fontId="10" type="noConversion"/>
  </si>
  <si>
    <r>
      <t>Pan_B285_48100_Y</t>
    </r>
    <r>
      <rPr>
        <sz val="10"/>
        <rFont val="細明體"/>
        <family val="3"/>
        <charset val="136"/>
      </rPr>
      <t>（洪都）</t>
    </r>
    <phoneticPr fontId="10" type="noConversion"/>
  </si>
  <si>
    <r>
      <t>Pan_B190_26076_Y</t>
    </r>
    <r>
      <rPr>
        <sz val="10"/>
        <rFont val="細明體"/>
        <family val="3"/>
        <charset val="136"/>
      </rPr>
      <t>（洪都）</t>
    </r>
    <phoneticPr fontId="10" type="noConversion"/>
  </si>
  <si>
    <r>
      <t>Pan_B285_26076_Y</t>
    </r>
    <r>
      <rPr>
        <sz val="10"/>
        <rFont val="細明體"/>
        <family val="3"/>
        <charset val="136"/>
      </rPr>
      <t>（洪都）</t>
    </r>
    <phoneticPr fontId="10" type="noConversion"/>
  </si>
  <si>
    <t>Pony.Zhang</t>
    <phoneticPr fontId="10" type="noConversion"/>
  </si>
  <si>
    <t>Ares115_36100_D</t>
    <phoneticPr fontId="10" type="noConversion"/>
  </si>
  <si>
    <r>
      <t>Ares115_26150_D</t>
    </r>
    <r>
      <rPr>
        <sz val="10"/>
        <rFont val="細明體"/>
        <family val="3"/>
        <charset val="136"/>
      </rPr>
      <t>（國軒）</t>
    </r>
    <phoneticPr fontId="10" type="noConversion"/>
  </si>
  <si>
    <r>
      <t>Ares115_26100_D(</t>
    </r>
    <r>
      <rPr>
        <sz val="10"/>
        <rFont val="細明體"/>
        <family val="3"/>
        <charset val="136"/>
      </rPr>
      <t>國軒）</t>
    </r>
    <phoneticPr fontId="10" type="noConversion"/>
  </si>
  <si>
    <t>SMT-KS-HP-PI06047/PI06062</t>
    <phoneticPr fontId="10" type="noConversion"/>
  </si>
  <si>
    <t>SMT-KS-HP-FP06047</t>
    <phoneticPr fontId="10" type="noConversion"/>
  </si>
  <si>
    <r>
      <t>Pocket cell3 (Pocket cell2</t>
    </r>
    <r>
      <rPr>
        <sz val="10"/>
        <color indexed="30"/>
        <rFont val="細明體"/>
        <family val="3"/>
        <charset val="136"/>
      </rPr>
      <t>喷漆件）</t>
    </r>
    <phoneticPr fontId="10" type="noConversion"/>
  </si>
  <si>
    <t>Innergie</t>
    <phoneticPr fontId="10" type="noConversion"/>
  </si>
  <si>
    <r>
      <t>Pad cell 2</t>
    </r>
    <r>
      <rPr>
        <sz val="10"/>
        <color indexed="30"/>
        <rFont val="細明體"/>
        <family val="3"/>
        <charset val="136"/>
      </rPr>
      <t>（</t>
    </r>
    <r>
      <rPr>
        <sz val="10"/>
        <color indexed="30"/>
        <rFont val="Times New Roman"/>
        <family val="1"/>
      </rPr>
      <t xml:space="preserve">pad cell </t>
    </r>
    <r>
      <rPr>
        <sz val="10"/>
        <color indexed="30"/>
        <rFont val="細明體"/>
        <family val="3"/>
        <charset val="136"/>
      </rPr>
      <t>保护</t>
    </r>
    <r>
      <rPr>
        <sz val="10"/>
        <color indexed="30"/>
        <rFont val="Times New Roman"/>
        <family val="1"/>
      </rPr>
      <t>ic,cell</t>
    </r>
    <r>
      <rPr>
        <sz val="10"/>
        <color indexed="30"/>
        <rFont val="細明體"/>
        <family val="3"/>
        <charset val="136"/>
      </rPr>
      <t>变更）</t>
    </r>
    <phoneticPr fontId="10" type="noConversion"/>
  </si>
  <si>
    <r>
      <t>LEV</t>
    </r>
    <r>
      <rPr>
        <sz val="10"/>
        <rFont val="細明體"/>
        <family val="3"/>
        <charset val="136"/>
      </rPr>
      <t>機種量</t>
    </r>
    <phoneticPr fontId="10" type="noConversion"/>
  </si>
  <si>
    <r>
      <rPr>
        <sz val="10"/>
        <rFont val="Arial"/>
        <family val="2"/>
      </rPr>
      <t>人員</t>
    </r>
    <phoneticPr fontId="10" type="noConversion"/>
  </si>
  <si>
    <r>
      <rPr>
        <sz val="10"/>
        <rFont val="細明體"/>
        <family val="3"/>
        <charset val="136"/>
      </rPr>
      <t>总機種量</t>
    </r>
    <phoneticPr fontId="10" type="noConversion"/>
  </si>
  <si>
    <t>Engineer Sample</t>
    <phoneticPr fontId="10" type="noConversion"/>
  </si>
  <si>
    <t>DAKB07800-W021E02LT</t>
  </si>
  <si>
    <t>DAKB08700-W021E01LT</t>
  </si>
  <si>
    <t>85KB001000-W021E06L</t>
  </si>
  <si>
    <t>85KB0010K4-W021E01L</t>
  </si>
  <si>
    <t>DAKB010K4-W021E01LT</t>
  </si>
  <si>
    <t>85KB0015K6-W021E01L</t>
  </si>
  <si>
    <t>DAKB015K6-W021E01LT</t>
  </si>
  <si>
    <t>02A</t>
  </si>
  <si>
    <t>85KB0010K0-W021E10L</t>
  </si>
  <si>
    <t>8S3P</t>
    <phoneticPr fontId="10" type="noConversion"/>
  </si>
  <si>
    <t>TBC</t>
    <phoneticPr fontId="10" type="noConversion"/>
  </si>
  <si>
    <t>29V/7.8Ah</t>
    <phoneticPr fontId="10" type="noConversion"/>
  </si>
  <si>
    <t>85KB007800-W021E03L</t>
  </si>
  <si>
    <t>DAKB07800-W021E01LT</t>
    <phoneticPr fontId="10" type="noConversion"/>
  </si>
  <si>
    <t>Pan_LT470_29078</t>
    <phoneticPr fontId="10" type="noConversion"/>
  </si>
  <si>
    <t>7S4P</t>
    <phoneticPr fontId="10" type="noConversion"/>
  </si>
  <si>
    <t>奔集</t>
    <phoneticPr fontId="10" type="noConversion"/>
  </si>
  <si>
    <t>02B</t>
  </si>
  <si>
    <t>85KB0010K0-W021E10L</t>
    <phoneticPr fontId="10" type="noConversion"/>
  </si>
  <si>
    <t>DAKB00260-W021E02LT</t>
    <phoneticPr fontId="10" type="noConversion"/>
  </si>
  <si>
    <t>10S2P</t>
    <phoneticPr fontId="10" type="noConversion"/>
  </si>
  <si>
    <t>033</t>
    <phoneticPr fontId="10" type="noConversion"/>
  </si>
  <si>
    <t>Silver</t>
  </si>
  <si>
    <t>36V/5.2Ah</t>
    <phoneticPr fontId="10" type="noConversion"/>
  </si>
  <si>
    <t>85KB005.20-W021E02L</t>
  </si>
  <si>
    <t>DAKB00520-W021E04LT</t>
    <phoneticPr fontId="10" type="noConversion"/>
  </si>
  <si>
    <t>032</t>
    <phoneticPr fontId="10" type="noConversion"/>
  </si>
  <si>
    <t>85KB005.20-W021E01L</t>
  </si>
  <si>
    <t>DAKB00520-W021E05LT</t>
    <phoneticPr fontId="10" type="noConversion"/>
  </si>
  <si>
    <t>10S4P</t>
    <phoneticPr fontId="10" type="noConversion"/>
  </si>
  <si>
    <t>031</t>
    <phoneticPr fontId="10" type="noConversion"/>
  </si>
  <si>
    <t>Black</t>
  </si>
  <si>
    <t>36V / 10Ah</t>
  </si>
  <si>
    <t>85KB0010K0-W021E09L</t>
  </si>
  <si>
    <t>DAKB00100-W021E39LT</t>
    <phoneticPr fontId="10" type="noConversion"/>
  </si>
  <si>
    <t>13S5P</t>
    <phoneticPr fontId="10" type="noConversion"/>
  </si>
  <si>
    <t>030</t>
    <phoneticPr fontId="10" type="noConversion"/>
  </si>
  <si>
    <t>48V / 13Ah</t>
  </si>
  <si>
    <t>85KB001300-W021E05L</t>
  </si>
  <si>
    <t>DAKB00130-W021E12LT</t>
    <phoneticPr fontId="10" type="noConversion"/>
  </si>
  <si>
    <t>DAK740000-W0R1E05HT</t>
  </si>
  <si>
    <t>DVT</t>
    <phoneticPr fontId="10" type="noConversion"/>
  </si>
  <si>
    <t>DC Jack</t>
    <phoneticPr fontId="10" type="noConversion"/>
  </si>
  <si>
    <t>85KB0013K0-W021E04L</t>
    <phoneticPr fontId="10" type="noConversion"/>
  </si>
  <si>
    <t>DAKB00130-W021E11LT</t>
    <phoneticPr fontId="10" type="noConversion"/>
  </si>
  <si>
    <t>85KB0010K0-W021E07L</t>
    <phoneticPr fontId="10" type="noConversion"/>
  </si>
  <si>
    <t>DAK740000-W0Q1E14LT</t>
  </si>
  <si>
    <t>85KB0013AH-W021E01L</t>
    <phoneticPr fontId="10" type="noConversion"/>
  </si>
  <si>
    <t>DAKB0013K-W021E01LT</t>
    <phoneticPr fontId="10" type="noConversion"/>
  </si>
  <si>
    <t>85KB0010K0-W091E01L</t>
  </si>
  <si>
    <t>DAKB0010K-W091E02LT</t>
    <phoneticPr fontId="10" type="noConversion"/>
  </si>
  <si>
    <t>麥克風頭</t>
    <phoneticPr fontId="10" type="noConversion"/>
  </si>
  <si>
    <t>DAK740000-WOR1E04LT</t>
  </si>
  <si>
    <t>019</t>
    <phoneticPr fontId="10" type="noConversion"/>
  </si>
  <si>
    <t>10S5P</t>
    <phoneticPr fontId="10" type="noConversion"/>
  </si>
  <si>
    <t>029</t>
    <phoneticPr fontId="10" type="noConversion"/>
  </si>
  <si>
    <t>36V/15.6Ah</t>
    <phoneticPr fontId="10" type="noConversion"/>
  </si>
  <si>
    <t>028</t>
    <phoneticPr fontId="10" type="noConversion"/>
  </si>
  <si>
    <t>Gray</t>
    <phoneticPr fontId="10" type="noConversion"/>
  </si>
  <si>
    <t>Blue</t>
    <phoneticPr fontId="10" type="noConversion"/>
  </si>
  <si>
    <t>White</t>
    <phoneticPr fontId="10" type="noConversion"/>
  </si>
  <si>
    <t>Black</t>
    <phoneticPr fontId="10" type="noConversion"/>
  </si>
  <si>
    <t>DAKB00130-W021E04LT</t>
    <phoneticPr fontId="58" type="noConversion"/>
  </si>
  <si>
    <t>DAKB00130-W021E02HT</t>
    <phoneticPr fontId="58" type="noConversion"/>
  </si>
  <si>
    <t>DAKB00100-W021E13LT</t>
    <phoneticPr fontId="58" type="noConversion"/>
  </si>
  <si>
    <t>DAKB00130-W021E13LT</t>
    <phoneticPr fontId="58" type="noConversion"/>
  </si>
  <si>
    <t>DAKB00130-W021E14LT</t>
    <phoneticPr fontId="58" type="noConversion"/>
  </si>
  <si>
    <t xml:space="preserve"> DAKB00130-W021E15LT</t>
    <phoneticPr fontId="58" type="noConversion"/>
  </si>
  <si>
    <t>DAKB90104-W021E03LT</t>
    <phoneticPr fontId="58" type="noConversion"/>
  </si>
  <si>
    <t>DAKB00130-W021E16LT</t>
    <phoneticPr fontId="58" type="noConversion"/>
  </si>
  <si>
    <t>PR</t>
    <phoneticPr fontId="10" type="noConversion"/>
  </si>
  <si>
    <r>
      <rPr>
        <sz val="12"/>
        <rFont val="細明體"/>
        <family val="3"/>
        <charset val="136"/>
      </rPr>
      <t>惠业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银鱼下方电</t>
    </r>
    <r>
      <rPr>
        <sz val="12"/>
        <rFont val="Times New Roman"/>
        <family val="1"/>
      </rPr>
      <t>190mm</t>
    </r>
    <r>
      <rPr>
        <sz val="12"/>
        <rFont val="細明體"/>
        <family val="3"/>
        <charset val="136"/>
      </rPr>
      <t>铝管</t>
    </r>
  </si>
  <si>
    <t>015</t>
    <phoneticPr fontId="10" type="noConversion"/>
  </si>
  <si>
    <t>011</t>
    <phoneticPr fontId="10" type="noConversion"/>
  </si>
  <si>
    <t>009</t>
    <phoneticPr fontId="10" type="noConversion"/>
  </si>
  <si>
    <t>PVT</t>
    <phoneticPr fontId="10" type="noConversion"/>
  </si>
  <si>
    <r>
      <rPr>
        <sz val="12"/>
        <rFont val="ヒラギノ角ゴ ProN W6"/>
        <family val="3"/>
        <charset val="128"/>
      </rPr>
      <t>惠</t>
    </r>
    <r>
      <rPr>
        <sz val="12"/>
        <rFont val="儷宋 Pro"/>
        <family val="3"/>
        <charset val="136"/>
      </rPr>
      <t>业</t>
    </r>
    <r>
      <rPr>
        <sz val="12"/>
        <rFont val="Times New Roman"/>
        <family val="1"/>
      </rPr>
      <t>,</t>
    </r>
    <r>
      <rPr>
        <sz val="12"/>
        <rFont val="ヒラギノ角ゴ ProN W6"/>
        <family val="3"/>
        <charset val="128"/>
      </rPr>
      <t>塑苹果</t>
    </r>
  </si>
  <si>
    <t>MP</t>
    <phoneticPr fontId="10" type="noConversion"/>
  </si>
  <si>
    <t>Ananda P/N</t>
    <phoneticPr fontId="10" type="noConversion"/>
  </si>
  <si>
    <t>Stage</t>
    <phoneticPr fontId="10" type="noConversion"/>
  </si>
  <si>
    <t>台鈴</t>
    <phoneticPr fontId="18" type="noConversion"/>
  </si>
  <si>
    <t>GSM/Shake SW
V3.6.25.1_20140310</t>
    <phoneticPr fontId="18" type="noConversion"/>
  </si>
  <si>
    <t>36V/7.8Ah</t>
    <phoneticPr fontId="18" type="noConversion"/>
  </si>
  <si>
    <t>Pan_BTL305_36078_D</t>
    <phoneticPr fontId="18" type="noConversion"/>
  </si>
  <si>
    <t>倍數</t>
    <phoneticPr fontId="10" type="noConversion"/>
  </si>
  <si>
    <t>倍數</t>
    <phoneticPr fontId="10" type="noConversion"/>
  </si>
  <si>
    <t>綠色欄位</t>
    <phoneticPr fontId="10" type="noConversion"/>
  </si>
  <si>
    <t>可以輸入</t>
    <phoneticPr fontId="10" type="noConversion"/>
  </si>
  <si>
    <t>Ares115_36100_D</t>
    <phoneticPr fontId="18" type="noConversion"/>
  </si>
  <si>
    <t>新寶</t>
    <phoneticPr fontId="18" type="noConversion"/>
  </si>
  <si>
    <t>36V/10.0Ah</t>
    <phoneticPr fontId="18" type="noConversion"/>
  </si>
  <si>
    <t>測試用</t>
    <phoneticPr fontId="18" type="noConversion"/>
  </si>
  <si>
    <t>Pan_BLT300_36104_D</t>
    <phoneticPr fontId="18" type="noConversion"/>
  </si>
  <si>
    <t>36V/10.4Ah</t>
    <phoneticPr fontId="18" type="noConversion"/>
  </si>
  <si>
    <t>V3.5.25.1_20140312</t>
    <phoneticPr fontId="18" type="noConversion"/>
  </si>
  <si>
    <t>V3.5.25.1_20140312</t>
    <phoneticPr fontId="18" type="noConversion"/>
  </si>
  <si>
    <t>暫時計算區</t>
    <phoneticPr fontId="10" type="noConversion"/>
  </si>
  <si>
    <t>電阻(mR)</t>
    <phoneticPr fontId="10" type="noConversion"/>
  </si>
  <si>
    <t>5//5//3</t>
    <phoneticPr fontId="10" type="noConversion"/>
  </si>
  <si>
    <t>總電阻</t>
    <phoneticPr fontId="10" type="noConversion"/>
  </si>
  <si>
    <t>Fred</t>
    <phoneticPr fontId="10" type="noConversion"/>
  </si>
  <si>
    <t>Pan_B285_48130_DU</t>
    <phoneticPr fontId="10" type="noConversion"/>
  </si>
  <si>
    <t>(Pan_SL1_48087) 興隆擎天</t>
  </si>
  <si>
    <t>Miles</t>
    <phoneticPr fontId="10" type="noConversion"/>
  </si>
  <si>
    <t>2.6FM</t>
    <phoneticPr fontId="10" type="noConversion"/>
  </si>
  <si>
    <r>
      <rPr>
        <sz val="12"/>
        <color indexed="10"/>
        <rFont val="細明體"/>
        <family val="3"/>
        <charset val="136"/>
      </rPr>
      <t>興隆</t>
    </r>
    <phoneticPr fontId="10" type="noConversion"/>
  </si>
  <si>
    <t>48V/13Ah</t>
    <phoneticPr fontId="10" type="noConversion"/>
  </si>
  <si>
    <t>85KB0013K0-W021E06L</t>
  </si>
  <si>
    <t xml:space="preserve">DAKB013K0-W021E02LT </t>
  </si>
  <si>
    <t>Pan_B285_48130_DU_Blue</t>
  </si>
  <si>
    <t>Sliver</t>
    <phoneticPr fontId="10" type="noConversion"/>
  </si>
  <si>
    <t xml:space="preserve">DAKB013K0-W021E03LT </t>
  </si>
  <si>
    <t>Pan_B285_48130_DU_Sliver</t>
  </si>
  <si>
    <t xml:space="preserve">DAKB013K0-W021E04LT </t>
  </si>
  <si>
    <t>Pan_B285_48130_DU_Black</t>
  </si>
  <si>
    <r>
      <rPr>
        <sz val="12"/>
        <color indexed="10"/>
        <rFont val="細明體"/>
        <family val="3"/>
        <charset val="136"/>
      </rPr>
      <t>三泰</t>
    </r>
    <phoneticPr fontId="10" type="noConversion"/>
  </si>
  <si>
    <t>36V/13Ah</t>
  </si>
  <si>
    <t>85KB0010K0-W021E12L</t>
  </si>
  <si>
    <t xml:space="preserve">DAKB013K0-W021E05LT </t>
  </si>
  <si>
    <r>
      <t xml:space="preserve">Ares_ST228_36130_Y </t>
    </r>
    <r>
      <rPr>
        <sz val="12"/>
        <color indexed="10"/>
        <rFont val="細明體"/>
        <family val="3"/>
        <charset val="136"/>
      </rPr>
      <t>三泰超威電池</t>
    </r>
    <phoneticPr fontId="10" type="noConversion"/>
  </si>
  <si>
    <t>2.9E</t>
    <phoneticPr fontId="10" type="noConversion"/>
  </si>
  <si>
    <t>10S3P</t>
    <phoneticPr fontId="10" type="noConversion"/>
  </si>
  <si>
    <t>48V/8.7Ah</t>
  </si>
  <si>
    <r>
      <t xml:space="preserve">(Pan_SL1_48087) </t>
    </r>
    <r>
      <rPr>
        <sz val="12"/>
        <color indexed="10"/>
        <rFont val="細明體"/>
        <family val="3"/>
        <charset val="136"/>
      </rPr>
      <t>興隆擎天</t>
    </r>
  </si>
  <si>
    <t>36V/11.6Ah</t>
  </si>
  <si>
    <t>85KB0011K6-W021E01L</t>
  </si>
  <si>
    <t>DAKB011K6-W021E01LT</t>
  </si>
  <si>
    <r>
      <t>Pan_ST_36116_D (</t>
    </r>
    <r>
      <rPr>
        <sz val="12"/>
        <color indexed="10"/>
        <rFont val="細明體"/>
        <family val="3"/>
        <charset val="136"/>
      </rPr>
      <t>海洋二號</t>
    </r>
    <r>
      <rPr>
        <sz val="12"/>
        <color indexed="10"/>
        <rFont val="Times New Roman"/>
        <family val="1"/>
      </rPr>
      <t>)</t>
    </r>
    <phoneticPr fontId="10" type="noConversion"/>
  </si>
  <si>
    <t>台鈴</t>
    <phoneticPr fontId="10" type="noConversion"/>
  </si>
  <si>
    <r>
      <t>Pan_BLT305_36078_D (</t>
    </r>
    <r>
      <rPr>
        <sz val="12"/>
        <color indexed="8"/>
        <rFont val="細明體"/>
        <family val="3"/>
        <charset val="136"/>
      </rPr>
      <t>台鈴</t>
    </r>
    <r>
      <rPr>
        <sz val="12"/>
        <color indexed="8"/>
        <rFont val="Times New Roman"/>
        <family val="1"/>
      </rPr>
      <t>)</t>
    </r>
    <phoneticPr fontId="10" type="noConversion"/>
  </si>
  <si>
    <t>興隆</t>
    <phoneticPr fontId="10" type="noConversion"/>
  </si>
  <si>
    <t>36V/8.7Ah</t>
    <phoneticPr fontId="10" type="noConversion"/>
  </si>
  <si>
    <r>
      <t>Pan_SL305_36087_D (</t>
    </r>
    <r>
      <rPr>
        <sz val="12"/>
        <color indexed="8"/>
        <rFont val="細明體"/>
        <family val="3"/>
        <charset val="136"/>
      </rPr>
      <t>興隆</t>
    </r>
    <r>
      <rPr>
        <sz val="12"/>
        <color indexed="8"/>
        <rFont val="Times New Roman"/>
        <family val="1"/>
      </rPr>
      <t>)</t>
    </r>
    <phoneticPr fontId="10" type="noConversion"/>
  </si>
  <si>
    <t>巨翔</t>
    <phoneticPr fontId="10" type="noConversion"/>
  </si>
  <si>
    <t>EVT</t>
    <phoneticPr fontId="10" type="noConversion"/>
  </si>
  <si>
    <t>DAKB010K0-W021E04LT</t>
  </si>
  <si>
    <t>2.2FM</t>
    <phoneticPr fontId="10" type="noConversion"/>
  </si>
  <si>
    <t>8S4P</t>
    <phoneticPr fontId="10" type="noConversion"/>
  </si>
  <si>
    <t>綠源天宮一號</t>
    <phoneticPr fontId="10" type="noConversion"/>
  </si>
  <si>
    <t>36V/8.8Ah</t>
    <phoneticPr fontId="10" type="noConversion"/>
  </si>
  <si>
    <t>DAKB08800-W021E01LT</t>
    <phoneticPr fontId="10" type="noConversion"/>
  </si>
  <si>
    <t>Pan_BTG1439_36088_N</t>
    <phoneticPr fontId="10" type="noConversion"/>
  </si>
  <si>
    <t>034</t>
    <phoneticPr fontId="10" type="noConversion"/>
  </si>
  <si>
    <t>DAKB013K0-W021E01LT</t>
    <phoneticPr fontId="10" type="noConversion"/>
  </si>
  <si>
    <t>26V/10.0Ah</t>
    <phoneticPr fontId="10" type="noConversion"/>
  </si>
  <si>
    <t>Pan_BG196_26100</t>
    <phoneticPr fontId="10" type="noConversion"/>
  </si>
  <si>
    <r>
      <t xml:space="preserve">36V </t>
    </r>
    <r>
      <rPr>
        <b/>
        <sz val="12"/>
        <color indexed="8"/>
        <rFont val="細明體"/>
        <family val="3"/>
        <charset val="136"/>
      </rPr>
      <t>充電器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細明體"/>
        <family val="3"/>
        <charset val="136"/>
      </rPr>
      <t>內銷</t>
    </r>
    <r>
      <rPr>
        <b/>
        <sz val="12"/>
        <color indexed="8"/>
        <rFont val="Times New Roman"/>
        <family val="1"/>
      </rPr>
      <t>)</t>
    </r>
  </si>
  <si>
    <r>
      <t>(</t>
    </r>
    <r>
      <rPr>
        <b/>
        <sz val="12"/>
        <color indexed="8"/>
        <rFont val="細明體"/>
        <family val="3"/>
        <charset val="136"/>
      </rPr>
      <t>雅迪</t>
    </r>
    <r>
      <rPr>
        <b/>
        <sz val="12"/>
        <color indexed="8"/>
        <rFont val="Times New Roman"/>
        <family val="1"/>
      </rPr>
      <t>)</t>
    </r>
  </si>
  <si>
    <t>Pan_BYD305_36052_D</t>
    <phoneticPr fontId="10" type="noConversion"/>
  </si>
  <si>
    <r>
      <rPr>
        <b/>
        <sz val="12"/>
        <color indexed="8"/>
        <rFont val="細明體"/>
        <family val="3"/>
        <charset val="136"/>
      </rPr>
      <t>内销充电器</t>
    </r>
  </si>
  <si>
    <r>
      <t>(</t>
    </r>
    <r>
      <rPr>
        <b/>
        <sz val="12"/>
        <color indexed="8"/>
        <rFont val="細明體"/>
        <family val="3"/>
        <charset val="136"/>
      </rPr>
      <t>台鈴</t>
    </r>
    <r>
      <rPr>
        <b/>
        <sz val="12"/>
        <color indexed="8"/>
        <rFont val="Times New Roman"/>
        <family val="1"/>
      </rPr>
      <t>)</t>
    </r>
  </si>
  <si>
    <t>Pan_BTL305_36052_D</t>
    <phoneticPr fontId="10" type="noConversion"/>
  </si>
  <si>
    <r>
      <t>36V</t>
    </r>
    <r>
      <rPr>
        <b/>
        <sz val="12"/>
        <color indexed="8"/>
        <rFont val="細明體"/>
        <family val="3"/>
        <charset val="136"/>
      </rPr>
      <t>外销大欧标充电器</t>
    </r>
  </si>
  <si>
    <r>
      <rPr>
        <b/>
        <sz val="12"/>
        <color indexed="8"/>
        <rFont val="細明體"/>
        <family val="3"/>
        <charset val="136"/>
      </rPr>
      <t>斯米諾</t>
    </r>
    <phoneticPr fontId="10" type="noConversion"/>
  </si>
  <si>
    <t>Pan_BSMI345_36100_D</t>
    <phoneticPr fontId="10" type="noConversion"/>
  </si>
  <si>
    <r>
      <t xml:space="preserve">48V </t>
    </r>
    <r>
      <rPr>
        <b/>
        <sz val="12"/>
        <color indexed="8"/>
        <rFont val="細明體"/>
        <family val="3"/>
        <charset val="136"/>
      </rPr>
      <t>充電器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細明體"/>
        <family val="3"/>
        <charset val="136"/>
      </rPr>
      <t>內銷</t>
    </r>
    <r>
      <rPr>
        <b/>
        <sz val="12"/>
        <color indexed="8"/>
        <rFont val="Times New Roman"/>
        <family val="1"/>
      </rPr>
      <t>)</t>
    </r>
    <phoneticPr fontId="10" type="noConversion"/>
  </si>
  <si>
    <r>
      <rPr>
        <b/>
        <sz val="12"/>
        <color indexed="8"/>
        <rFont val="細明體"/>
        <family val="3"/>
        <charset val="136"/>
      </rPr>
      <t>綠源</t>
    </r>
    <phoneticPr fontId="10" type="noConversion"/>
  </si>
  <si>
    <t>Pan_BLY460_48130_D</t>
    <phoneticPr fontId="10" type="noConversion"/>
  </si>
  <si>
    <r>
      <rPr>
        <sz val="12"/>
        <color indexed="8"/>
        <rFont val="細明體"/>
        <family val="3"/>
        <charset val="136"/>
      </rPr>
      <t>视频头</t>
    </r>
  </si>
  <si>
    <r>
      <rPr>
        <sz val="12"/>
        <color indexed="8"/>
        <rFont val="細明體"/>
        <family val="3"/>
        <charset val="136"/>
      </rPr>
      <t>英标充电器</t>
    </r>
    <r>
      <rPr>
        <sz val="12"/>
        <color indexed="8"/>
        <rFont val="Times New Roman"/>
        <family val="1"/>
      </rPr>
      <t xml:space="preserve"> (TBC)</t>
    </r>
    <phoneticPr fontId="10" type="noConversion"/>
  </si>
  <si>
    <r>
      <rPr>
        <sz val="12"/>
        <color indexed="8"/>
        <rFont val="細明體"/>
        <family val="3"/>
        <charset val="136"/>
      </rPr>
      <t>外銷</t>
    </r>
    <phoneticPr fontId="10" type="noConversion"/>
  </si>
  <si>
    <t>樂途</t>
    <phoneticPr fontId="10" type="noConversion"/>
  </si>
  <si>
    <t>025</t>
    <phoneticPr fontId="10" type="noConversion"/>
  </si>
  <si>
    <t>36V / 10Ah</t>
    <phoneticPr fontId="10" type="noConversion"/>
  </si>
  <si>
    <t>Domestic</t>
    <phoneticPr fontId="10" type="noConversion"/>
  </si>
  <si>
    <r>
      <rPr>
        <sz val="12"/>
        <color indexed="8"/>
        <rFont val="細明體"/>
        <family val="3"/>
        <charset val="136"/>
      </rPr>
      <t>雅迪</t>
    </r>
    <phoneticPr fontId="10" type="noConversion"/>
  </si>
  <si>
    <t>022</t>
    <phoneticPr fontId="10" type="noConversion"/>
  </si>
  <si>
    <t>48V / 13Ah</t>
    <phoneticPr fontId="10" type="noConversion"/>
  </si>
  <si>
    <t>13S4P</t>
    <phoneticPr fontId="10" type="noConversion"/>
  </si>
  <si>
    <t>021</t>
    <phoneticPr fontId="10" type="noConversion"/>
  </si>
  <si>
    <t>48V / 10Ah</t>
    <phoneticPr fontId="10" type="noConversion"/>
  </si>
  <si>
    <r>
      <t xml:space="preserve">Dell </t>
    </r>
    <r>
      <rPr>
        <sz val="12"/>
        <color indexed="8"/>
        <rFont val="細明體"/>
        <family val="3"/>
        <charset val="136"/>
      </rPr>
      <t>頭</t>
    </r>
    <phoneticPr fontId="10" type="noConversion"/>
  </si>
  <si>
    <r>
      <rPr>
        <sz val="12"/>
        <color indexed="8"/>
        <rFont val="細明體"/>
        <family val="3"/>
        <charset val="136"/>
      </rPr>
      <t>八方</t>
    </r>
  </si>
  <si>
    <r>
      <rPr>
        <sz val="12"/>
        <color indexed="8"/>
        <rFont val="細明體"/>
        <family val="3"/>
        <charset val="136"/>
      </rPr>
      <t>惠業</t>
    </r>
    <phoneticPr fontId="10" type="noConversion"/>
  </si>
  <si>
    <t>027</t>
    <phoneticPr fontId="10" type="noConversion"/>
  </si>
  <si>
    <t>Silver</t>
    <phoneticPr fontId="10" type="noConversion"/>
  </si>
  <si>
    <r>
      <rPr>
        <sz val="12"/>
        <color indexed="8"/>
        <rFont val="細明體"/>
        <family val="3"/>
        <charset val="136"/>
      </rPr>
      <t>義大利</t>
    </r>
    <phoneticPr fontId="10" type="noConversion"/>
  </si>
  <si>
    <t>026</t>
    <phoneticPr fontId="10" type="noConversion"/>
  </si>
  <si>
    <t>36V/13Ah</t>
    <phoneticPr fontId="10" type="noConversion"/>
  </si>
  <si>
    <t>85KB001000-W021E08L</t>
    <phoneticPr fontId="10" type="noConversion"/>
  </si>
  <si>
    <t>DAKB00100-W021E35LT</t>
    <phoneticPr fontId="10" type="noConversion"/>
  </si>
  <si>
    <r>
      <t>Ares_SSHB_36130_D (</t>
    </r>
    <r>
      <rPr>
        <sz val="12"/>
        <color indexed="8"/>
        <rFont val="細明體"/>
        <family val="3"/>
        <charset val="136"/>
      </rPr>
      <t>海豹二號</t>
    </r>
    <r>
      <rPr>
        <sz val="12"/>
        <color indexed="8"/>
        <rFont val="Times New Roman"/>
        <family val="1"/>
      </rPr>
      <t>)</t>
    </r>
    <phoneticPr fontId="10" type="noConversion"/>
  </si>
  <si>
    <t>36V/10Ah</t>
    <phoneticPr fontId="10" type="noConversion"/>
  </si>
  <si>
    <r>
      <t>Pan_BJX296_36100_Y (</t>
    </r>
    <r>
      <rPr>
        <sz val="12"/>
        <color indexed="8"/>
        <rFont val="細明體"/>
        <family val="3"/>
        <charset val="136"/>
      </rPr>
      <t>精進</t>
    </r>
    <r>
      <rPr>
        <sz val="12"/>
        <color indexed="8"/>
        <rFont val="Times New Roman"/>
        <family val="1"/>
      </rPr>
      <t>)-LGC CELL</t>
    </r>
    <phoneticPr fontId="10" type="noConversion"/>
  </si>
  <si>
    <r>
      <rPr>
        <sz val="12"/>
        <color indexed="8"/>
        <rFont val="細明體"/>
        <family val="3"/>
        <charset val="136"/>
      </rPr>
      <t>歐洲</t>
    </r>
    <phoneticPr fontId="10" type="noConversion"/>
  </si>
  <si>
    <t>024</t>
    <phoneticPr fontId="10" type="noConversion"/>
  </si>
  <si>
    <r>
      <t>Pan_BJX296_36100_Y (</t>
    </r>
    <r>
      <rPr>
        <sz val="12"/>
        <color indexed="8"/>
        <rFont val="細明體"/>
        <family val="3"/>
        <charset val="136"/>
      </rPr>
      <t>精進</t>
    </r>
    <r>
      <rPr>
        <sz val="12"/>
        <color indexed="8"/>
        <rFont val="Times New Roman"/>
        <family val="1"/>
      </rPr>
      <t>)</t>
    </r>
    <phoneticPr fontId="10" type="noConversion"/>
  </si>
  <si>
    <r>
      <rPr>
        <sz val="12"/>
        <color indexed="8"/>
        <rFont val="細明體"/>
        <family val="3"/>
        <charset val="136"/>
      </rPr>
      <t>洪都</t>
    </r>
    <r>
      <rPr>
        <sz val="12"/>
        <rFont val="Times New Roman"/>
        <family val="1"/>
      </rPr>
      <t/>
    </r>
    <phoneticPr fontId="10" type="noConversion"/>
  </si>
  <si>
    <t>020</t>
    <phoneticPr fontId="10" type="noConversion"/>
  </si>
  <si>
    <t>85KB001600-W021E01L</t>
    <phoneticPr fontId="10" type="noConversion"/>
  </si>
  <si>
    <t>DAKB00130-W021E10LT</t>
    <phoneticPr fontId="10" type="noConversion"/>
  </si>
  <si>
    <t>Ares_TB350_48130_N</t>
    <phoneticPr fontId="10" type="noConversion"/>
  </si>
  <si>
    <r>
      <rPr>
        <sz val="12"/>
        <color indexed="8"/>
        <rFont val="細明體"/>
        <family val="3"/>
        <charset val="136"/>
      </rPr>
      <t>惠業锂电三号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細明體"/>
        <family val="3"/>
        <charset val="136"/>
      </rPr>
      <t>上放電</t>
    </r>
    <r>
      <rPr>
        <sz val="12"/>
        <color indexed="8"/>
        <rFont val="Times New Roman"/>
        <family val="1"/>
      </rPr>
      <t>)</t>
    </r>
    <phoneticPr fontId="10" type="noConversion"/>
  </si>
  <si>
    <t>018</t>
    <phoneticPr fontId="10" type="noConversion"/>
  </si>
  <si>
    <t>85KB001300-W021E04L</t>
    <phoneticPr fontId="10" type="noConversion"/>
  </si>
  <si>
    <t>DAKB00130-W021E09LT</t>
    <phoneticPr fontId="10" type="noConversion"/>
  </si>
  <si>
    <t>Pan_THY3_48130_Y</t>
    <phoneticPr fontId="10" type="noConversion"/>
  </si>
  <si>
    <t>36V-B type</t>
    <phoneticPr fontId="10" type="noConversion"/>
  </si>
  <si>
    <t>山山海宝二号</t>
    <phoneticPr fontId="10" type="noConversion"/>
  </si>
  <si>
    <t>85KB001000-W021E05L</t>
    <phoneticPr fontId="10" type="noConversion"/>
  </si>
  <si>
    <t>DAKB00100-W021E32LT</t>
    <phoneticPr fontId="10" type="noConversion"/>
  </si>
  <si>
    <t>Demeter_36100_N</t>
    <phoneticPr fontId="10" type="noConversion"/>
  </si>
  <si>
    <r>
      <t xml:space="preserve">惠業新海豚款  </t>
    </r>
    <r>
      <rPr>
        <sz val="12"/>
        <color indexed="8"/>
        <rFont val="SimSun"/>
        <charset val="134"/>
      </rPr>
      <t>铝桶</t>
    </r>
    <r>
      <rPr>
        <sz val="12"/>
        <color indexed="8"/>
        <rFont val="Times New Roman"/>
        <family val="1"/>
      </rPr>
      <t>350mm</t>
    </r>
    <phoneticPr fontId="10" type="noConversion"/>
  </si>
  <si>
    <t>016</t>
    <phoneticPr fontId="10" type="noConversion"/>
  </si>
  <si>
    <t>85KB001300-W021E03L</t>
    <phoneticPr fontId="10" type="noConversion"/>
  </si>
  <si>
    <t>DAKB00130-W021E08LT</t>
    <phoneticPr fontId="10" type="noConversion"/>
  </si>
  <si>
    <t>Ares_NHT350_48130_D</t>
    <phoneticPr fontId="10" type="noConversion"/>
  </si>
  <si>
    <r>
      <rPr>
        <sz val="12"/>
        <color indexed="8"/>
        <rFont val="細明體"/>
        <family val="3"/>
        <charset val="136"/>
      </rPr>
      <t>奧地利</t>
    </r>
    <phoneticPr fontId="10" type="noConversion"/>
  </si>
  <si>
    <r>
      <rPr>
        <sz val="12"/>
        <color indexed="8"/>
        <rFont val="細明體"/>
        <family val="3"/>
        <charset val="136"/>
      </rPr>
      <t>樂途銀魚</t>
    </r>
    <phoneticPr fontId="10" type="noConversion"/>
  </si>
  <si>
    <t>10S7P</t>
    <phoneticPr fontId="10" type="noConversion"/>
  </si>
  <si>
    <t>014</t>
    <phoneticPr fontId="10" type="noConversion"/>
  </si>
  <si>
    <t>36V/18.2Ah</t>
    <phoneticPr fontId="10" type="noConversion"/>
  </si>
  <si>
    <t>85KB001820-W021E01L</t>
    <phoneticPr fontId="10" type="noConversion"/>
  </si>
  <si>
    <t>DAKB00182-W021E04LT</t>
    <phoneticPr fontId="10" type="noConversion"/>
  </si>
  <si>
    <t>Pan_BLT360_36182_DU-Gray</t>
    <phoneticPr fontId="10" type="noConversion"/>
  </si>
  <si>
    <t>DAKB00182-W021E05LT</t>
    <phoneticPr fontId="10" type="noConversion"/>
  </si>
  <si>
    <t>Pan_BLT360_36182_DU-Blue</t>
    <phoneticPr fontId="10" type="noConversion"/>
  </si>
  <si>
    <t>DAKB00182-W021E03LT</t>
    <phoneticPr fontId="10" type="noConversion"/>
  </si>
  <si>
    <t>Pan_BLT360_36182_DU-White</t>
    <phoneticPr fontId="10" type="noConversion"/>
  </si>
  <si>
    <t>DAKB00182-W021E02LT</t>
    <phoneticPr fontId="10" type="noConversion"/>
  </si>
  <si>
    <t>Pan_BLT360_36182_DU-Black</t>
    <phoneticPr fontId="10" type="noConversion"/>
  </si>
  <si>
    <r>
      <rPr>
        <sz val="12"/>
        <color indexed="8"/>
        <rFont val="宋体"/>
      </rPr>
      <t>惠业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</rPr>
      <t>海馬</t>
    </r>
    <phoneticPr fontId="10" type="noConversion"/>
  </si>
  <si>
    <t>DAKB00100-W021E05LT</t>
    <phoneticPr fontId="10" type="noConversion"/>
  </si>
  <si>
    <t>Sample</t>
    <phoneticPr fontId="10" type="noConversion"/>
  </si>
  <si>
    <t>Haimai</t>
    <phoneticPr fontId="10" type="noConversion"/>
  </si>
  <si>
    <t>Ares-HM_36100_NU</t>
    <phoneticPr fontId="10" type="noConversion"/>
  </si>
  <si>
    <t>DAKB00100-W021E03LT</t>
    <phoneticPr fontId="10" type="noConversion"/>
  </si>
  <si>
    <t>Pan_BLT360_36182_D</t>
    <phoneticPr fontId="10" type="noConversion"/>
  </si>
  <si>
    <r>
      <rPr>
        <sz val="12"/>
        <color indexed="8"/>
        <rFont val="細明體"/>
        <family val="3"/>
        <charset val="136"/>
      </rPr>
      <t>洪都</t>
    </r>
    <phoneticPr fontId="10" type="noConversion"/>
  </si>
  <si>
    <t>24V-B type</t>
    <phoneticPr fontId="10" type="noConversion"/>
  </si>
  <si>
    <r>
      <rPr>
        <sz val="12"/>
        <color indexed="8"/>
        <rFont val="細明體"/>
        <family val="3"/>
        <charset val="136"/>
      </rPr>
      <t>洪都</t>
    </r>
    <r>
      <rPr>
        <sz val="12"/>
        <color indexed="8"/>
        <rFont val="Times New Roman"/>
        <family val="1"/>
      </rPr>
      <t xml:space="preserve"> (</t>
    </r>
    <r>
      <rPr>
        <sz val="12"/>
        <color indexed="8"/>
        <rFont val="細明體"/>
        <family val="3"/>
        <charset val="136"/>
      </rPr>
      <t>上放電</t>
    </r>
    <r>
      <rPr>
        <sz val="12"/>
        <color indexed="8"/>
        <rFont val="Times New Roman"/>
        <family val="1"/>
      </rPr>
      <t>)</t>
    </r>
    <phoneticPr fontId="10" type="noConversion"/>
  </si>
  <si>
    <t>Red</t>
    <phoneticPr fontId="10" type="noConversion"/>
  </si>
  <si>
    <t>85KB001000-W021E03L</t>
    <phoneticPr fontId="10" type="noConversion"/>
  </si>
  <si>
    <t>Pan_THD350_26100_N</t>
    <phoneticPr fontId="10" type="noConversion"/>
  </si>
  <si>
    <t>2.6H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</si>
  <si>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HYLD-</t>
    </r>
    <r>
      <rPr>
        <sz val="12"/>
        <rFont val="宋体"/>
      </rPr>
      <t>下放電</t>
    </r>
    <phoneticPr fontId="58" type="noConversion"/>
  </si>
  <si>
    <t>00M</t>
    <phoneticPr fontId="10" type="noConversion"/>
  </si>
  <si>
    <t>48V/10.0Ah</t>
    <phoneticPr fontId="10" type="noConversion"/>
  </si>
  <si>
    <t>DAKB00104-W021E01L</t>
    <phoneticPr fontId="10" type="noConversion"/>
  </si>
  <si>
    <r>
      <rPr>
        <sz val="12"/>
        <color indexed="8"/>
        <rFont val="宋体"/>
      </rPr>
      <t>暂时不</t>
    </r>
    <r>
      <rPr>
        <sz val="12"/>
        <color indexed="8"/>
        <rFont val="Times New Roman"/>
        <family val="1"/>
      </rPr>
      <t>MP</t>
    </r>
    <phoneticPr fontId="10" type="noConversion"/>
  </si>
  <si>
    <t>Pan A-B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</si>
  <si>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HYLD-</t>
    </r>
    <r>
      <rPr>
        <sz val="12"/>
        <rFont val="宋体"/>
      </rPr>
      <t>上放電</t>
    </r>
    <phoneticPr fontId="58" type="noConversion"/>
  </si>
  <si>
    <t>00L</t>
    <phoneticPr fontId="10" type="noConversion"/>
  </si>
  <si>
    <t>DAKB00104-W021E02L</t>
    <phoneticPr fontId="10" type="noConversion"/>
  </si>
  <si>
    <t>Pan A-T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</si>
  <si>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</t>
    </r>
    <r>
      <rPr>
        <sz val="12"/>
        <rFont val="宋体"/>
      </rPr>
      <t>银鱼上方电</t>
    </r>
    <phoneticPr fontId="10" type="noConversion"/>
  </si>
  <si>
    <t>Pan_B_36100_Y</t>
    <phoneticPr fontId="10" type="noConversion"/>
  </si>
  <si>
    <t>00B</t>
    <phoneticPr fontId="10" type="noConversion"/>
  </si>
  <si>
    <r>
      <rPr>
        <sz val="12"/>
        <color indexed="8"/>
        <rFont val="細明體"/>
        <family val="3"/>
        <charset val="136"/>
      </rPr>
      <t>綠源銀魚</t>
    </r>
    <phoneticPr fontId="10" type="noConversion"/>
  </si>
  <si>
    <t>85KB001000-W021E9L</t>
    <phoneticPr fontId="10" type="noConversion"/>
  </si>
  <si>
    <t>DAKB00100-W021E28LT</t>
    <phoneticPr fontId="10" type="noConversion"/>
  </si>
  <si>
    <t>Pan_B320_48100_Y</t>
    <phoneticPr fontId="10" type="noConversion"/>
  </si>
  <si>
    <t>48V/13.0Ah</t>
    <phoneticPr fontId="10" type="noConversion"/>
  </si>
  <si>
    <t>85KB001300-W021E1L</t>
    <phoneticPr fontId="10" type="noConversion"/>
  </si>
  <si>
    <t>DAKB00130-W021E06LT</t>
    <phoneticPr fontId="10" type="noConversion"/>
  </si>
  <si>
    <t>Pan_B320_48130_Y</t>
    <phoneticPr fontId="10" type="noConversion"/>
  </si>
  <si>
    <t>百利一号_铝桶长度300</t>
    <phoneticPr fontId="10" type="noConversion"/>
  </si>
  <si>
    <t>00Y</t>
    <phoneticPr fontId="10" type="noConversion"/>
  </si>
  <si>
    <t>85KB001000-W021E7L</t>
    <phoneticPr fontId="10" type="noConversion"/>
  </si>
  <si>
    <t>DAKB00100-W021E29LT</t>
    <phoneticPr fontId="10" type="noConversion"/>
  </si>
  <si>
    <t>Pan_BBL300_36100_Y</t>
    <phoneticPr fontId="10" type="noConversion"/>
  </si>
  <si>
    <t>DAKB00100-W021E24LT</t>
    <phoneticPr fontId="10" type="noConversion"/>
  </si>
  <si>
    <r>
      <rPr>
        <sz val="12"/>
        <color indexed="8"/>
        <rFont val="細明體"/>
        <family val="3"/>
        <charset val="136"/>
      </rPr>
      <t>百利一号</t>
    </r>
    <r>
      <rPr>
        <sz val="12"/>
        <color indexed="8"/>
        <rFont val="Times New Roman"/>
        <family val="1"/>
      </rPr>
      <t>_</t>
    </r>
    <r>
      <rPr>
        <sz val="12"/>
        <color indexed="8"/>
        <rFont val="細明體"/>
        <family val="3"/>
        <charset val="136"/>
      </rPr>
      <t>铝桶长度</t>
    </r>
    <r>
      <rPr>
        <sz val="12"/>
        <color indexed="8"/>
        <rFont val="Times New Roman"/>
        <family val="1"/>
      </rPr>
      <t>260</t>
    </r>
    <phoneticPr fontId="10" type="noConversion"/>
  </si>
  <si>
    <t>00X</t>
    <phoneticPr fontId="10" type="noConversion"/>
  </si>
  <si>
    <t>26V/10Ah</t>
    <phoneticPr fontId="10" type="noConversion"/>
  </si>
  <si>
    <t>85KB001000-W021E6L</t>
    <phoneticPr fontId="10" type="noConversion"/>
  </si>
  <si>
    <t>DAKB00100-W021E30LT</t>
    <phoneticPr fontId="10" type="noConversion"/>
  </si>
  <si>
    <t>Pan_BBL265_26100_Y</t>
    <phoneticPr fontId="10" type="noConversion"/>
  </si>
  <si>
    <t>百利一号_铝桶长度260</t>
    <phoneticPr fontId="10" type="noConversion"/>
  </si>
  <si>
    <t>DAKB00100-W021E23LT</t>
    <phoneticPr fontId="10" type="noConversion"/>
  </si>
  <si>
    <t>Pan_BBL260_26100_Y</t>
    <phoneticPr fontId="10" type="noConversion"/>
  </si>
  <si>
    <t>DAKB00130-W021E04LT</t>
    <phoneticPr fontId="10" type="noConversion"/>
  </si>
  <si>
    <t>Pan_B285_48100_Y</t>
    <phoneticPr fontId="10" type="noConversion"/>
  </si>
  <si>
    <r>
      <rPr>
        <sz val="12"/>
        <color indexed="8"/>
        <rFont val="宋体"/>
      </rPr>
      <t>惠业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</rPr>
      <t>银鱼下放电</t>
    </r>
    <r>
      <rPr>
        <sz val="12"/>
        <color indexed="8"/>
        <rFont val="Times New Roman"/>
        <family val="1"/>
      </rPr>
      <t>285mm</t>
    </r>
    <r>
      <rPr>
        <sz val="12"/>
        <color indexed="8"/>
        <rFont val="宋体"/>
      </rPr>
      <t>铝管</t>
    </r>
    <phoneticPr fontId="10" type="noConversion"/>
  </si>
  <si>
    <t>00W</t>
    <phoneticPr fontId="10" type="noConversion"/>
  </si>
  <si>
    <t>85K0013K0-W021E1L</t>
    <phoneticPr fontId="10" type="noConversion"/>
  </si>
  <si>
    <t>Pan_B285_48130_Y</t>
    <phoneticPr fontId="10" type="noConversion"/>
  </si>
  <si>
    <t>85KB0010K0-W021E4L</t>
    <phoneticPr fontId="10" type="noConversion"/>
  </si>
  <si>
    <r>
      <rPr>
        <sz val="12"/>
        <color indexed="8"/>
        <rFont val="細明體"/>
        <family val="3"/>
        <charset val="136"/>
      </rPr>
      <t>九色鹿</t>
    </r>
    <phoneticPr fontId="10" type="noConversion"/>
  </si>
  <si>
    <t>36V/13.0Ah</t>
    <phoneticPr fontId="10" type="noConversion"/>
  </si>
  <si>
    <t>85KB0013K0-W021E2L</t>
    <phoneticPr fontId="10" type="noConversion"/>
  </si>
  <si>
    <t>Pan_B285_36130_Y Black</t>
    <phoneticPr fontId="10" type="noConversion"/>
  </si>
  <si>
    <t>Pan_B285_36130_Y Blue</t>
    <phoneticPr fontId="10" type="noConversion"/>
  </si>
  <si>
    <t>Pan_B285_36130_Y white</t>
    <phoneticPr fontId="10" type="noConversion"/>
  </si>
  <si>
    <t>Pan_B285_36130Y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</si>
  <si>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</t>
    </r>
    <r>
      <rPr>
        <sz val="12"/>
        <rFont val="宋体"/>
      </rPr>
      <t>银鱼下放电</t>
    </r>
    <r>
      <rPr>
        <sz val="12"/>
        <rFont val="Times New Roman"/>
        <family val="1"/>
      </rPr>
      <t>285mm</t>
    </r>
    <r>
      <rPr>
        <sz val="12"/>
        <rFont val="宋体"/>
      </rPr>
      <t>铝管</t>
    </r>
    <phoneticPr fontId="10" type="noConversion"/>
  </si>
  <si>
    <t>00A</t>
    <phoneticPr fontId="10" type="noConversion"/>
  </si>
  <si>
    <t>85KB0010K0-W021E2L</t>
    <phoneticPr fontId="10" type="noConversion"/>
  </si>
  <si>
    <t>85KB0010K0-W021E5LH</t>
    <phoneticPr fontId="10" type="noConversion"/>
  </si>
  <si>
    <r>
      <rPr>
        <sz val="12"/>
        <rFont val="細明體"/>
        <family val="3"/>
        <charset val="136"/>
      </rPr>
      <t>惠业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银鱼下方电</t>
    </r>
    <r>
      <rPr>
        <sz val="12"/>
        <rFont val="Times New Roman"/>
        <family val="1"/>
      </rPr>
      <t>285mm</t>
    </r>
    <r>
      <rPr>
        <sz val="12"/>
        <rFont val="細明體"/>
        <family val="3"/>
        <charset val="136"/>
      </rPr>
      <t>铝管</t>
    </r>
    <phoneticPr fontId="10" type="noConversion"/>
  </si>
  <si>
    <t>00N</t>
    <phoneticPr fontId="10" type="noConversion"/>
  </si>
  <si>
    <t>Pan_B285_26076_Y</t>
    <phoneticPr fontId="10" type="noConversion"/>
  </si>
  <si>
    <t>00P</t>
    <phoneticPr fontId="10" type="noConversion"/>
  </si>
  <si>
    <t>Pan_B190_26076_Y</t>
    <phoneticPr fontId="10" type="noConversion"/>
  </si>
  <si>
    <t>36V-D type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</si>
  <si>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>115 (DC JACK</t>
    </r>
    <r>
      <rPr>
        <sz val="12"/>
        <color indexed="8"/>
        <rFont val="新細明體"/>
        <family val="1"/>
        <charset val="136"/>
      </rPr>
      <t>頭</t>
    </r>
    <r>
      <rPr>
        <sz val="12"/>
        <color indexed="8"/>
        <rFont val="Times New Roman"/>
        <family val="1"/>
      </rPr>
      <t>)</t>
    </r>
    <phoneticPr fontId="10" type="noConversion"/>
  </si>
  <si>
    <t>85KB001000-W021E02L</t>
    <phoneticPr fontId="10" type="noConversion"/>
  </si>
  <si>
    <t>DAKB00100-W021E31LT</t>
    <phoneticPr fontId="10" type="noConversion"/>
  </si>
  <si>
    <t>26V-D type</t>
    <phoneticPr fontId="10" type="noConversion"/>
  </si>
  <si>
    <t>7S6P</t>
    <phoneticPr fontId="10" type="noConversion"/>
  </si>
  <si>
    <t>26V/15.5Ah</t>
    <phoneticPr fontId="10" type="noConversion"/>
  </si>
  <si>
    <t>85KB001550-W021E1L</t>
    <phoneticPr fontId="10" type="noConversion"/>
  </si>
  <si>
    <t>DAKB00155-W021E01LT</t>
    <phoneticPr fontId="10" type="noConversion"/>
  </si>
  <si>
    <t>Ares115_26150_D</t>
    <phoneticPr fontId="10" type="noConversion"/>
  </si>
  <si>
    <t>00Z</t>
    <phoneticPr fontId="10" type="noConversion"/>
  </si>
  <si>
    <t>85KB001000-W021E01L</t>
    <phoneticPr fontId="10" type="noConversion"/>
  </si>
  <si>
    <t>DAKB00100-W021E25LT</t>
    <phoneticPr fontId="10" type="noConversion"/>
  </si>
  <si>
    <t>Ares115_26100_D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</si>
  <si>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</t>
    </r>
    <r>
      <rPr>
        <sz val="12"/>
        <rFont val="宋体"/>
      </rPr>
      <t>海馬</t>
    </r>
    <phoneticPr fontId="10" type="noConversion"/>
  </si>
  <si>
    <t>DAKB00100-W021E17LT</t>
    <phoneticPr fontId="10" type="noConversion"/>
  </si>
  <si>
    <t>DAKB00100-W021E09LT</t>
    <phoneticPr fontId="10" type="noConversion"/>
  </si>
  <si>
    <t>DAKB00100-W021E18LT</t>
    <phoneticPr fontId="10" type="noConversion"/>
  </si>
  <si>
    <t>85KB0010K0-W021E1L</t>
    <phoneticPr fontId="10" type="noConversion"/>
  </si>
  <si>
    <t>DAKB00100-W021E08LT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</si>
  <si>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>TB107  (Dell</t>
    </r>
    <r>
      <rPr>
        <sz val="12"/>
        <color indexed="8"/>
        <rFont val="新細明體"/>
        <family val="1"/>
        <charset val="136"/>
      </rPr>
      <t>頭</t>
    </r>
    <r>
      <rPr>
        <sz val="12"/>
        <color indexed="8"/>
        <rFont val="Times New Roman"/>
        <family val="1"/>
      </rPr>
      <t>)</t>
    </r>
    <phoneticPr fontId="10" type="noConversion"/>
  </si>
  <si>
    <t>010</t>
    <phoneticPr fontId="10" type="noConversion"/>
  </si>
  <si>
    <t>85KB001000-W021E8L</t>
    <phoneticPr fontId="10" type="noConversion"/>
  </si>
  <si>
    <t>DAKB00100-W021E26LT</t>
    <phoneticPr fontId="10" type="noConversion"/>
  </si>
  <si>
    <t>Ares-TB300_48100_N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</si>
  <si>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 xml:space="preserve">TB107 </t>
    </r>
    <r>
      <rPr>
        <sz val="12"/>
        <color indexed="8"/>
        <rFont val="新細明體"/>
        <family val="1"/>
        <charset val="136"/>
      </rPr>
      <t>蓮花頭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新細明體"/>
        <family val="1"/>
        <charset val="136"/>
      </rPr>
      <t>長度</t>
    </r>
    <r>
      <rPr>
        <sz val="12"/>
        <color indexed="8"/>
        <rFont val="Times New Roman"/>
        <family val="1"/>
      </rPr>
      <t>: 300mm)</t>
    </r>
    <phoneticPr fontId="10" type="noConversion"/>
  </si>
  <si>
    <t>00V</t>
    <phoneticPr fontId="10" type="noConversion"/>
  </si>
  <si>
    <t>85KB001000-W021E3L</t>
    <phoneticPr fontId="10" type="noConversion"/>
  </si>
  <si>
    <t>DAKB00100-W021E15LT</t>
    <phoneticPr fontId="10" type="noConversion"/>
  </si>
  <si>
    <t>Dophlin</t>
    <phoneticPr fontId="10" type="noConversion"/>
  </si>
  <si>
    <t>85KB001000-W021E1L</t>
    <phoneticPr fontId="10" type="noConversion"/>
  </si>
  <si>
    <t>DAKB00100-W021E06LT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</si>
  <si>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>TB107 (</t>
    </r>
    <r>
      <rPr>
        <sz val="12"/>
        <color indexed="8"/>
        <rFont val="新細明體"/>
        <family val="1"/>
        <charset val="136"/>
      </rPr>
      <t>長度</t>
    </r>
    <r>
      <rPr>
        <sz val="12"/>
        <color indexed="8"/>
        <rFont val="Times New Roman"/>
        <family val="1"/>
      </rPr>
      <t>:300mm)</t>
    </r>
    <phoneticPr fontId="10" type="noConversion"/>
  </si>
  <si>
    <t>00T</t>
    <phoneticPr fontId="10" type="noConversion"/>
  </si>
  <si>
    <t>DAKB00100-W021E14LT</t>
    <phoneticPr fontId="10" type="noConversion"/>
  </si>
  <si>
    <t>DAKB00100-W021E04LT</t>
    <phoneticPr fontId="10" type="noConversion"/>
  </si>
  <si>
    <r>
      <rPr>
        <sz val="12"/>
        <rFont val="华文楷体"/>
        <family val="3"/>
        <charset val="134"/>
      </rPr>
      <t>惠业</t>
    </r>
    <r>
      <rPr>
        <sz val="12"/>
        <rFont val="Times New Roman"/>
        <family val="1"/>
      </rPr>
      <t xml:space="preserve"> </t>
    </r>
    <r>
      <rPr>
        <sz val="12"/>
        <rFont val="华文楷体"/>
        <family val="3"/>
        <charset val="134"/>
      </rPr>
      <t>铝苹果（长度：</t>
    </r>
    <r>
      <rPr>
        <sz val="12"/>
        <rFont val="Times New Roman"/>
        <family val="1"/>
      </rPr>
      <t xml:space="preserve"> 215</t>
    </r>
    <r>
      <rPr>
        <sz val="12"/>
        <rFont val="华文楷体"/>
        <family val="3"/>
        <charset val="134"/>
      </rPr>
      <t>）</t>
    </r>
    <phoneticPr fontId="10" type="noConversion"/>
  </si>
  <si>
    <t>85KB001000-W021E4L</t>
    <phoneticPr fontId="10" type="noConversion"/>
  </si>
  <si>
    <t>DAKB0010K-W021E03LT</t>
    <phoneticPr fontId="10" type="noConversion"/>
  </si>
  <si>
    <t>A-120602</t>
    <phoneticPr fontId="10" type="noConversion"/>
  </si>
  <si>
    <t>48V-B type</t>
    <phoneticPr fontId="10" type="noConversion"/>
  </si>
  <si>
    <t>DAK740000-W0Q1E04LT</t>
    <phoneticPr fontId="10" type="noConversion"/>
  </si>
  <si>
    <r>
      <rPr>
        <sz val="12"/>
        <rFont val="华文楷体"/>
        <family val="3"/>
        <charset val="134"/>
      </rPr>
      <t>惠业</t>
    </r>
    <r>
      <rPr>
        <sz val="12"/>
        <rFont val="Times New Roman"/>
        <family val="1"/>
      </rPr>
      <t xml:space="preserve"> </t>
    </r>
    <r>
      <rPr>
        <sz val="12"/>
        <rFont val="华文楷体"/>
        <family val="3"/>
        <charset val="134"/>
      </rPr>
      <t>铝苹果（长度：</t>
    </r>
    <r>
      <rPr>
        <sz val="12"/>
        <rFont val="Times New Roman"/>
        <family val="1"/>
      </rPr>
      <t xml:space="preserve"> 285</t>
    </r>
    <r>
      <rPr>
        <sz val="12"/>
        <rFont val="华文楷体"/>
        <family val="3"/>
        <charset val="134"/>
      </rPr>
      <t>）</t>
    </r>
    <phoneticPr fontId="10" type="noConversion"/>
  </si>
  <si>
    <t>00J</t>
    <phoneticPr fontId="10" type="noConversion"/>
  </si>
  <si>
    <t>Dummy</t>
    <phoneticPr fontId="10" type="noConversion"/>
  </si>
  <si>
    <t>ATL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</si>
  <si>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>,</t>
    </r>
    <r>
      <rPr>
        <sz val="12"/>
        <rFont val="宋体"/>
      </rPr>
      <t>塑苹果</t>
    </r>
    <r>
      <rPr>
        <sz val="12"/>
        <rFont val="Times New Roman"/>
        <family val="1"/>
      </rPr>
      <t>(</t>
    </r>
    <r>
      <rPr>
        <sz val="12"/>
        <rFont val="宋体"/>
      </rPr>
      <t>透明殼</t>
    </r>
    <r>
      <rPr>
        <sz val="12"/>
        <rFont val="Times New Roman"/>
        <family val="1"/>
      </rPr>
      <t>)</t>
    </r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</si>
  <si>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>,</t>
    </r>
    <r>
      <rPr>
        <sz val="12"/>
        <rFont val="宋体"/>
      </rPr>
      <t>塑苹果</t>
    </r>
    <phoneticPr fontId="10" type="noConversion"/>
  </si>
  <si>
    <t>00F</t>
    <phoneticPr fontId="10" type="noConversion"/>
  </si>
  <si>
    <t>DAKB00104-W021E06L</t>
    <phoneticPr fontId="10" type="noConversion"/>
  </si>
  <si>
    <t>00E</t>
    <phoneticPr fontId="10" type="noConversion"/>
  </si>
  <si>
    <t>48V/8.6Ah</t>
    <phoneticPr fontId="10" type="noConversion"/>
  </si>
  <si>
    <t>Demeter_A_48086_S</t>
    <phoneticPr fontId="10" type="noConversion"/>
  </si>
  <si>
    <t>DAKB90860-W021E01LT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</si>
  <si>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>,</t>
    </r>
    <r>
      <rPr>
        <sz val="12"/>
        <rFont val="宋体"/>
      </rPr>
      <t>塑苹果</t>
    </r>
  </si>
  <si>
    <t>00G</t>
    <phoneticPr fontId="10" type="noConversion"/>
  </si>
  <si>
    <t>DAKB90104-W021E01L</t>
    <phoneticPr fontId="10" type="noConversion"/>
  </si>
  <si>
    <t>DAKB90104-W021E04LT</t>
    <phoneticPr fontId="10" type="noConversion"/>
  </si>
  <si>
    <t>山山 海宝二号</t>
    <phoneticPr fontId="10" type="noConversion"/>
  </si>
  <si>
    <t>DAKB90900-W021E01L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</si>
  <si>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, </t>
    </r>
    <r>
      <rPr>
        <sz val="12"/>
        <rFont val="宋体"/>
      </rPr>
      <t>側拉式</t>
    </r>
    <phoneticPr fontId="10" type="noConversion"/>
  </si>
  <si>
    <t>7S2P</t>
    <phoneticPr fontId="10" type="noConversion"/>
  </si>
  <si>
    <t>00C</t>
    <phoneticPr fontId="10" type="noConversion"/>
  </si>
  <si>
    <t>DAK740000-W0Q1E06LT</t>
    <phoneticPr fontId="10" type="noConversion"/>
  </si>
  <si>
    <r>
      <t xml:space="preserve">NA, </t>
    </r>
    <r>
      <rPr>
        <sz val="12"/>
        <rFont val="細明體"/>
        <family val="3"/>
        <charset val="136"/>
      </rPr>
      <t>管藏電池</t>
    </r>
    <phoneticPr fontId="10" type="noConversion"/>
  </si>
  <si>
    <t>007</t>
    <phoneticPr fontId="10" type="noConversion"/>
  </si>
  <si>
    <t>DAKB00760-W021E04LT</t>
    <phoneticPr fontId="10" type="noConversion"/>
  </si>
  <si>
    <t>A-120604</t>
    <phoneticPr fontId="10" type="noConversion"/>
  </si>
  <si>
    <t>Ceres_36076_N</t>
    <phoneticPr fontId="10" type="noConversion"/>
  </si>
  <si>
    <t>DAKB00780-W021E01L</t>
    <phoneticPr fontId="10" type="noConversion"/>
  </si>
  <si>
    <r>
      <rPr>
        <sz val="12"/>
        <rFont val="細明體"/>
        <family val="3"/>
        <charset val="136"/>
      </rPr>
      <t>山山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珍妮包</t>
    </r>
    <phoneticPr fontId="10" type="noConversion"/>
  </si>
  <si>
    <t>008</t>
    <phoneticPr fontId="10" type="noConversion"/>
  </si>
  <si>
    <t>DAKB00760-W021E07LT</t>
    <phoneticPr fontId="10" type="noConversion"/>
  </si>
  <si>
    <t>A-120701</t>
    <phoneticPr fontId="10" type="noConversion"/>
  </si>
  <si>
    <t>Eos_36076_N</t>
    <phoneticPr fontId="10" type="noConversion"/>
  </si>
  <si>
    <t>DAKB90760-W021E01LT</t>
    <phoneticPr fontId="10" type="noConversion"/>
  </si>
  <si>
    <t>DAKB00760-W021E06LT</t>
    <phoneticPr fontId="10" type="noConversion"/>
  </si>
  <si>
    <t>DAKB90900-W021E02L</t>
    <phoneticPr fontId="10" type="noConversion"/>
  </si>
  <si>
    <r>
      <rPr>
        <sz val="12"/>
        <rFont val="細明體"/>
        <family val="3"/>
        <charset val="136"/>
      </rPr>
      <t>山山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>動車二號</t>
    </r>
    <phoneticPr fontId="10" type="noConversion"/>
  </si>
  <si>
    <t>85KB001000-W021E5L</t>
    <phoneticPr fontId="10" type="noConversion"/>
  </si>
  <si>
    <t>Aurola_36100_SU</t>
    <phoneticPr fontId="10" type="noConversion"/>
  </si>
  <si>
    <t>006</t>
    <phoneticPr fontId="10" type="noConversion"/>
  </si>
  <si>
    <t>A-120603</t>
    <phoneticPr fontId="10" type="noConversion"/>
  </si>
  <si>
    <t>Aurola_36100_N</t>
    <phoneticPr fontId="10" type="noConversion"/>
  </si>
  <si>
    <t>Yellow</t>
    <phoneticPr fontId="10" type="noConversion"/>
  </si>
  <si>
    <t>DAKB00100-W021E20LT</t>
    <phoneticPr fontId="10" type="noConversion"/>
  </si>
  <si>
    <t>DAKB00100-W021E01LT</t>
    <phoneticPr fontId="10" type="noConversion"/>
  </si>
  <si>
    <t>DAKB00100-W021E16LT</t>
    <phoneticPr fontId="10" type="noConversion"/>
  </si>
  <si>
    <t>DAKB90100-W021E02LT</t>
    <phoneticPr fontId="10" type="noConversion"/>
  </si>
  <si>
    <t>Type</t>
    <phoneticPr fontId="10" type="noConversion"/>
  </si>
  <si>
    <t>Charger P/N</t>
    <phoneticPr fontId="10" type="noConversion"/>
  </si>
  <si>
    <r>
      <rPr>
        <b/>
        <sz val="12"/>
        <color indexed="26"/>
        <rFont val="細明體"/>
        <family val="3"/>
        <charset val="136"/>
      </rPr>
      <t>銷售地</t>
    </r>
    <phoneticPr fontId="10" type="noConversion"/>
  </si>
  <si>
    <t>Cell capacity</t>
    <phoneticPr fontId="10" type="noConversion"/>
  </si>
  <si>
    <t>Cell vendor</t>
    <phoneticPr fontId="10" type="noConversion"/>
  </si>
  <si>
    <t>Case vendor</t>
    <phoneticPr fontId="10" type="noConversion"/>
  </si>
  <si>
    <t>Project code</t>
    <phoneticPr fontId="10" type="noConversion"/>
  </si>
  <si>
    <t>Updated Ananda P/N</t>
    <phoneticPr fontId="10" type="noConversion"/>
  </si>
  <si>
    <t>Original Ananda P/N</t>
    <phoneticPr fontId="10" type="noConversion"/>
  </si>
  <si>
    <t>Color</t>
    <phoneticPr fontId="10" type="noConversion"/>
  </si>
  <si>
    <t>85K</t>
    <phoneticPr fontId="10" type="noConversion"/>
  </si>
  <si>
    <t>Dynapack P/N</t>
    <phoneticPr fontId="10" type="noConversion"/>
  </si>
  <si>
    <t>Ananda Reply</t>
    <phoneticPr fontId="10" type="noConversion"/>
  </si>
  <si>
    <t>Old Project Name</t>
    <phoneticPr fontId="10" type="noConversion"/>
  </si>
  <si>
    <t>Project Name</t>
    <phoneticPr fontId="10" type="noConversion"/>
  </si>
  <si>
    <t>85KB008700-W021E01L</t>
    <phoneticPr fontId="10" type="noConversion"/>
  </si>
  <si>
    <t>85KB007800-W021E04L</t>
    <phoneticPr fontId="10" type="noConversion"/>
  </si>
  <si>
    <r>
      <t>Pan_ST_36116_D (</t>
    </r>
    <r>
      <rPr>
        <sz val="10"/>
        <rFont val="細明體"/>
        <family val="3"/>
        <charset val="136"/>
      </rPr>
      <t>海洋二號</t>
    </r>
    <r>
      <rPr>
        <sz val="10"/>
        <rFont val="Times New Roman"/>
        <family val="1"/>
      </rPr>
      <t>)</t>
    </r>
    <phoneticPr fontId="10" type="noConversion"/>
  </si>
  <si>
    <t>Pan_ST_36116_D</t>
    <phoneticPr fontId="18" type="noConversion"/>
  </si>
  <si>
    <t>36V/11.6Ah</t>
    <phoneticPr fontId="18" type="noConversion"/>
  </si>
  <si>
    <t>SDI29E</t>
    <phoneticPr fontId="18" type="noConversion"/>
  </si>
  <si>
    <t>N5</t>
    <phoneticPr fontId="18" type="noConversion"/>
  </si>
  <si>
    <r>
      <t>4</t>
    </r>
    <r>
      <rPr>
        <b/>
        <sz val="12"/>
        <color rgb="FF000000"/>
        <rFont val="Calibri"/>
        <family val="2"/>
      </rPr>
      <t>.</t>
    </r>
    <r>
      <rPr>
        <b/>
        <sz val="12"/>
        <color rgb="FF000000"/>
        <rFont val="Times New Roman"/>
        <family val="1"/>
      </rPr>
      <t> </t>
    </r>
    <r>
      <rPr>
        <b/>
        <sz val="12"/>
        <color rgb="FF000000"/>
        <rFont val="新細明體"/>
        <family val="1"/>
        <charset val="136"/>
      </rPr>
      <t>動態</t>
    </r>
    <r>
      <rPr>
        <b/>
        <sz val="12"/>
        <color rgb="FF000000"/>
        <rFont val="Calibri"/>
        <family val="2"/>
      </rPr>
      <t>UVP :</t>
    </r>
  </si>
  <si>
    <r>
      <t>(a)</t>
    </r>
    <r>
      <rPr>
        <sz val="12"/>
        <color rgb="FF000000"/>
        <rFont val="Times New Roman"/>
        <family val="1"/>
      </rPr>
      <t>   NMC or LCO</t>
    </r>
    <r>
      <rPr>
        <sz val="12"/>
        <color rgb="FF000000"/>
        <rFont val="細明體"/>
        <family val="3"/>
        <charset val="136"/>
      </rPr>
      <t>材料</t>
    </r>
    <r>
      <rPr>
        <sz val="12"/>
        <color rgb="FF000000"/>
        <rFont val="Times New Roman"/>
        <family val="1"/>
      </rPr>
      <t xml:space="preserve"> (Ex. 26FM, 26HM, 22FM, 22HM)</t>
    </r>
  </si>
  <si>
    <r>
      <t>&lt;0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(24V:19.6V, 29V:22.4V, 36V:28V, 48V:36.4V)</t>
    </r>
  </si>
  <si>
    <r>
      <t>0~15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(24V:20.3V, 29V:23.2V, 36V:29V, 48V:37.7V)</t>
    </r>
  </si>
  <si>
    <r>
      <t>15~25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(24V:21V, 29V:24V, 36V:30V, 48V:39V)</t>
    </r>
  </si>
  <si>
    <r>
      <t>&gt;25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(24V:21.7V, 29V:24.8V, 36V:31V, 48V:40.3V)</t>
    </r>
  </si>
  <si>
    <r>
      <t>(b)</t>
    </r>
    <r>
      <rPr>
        <sz val="12"/>
        <color rgb="FF000000"/>
        <rFont val="Times New Roman"/>
        <family val="1"/>
      </rPr>
      <t>   NCA</t>
    </r>
    <r>
      <rPr>
        <sz val="12"/>
        <color rgb="FF000000"/>
        <rFont val="細明體"/>
        <family val="3"/>
        <charset val="136"/>
      </rPr>
      <t>材料</t>
    </r>
    <r>
      <rPr>
        <sz val="12"/>
        <color rgb="FF000000"/>
        <rFont val="Times New Roman"/>
        <family val="1"/>
      </rPr>
      <t xml:space="preserve"> (Ex, 29E, 34B)</t>
    </r>
  </si>
  <si>
    <r>
      <t>&lt;0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(24V:17.5V, 29V:20V, 36V:25V, 48V:32.5V)</t>
    </r>
  </si>
  <si>
    <r>
      <t>0~15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(24V:18.2V, 29V:20.8V, 36V:26V, 48V:33.8V)</t>
    </r>
  </si>
  <si>
    <r>
      <t>15~25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(24V:18.9V, 29V:21.6V, 36V:27V, 48V:35.1V)</t>
    </r>
  </si>
  <si>
    <r>
      <t>&gt;25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(24V:19.6V, 29V:22.4V, 36V:28V, 48V:36.4V)</t>
    </r>
  </si>
  <si>
    <t>V3.6.25.1_20140314
測試用</t>
    <phoneticPr fontId="18" type="noConversion"/>
  </si>
  <si>
    <r>
      <t xml:space="preserve">V3.6.25.1_20140317
LED </t>
    </r>
    <r>
      <rPr>
        <sz val="12"/>
        <color theme="1"/>
        <rFont val="細明體"/>
        <family val="3"/>
        <charset val="136"/>
      </rPr>
      <t>客供料</t>
    </r>
    <phoneticPr fontId="18" type="noConversion"/>
  </si>
  <si>
    <t>海洋二號</t>
    <phoneticPr fontId="18" type="noConversion"/>
  </si>
  <si>
    <t>Pan_BLT330_36156_D</t>
    <phoneticPr fontId="10" type="noConversion"/>
  </si>
  <si>
    <t>Pan_BLT330_36156_D</t>
    <phoneticPr fontId="18" type="noConversion"/>
  </si>
  <si>
    <t>Pan (B)</t>
    <phoneticPr fontId="18" type="noConversion"/>
  </si>
  <si>
    <t>48V/13.0Ah</t>
    <phoneticPr fontId="18" type="noConversion"/>
  </si>
  <si>
    <t>36V/15.6Ah</t>
    <phoneticPr fontId="18" type="noConversion"/>
  </si>
  <si>
    <t>V3.6.25.1_20140320</t>
    <phoneticPr fontId="18" type="noConversion"/>
  </si>
  <si>
    <t>Ares_ST228_36130_Y</t>
    <phoneticPr fontId="18" type="noConversion"/>
  </si>
  <si>
    <t>(Ares_ST228_36130_Y) 三泰超威電池</t>
    <phoneticPr fontId="10" type="noConversion"/>
  </si>
  <si>
    <t>36V/13.0Ah</t>
    <phoneticPr fontId="18" type="noConversion"/>
  </si>
  <si>
    <t>三泰超威</t>
    <phoneticPr fontId="18" type="noConversion"/>
  </si>
  <si>
    <r>
      <rPr>
        <sz val="16"/>
        <color rgb="FF000000"/>
        <rFont val="細明體"/>
        <family val="3"/>
        <charset val="136"/>
      </rPr>
      <t>海馬</t>
    </r>
    <r>
      <rPr>
        <sz val="16"/>
        <color rgb="FF000000"/>
        <rFont val="Calibri"/>
        <family val="2"/>
      </rPr>
      <t xml:space="preserve"> </t>
    </r>
    <phoneticPr fontId="18" type="noConversion"/>
  </si>
  <si>
    <t>Ares_HM_36100_DU</t>
    <phoneticPr fontId="18" type="noConversion"/>
  </si>
  <si>
    <t>V3.6.25.1_20140326</t>
    <phoneticPr fontId="18" type="noConversion"/>
  </si>
  <si>
    <t>Pan_SSS2_36104_D</t>
    <phoneticPr fontId="18" type="noConversion"/>
  </si>
  <si>
    <t>36V/10.4Ah</t>
    <phoneticPr fontId="18" type="noConversion"/>
  </si>
  <si>
    <t>海洋二號26FM</t>
    <phoneticPr fontId="18" type="noConversion"/>
  </si>
  <si>
    <t>綠源英國</t>
    <phoneticPr fontId="18" type="noConversion"/>
  </si>
  <si>
    <r>
      <rPr>
        <sz val="16"/>
        <color rgb="FF000000"/>
        <rFont val="細明體"/>
        <family val="3"/>
        <charset val="136"/>
      </rPr>
      <t>綠源英國</t>
    </r>
    <r>
      <rPr>
        <sz val="16"/>
        <color rgb="FF000000"/>
        <rFont val="Calibri"/>
        <family val="2"/>
      </rPr>
      <t xml:space="preserve"> sample</t>
    </r>
    <phoneticPr fontId="18" type="noConversion"/>
  </si>
  <si>
    <t>48V/10.0Ah</t>
    <phoneticPr fontId="18" type="noConversion"/>
  </si>
  <si>
    <t>V</t>
    <phoneticPr fontId="18" type="noConversion"/>
  </si>
  <si>
    <t>N3</t>
    <phoneticPr fontId="18" type="noConversion"/>
  </si>
  <si>
    <t>V3.6.25.1_20140329</t>
    <phoneticPr fontId="18" type="noConversion"/>
  </si>
  <si>
    <t>Pan_BLY285_48100_D</t>
    <phoneticPr fontId="18" type="noConversion"/>
  </si>
  <si>
    <t>V3.6.25.1_20140403</t>
    <phoneticPr fontId="18" type="noConversion"/>
  </si>
  <si>
    <t>Pan_BTG1645_36088_N</t>
    <phoneticPr fontId="18" type="noConversion"/>
  </si>
  <si>
    <t>36V/8.8Ah</t>
    <phoneticPr fontId="18" type="noConversion"/>
  </si>
  <si>
    <t>Pan_LN1_36130_DU</t>
    <phoneticPr fontId="18" type="noConversion"/>
  </si>
  <si>
    <t>睿恩新擎天</t>
    <phoneticPr fontId="18" type="noConversion"/>
  </si>
  <si>
    <t>36V/13.0Ah</t>
    <phoneticPr fontId="18" type="noConversion"/>
  </si>
  <si>
    <t>奔集管藏式</t>
    <phoneticPr fontId="18" type="noConversion"/>
  </si>
  <si>
    <t>36V/7.8Ah</t>
    <phoneticPr fontId="18" type="noConversion"/>
  </si>
  <si>
    <t>Pan_BTG1412_36078_D</t>
    <phoneticPr fontId="18" type="noConversion"/>
  </si>
  <si>
    <r>
      <t xml:space="preserve">LED </t>
    </r>
    <r>
      <rPr>
        <sz val="12"/>
        <color theme="1"/>
        <rFont val="細明體"/>
        <family val="3"/>
        <charset val="136"/>
      </rPr>
      <t xml:space="preserve">客供
</t>
    </r>
    <r>
      <rPr>
        <sz val="12"/>
        <color theme="1"/>
        <rFont val="Calibri"/>
        <family val="2"/>
      </rPr>
      <t>V3.6.25.1_20140403</t>
    </r>
    <phoneticPr fontId="18" type="noConversion"/>
  </si>
  <si>
    <t>Pan_BHY2_36104_D</t>
    <phoneticPr fontId="18" type="noConversion"/>
  </si>
  <si>
    <t>36V/10.4Ah</t>
    <phoneticPr fontId="18" type="noConversion"/>
  </si>
  <si>
    <t>V3.6.25.1_20140326</t>
    <phoneticPr fontId="18" type="noConversion"/>
  </si>
  <si>
    <t>Pan_BLY285_48130_DU</t>
    <phoneticPr fontId="18" type="noConversion"/>
  </si>
  <si>
    <t>Pan_B285_48130_Y</t>
    <phoneticPr fontId="18" type="noConversion"/>
  </si>
  <si>
    <t>V3.6.25.1_20140405</t>
    <phoneticPr fontId="18" type="noConversion"/>
  </si>
  <si>
    <t>Pan_B285_48130_DU</t>
    <phoneticPr fontId="18" type="noConversion"/>
  </si>
  <si>
    <t>48V/13.0Ah</t>
    <phoneticPr fontId="18" type="noConversion"/>
  </si>
  <si>
    <t>V3.6.25.1_20140408</t>
    <phoneticPr fontId="18" type="noConversion"/>
  </si>
  <si>
    <t>樂途側拉式</t>
    <phoneticPr fontId="18" type="noConversion"/>
  </si>
  <si>
    <t>樂途中國龍</t>
    <phoneticPr fontId="18" type="noConversion"/>
  </si>
  <si>
    <t>樂途惠業鋰電二號</t>
    <phoneticPr fontId="18" type="noConversion"/>
  </si>
  <si>
    <t>Pan_RN1_48087_NU</t>
    <phoneticPr fontId="18" type="noConversion"/>
  </si>
  <si>
    <t>興隆擎天</t>
    <phoneticPr fontId="18" type="noConversion"/>
  </si>
  <si>
    <t>Pan_RN1_36116_DU</t>
    <phoneticPr fontId="18" type="noConversion"/>
  </si>
  <si>
    <t>48V/8.7Ah</t>
    <phoneticPr fontId="18" type="noConversion"/>
  </si>
  <si>
    <t>36V/11.6Ah</t>
    <phoneticPr fontId="18" type="noConversion"/>
  </si>
  <si>
    <t>V3.6.25.1_20140409</t>
    <phoneticPr fontId="18" type="noConversion"/>
  </si>
  <si>
    <t>Pan_SL1_36087_D</t>
    <phoneticPr fontId="18" type="noConversion"/>
  </si>
  <si>
    <t>興隆布包</t>
    <phoneticPr fontId="18" type="noConversion"/>
  </si>
  <si>
    <t>Pan_SL1_36116_D</t>
    <phoneticPr fontId="18" type="noConversion"/>
  </si>
  <si>
    <t>36V/8.7Ah</t>
    <phoneticPr fontId="18" type="noConversion"/>
  </si>
  <si>
    <t>興隆</t>
    <phoneticPr fontId="18" type="noConversion"/>
  </si>
  <si>
    <t>26V/10.0Ah</t>
    <phoneticPr fontId="18" type="noConversion"/>
  </si>
  <si>
    <t>36V/10.4Ah</t>
    <phoneticPr fontId="18" type="noConversion"/>
  </si>
  <si>
    <t>Ares_LT1_36104_DU</t>
    <phoneticPr fontId="18" type="noConversion"/>
  </si>
  <si>
    <t>Pan_B285_26088_Y</t>
    <phoneticPr fontId="18" type="noConversion"/>
  </si>
  <si>
    <t>26V/8.8Ah</t>
    <phoneticPr fontId="18" type="noConversion"/>
  </si>
  <si>
    <t>Pan_RN1_36130_DU</t>
    <phoneticPr fontId="18" type="noConversion"/>
  </si>
  <si>
    <t>36V/20.3Ah</t>
    <phoneticPr fontId="18" type="noConversion"/>
  </si>
  <si>
    <t>Doff</t>
    <phoneticPr fontId="18" type="noConversion"/>
  </si>
  <si>
    <t>Coff</t>
    <phoneticPr fontId="18" type="noConversion"/>
  </si>
  <si>
    <t>For Wup
DSG off</t>
    <phoneticPr fontId="18" type="noConversion"/>
  </si>
  <si>
    <t>For Wup
CHG off</t>
    <phoneticPr fontId="18" type="noConversion"/>
  </si>
  <si>
    <t>Switch
2</t>
    <phoneticPr fontId="18" type="noConversion"/>
  </si>
  <si>
    <t>Pan_BLT360_36203_D</t>
    <phoneticPr fontId="18" type="noConversion"/>
  </si>
  <si>
    <t>V3.6.25.1_20140411</t>
    <phoneticPr fontId="18" type="noConversion"/>
  </si>
  <si>
    <t>V3.6.25.1_20140411</t>
    <phoneticPr fontId="18" type="noConversion"/>
  </si>
  <si>
    <t>Ares_LY1_26052_DU</t>
    <phoneticPr fontId="18" type="noConversion"/>
  </si>
  <si>
    <t>26V/5.2Ah</t>
    <phoneticPr fontId="18" type="noConversion"/>
  </si>
  <si>
    <t>城市精靈</t>
    <phoneticPr fontId="18" type="noConversion"/>
  </si>
  <si>
    <r>
      <rPr>
        <sz val="12"/>
        <color theme="1"/>
        <rFont val="細明體"/>
        <family val="3"/>
        <charset val="136"/>
      </rPr>
      <t xml:space="preserve">測試用
</t>
    </r>
    <r>
      <rPr>
        <sz val="12"/>
        <color theme="1"/>
        <rFont val="Calibri"/>
        <family val="2"/>
      </rPr>
      <t>V3.6.25.1_20140411</t>
    </r>
    <phoneticPr fontId="18" type="noConversion"/>
  </si>
  <si>
    <t>Pan_BLT330_36156_DU</t>
    <phoneticPr fontId="18" type="noConversion"/>
  </si>
  <si>
    <t>Pan_BLT360_36156_DU</t>
    <phoneticPr fontId="18" type="noConversion"/>
  </si>
  <si>
    <t>Pan_BLT300_36104_DU</t>
    <phoneticPr fontId="18" type="noConversion"/>
  </si>
  <si>
    <t>Pan_BLT330_36104_DU</t>
    <phoneticPr fontId="18" type="noConversion"/>
  </si>
  <si>
    <t>Pan_BLT360_36104_DU</t>
    <phoneticPr fontId="18" type="noConversion"/>
  </si>
  <si>
    <t>85KB0015K6-W021E02L</t>
    <phoneticPr fontId="18" type="noConversion"/>
  </si>
  <si>
    <t>85KB0015K6-W021E03L</t>
    <phoneticPr fontId="18" type="noConversion"/>
  </si>
  <si>
    <t>85KB0010K4-W021E12L</t>
    <phoneticPr fontId="18" type="noConversion"/>
  </si>
  <si>
    <t>85KB0010K4-W021E11L</t>
    <phoneticPr fontId="18" type="noConversion"/>
  </si>
  <si>
    <t>85KB0010K4-W021E13L</t>
    <phoneticPr fontId="18" type="noConversion"/>
  </si>
  <si>
    <t>V3.6.25.1_20140415</t>
  </si>
  <si>
    <t>Ares_HM_36104_D</t>
    <phoneticPr fontId="18" type="noConversion"/>
  </si>
  <si>
    <t>V3.6.25.1_20140415</t>
    <phoneticPr fontId="18" type="noConversion"/>
  </si>
  <si>
    <t>TSM1B103F3371RZ-KB100419</t>
  </si>
  <si>
    <t>B 值 : (25/80) 3370K</t>
    <phoneticPr fontId="10" type="noConversion"/>
  </si>
  <si>
    <r>
      <t>THINKING(興勤)</t>
    </r>
    <r>
      <rPr>
        <sz val="16"/>
        <color rgb="FF4D5132"/>
        <rFont val="Arial"/>
        <family val="2"/>
      </rPr>
      <t xml:space="preserve"> 21K0000002102LH</t>
    </r>
    <phoneticPr fontId="10" type="noConversion"/>
  </si>
  <si>
    <t>NTSE0103FZ889H</t>
  </si>
  <si>
    <t>B 值 : (25/85) 3435K</t>
    <phoneticPr fontId="10" type="noConversion"/>
  </si>
  <si>
    <t>Ares_ST228_36104_Y</t>
  </si>
  <si>
    <t>36V/10.4Ah</t>
    <phoneticPr fontId="18" type="noConversion"/>
  </si>
  <si>
    <t>V3.6.25.1_20140329</t>
    <phoneticPr fontId="18" type="noConversion"/>
  </si>
  <si>
    <t>Ares115_26100_D</t>
    <phoneticPr fontId="18" type="noConversion"/>
  </si>
  <si>
    <t>V3.6.25.1_20140421</t>
    <phoneticPr fontId="18" type="noConversion"/>
  </si>
  <si>
    <t>Pan_BTG1439_36088_N</t>
    <phoneticPr fontId="18" type="noConversion"/>
  </si>
  <si>
    <t>Pan_BTG1439_36104_DG</t>
    <phoneticPr fontId="18" type="noConversion"/>
  </si>
  <si>
    <t>N4</t>
    <phoneticPr fontId="18" type="noConversion"/>
  </si>
  <si>
    <t>36V/11.6Ah</t>
    <phoneticPr fontId="18" type="noConversion"/>
  </si>
  <si>
    <t>綠源天宮一號</t>
    <phoneticPr fontId="18" type="noConversion"/>
  </si>
  <si>
    <t>綠源天宮一號</t>
    <phoneticPr fontId="18" type="noConversion"/>
  </si>
  <si>
    <t>Pan_BTG1439_36116_DG</t>
    <phoneticPr fontId="18" type="noConversion"/>
  </si>
  <si>
    <t>V3.6.25.1_20140422</t>
    <phoneticPr fontId="18" type="noConversion"/>
  </si>
  <si>
    <t>Pan_LT1_36078_D</t>
    <phoneticPr fontId="18" type="noConversion"/>
  </si>
  <si>
    <t>Pan_LT2_36078_X</t>
    <phoneticPr fontId="18" type="noConversion"/>
  </si>
  <si>
    <t>V3.6.25.1_20140424</t>
    <phoneticPr fontId="18" type="noConversion"/>
  </si>
  <si>
    <t>奔集天宮一號</t>
    <phoneticPr fontId="18" type="noConversion"/>
  </si>
  <si>
    <t>Pan_BTG412_36078_D</t>
    <phoneticPr fontId="18" type="noConversion"/>
  </si>
  <si>
    <t>踏浪天宮</t>
    <phoneticPr fontId="18" type="noConversion"/>
  </si>
  <si>
    <t>V3.6.25.1_20140425</t>
    <phoneticPr fontId="18" type="noConversion"/>
  </si>
  <si>
    <t>樂途</t>
    <phoneticPr fontId="18" type="noConversion"/>
  </si>
  <si>
    <t>V3.6.25.1_20140429</t>
    <phoneticPr fontId="18" type="noConversion"/>
  </si>
  <si>
    <t>Pan_RN1_36130_D</t>
    <phoneticPr fontId="18" type="noConversion"/>
  </si>
  <si>
    <t>擎天</t>
    <phoneticPr fontId="18" type="noConversion"/>
  </si>
  <si>
    <t>擎天</t>
    <phoneticPr fontId="18" type="noConversion"/>
  </si>
  <si>
    <t>V3.6.25.1_20140502</t>
    <phoneticPr fontId="18" type="noConversion"/>
  </si>
  <si>
    <t>48V/13.0Ah</t>
    <phoneticPr fontId="18" type="noConversion"/>
  </si>
  <si>
    <t>惠業鋰電三號</t>
    <phoneticPr fontId="18" type="noConversion"/>
  </si>
  <si>
    <t>Pan_THY3_48130_YC</t>
    <phoneticPr fontId="18" type="noConversion"/>
  </si>
  <si>
    <t>V3.6.25.1_20140505</t>
    <phoneticPr fontId="18" type="noConversion"/>
  </si>
  <si>
    <t>Cupid_26076_SU</t>
    <phoneticPr fontId="18" type="noConversion"/>
  </si>
  <si>
    <t>26V/7.6Ah</t>
    <phoneticPr fontId="18" type="noConversion"/>
  </si>
  <si>
    <t>V3.6.25.1_20140507</t>
    <phoneticPr fontId="18" type="noConversion"/>
  </si>
  <si>
    <r>
      <t xml:space="preserve">V3.6.25.1_20140416
</t>
    </r>
    <r>
      <rPr>
        <sz val="12"/>
        <color theme="1"/>
        <rFont val="細明體"/>
        <family val="3"/>
        <charset val="136"/>
      </rPr>
      <t>缺料，改</t>
    </r>
    <r>
      <rPr>
        <sz val="12"/>
        <color theme="1"/>
        <rFont val="Calibri"/>
        <family val="2"/>
      </rPr>
      <t>1NTC</t>
    </r>
    <phoneticPr fontId="18" type="noConversion"/>
  </si>
  <si>
    <t>Pan_B285_36130_Y</t>
    <phoneticPr fontId="18" type="noConversion"/>
  </si>
  <si>
    <t>Pan_B285_36130_Y</t>
    <phoneticPr fontId="18" type="noConversion"/>
  </si>
  <si>
    <t>36V/13.0Ah</t>
  </si>
  <si>
    <t>V</t>
    <phoneticPr fontId="18" type="noConversion"/>
  </si>
  <si>
    <t>Ares_TB_350_48130_D</t>
    <phoneticPr fontId="18" type="noConversion"/>
  </si>
  <si>
    <t>Ares_TB_36130_D</t>
    <phoneticPr fontId="18" type="noConversion"/>
  </si>
  <si>
    <t>Ares_HM_36104_DU</t>
    <phoneticPr fontId="18" type="noConversion"/>
  </si>
  <si>
    <t>V3.6.25.1_20140507</t>
    <phoneticPr fontId="18" type="noConversion"/>
  </si>
  <si>
    <t>V3.6.25.1_20140509</t>
    <phoneticPr fontId="18" type="noConversion"/>
  </si>
  <si>
    <t>Pan_BST1_24100_D</t>
    <phoneticPr fontId="18" type="noConversion"/>
  </si>
  <si>
    <t>26V/10.0Ah</t>
    <phoneticPr fontId="18" type="noConversion"/>
  </si>
  <si>
    <t>N5</t>
    <phoneticPr fontId="18" type="noConversion"/>
  </si>
  <si>
    <t>杉泰一號</t>
    <phoneticPr fontId="18" type="noConversion"/>
  </si>
  <si>
    <t>V3.6.25.1_20140513</t>
    <phoneticPr fontId="18" type="noConversion"/>
  </si>
  <si>
    <t>Pan_BLT360_36182_DU</t>
    <phoneticPr fontId="18" type="noConversion"/>
  </si>
  <si>
    <t>樂途銀魚</t>
    <phoneticPr fontId="18" type="noConversion"/>
  </si>
  <si>
    <t>樂途銀魚</t>
    <phoneticPr fontId="18" type="noConversion"/>
  </si>
  <si>
    <t>36V/18.2Ah</t>
    <phoneticPr fontId="18" type="noConversion"/>
  </si>
  <si>
    <t>V3.6.25.1_20140513</t>
    <phoneticPr fontId="18" type="noConversion"/>
  </si>
  <si>
    <t>Pan_LYUS1_48234_X</t>
    <phoneticPr fontId="18" type="noConversion"/>
  </si>
  <si>
    <t>美國綠源</t>
    <phoneticPr fontId="18" type="noConversion"/>
  </si>
  <si>
    <t>48V/23.4Ah</t>
    <phoneticPr fontId="18" type="noConversion"/>
  </si>
  <si>
    <t>monitor HW PIC signals
V3.7.26.1_20140520</t>
    <phoneticPr fontId="18" type="noConversion"/>
  </si>
  <si>
    <t>36V/13.0Ah</t>
    <phoneticPr fontId="18" type="noConversion"/>
  </si>
  <si>
    <t>36V/14.5Ah</t>
    <phoneticPr fontId="18" type="noConversion"/>
  </si>
  <si>
    <t>Pan_RN1_36104_DU</t>
    <phoneticPr fontId="18" type="noConversion"/>
  </si>
  <si>
    <t>瑞恩新擎天</t>
    <phoneticPr fontId="18" type="noConversion"/>
  </si>
  <si>
    <t>瑞恩新擎天</t>
    <phoneticPr fontId="18" type="noConversion"/>
  </si>
  <si>
    <t>Pan_RN1_36130_DU</t>
    <phoneticPr fontId="18" type="noConversion"/>
  </si>
  <si>
    <t>Pan_RN1_36145_DU</t>
    <phoneticPr fontId="18" type="noConversion"/>
  </si>
  <si>
    <t>V3.7.26.1_20140521</t>
  </si>
  <si>
    <t>V3.7.26.1_20140521</t>
    <phoneticPr fontId="18" type="noConversion"/>
  </si>
  <si>
    <t>順輪雙雄</t>
    <phoneticPr fontId="18" type="noConversion"/>
  </si>
  <si>
    <t>Ares_SX_YJ_36104_D</t>
    <phoneticPr fontId="18" type="noConversion"/>
  </si>
  <si>
    <t>V3.7.26.1_20140523</t>
    <phoneticPr fontId="18" type="noConversion"/>
  </si>
  <si>
    <t>48V/13.0Ah</t>
    <phoneticPr fontId="18" type="noConversion"/>
  </si>
  <si>
    <t>樂途</t>
    <phoneticPr fontId="18" type="noConversion"/>
  </si>
  <si>
    <t>Pan_BLT360_48130_D</t>
    <phoneticPr fontId="18" type="noConversion"/>
  </si>
  <si>
    <t>V3.7.26.1_20140526</t>
    <phoneticPr fontId="18" type="noConversion"/>
  </si>
  <si>
    <t>LED</t>
    <phoneticPr fontId="18" type="noConversion"/>
  </si>
  <si>
    <t>Low driving</t>
    <phoneticPr fontId="18" type="noConversion"/>
  </si>
  <si>
    <r>
      <rPr>
        <b/>
        <sz val="11"/>
        <color rgb="FF000000"/>
        <rFont val="Times New Roman"/>
        <family val="1"/>
      </rPr>
      <t>通訊</t>
    </r>
    <phoneticPr fontId="18" type="noConversion"/>
  </si>
  <si>
    <t>Switch 1</t>
    <phoneticPr fontId="18" type="noConversion"/>
  </si>
  <si>
    <r>
      <rPr>
        <b/>
        <sz val="12"/>
        <color rgb="FF000000"/>
        <rFont val="Times New Roman"/>
        <family val="1"/>
      </rPr>
      <t>尾燈</t>
    </r>
    <phoneticPr fontId="18" type="noConversion"/>
  </si>
  <si>
    <r>
      <rPr>
        <b/>
        <sz val="12"/>
        <color rgb="FF000000"/>
        <rFont val="Times New Roman"/>
        <family val="1"/>
      </rPr>
      <t>側燈</t>
    </r>
    <phoneticPr fontId="18" type="noConversion"/>
  </si>
  <si>
    <t>D</t>
    <phoneticPr fontId="10" type="noConversion"/>
  </si>
  <si>
    <t>DSG Gain</t>
    <phoneticPr fontId="10" type="noConversion"/>
  </si>
  <si>
    <t>CHG Gain</t>
    <phoneticPr fontId="10" type="noConversion"/>
  </si>
  <si>
    <t>Condition S4</t>
    <phoneticPr fontId="18" type="noConversion"/>
  </si>
  <si>
    <t>Pan_LYUS1_48234_X</t>
  </si>
  <si>
    <t>美國綠源</t>
    <phoneticPr fontId="18" type="noConversion"/>
  </si>
  <si>
    <t>美國綠源</t>
    <phoneticPr fontId="10" type="noConversion"/>
  </si>
  <si>
    <t>Pan_LYUS1_48234_X</t>
    <phoneticPr fontId="18" type="noConversion"/>
  </si>
  <si>
    <t>48V/23.4Ah</t>
    <phoneticPr fontId="18" type="noConversion"/>
  </si>
  <si>
    <t>SDI26FM</t>
    <phoneticPr fontId="18" type="noConversion"/>
  </si>
  <si>
    <t>V</t>
    <phoneticPr fontId="18" type="noConversion"/>
  </si>
  <si>
    <t>N3</t>
    <phoneticPr fontId="18" type="noConversion"/>
  </si>
  <si>
    <t>monitor HW PIC signals
V3.7.26.1_20140520</t>
    <phoneticPr fontId="18" type="noConversion"/>
  </si>
  <si>
    <t>monitor HW PIC signals
V3.7.26.1_20140526</t>
    <phoneticPr fontId="18" type="noConversion"/>
  </si>
  <si>
    <t>Pan_ST1_36104_D</t>
    <phoneticPr fontId="10" type="noConversion"/>
  </si>
  <si>
    <t>綠源</t>
    <phoneticPr fontId="10" type="noConversion"/>
  </si>
  <si>
    <t>C</t>
    <phoneticPr fontId="10" type="noConversion"/>
  </si>
  <si>
    <t>V3.7.26.1_20140528</t>
    <phoneticPr fontId="10" type="noConversion"/>
  </si>
  <si>
    <t>Ares_SSHT3280_36100_N</t>
    <phoneticPr fontId="10" type="noConversion"/>
  </si>
  <si>
    <t>36V/10.0Ah</t>
    <phoneticPr fontId="18" type="noConversion"/>
  </si>
  <si>
    <t>rework from Ares_TB300
V3.7.26.1_20140604</t>
    <phoneticPr fontId="10" type="noConversion"/>
  </si>
  <si>
    <t>樂馳海豚三號</t>
    <phoneticPr fontId="10" type="noConversion"/>
  </si>
  <si>
    <t>Cupid2_36104_D</t>
    <phoneticPr fontId="10" type="noConversion"/>
  </si>
  <si>
    <t>Ares_HM_36088_C</t>
    <phoneticPr fontId="10" type="noConversion"/>
  </si>
  <si>
    <t>櫻花二號</t>
    <phoneticPr fontId="10" type="noConversion"/>
  </si>
  <si>
    <t>26V/10.0Ah</t>
    <phoneticPr fontId="18" type="noConversion"/>
  </si>
  <si>
    <t>36V/8.8Ah</t>
    <phoneticPr fontId="18" type="noConversion"/>
  </si>
  <si>
    <t>Ares_TB290_24100_D</t>
    <phoneticPr fontId="10" type="noConversion"/>
  </si>
  <si>
    <t>V3.7.26.1_20140604</t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</si>
</sst>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0E+00"/>
    <numFmt numFmtId="178" formatCode="0.00_ "/>
  </numFmts>
  <fonts count="17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rgb="FF000000"/>
      <name val="Arial"/>
      <family val="2"/>
    </font>
    <font>
      <b/>
      <sz val="12"/>
      <color rgb="FF1D1884"/>
      <name val="新細明體"/>
      <family val="1"/>
      <charset val="136"/>
    </font>
    <font>
      <b/>
      <sz val="12"/>
      <color rgb="FF0070C0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206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26"/>
      <name val="新細明體"/>
      <family val="1"/>
      <charset val="136"/>
    </font>
    <font>
      <sz val="16"/>
      <name val="標楷體"/>
      <family val="4"/>
      <charset val="136"/>
    </font>
    <font>
      <sz val="16"/>
      <color rgb="FF4D5132"/>
      <name val="Arial"/>
      <family val="2"/>
    </font>
    <font>
      <sz val="16"/>
      <color rgb="FF000000"/>
      <name val="新細明體"/>
      <family val="1"/>
      <charset val="136"/>
    </font>
    <font>
      <sz val="10"/>
      <name val="新細明體"/>
      <family val="1"/>
      <charset val="136"/>
    </font>
    <font>
      <b/>
      <sz val="12"/>
      <color theme="4" tint="-0.249977111117893"/>
      <name val="新細明體"/>
      <family val="1"/>
      <charset val="136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color theme="8" tint="-0.249977111117893"/>
      <name val="Times New Roman"/>
      <family val="1"/>
    </font>
    <font>
      <b/>
      <sz val="10"/>
      <color rgb="FF00B0F0"/>
      <name val="Times New Roman"/>
      <family val="1"/>
    </font>
    <font>
      <strike/>
      <sz val="10"/>
      <name val="Times New Roman"/>
      <family val="1"/>
    </font>
    <font>
      <b/>
      <strike/>
      <sz val="10"/>
      <color rgb="FF00B0F0"/>
      <name val="Times New Roman"/>
      <family val="1"/>
    </font>
    <font>
      <strike/>
      <sz val="10"/>
      <color theme="8" tint="-0.249977111117893"/>
      <name val="Times New Roman"/>
      <family val="1"/>
    </font>
    <font>
      <sz val="12"/>
      <name val="宋体"/>
      <family val="3"/>
      <charset val="136"/>
    </font>
    <font>
      <sz val="10"/>
      <color indexed="8"/>
      <name val="Times New Roman"/>
      <family val="1"/>
    </font>
    <font>
      <b/>
      <sz val="10"/>
      <color rgb="FFFF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color theme="1"/>
      <name val="Tahoma"/>
      <family val="2"/>
    </font>
    <font>
      <sz val="12"/>
      <color indexed="9"/>
      <name val="Tahoma"/>
      <family val="2"/>
    </font>
    <font>
      <sz val="12"/>
      <name val="Tahoma"/>
      <family val="2"/>
    </font>
    <font>
      <sz val="12"/>
      <color indexed="8"/>
      <name val="Tahoma"/>
      <family val="2"/>
    </font>
    <font>
      <sz val="12"/>
      <color indexed="8"/>
      <name val="新細明體"/>
      <family val="1"/>
      <charset val="136"/>
    </font>
    <font>
      <sz val="12"/>
      <color rgb="FF000000"/>
      <name val="Tahoma"/>
      <family val="2"/>
    </font>
    <font>
      <sz val="12"/>
      <color rgb="FFFF0000"/>
      <name val="Tahoma"/>
      <family val="2"/>
    </font>
    <font>
      <sz val="10"/>
      <color rgb="FFFF0000"/>
      <name val="Times New Roman"/>
      <family val="1"/>
    </font>
    <font>
      <b/>
      <sz val="10"/>
      <color rgb="FF00B050"/>
      <name val="Times New Roman"/>
      <family val="1"/>
    </font>
    <font>
      <sz val="12"/>
      <name val="Times New Roman"/>
      <family val="1"/>
    </font>
    <font>
      <b/>
      <sz val="12"/>
      <name val="細明體"/>
      <family val="3"/>
      <charset val="136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name val="新細明體"/>
      <family val="2"/>
      <charset val="134"/>
      <scheme val="minor"/>
    </font>
    <font>
      <b/>
      <sz val="10"/>
      <color theme="1"/>
      <name val="Times New Roman"/>
      <family val="1"/>
    </font>
    <font>
      <sz val="9"/>
      <name val="細明體"/>
      <family val="3"/>
      <charset val="136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細明體"/>
      <family val="3"/>
      <charset val="136"/>
    </font>
    <font>
      <b/>
      <sz val="10"/>
      <name val="华文楷体"/>
      <family val="3"/>
      <charset val="134"/>
    </font>
    <font>
      <b/>
      <sz val="12"/>
      <color theme="1"/>
      <name val="Times New Roman"/>
      <family val="1"/>
    </font>
    <font>
      <b/>
      <sz val="10"/>
      <name val="ヒラギノ角ゴ ProN W6"/>
      <family val="3"/>
      <charset val="128"/>
    </font>
    <font>
      <b/>
      <sz val="10"/>
      <name val="儷宋 Pro"/>
      <family val="3"/>
      <charset val="136"/>
    </font>
    <font>
      <b/>
      <sz val="10"/>
      <color theme="2"/>
      <name val="Times New Roman"/>
      <family val="1"/>
    </font>
    <font>
      <b/>
      <sz val="11"/>
      <color theme="2"/>
      <name val="Times New Roman"/>
      <family val="1"/>
    </font>
    <font>
      <b/>
      <sz val="10"/>
      <color theme="2"/>
      <name val="細明體"/>
      <family val="3"/>
      <charset val="136"/>
    </font>
    <font>
      <b/>
      <sz val="10"/>
      <color theme="1"/>
      <name val="新細明體"/>
      <family val="1"/>
      <charset val="136"/>
    </font>
    <font>
      <b/>
      <sz val="10"/>
      <name val="新細明體"/>
      <family val="1"/>
      <charset val="136"/>
    </font>
    <font>
      <b/>
      <strike/>
      <sz val="10"/>
      <color theme="1"/>
      <name val="新細明體"/>
      <family val="1"/>
      <charset val="136"/>
    </font>
    <font>
      <strike/>
      <sz val="10"/>
      <color theme="1"/>
      <name val="新細明體"/>
      <family val="1"/>
      <charset val="136"/>
    </font>
    <font>
      <strike/>
      <sz val="12"/>
      <color theme="1"/>
      <name val="新細明體"/>
      <family val="1"/>
      <charset val="136"/>
    </font>
    <font>
      <b/>
      <sz val="10"/>
      <color rgb="FFFF0000"/>
      <name val="新細明體"/>
      <family val="1"/>
      <charset val="136"/>
    </font>
    <font>
      <b/>
      <sz val="12"/>
      <color theme="1"/>
      <name val="新細明體"/>
      <family val="2"/>
      <charset val="136"/>
      <scheme val="minor"/>
    </font>
    <font>
      <b/>
      <sz val="16"/>
      <color rgb="FF000000"/>
      <name val="Calibri"/>
      <family val="2"/>
    </font>
    <font>
      <b/>
      <sz val="16"/>
      <color rgb="FFFF0000"/>
      <name val="Calibri"/>
      <family val="2"/>
    </font>
    <font>
      <b/>
      <sz val="16"/>
      <color rgb="FFFF0000"/>
      <name val="細明體"/>
      <family val="3"/>
      <charset val="136"/>
    </font>
    <font>
      <sz val="16"/>
      <color rgb="FF000000"/>
      <name val="Calibri"/>
      <family val="2"/>
    </font>
    <font>
      <b/>
      <sz val="12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細明體"/>
      <family val="3"/>
      <charset val="136"/>
    </font>
    <font>
      <sz val="16"/>
      <color rgb="FF000000"/>
      <name val="細明體"/>
      <family val="3"/>
      <charset val="136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vertAlign val="superscript"/>
      <sz val="12"/>
      <color theme="1"/>
      <name val="Times New Roman"/>
      <family val="1"/>
    </font>
    <font>
      <sz val="10"/>
      <color theme="1"/>
      <name val="新細明體"/>
      <family val="1"/>
      <charset val="136"/>
    </font>
    <font>
      <b/>
      <sz val="10"/>
      <color theme="1"/>
      <name val="Verdana"/>
      <family val="2"/>
    </font>
    <font>
      <sz val="14"/>
      <color rgb="FF000000"/>
      <name val="Calibri"/>
      <family val="2"/>
    </font>
    <font>
      <sz val="14"/>
      <color rgb="FF000000"/>
      <name val="細明體"/>
      <family val="3"/>
      <charset val="136"/>
    </font>
    <font>
      <b/>
      <sz val="9"/>
      <color theme="0"/>
      <name val="Calibri"/>
      <family val="2"/>
    </font>
    <font>
      <b/>
      <sz val="16"/>
      <color rgb="FF000000"/>
      <name val="細明體"/>
      <family val="3"/>
      <charset val="136"/>
    </font>
    <font>
      <u/>
      <sz val="14"/>
      <color rgb="FF000000"/>
      <name val="Calibri"/>
      <family val="2"/>
    </font>
    <font>
      <sz val="12"/>
      <color theme="1"/>
      <name val="細明體"/>
      <family val="3"/>
      <charset val="136"/>
    </font>
    <font>
      <b/>
      <sz val="12"/>
      <color rgb="FFFF0000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0"/>
      <color theme="1"/>
      <name val="細明體"/>
      <family val="3"/>
      <charset val="136"/>
    </font>
    <font>
      <b/>
      <sz val="12"/>
      <color rgb="FFFF0000"/>
      <name val="Calibri"/>
      <family val="2"/>
    </font>
    <font>
      <b/>
      <sz val="12"/>
      <color rgb="FFFF0000"/>
      <name val="Times New Roman"/>
      <family val="1"/>
    </font>
    <font>
      <sz val="14"/>
      <color rgb="FFFF0000"/>
      <name val="Calibri"/>
      <family val="2"/>
    </font>
    <font>
      <b/>
      <strike/>
      <sz val="16"/>
      <color rgb="FF000000"/>
      <name val="Calibri"/>
      <family val="2"/>
    </font>
    <font>
      <strike/>
      <sz val="16"/>
      <color rgb="FF000000"/>
      <name val="Calibri"/>
      <family val="2"/>
    </font>
    <font>
      <strike/>
      <sz val="14"/>
      <color rgb="FF000000"/>
      <name val="Calibri"/>
      <family val="2"/>
    </font>
    <font>
      <strike/>
      <sz val="12"/>
      <color theme="1"/>
      <name val="Calibri"/>
      <family val="2"/>
    </font>
    <font>
      <b/>
      <strike/>
      <sz val="12"/>
      <color theme="1"/>
      <name val="Calibri"/>
      <family val="2"/>
    </font>
    <font>
      <b/>
      <strike/>
      <sz val="16"/>
      <color rgb="FFFF0000"/>
      <name val="Calibri"/>
      <family val="2"/>
    </font>
    <font>
      <b/>
      <sz val="16"/>
      <color rgb="FF0070C0"/>
      <name val="Calibri"/>
      <family val="2"/>
    </font>
    <font>
      <sz val="10"/>
      <color theme="1"/>
      <name val="Verdana"/>
      <family val="2"/>
    </font>
    <font>
      <b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6"/>
      <name val="Arial"/>
      <family val="2"/>
    </font>
    <font>
      <b/>
      <sz val="12"/>
      <color theme="3" tint="0.39997558519241921"/>
      <name val="新細明體"/>
      <family val="1"/>
      <charset val="136"/>
      <scheme val="minor"/>
    </font>
    <font>
      <sz val="12"/>
      <color rgb="FFFF0000"/>
      <name val="Calibri"/>
      <family val="2"/>
    </font>
    <font>
      <b/>
      <sz val="16"/>
      <color theme="3" tint="0.39997558519241921"/>
      <name val="Calibri"/>
      <family val="2"/>
    </font>
    <font>
      <b/>
      <sz val="11"/>
      <color rgb="FF000000"/>
      <name val="Calibri"/>
      <family val="2"/>
    </font>
    <font>
      <sz val="12"/>
      <color rgb="FFFF0000"/>
      <name val="Times New Roman"/>
      <family val="1"/>
    </font>
    <font>
      <b/>
      <strike/>
      <sz val="16"/>
      <color theme="4" tint="0.39997558519241921"/>
      <name val="新細明體"/>
      <family val="1"/>
      <charset val="136"/>
    </font>
    <font>
      <strike/>
      <sz val="16"/>
      <color theme="4" tint="0.39997558519241921"/>
      <name val="新細明體"/>
      <family val="1"/>
      <charset val="136"/>
    </font>
    <font>
      <strike/>
      <sz val="14"/>
      <color theme="4" tint="0.39997558519241921"/>
      <name val="新細明體"/>
      <family val="1"/>
      <charset val="136"/>
    </font>
    <font>
      <strike/>
      <sz val="12"/>
      <color theme="4" tint="0.39997558519241921"/>
      <name val="新細明體"/>
      <family val="1"/>
      <charset val="136"/>
    </font>
    <font>
      <b/>
      <strike/>
      <sz val="12"/>
      <color theme="4" tint="0.39997558519241921"/>
      <name val="新細明體"/>
      <family val="1"/>
      <charset val="136"/>
    </font>
    <font>
      <b/>
      <sz val="16"/>
      <color rgb="FFFFC000"/>
      <name val="Calibri"/>
      <family val="2"/>
    </font>
    <font>
      <b/>
      <sz val="16"/>
      <name val="Calibri"/>
      <family val="2"/>
    </font>
    <font>
      <b/>
      <strike/>
      <sz val="16"/>
      <color rgb="FF0070C0"/>
      <name val="Calibri"/>
      <family val="2"/>
    </font>
    <font>
      <sz val="10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indexed="8"/>
      <name val="細明體"/>
      <family val="3"/>
      <charset val="136"/>
    </font>
    <font>
      <sz val="10"/>
      <name val="細明體"/>
      <family val="3"/>
      <charset val="136"/>
    </font>
    <font>
      <strike/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indexed="30"/>
      <name val="細明體"/>
      <family val="3"/>
      <charset val="136"/>
    </font>
    <font>
      <sz val="10"/>
      <color indexed="30"/>
      <name val="Times New Roman"/>
      <family val="1"/>
    </font>
    <font>
      <sz val="12"/>
      <color theme="1"/>
      <name val="Arial"/>
      <family val="2"/>
    </font>
    <font>
      <sz val="10"/>
      <color theme="1"/>
      <name val="Arial Unicode MS"/>
      <family val="2"/>
      <charset val="136"/>
    </font>
    <font>
      <sz val="12"/>
      <color rgb="FF000000"/>
      <name val="Times New Roman"/>
      <family val="1"/>
    </font>
    <font>
      <sz val="12"/>
      <name val="細明體"/>
      <family val="3"/>
      <charset val="136"/>
    </font>
    <font>
      <strike/>
      <sz val="12"/>
      <color theme="1"/>
      <name val="Times New Roman"/>
      <family val="1"/>
    </font>
    <font>
      <sz val="12"/>
      <name val="华文楷体"/>
      <family val="3"/>
      <charset val="134"/>
    </font>
    <font>
      <sz val="12"/>
      <name val="ヒラギノ角ゴ ProN W6"/>
      <family val="3"/>
      <charset val="128"/>
    </font>
    <font>
      <sz val="12"/>
      <name val="儷宋 Pro"/>
      <family val="3"/>
      <charset val="136"/>
    </font>
    <font>
      <b/>
      <sz val="12"/>
      <color theme="2"/>
      <name val="Times New Roman"/>
      <family val="1"/>
    </font>
    <font>
      <sz val="12"/>
      <name val="宋体"/>
    </font>
    <font>
      <b/>
      <sz val="12"/>
      <color rgb="FF00B050"/>
      <name val="新細明體"/>
      <family val="1"/>
      <charset val="136"/>
    </font>
    <font>
      <b/>
      <sz val="12"/>
      <color rgb="FF00206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6"/>
      <color rgb="FFFF0000"/>
      <name val="細明體"/>
      <family val="3"/>
      <charset val="136"/>
    </font>
    <font>
      <sz val="12"/>
      <color indexed="10"/>
      <name val="細明體"/>
      <family val="3"/>
      <charset val="136"/>
    </font>
    <font>
      <sz val="12"/>
      <color rgb="FFFF0000"/>
      <name val="Arial"/>
      <family val="2"/>
    </font>
    <font>
      <sz val="12"/>
      <color indexed="10"/>
      <name val="Times New Roman"/>
      <family val="1"/>
    </font>
    <font>
      <sz val="12"/>
      <color indexed="8"/>
      <name val="細明體"/>
      <family val="3"/>
      <charset val="136"/>
    </font>
    <font>
      <sz val="12"/>
      <color indexed="8"/>
      <name val="Times New Roman"/>
      <family val="1"/>
    </font>
    <font>
      <b/>
      <sz val="12"/>
      <color indexed="8"/>
      <name val="細明體"/>
      <family val="3"/>
      <charset val="136"/>
    </font>
    <font>
      <b/>
      <sz val="12"/>
      <color indexed="8"/>
      <name val="Times New Roman"/>
      <family val="1"/>
    </font>
    <font>
      <sz val="12"/>
      <color indexed="8"/>
      <name val="SimSun"/>
      <charset val="134"/>
    </font>
    <font>
      <sz val="12"/>
      <color indexed="8"/>
      <name val="宋体"/>
    </font>
    <font>
      <b/>
      <sz val="12"/>
      <color indexed="26"/>
      <name val="細明體"/>
      <family val="3"/>
      <charset val="136"/>
    </font>
    <font>
      <b/>
      <sz val="12"/>
      <color rgb="FF00B050"/>
      <name val="Calibri"/>
      <family val="2"/>
    </font>
    <font>
      <b/>
      <sz val="12"/>
      <color rgb="FF000000"/>
      <name val="Times New Roman"/>
      <family val="1"/>
    </font>
    <font>
      <b/>
      <sz val="12"/>
      <color rgb="FF000000"/>
      <name val="新細明體"/>
      <family val="1"/>
      <charset val="136"/>
    </font>
    <font>
      <sz val="12"/>
      <color rgb="FF000000"/>
      <name val="Calibri"/>
      <family val="2"/>
    </font>
    <font>
      <sz val="12"/>
      <color rgb="FF000000"/>
      <name val="細明體"/>
      <family val="3"/>
      <charset val="136"/>
    </font>
    <font>
      <vertAlign val="superscript"/>
      <sz val="12"/>
      <color rgb="FF000000"/>
      <name val="Calibri"/>
      <family val="2"/>
    </font>
    <font>
      <b/>
      <strike/>
      <sz val="16"/>
      <color rgb="FF000000"/>
      <name val="新細明體"/>
      <family val="1"/>
      <charset val="136"/>
    </font>
    <font>
      <strike/>
      <sz val="16"/>
      <color rgb="FF000000"/>
      <name val="新細明體"/>
      <family val="1"/>
      <charset val="136"/>
    </font>
    <font>
      <strike/>
      <sz val="14"/>
      <color rgb="FF000000"/>
      <name val="新細明體"/>
      <family val="1"/>
      <charset val="136"/>
    </font>
    <font>
      <b/>
      <strike/>
      <sz val="12"/>
      <color rgb="FF00B050"/>
      <name val="新細明體"/>
      <family val="1"/>
      <charset val="136"/>
    </font>
    <font>
      <b/>
      <sz val="11"/>
      <color rgb="FF000000"/>
      <name val="Times New Roman"/>
      <family val="1"/>
    </font>
    <font>
      <b/>
      <strike/>
      <sz val="16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b/>
      <strike/>
      <sz val="12"/>
      <color theme="1"/>
      <name val="新細明體"/>
      <family val="1"/>
      <charset val="136"/>
    </font>
  </fonts>
  <fills count="4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5F964"/>
        <bgColor indexed="64"/>
      </patternFill>
    </fill>
  </fills>
  <borders count="10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dotted">
        <color auto="1"/>
      </left>
      <right style="double">
        <color indexed="64"/>
      </right>
      <top style="thin">
        <color auto="1"/>
      </top>
      <bottom/>
      <diagonal/>
    </border>
    <border>
      <left style="dotted">
        <color auto="1"/>
      </left>
      <right style="double">
        <color indexed="64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uble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double">
        <color rgb="FF000000"/>
      </top>
      <bottom style="thin">
        <color auto="1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5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32" fillId="0" borderId="0"/>
    <xf numFmtId="0" fontId="39" fillId="0" borderId="0"/>
    <xf numFmtId="0" fontId="42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9" fillId="0" borderId="0"/>
    <xf numFmtId="0" fontId="2" fillId="0" borderId="0">
      <alignment vertical="center"/>
    </xf>
    <xf numFmtId="0" fontId="39" fillId="0" borderId="0">
      <alignment vertical="center"/>
    </xf>
    <xf numFmtId="0" fontId="150" fillId="0" borderId="0"/>
    <xf numFmtId="0" fontId="42" fillId="0" borderId="0">
      <alignment vertical="center"/>
    </xf>
    <xf numFmtId="0" fontId="150" fillId="0" borderId="0">
      <alignment vertical="center"/>
    </xf>
  </cellStyleXfs>
  <cellXfs count="96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2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3" borderId="0" xfId="0" quotePrefix="1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13" fillId="7" borderId="9" xfId="0" applyFont="1" applyFill="1" applyBorder="1" applyAlignment="1">
      <alignment horizontal="center" vertical="center" wrapText="1" readingOrder="1"/>
    </xf>
    <xf numFmtId="0" fontId="13" fillId="7" borderId="9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 readingOrder="1"/>
    </xf>
    <xf numFmtId="0" fontId="13" fillId="7" borderId="10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3" xfId="0" applyFill="1" applyBorder="1">
      <alignment vertical="center"/>
    </xf>
    <xf numFmtId="0" fontId="12" fillId="0" borderId="1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2" fillId="0" borderId="18" xfId="0" applyFont="1" applyFill="1" applyBorder="1">
      <alignment vertical="center"/>
    </xf>
    <xf numFmtId="0" fontId="0" fillId="0" borderId="19" xfId="0" applyBorder="1">
      <alignment vertical="center"/>
    </xf>
    <xf numFmtId="0" fontId="12" fillId="0" borderId="18" xfId="0" applyFont="1" applyBorder="1">
      <alignment vertical="center"/>
    </xf>
    <xf numFmtId="0" fontId="0" fillId="0" borderId="6" xfId="0" applyBorder="1">
      <alignment vertical="center"/>
    </xf>
    <xf numFmtId="0" fontId="0" fillId="9" borderId="0" xfId="0" quotePrefix="1" applyFill="1">
      <alignment vertical="center"/>
    </xf>
    <xf numFmtId="0" fontId="0" fillId="9" borderId="0" xfId="0" applyFill="1">
      <alignment vertical="center"/>
    </xf>
    <xf numFmtId="0" fontId="12" fillId="0" borderId="4" xfId="0" applyFont="1" applyFill="1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10" borderId="0" xfId="0" applyFill="1">
      <alignment vertical="center"/>
    </xf>
    <xf numFmtId="0" fontId="9" fillId="0" borderId="0" xfId="1">
      <alignment vertical="center"/>
    </xf>
    <xf numFmtId="0" fontId="9" fillId="0" borderId="31" xfId="1" applyBorder="1">
      <alignment vertical="center"/>
    </xf>
    <xf numFmtId="0" fontId="17" fillId="0" borderId="31" xfId="1" applyFont="1" applyBorder="1" applyAlignment="1">
      <alignment horizontal="center" vertical="center"/>
    </xf>
    <xf numFmtId="0" fontId="17" fillId="0" borderId="31" xfId="1" applyFont="1" applyFill="1" applyBorder="1" applyAlignment="1">
      <alignment horizontal="center" vertical="center"/>
    </xf>
    <xf numFmtId="0" fontId="17" fillId="0" borderId="31" xfId="1" applyFont="1" applyBorder="1">
      <alignment vertical="center"/>
    </xf>
    <xf numFmtId="0" fontId="17" fillId="0" borderId="31" xfId="1" applyFont="1" applyFill="1" applyBorder="1">
      <alignment vertical="center"/>
    </xf>
    <xf numFmtId="0" fontId="19" fillId="0" borderId="31" xfId="1" applyFont="1" applyBorder="1" applyAlignment="1">
      <alignment horizontal="center" vertical="center"/>
    </xf>
    <xf numFmtId="0" fontId="19" fillId="0" borderId="31" xfId="1" applyFont="1" applyBorder="1">
      <alignment vertical="center"/>
    </xf>
    <xf numFmtId="0" fontId="21" fillId="0" borderId="31" xfId="1" applyFont="1" applyBorder="1" applyAlignment="1">
      <alignment horizontal="center" vertical="center"/>
    </xf>
    <xf numFmtId="0" fontId="20" fillId="0" borderId="31" xfId="1" applyFont="1" applyBorder="1">
      <alignment vertical="center"/>
    </xf>
    <xf numFmtId="0" fontId="22" fillId="0" borderId="0" xfId="1" applyFont="1" applyAlignment="1">
      <alignment vertical="center" wrapText="1"/>
    </xf>
    <xf numFmtId="0" fontId="23" fillId="0" borderId="31" xfId="1" applyFont="1" applyBorder="1" applyAlignment="1">
      <alignment horizontal="center" vertical="center"/>
    </xf>
    <xf numFmtId="0" fontId="24" fillId="0" borderId="31" xfId="1" applyFont="1" applyBorder="1" applyAlignment="1">
      <alignment horizontal="center" vertical="center"/>
    </xf>
    <xf numFmtId="0" fontId="25" fillId="0" borderId="0" xfId="1" applyFont="1">
      <alignment vertical="center"/>
    </xf>
    <xf numFmtId="0" fontId="8" fillId="0" borderId="0" xfId="2">
      <alignment vertical="center"/>
    </xf>
    <xf numFmtId="0" fontId="7" fillId="0" borderId="0" xfId="3">
      <alignment vertical="center"/>
    </xf>
    <xf numFmtId="0" fontId="0" fillId="12" borderId="0" xfId="0" applyFill="1">
      <alignment vertical="center"/>
    </xf>
    <xf numFmtId="0" fontId="0" fillId="0" borderId="0" xfId="0" applyBorder="1">
      <alignment vertical="center"/>
    </xf>
    <xf numFmtId="0" fontId="0" fillId="10" borderId="0" xfId="0" applyFill="1" applyBorder="1">
      <alignment vertical="center"/>
    </xf>
    <xf numFmtId="0" fontId="26" fillId="0" borderId="0" xfId="0" applyFont="1">
      <alignment vertical="center"/>
    </xf>
    <xf numFmtId="177" fontId="0" fillId="0" borderId="0" xfId="0" applyNumberFormat="1">
      <alignment vertical="center"/>
    </xf>
    <xf numFmtId="0" fontId="0" fillId="1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13" borderId="0" xfId="0" applyFill="1">
      <alignment vertical="center"/>
    </xf>
    <xf numFmtId="0" fontId="14" fillId="0" borderId="0" xfId="0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0" xfId="0" applyAlignment="1">
      <alignment horizontal="right" vertical="center"/>
    </xf>
    <xf numFmtId="0" fontId="0" fillId="15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10" borderId="0" xfId="0" applyFill="1" applyBorder="1">
      <alignment vertical="center"/>
    </xf>
    <xf numFmtId="0" fontId="0" fillId="0" borderId="0" xfId="0" applyBorder="1">
      <alignment vertical="center"/>
    </xf>
    <xf numFmtId="0" fontId="27" fillId="0" borderId="39" xfId="0" applyFont="1" applyBorder="1">
      <alignment vertical="center"/>
    </xf>
    <xf numFmtId="0" fontId="29" fillId="0" borderId="0" xfId="0" applyFont="1">
      <alignment vertical="center"/>
    </xf>
    <xf numFmtId="0" fontId="27" fillId="0" borderId="0" xfId="0" applyFont="1">
      <alignment vertical="center"/>
    </xf>
    <xf numFmtId="0" fontId="0" fillId="19" borderId="26" xfId="0" applyFill="1" applyBorder="1">
      <alignment vertical="center"/>
    </xf>
    <xf numFmtId="0" fontId="0" fillId="19" borderId="27" xfId="0" applyFill="1" applyBorder="1">
      <alignment vertical="center"/>
    </xf>
    <xf numFmtId="0" fontId="0" fillId="19" borderId="0" xfId="0" applyFill="1" applyBorder="1">
      <alignment vertical="center"/>
    </xf>
    <xf numFmtId="0" fontId="0" fillId="19" borderId="29" xfId="0" applyFill="1" applyBorder="1">
      <alignment vertical="center"/>
    </xf>
    <xf numFmtId="0" fontId="0" fillId="19" borderId="30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0" borderId="0" xfId="0" applyFill="1">
      <alignment vertical="center"/>
    </xf>
    <xf numFmtId="0" fontId="16" fillId="0" borderId="46" xfId="0" applyFont="1" applyBorder="1">
      <alignment vertical="center"/>
    </xf>
    <xf numFmtId="0" fontId="33" fillId="0" borderId="31" xfId="4" applyFont="1" applyBorder="1" applyAlignment="1">
      <alignment horizontal="center"/>
    </xf>
    <xf numFmtId="0" fontId="33" fillId="0" borderId="0" xfId="4" applyFont="1" applyAlignment="1">
      <alignment horizontal="center"/>
    </xf>
    <xf numFmtId="0" fontId="33" fillId="21" borderId="39" xfId="4" applyFont="1" applyFill="1" applyBorder="1" applyAlignment="1">
      <alignment horizontal="center"/>
    </xf>
    <xf numFmtId="0" fontId="34" fillId="21" borderId="39" xfId="4" applyFont="1" applyFill="1" applyBorder="1" applyAlignment="1">
      <alignment horizontal="center"/>
    </xf>
    <xf numFmtId="0" fontId="40" fillId="22" borderId="53" xfId="5" applyFont="1" applyFill="1" applyBorder="1" applyAlignment="1">
      <alignment horizontal="center" vertical="center" wrapText="1"/>
    </xf>
    <xf numFmtId="0" fontId="41" fillId="22" borderId="53" xfId="5" applyFont="1" applyFill="1" applyBorder="1" applyAlignment="1">
      <alignment horizontal="center" vertical="center" wrapText="1"/>
    </xf>
    <xf numFmtId="0" fontId="40" fillId="0" borderId="53" xfId="5" applyFont="1" applyFill="1" applyBorder="1" applyAlignment="1">
      <alignment horizontal="center" vertical="center" wrapText="1"/>
    </xf>
    <xf numFmtId="0" fontId="35" fillId="0" borderId="53" xfId="5" applyFont="1" applyBorder="1" applyAlignment="1">
      <alignment horizontal="center" vertical="center" wrapText="1"/>
    </xf>
    <xf numFmtId="0" fontId="35" fillId="23" borderId="53" xfId="5" applyFont="1" applyFill="1" applyBorder="1" applyAlignment="1">
      <alignment horizontal="center" vertical="center" wrapText="1"/>
    </xf>
    <xf numFmtId="0" fontId="40" fillId="23" borderId="53" xfId="5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41" fillId="23" borderId="53" xfId="5" applyFont="1" applyFill="1" applyBorder="1" applyAlignment="1">
      <alignment horizontal="center" vertical="center" wrapText="1"/>
    </xf>
    <xf numFmtId="0" fontId="42" fillId="0" borderId="0" xfId="6" applyFont="1">
      <alignment vertical="center"/>
    </xf>
    <xf numFmtId="0" fontId="42" fillId="0" borderId="0" xfId="6" applyFont="1" applyAlignment="1">
      <alignment horizontal="center" vertical="center"/>
    </xf>
    <xf numFmtId="0" fontId="43" fillId="0" borderId="55" xfId="6" applyFont="1" applyBorder="1" applyAlignment="1">
      <alignment horizontal="center" vertical="center"/>
    </xf>
    <xf numFmtId="0" fontId="43" fillId="0" borderId="56" xfId="6" applyFont="1" applyBorder="1" applyAlignment="1">
      <alignment horizontal="center" vertical="center"/>
    </xf>
    <xf numFmtId="0" fontId="43" fillId="0" borderId="57" xfId="6" applyFont="1" applyBorder="1" applyAlignment="1">
      <alignment horizontal="center" vertical="center"/>
    </xf>
    <xf numFmtId="0" fontId="43" fillId="0" borderId="58" xfId="6" applyFont="1" applyBorder="1" applyAlignment="1">
      <alignment horizontal="center" vertical="center"/>
    </xf>
    <xf numFmtId="0" fontId="43" fillId="0" borderId="31" xfId="6" applyFont="1" applyBorder="1" applyAlignment="1">
      <alignment horizontal="center" vertical="center"/>
    </xf>
    <xf numFmtId="0" fontId="43" fillId="0" borderId="59" xfId="6" applyFont="1" applyBorder="1" applyAlignment="1">
      <alignment horizontal="center" vertical="center"/>
    </xf>
    <xf numFmtId="0" fontId="43" fillId="0" borderId="31" xfId="6" applyFont="1" applyBorder="1" applyAlignment="1">
      <alignment horizontal="center" vertical="center" wrapText="1"/>
    </xf>
    <xf numFmtId="0" fontId="48" fillId="0" borderId="58" xfId="6" applyFont="1" applyBorder="1" applyAlignment="1">
      <alignment horizontal="center" vertical="center" readingOrder="1"/>
    </xf>
    <xf numFmtId="0" fontId="43" fillId="0" borderId="60" xfId="6" applyFont="1" applyBorder="1" applyAlignment="1">
      <alignment horizontal="center" vertical="center"/>
    </xf>
    <xf numFmtId="0" fontId="43" fillId="0" borderId="61" xfId="6" applyFont="1" applyBorder="1" applyAlignment="1">
      <alignment horizontal="center" vertical="center"/>
    </xf>
    <xf numFmtId="0" fontId="43" fillId="0" borderId="62" xfId="6" applyFont="1" applyBorder="1" applyAlignment="1">
      <alignment horizontal="center" vertical="center"/>
    </xf>
    <xf numFmtId="0" fontId="33" fillId="0" borderId="53" xfId="4" applyFont="1" applyBorder="1" applyAlignment="1">
      <alignment horizontal="center" vertical="center"/>
    </xf>
    <xf numFmtId="0" fontId="35" fillId="0" borderId="53" xfId="4" applyFont="1" applyBorder="1" applyAlignment="1">
      <alignment horizontal="center" vertical="center"/>
    </xf>
    <xf numFmtId="0" fontId="34" fillId="0" borderId="53" xfId="4" applyFont="1" applyBorder="1" applyAlignment="1">
      <alignment horizontal="center" vertical="center"/>
    </xf>
    <xf numFmtId="0" fontId="34" fillId="0" borderId="53" xfId="4" applyFont="1" applyFill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6" fillId="0" borderId="53" xfId="4" applyFont="1" applyBorder="1" applyAlignment="1">
      <alignment horizontal="center" vertical="center"/>
    </xf>
    <xf numFmtId="0" fontId="37" fillId="0" borderId="53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 vertical="center"/>
    </xf>
    <xf numFmtId="0" fontId="38" fillId="0" borderId="53" xfId="4" applyFont="1" applyFill="1" applyBorder="1" applyAlignment="1">
      <alignment horizontal="center" vertical="center"/>
    </xf>
    <xf numFmtId="0" fontId="33" fillId="22" borderId="53" xfId="4" applyFont="1" applyFill="1" applyBorder="1" applyAlignment="1">
      <alignment horizontal="center" vertical="center"/>
    </xf>
    <xf numFmtId="0" fontId="34" fillId="22" borderId="53" xfId="4" applyFont="1" applyFill="1" applyBorder="1" applyAlignment="1">
      <alignment horizontal="center" vertical="center"/>
    </xf>
    <xf numFmtId="0" fontId="33" fillId="23" borderId="53" xfId="4" applyFont="1" applyFill="1" applyBorder="1" applyAlignment="1">
      <alignment horizontal="center" vertical="center"/>
    </xf>
    <xf numFmtId="0" fontId="34" fillId="23" borderId="53" xfId="4" applyFont="1" applyFill="1" applyBorder="1" applyAlignment="1">
      <alignment horizontal="center" vertical="center"/>
    </xf>
    <xf numFmtId="0" fontId="50" fillId="0" borderId="53" xfId="4" applyFont="1" applyBorder="1" applyAlignment="1">
      <alignment horizontal="center" vertical="center"/>
    </xf>
    <xf numFmtId="0" fontId="35" fillId="19" borderId="53" xfId="5" applyFont="1" applyFill="1" applyBorder="1" applyAlignment="1">
      <alignment horizontal="center" vertical="center" wrapText="1"/>
    </xf>
    <xf numFmtId="0" fontId="33" fillId="19" borderId="53" xfId="4" applyFont="1" applyFill="1" applyBorder="1" applyAlignment="1">
      <alignment horizontal="center" vertical="center"/>
    </xf>
    <xf numFmtId="0" fontId="40" fillId="19" borderId="53" xfId="5" applyFont="1" applyFill="1" applyBorder="1" applyAlignment="1">
      <alignment horizontal="center" vertical="center" wrapText="1"/>
    </xf>
    <xf numFmtId="0" fontId="34" fillId="19" borderId="53" xfId="4" applyFont="1" applyFill="1" applyBorder="1" applyAlignment="1">
      <alignment horizontal="center" vertical="center"/>
    </xf>
    <xf numFmtId="0" fontId="33" fillId="19" borderId="0" xfId="4" applyFont="1" applyFill="1" applyAlignment="1">
      <alignment horizontal="center" vertical="center"/>
    </xf>
    <xf numFmtId="0" fontId="33" fillId="24" borderId="53" xfId="4" applyFont="1" applyFill="1" applyBorder="1" applyAlignment="1">
      <alignment horizontal="center" vertical="center"/>
    </xf>
    <xf numFmtId="0" fontId="40" fillId="24" borderId="53" xfId="5" applyFont="1" applyFill="1" applyBorder="1" applyAlignment="1">
      <alignment horizontal="center" vertical="center" wrapText="1"/>
    </xf>
    <xf numFmtId="0" fontId="51" fillId="24" borderId="53" xfId="5" applyFont="1" applyFill="1" applyBorder="1" applyAlignment="1">
      <alignment horizontal="center" vertical="center" wrapText="1"/>
    </xf>
    <xf numFmtId="0" fontId="34" fillId="24" borderId="53" xfId="4" applyFont="1" applyFill="1" applyBorder="1" applyAlignment="1">
      <alignment horizontal="center" vertical="center"/>
    </xf>
    <xf numFmtId="0" fontId="33" fillId="24" borderId="0" xfId="4" applyFont="1" applyFill="1" applyAlignment="1">
      <alignment horizontal="center" vertical="center"/>
    </xf>
    <xf numFmtId="0" fontId="33" fillId="25" borderId="53" xfId="4" applyFont="1" applyFill="1" applyBorder="1" applyAlignment="1">
      <alignment horizontal="center" vertical="center"/>
    </xf>
    <xf numFmtId="0" fontId="40" fillId="25" borderId="53" xfId="5" applyFont="1" applyFill="1" applyBorder="1" applyAlignment="1">
      <alignment horizontal="center" vertical="center" wrapText="1"/>
    </xf>
    <xf numFmtId="0" fontId="34" fillId="25" borderId="53" xfId="4" applyFont="1" applyFill="1" applyBorder="1" applyAlignment="1">
      <alignment horizontal="center" vertical="center"/>
    </xf>
    <xf numFmtId="0" fontId="33" fillId="25" borderId="0" xfId="4" applyFont="1" applyFill="1" applyAlignment="1">
      <alignment horizontal="center" vertical="center"/>
    </xf>
    <xf numFmtId="0" fontId="33" fillId="26" borderId="53" xfId="4" applyFont="1" applyFill="1" applyBorder="1" applyAlignment="1">
      <alignment horizontal="center" vertical="center"/>
    </xf>
    <xf numFmtId="0" fontId="40" fillId="26" borderId="53" xfId="5" applyFont="1" applyFill="1" applyBorder="1" applyAlignment="1">
      <alignment horizontal="center" vertical="center" wrapText="1"/>
    </xf>
    <xf numFmtId="0" fontId="35" fillId="26" borderId="53" xfId="5" applyFont="1" applyFill="1" applyBorder="1" applyAlignment="1">
      <alignment horizontal="center" vertical="center" wrapText="1"/>
    </xf>
    <xf numFmtId="0" fontId="34" fillId="26" borderId="53" xfId="4" applyFont="1" applyFill="1" applyBorder="1" applyAlignment="1">
      <alignment horizontal="center" vertical="center"/>
    </xf>
    <xf numFmtId="0" fontId="33" fillId="26" borderId="0" xfId="4" applyFont="1" applyFill="1" applyAlignment="1">
      <alignment horizontal="center" vertical="center"/>
    </xf>
    <xf numFmtId="0" fontId="33" fillId="0" borderId="63" xfId="4" applyFont="1" applyBorder="1" applyAlignment="1">
      <alignment horizontal="center"/>
    </xf>
    <xf numFmtId="0" fontId="33" fillId="0" borderId="64" xfId="4" applyFont="1" applyBorder="1" applyAlignment="1">
      <alignment horizontal="center"/>
    </xf>
    <xf numFmtId="0" fontId="33" fillId="0" borderId="65" xfId="4" applyFont="1" applyBorder="1" applyAlignment="1">
      <alignment horizontal="center"/>
    </xf>
    <xf numFmtId="0" fontId="52" fillId="0" borderId="0" xfId="5" applyFont="1" applyAlignment="1">
      <alignment vertical="center"/>
    </xf>
    <xf numFmtId="0" fontId="33" fillId="0" borderId="0" xfId="5" applyFont="1" applyAlignment="1">
      <alignment vertical="center"/>
    </xf>
    <xf numFmtId="0" fontId="52" fillId="0" borderId="0" xfId="5" applyFont="1" applyAlignment="1">
      <alignment horizontal="center" vertical="center"/>
    </xf>
    <xf numFmtId="0" fontId="52" fillId="0" borderId="0" xfId="5" applyFont="1" applyFill="1" applyAlignment="1">
      <alignment vertical="center"/>
    </xf>
    <xf numFmtId="0" fontId="33" fillId="0" borderId="0" xfId="5" applyFont="1" applyFill="1" applyAlignment="1">
      <alignment vertical="center"/>
    </xf>
    <xf numFmtId="0" fontId="52" fillId="0" borderId="0" xfId="5" applyFont="1" applyFill="1" applyAlignment="1">
      <alignment horizontal="center" vertical="center"/>
    </xf>
    <xf numFmtId="0" fontId="53" fillId="0" borderId="0" xfId="5" applyFont="1" applyFill="1" applyAlignment="1">
      <alignment vertical="center"/>
    </xf>
    <xf numFmtId="0" fontId="54" fillId="0" borderId="0" xfId="5" applyFont="1" applyFill="1" applyAlignment="1">
      <alignment vertical="center"/>
    </xf>
    <xf numFmtId="0" fontId="55" fillId="0" borderId="31" xfId="5" applyFont="1" applyFill="1" applyBorder="1" applyAlignment="1">
      <alignment horizontal="center" vertical="center"/>
    </xf>
    <xf numFmtId="0" fontId="55" fillId="0" borderId="31" xfId="5" applyFont="1" applyBorder="1" applyAlignment="1">
      <alignment vertical="center"/>
    </xf>
    <xf numFmtId="0" fontId="54" fillId="0" borderId="0" xfId="5" applyFont="1" applyAlignment="1">
      <alignment vertical="center"/>
    </xf>
    <xf numFmtId="0" fontId="55" fillId="0" borderId="31" xfId="5" applyFont="1" applyFill="1" applyBorder="1" applyAlignment="1">
      <alignment vertical="center"/>
    </xf>
    <xf numFmtId="0" fontId="64" fillId="0" borderId="0" xfId="5" applyFont="1" applyFill="1" applyAlignment="1">
      <alignment vertical="center"/>
    </xf>
    <xf numFmtId="0" fontId="55" fillId="0" borderId="31" xfId="5" applyFont="1" applyFill="1" applyBorder="1" applyAlignment="1">
      <alignment vertical="center" wrapText="1"/>
    </xf>
    <xf numFmtId="0" fontId="33" fillId="0" borderId="31" xfId="5" applyFont="1" applyBorder="1" applyAlignment="1">
      <alignment vertical="center"/>
    </xf>
    <xf numFmtId="0" fontId="33" fillId="0" borderId="31" xfId="5" applyFont="1" applyFill="1" applyBorder="1" applyAlignment="1">
      <alignment horizontal="center" vertical="center" wrapText="1"/>
    </xf>
    <xf numFmtId="0" fontId="59" fillId="0" borderId="31" xfId="5" applyFont="1" applyFill="1" applyBorder="1" applyAlignment="1">
      <alignment horizontal="center" vertical="center" wrapText="1"/>
    </xf>
    <xf numFmtId="0" fontId="59" fillId="0" borderId="31" xfId="5" applyFont="1" applyBorder="1" applyAlignment="1">
      <alignment horizontal="center" vertical="center" wrapText="1"/>
    </xf>
    <xf numFmtId="0" fontId="62" fillId="0" borderId="31" xfId="5" applyFont="1" applyBorder="1" applyAlignment="1">
      <alignment horizontal="center" vertical="center" wrapText="1"/>
    </xf>
    <xf numFmtId="0" fontId="59" fillId="0" borderId="31" xfId="5" quotePrefix="1" applyFont="1" applyBorder="1" applyAlignment="1">
      <alignment horizontal="center" vertical="center" wrapText="1"/>
    </xf>
    <xf numFmtId="0" fontId="57" fillId="0" borderId="31" xfId="5" applyFont="1" applyFill="1" applyBorder="1" applyAlignment="1">
      <alignment horizontal="center" vertical="center" wrapText="1"/>
    </xf>
    <xf numFmtId="0" fontId="57" fillId="28" borderId="31" xfId="5" applyFont="1" applyFill="1" applyBorder="1" applyAlignment="1">
      <alignment horizontal="center" vertical="center" wrapText="1"/>
    </xf>
    <xf numFmtId="0" fontId="55" fillId="0" borderId="31" xfId="5" applyFont="1" applyBorder="1" applyAlignment="1">
      <alignment vertical="center" wrapText="1"/>
    </xf>
    <xf numFmtId="0" fontId="57" fillId="0" borderId="31" xfId="5" applyFont="1" applyBorder="1" applyAlignment="1">
      <alignment horizontal="center" vertical="center" wrapText="1"/>
    </xf>
    <xf numFmtId="0" fontId="55" fillId="25" borderId="31" xfId="5" applyFont="1" applyFill="1" applyBorder="1" applyAlignment="1">
      <alignment horizontal="center" vertical="center"/>
    </xf>
    <xf numFmtId="0" fontId="55" fillId="25" borderId="31" xfId="5" applyFont="1" applyFill="1" applyBorder="1" applyAlignment="1">
      <alignment vertical="center"/>
    </xf>
    <xf numFmtId="0" fontId="55" fillId="25" borderId="31" xfId="5" applyFont="1" applyFill="1" applyBorder="1" applyAlignment="1">
      <alignment vertical="center" wrapText="1"/>
    </xf>
    <xf numFmtId="0" fontId="57" fillId="25" borderId="31" xfId="5" applyFont="1" applyFill="1" applyBorder="1" applyAlignment="1">
      <alignment horizontal="center" vertical="center" wrapText="1"/>
    </xf>
    <xf numFmtId="0" fontId="59" fillId="25" borderId="31" xfId="5" applyFont="1" applyFill="1" applyBorder="1" applyAlignment="1">
      <alignment horizontal="center" vertical="center" wrapText="1"/>
    </xf>
    <xf numFmtId="0" fontId="57" fillId="25" borderId="31" xfId="5" quotePrefix="1" applyFont="1" applyFill="1" applyBorder="1" applyAlignment="1">
      <alignment horizontal="center" vertical="center" wrapText="1"/>
    </xf>
    <xf numFmtId="0" fontId="55" fillId="28" borderId="31" xfId="5" applyFont="1" applyFill="1" applyBorder="1" applyAlignment="1">
      <alignment horizontal="center" vertical="center"/>
    </xf>
    <xf numFmtId="0" fontId="55" fillId="28" borderId="31" xfId="5" applyFont="1" applyFill="1" applyBorder="1" applyAlignment="1">
      <alignment vertical="center"/>
    </xf>
    <xf numFmtId="0" fontId="57" fillId="0" borderId="31" xfId="5" quotePrefix="1" applyFont="1" applyBorder="1" applyAlignment="1">
      <alignment horizontal="center" vertical="center" wrapText="1"/>
    </xf>
    <xf numFmtId="0" fontId="59" fillId="28" borderId="31" xfId="5" applyFont="1" applyFill="1" applyBorder="1" applyAlignment="1">
      <alignment horizontal="center" vertical="center" wrapText="1"/>
    </xf>
    <xf numFmtId="0" fontId="57" fillId="28" borderId="31" xfId="5" quotePrefix="1" applyFont="1" applyFill="1" applyBorder="1" applyAlignment="1">
      <alignment horizontal="center" vertical="center" wrapText="1"/>
    </xf>
    <xf numFmtId="0" fontId="62" fillId="25" borderId="31" xfId="5" applyFont="1" applyFill="1" applyBorder="1" applyAlignment="1">
      <alignment horizontal="center" vertical="center" wrapText="1"/>
    </xf>
    <xf numFmtId="0" fontId="57" fillId="0" borderId="31" xfId="5" quotePrefix="1" applyFont="1" applyFill="1" applyBorder="1" applyAlignment="1">
      <alignment horizontal="center" vertical="center" wrapText="1"/>
    </xf>
    <xf numFmtId="0" fontId="59" fillId="10" borderId="31" xfId="5" applyFont="1" applyFill="1" applyBorder="1" applyAlignment="1">
      <alignment horizontal="center" vertical="center" wrapText="1"/>
    </xf>
    <xf numFmtId="0" fontId="41" fillId="0" borderId="31" xfId="5" applyFont="1" applyBorder="1" applyAlignment="1">
      <alignment horizontal="center" vertical="center" wrapText="1"/>
    </xf>
    <xf numFmtId="0" fontId="57" fillId="12" borderId="31" xfId="5" applyFont="1" applyFill="1" applyBorder="1" applyAlignment="1">
      <alignment horizontal="center" vertical="center" wrapText="1"/>
    </xf>
    <xf numFmtId="0" fontId="57" fillId="27" borderId="31" xfId="5" applyFont="1" applyFill="1" applyBorder="1" applyAlignment="1">
      <alignment horizontal="center" vertical="center" wrapText="1"/>
    </xf>
    <xf numFmtId="0" fontId="57" fillId="0" borderId="31" xfId="5" applyFont="1" applyFill="1" applyBorder="1" applyAlignment="1">
      <alignment horizontal="right" vertical="center" wrapText="1"/>
    </xf>
    <xf numFmtId="0" fontId="60" fillId="0" borderId="31" xfId="5" applyFont="1" applyFill="1" applyBorder="1" applyAlignment="1">
      <alignment horizontal="center" vertical="center" wrapText="1"/>
    </xf>
    <xf numFmtId="0" fontId="41" fillId="0" borderId="31" xfId="5" applyFont="1" applyFill="1" applyBorder="1" applyAlignment="1">
      <alignment horizontal="center" vertical="center" wrapText="1"/>
    </xf>
    <xf numFmtId="0" fontId="55" fillId="0" borderId="31" xfId="5" applyFont="1" applyBorder="1" applyAlignment="1">
      <alignment horizontal="center" vertical="center" wrapText="1"/>
    </xf>
    <xf numFmtId="0" fontId="33" fillId="0" borderId="31" xfId="5" applyFont="1" applyFill="1" applyBorder="1" applyAlignment="1">
      <alignment vertical="center" wrapText="1"/>
    </xf>
    <xf numFmtId="0" fontId="59" fillId="0" borderId="31" xfId="5" quotePrefix="1" applyFont="1" applyFill="1" applyBorder="1" applyAlignment="1">
      <alignment horizontal="center" vertical="center" wrapText="1"/>
    </xf>
    <xf numFmtId="0" fontId="33" fillId="25" borderId="31" xfId="5" applyFont="1" applyFill="1" applyBorder="1" applyAlignment="1">
      <alignment vertical="center"/>
    </xf>
    <xf numFmtId="0" fontId="33" fillId="25" borderId="31" xfId="5" applyFont="1" applyFill="1" applyBorder="1" applyAlignment="1">
      <alignment vertical="center" wrapText="1"/>
    </xf>
    <xf numFmtId="0" fontId="59" fillId="25" borderId="31" xfId="5" quotePrefix="1" applyFont="1" applyFill="1" applyBorder="1" applyAlignment="1">
      <alignment horizontal="center" vertical="center" wrapText="1"/>
    </xf>
    <xf numFmtId="0" fontId="41" fillId="25" borderId="31" xfId="5" applyFont="1" applyFill="1" applyBorder="1" applyAlignment="1">
      <alignment horizontal="center" vertical="center" wrapText="1"/>
    </xf>
    <xf numFmtId="0" fontId="67" fillId="29" borderId="66" xfId="5" applyFont="1" applyFill="1" applyBorder="1" applyAlignment="1">
      <alignment horizontal="center" vertical="center" wrapText="1"/>
    </xf>
    <xf numFmtId="0" fontId="68" fillId="29" borderId="66" xfId="5" applyFont="1" applyFill="1" applyBorder="1" applyAlignment="1">
      <alignment horizontal="center" vertical="center" wrapText="1"/>
    </xf>
    <xf numFmtId="0" fontId="59" fillId="28" borderId="31" xfId="5" quotePrefix="1" applyFont="1" applyFill="1" applyBorder="1" applyAlignment="1">
      <alignment horizontal="center" vertical="center" wrapText="1"/>
    </xf>
    <xf numFmtId="0" fontId="62" fillId="28" borderId="31" xfId="5" applyFont="1" applyFill="1" applyBorder="1" applyAlignment="1">
      <alignment horizontal="center" vertical="center" wrapText="1"/>
    </xf>
    <xf numFmtId="0" fontId="33" fillId="28" borderId="31" xfId="5" applyFont="1" applyFill="1" applyBorder="1" applyAlignment="1">
      <alignment vertical="center" wrapText="1"/>
    </xf>
    <xf numFmtId="0" fontId="33" fillId="28" borderId="31" xfId="5" applyFont="1" applyFill="1" applyBorder="1" applyAlignment="1">
      <alignment vertical="center"/>
    </xf>
    <xf numFmtId="0" fontId="52" fillId="28" borderId="0" xfId="5" applyFont="1" applyFill="1" applyAlignment="1">
      <alignment vertical="center"/>
    </xf>
    <xf numFmtId="0" fontId="70" fillId="25" borderId="31" xfId="5" applyFont="1" applyFill="1" applyBorder="1" applyAlignment="1">
      <alignment horizontal="center" vertical="center" wrapText="1"/>
    </xf>
    <xf numFmtId="0" fontId="71" fillId="25" borderId="31" xfId="5" applyFont="1" applyFill="1" applyBorder="1" applyAlignment="1">
      <alignment horizontal="center" vertical="center" wrapText="1"/>
    </xf>
    <xf numFmtId="0" fontId="72" fillId="25" borderId="31" xfId="5" applyFont="1" applyFill="1" applyBorder="1" applyAlignment="1">
      <alignment horizontal="center" vertical="center" wrapText="1"/>
    </xf>
    <xf numFmtId="0" fontId="73" fillId="25" borderId="31" xfId="5" applyFont="1" applyFill="1" applyBorder="1" applyAlignment="1">
      <alignment vertical="center" wrapText="1"/>
    </xf>
    <xf numFmtId="0" fontId="73" fillId="25" borderId="31" xfId="5" applyFont="1" applyFill="1" applyBorder="1" applyAlignment="1">
      <alignment vertical="center"/>
    </xf>
    <xf numFmtId="0" fontId="73" fillId="25" borderId="31" xfId="5" applyFont="1" applyFill="1" applyBorder="1" applyAlignment="1">
      <alignment horizontal="center" vertical="center"/>
    </xf>
    <xf numFmtId="0" fontId="74" fillId="0" borderId="0" xfId="5" applyFont="1" applyAlignment="1">
      <alignment vertical="center"/>
    </xf>
    <xf numFmtId="0" fontId="41" fillId="28" borderId="31" xfId="5" applyFont="1" applyFill="1" applyBorder="1" applyAlignment="1">
      <alignment horizontal="center" vertical="center" wrapText="1"/>
    </xf>
    <xf numFmtId="0" fontId="39" fillId="0" borderId="0" xfId="5"/>
    <xf numFmtId="0" fontId="22" fillId="0" borderId="0" xfId="7" applyFont="1" applyAlignment="1" applyProtection="1">
      <alignment vertical="center" readingOrder="1"/>
      <protection hidden="1"/>
    </xf>
    <xf numFmtId="0" fontId="5" fillId="0" borderId="0" xfId="8">
      <alignment vertical="center"/>
    </xf>
    <xf numFmtId="0" fontId="54" fillId="0" borderId="72" xfId="8" applyFont="1" applyBorder="1" applyAlignment="1">
      <alignment horizontal="center" vertical="center"/>
    </xf>
    <xf numFmtId="0" fontId="54" fillId="0" borderId="11" xfId="8" applyFont="1" applyBorder="1" applyAlignment="1">
      <alignment horizontal="center" vertical="center"/>
    </xf>
    <xf numFmtId="0" fontId="54" fillId="0" borderId="49" xfId="8" applyFont="1" applyBorder="1">
      <alignment vertical="center"/>
    </xf>
    <xf numFmtId="0" fontId="54" fillId="0" borderId="73" xfId="8" applyFont="1" applyBorder="1" applyAlignment="1">
      <alignment horizontal="center" vertical="center"/>
    </xf>
    <xf numFmtId="0" fontId="54" fillId="0" borderId="0" xfId="8" applyFont="1" applyBorder="1" applyAlignment="1">
      <alignment horizontal="center" vertical="center"/>
    </xf>
    <xf numFmtId="0" fontId="54" fillId="0" borderId="50" xfId="8" applyFont="1" applyBorder="1">
      <alignment vertical="center"/>
    </xf>
    <xf numFmtId="0" fontId="54" fillId="0" borderId="74" xfId="8" applyFont="1" applyBorder="1" applyAlignment="1">
      <alignment horizontal="center" vertical="center"/>
    </xf>
    <xf numFmtId="0" fontId="54" fillId="0" borderId="12" xfId="8" applyFont="1" applyBorder="1" applyAlignment="1">
      <alignment horizontal="center" vertical="center"/>
    </xf>
    <xf numFmtId="0" fontId="54" fillId="0" borderId="52" xfId="8" applyFont="1" applyBorder="1">
      <alignment vertical="center"/>
    </xf>
    <xf numFmtId="0" fontId="55" fillId="10" borderId="31" xfId="5" applyFont="1" applyFill="1" applyBorder="1" applyAlignment="1">
      <alignment horizontal="center" vertical="center"/>
    </xf>
    <xf numFmtId="0" fontId="55" fillId="10" borderId="31" xfId="5" applyFont="1" applyFill="1" applyBorder="1" applyAlignment="1">
      <alignment vertical="center"/>
    </xf>
    <xf numFmtId="0" fontId="55" fillId="10" borderId="31" xfId="5" applyFont="1" applyFill="1" applyBorder="1" applyAlignment="1">
      <alignment vertical="center" wrapText="1"/>
    </xf>
    <xf numFmtId="0" fontId="57" fillId="10" borderId="31" xfId="5" applyFont="1" applyFill="1" applyBorder="1" applyAlignment="1">
      <alignment horizontal="center" vertical="center" wrapText="1"/>
    </xf>
    <xf numFmtId="0" fontId="57" fillId="10" borderId="31" xfId="5" quotePrefix="1" applyFont="1" applyFill="1" applyBorder="1" applyAlignment="1">
      <alignment horizontal="center" vertical="center" wrapText="1"/>
    </xf>
    <xf numFmtId="0" fontId="74" fillId="28" borderId="0" xfId="5" applyFont="1" applyFill="1" applyAlignment="1">
      <alignment vertical="center"/>
    </xf>
    <xf numFmtId="0" fontId="88" fillId="12" borderId="31" xfId="5" applyFont="1" applyFill="1" applyBorder="1" applyAlignment="1">
      <alignment horizontal="center" vertical="center"/>
    </xf>
    <xf numFmtId="0" fontId="73" fillId="12" borderId="31" xfId="5" applyFont="1" applyFill="1" applyBorder="1" applyAlignment="1">
      <alignment vertical="center" wrapText="1"/>
    </xf>
    <xf numFmtId="0" fontId="70" fillId="12" borderId="31" xfId="5" applyFont="1" applyFill="1" applyBorder="1" applyAlignment="1">
      <alignment horizontal="center" vertical="center" wrapText="1"/>
    </xf>
    <xf numFmtId="0" fontId="72" fillId="12" borderId="31" xfId="5" applyFont="1" applyFill="1" applyBorder="1" applyAlignment="1">
      <alignment horizontal="center" vertical="center" wrapText="1"/>
    </xf>
    <xf numFmtId="0" fontId="55" fillId="29" borderId="31" xfId="5" applyFont="1" applyFill="1" applyBorder="1" applyAlignment="1">
      <alignment horizontal="center" vertical="center"/>
    </xf>
    <xf numFmtId="0" fontId="55" fillId="29" borderId="31" xfId="5" applyFont="1" applyFill="1" applyBorder="1" applyAlignment="1">
      <alignment vertical="center"/>
    </xf>
    <xf numFmtId="0" fontId="55" fillId="29" borderId="31" xfId="5" applyFont="1" applyFill="1" applyBorder="1" applyAlignment="1">
      <alignment vertical="center" wrapText="1"/>
    </xf>
    <xf numFmtId="0" fontId="59" fillId="29" borderId="31" xfId="5" applyFont="1" applyFill="1" applyBorder="1" applyAlignment="1">
      <alignment horizontal="center" vertical="center" wrapText="1"/>
    </xf>
    <xf numFmtId="0" fontId="57" fillId="29" borderId="31" xfId="5" applyFont="1" applyFill="1" applyBorder="1" applyAlignment="1">
      <alignment horizontal="center" vertical="center" wrapText="1"/>
    </xf>
    <xf numFmtId="0" fontId="57" fillId="29" borderId="31" xfId="5" quotePrefix="1" applyFont="1" applyFill="1" applyBorder="1" applyAlignment="1">
      <alignment horizontal="center" vertical="center" wrapText="1"/>
    </xf>
    <xf numFmtId="0" fontId="54" fillId="28" borderId="0" xfId="5" applyFont="1" applyFill="1" applyAlignment="1">
      <alignment vertical="center"/>
    </xf>
    <xf numFmtId="0" fontId="57" fillId="29" borderId="31" xfId="5" applyFont="1" applyFill="1" applyBorder="1" applyAlignment="1">
      <alignment horizontal="right" vertical="center" wrapText="1"/>
    </xf>
    <xf numFmtId="0" fontId="89" fillId="29" borderId="31" xfId="5" applyFont="1" applyFill="1" applyBorder="1" applyAlignment="1">
      <alignment horizontal="center" vertical="center" wrapText="1"/>
    </xf>
    <xf numFmtId="0" fontId="55" fillId="31" borderId="31" xfId="5" applyFont="1" applyFill="1" applyBorder="1" applyAlignment="1">
      <alignment horizontal="center" vertical="center"/>
    </xf>
    <xf numFmtId="0" fontId="55" fillId="31" borderId="31" xfId="5" applyFont="1" applyFill="1" applyBorder="1" applyAlignment="1">
      <alignment vertical="center"/>
    </xf>
    <xf numFmtId="0" fontId="57" fillId="31" borderId="31" xfId="5" applyFont="1" applyFill="1" applyBorder="1" applyAlignment="1">
      <alignment horizontal="right" vertical="center" wrapText="1"/>
    </xf>
    <xf numFmtId="0" fontId="59" fillId="31" borderId="31" xfId="5" applyFont="1" applyFill="1" applyBorder="1" applyAlignment="1">
      <alignment horizontal="center" vertical="center" wrapText="1"/>
    </xf>
    <xf numFmtId="0" fontId="57" fillId="31" borderId="31" xfId="5" applyFont="1" applyFill="1" applyBorder="1" applyAlignment="1">
      <alignment horizontal="center" vertical="center" wrapText="1"/>
    </xf>
    <xf numFmtId="0" fontId="60" fillId="31" borderId="31" xfId="5" applyFont="1" applyFill="1" applyBorder="1" applyAlignment="1">
      <alignment horizontal="center" vertical="center" wrapText="1"/>
    </xf>
    <xf numFmtId="0" fontId="57" fillId="31" borderId="31" xfId="5" quotePrefix="1" applyFont="1" applyFill="1" applyBorder="1" applyAlignment="1">
      <alignment horizontal="center" vertical="center" wrapText="1"/>
    </xf>
    <xf numFmtId="0" fontId="55" fillId="31" borderId="31" xfId="5" applyFont="1" applyFill="1" applyBorder="1" applyAlignment="1">
      <alignment vertical="center" wrapText="1"/>
    </xf>
    <xf numFmtId="0" fontId="55" fillId="25" borderId="31" xfId="5" applyFont="1" applyFill="1" applyBorder="1" applyAlignment="1">
      <alignment horizontal="center" vertical="center" wrapText="1"/>
    </xf>
    <xf numFmtId="0" fontId="33" fillId="29" borderId="31" xfId="5" applyFont="1" applyFill="1" applyBorder="1" applyAlignment="1">
      <alignment vertical="center" wrapText="1"/>
    </xf>
    <xf numFmtId="0" fontId="62" fillId="29" borderId="31" xfId="5" applyFont="1" applyFill="1" applyBorder="1" applyAlignment="1">
      <alignment horizontal="center" vertical="center" wrapText="1"/>
    </xf>
    <xf numFmtId="0" fontId="59" fillId="29" borderId="31" xfId="5" quotePrefix="1" applyFont="1" applyFill="1" applyBorder="1" applyAlignment="1">
      <alignment horizontal="center" vertical="center" wrapText="1"/>
    </xf>
    <xf numFmtId="0" fontId="33" fillId="10" borderId="31" xfId="5" applyFont="1" applyFill="1" applyBorder="1" applyAlignment="1">
      <alignment vertical="center"/>
    </xf>
    <xf numFmtId="0" fontId="33" fillId="10" borderId="31" xfId="5" applyFont="1" applyFill="1" applyBorder="1" applyAlignment="1">
      <alignment vertical="center" wrapText="1"/>
    </xf>
    <xf numFmtId="0" fontId="62" fillId="10" borderId="31" xfId="5" applyFont="1" applyFill="1" applyBorder="1" applyAlignment="1">
      <alignment horizontal="center" vertical="center" wrapText="1"/>
    </xf>
    <xf numFmtId="0" fontId="59" fillId="10" borderId="31" xfId="5" quotePrefix="1" applyFont="1" applyFill="1" applyBorder="1" applyAlignment="1">
      <alignment horizontal="center" vertical="center" wrapText="1"/>
    </xf>
    <xf numFmtId="0" fontId="33" fillId="10" borderId="31" xfId="5" applyFont="1" applyFill="1" applyBorder="1" applyAlignment="1">
      <alignment horizontal="center" vertical="center" wrapText="1"/>
    </xf>
    <xf numFmtId="0" fontId="59" fillId="20" borderId="31" xfId="5" applyFont="1" applyFill="1" applyBorder="1" applyAlignment="1">
      <alignment horizontal="center" vertical="center" wrapText="1"/>
    </xf>
    <xf numFmtId="0" fontId="59" fillId="32" borderId="31" xfId="5" applyFont="1" applyFill="1" applyBorder="1" applyAlignment="1">
      <alignment horizontal="center" vertical="center" wrapText="1"/>
    </xf>
    <xf numFmtId="0" fontId="59" fillId="15" borderId="31" xfId="5" applyFont="1" applyFill="1" applyBorder="1" applyAlignment="1">
      <alignment horizontal="center" vertical="center" wrapText="1"/>
    </xf>
    <xf numFmtId="0" fontId="57" fillId="20" borderId="31" xfId="5" applyFont="1" applyFill="1" applyBorder="1" applyAlignment="1">
      <alignment horizontal="center" vertical="center" wrapText="1"/>
    </xf>
    <xf numFmtId="0" fontId="59" fillId="12" borderId="31" xfId="5" applyFont="1" applyFill="1" applyBorder="1" applyAlignment="1">
      <alignment horizontal="center" vertical="center" wrapText="1"/>
    </xf>
    <xf numFmtId="0" fontId="57" fillId="33" borderId="31" xfId="5" applyFont="1" applyFill="1" applyBorder="1" applyAlignment="1">
      <alignment horizontal="center" vertical="center" wrapText="1"/>
    </xf>
    <xf numFmtId="0" fontId="59" fillId="33" borderId="31" xfId="5" applyFont="1" applyFill="1" applyBorder="1" applyAlignment="1">
      <alignment horizontal="center" vertical="center" wrapText="1"/>
    </xf>
    <xf numFmtId="0" fontId="57" fillId="32" borderId="31" xfId="5" applyFont="1" applyFill="1" applyBorder="1" applyAlignment="1">
      <alignment horizontal="center" vertical="center" wrapText="1"/>
    </xf>
    <xf numFmtId="0" fontId="90" fillId="30" borderId="70" xfId="7" applyFont="1" applyFill="1" applyBorder="1" applyAlignment="1" applyProtection="1">
      <alignment horizontal="center" vertical="center" wrapText="1" readingOrder="1"/>
      <protection hidden="1"/>
    </xf>
    <xf numFmtId="0" fontId="90" fillId="30" borderId="75" xfId="7" applyFont="1" applyFill="1" applyBorder="1" applyAlignment="1" applyProtection="1">
      <alignment horizontal="center" vertical="center" wrapText="1" readingOrder="1"/>
      <protection hidden="1"/>
    </xf>
    <xf numFmtId="0" fontId="90" fillId="30" borderId="77" xfId="7" applyFont="1" applyFill="1" applyBorder="1" applyAlignment="1" applyProtection="1">
      <alignment horizontal="center" vertical="center" wrapText="1" readingOrder="1"/>
      <protection hidden="1"/>
    </xf>
    <xf numFmtId="0" fontId="92" fillId="30" borderId="31" xfId="7" applyFont="1" applyFill="1" applyBorder="1" applyAlignment="1" applyProtection="1">
      <alignment horizontal="center" vertical="center" wrapText="1" readingOrder="1"/>
      <protection hidden="1"/>
    </xf>
    <xf numFmtId="0" fontId="81" fillId="20" borderId="0" xfId="7" applyFont="1" applyFill="1" applyAlignment="1" applyProtection="1">
      <alignment vertical="center" readingOrder="1"/>
      <protection hidden="1"/>
    </xf>
    <xf numFmtId="0" fontId="81" fillId="20" borderId="80" xfId="7" applyFont="1" applyFill="1" applyBorder="1" applyAlignment="1" applyProtection="1">
      <alignment vertical="center" readingOrder="1"/>
      <protection hidden="1"/>
    </xf>
    <xf numFmtId="0" fontId="22" fillId="0" borderId="80" xfId="7" applyFont="1" applyBorder="1" applyAlignment="1" applyProtection="1">
      <alignment vertical="center" readingOrder="1"/>
      <protection hidden="1"/>
    </xf>
    <xf numFmtId="0" fontId="90" fillId="17" borderId="70" xfId="7" applyFont="1" applyFill="1" applyBorder="1" applyAlignment="1" applyProtection="1">
      <alignment horizontal="center" vertical="center" wrapText="1" readingOrder="1"/>
      <protection hidden="1"/>
    </xf>
    <xf numFmtId="0" fontId="81" fillId="17" borderId="0" xfId="7" applyFont="1" applyFill="1" applyAlignment="1" applyProtection="1">
      <alignment vertical="center" readingOrder="1"/>
      <protection hidden="1"/>
    </xf>
    <xf numFmtId="0" fontId="22" fillId="17" borderId="0" xfId="7" applyFont="1" applyFill="1" applyAlignment="1" applyProtection="1">
      <alignment vertical="center" readingOrder="1"/>
      <protection hidden="1"/>
    </xf>
    <xf numFmtId="0" fontId="55" fillId="28" borderId="31" xfId="5" applyFont="1" applyFill="1" applyBorder="1" applyAlignment="1">
      <alignment vertical="center" wrapText="1"/>
    </xf>
    <xf numFmtId="0" fontId="95" fillId="28" borderId="31" xfId="5" applyFont="1" applyFill="1" applyBorder="1" applyAlignment="1">
      <alignment vertical="center"/>
    </xf>
    <xf numFmtId="0" fontId="41" fillId="0" borderId="82" xfId="5" quotePrefix="1" applyFont="1" applyFill="1" applyBorder="1" applyAlignment="1">
      <alignment horizontal="center" vertical="center"/>
    </xf>
    <xf numFmtId="0" fontId="83" fillId="28" borderId="31" xfId="5" applyFont="1" applyFill="1" applyBorder="1" applyAlignment="1">
      <alignment horizontal="center" vertical="center" wrapText="1"/>
    </xf>
    <xf numFmtId="0" fontId="41" fillId="28" borderId="31" xfId="5" applyFont="1" applyFill="1" applyBorder="1" applyAlignment="1">
      <alignment horizontal="center" vertical="center"/>
    </xf>
    <xf numFmtId="0" fontId="41" fillId="28" borderId="31" xfId="5" applyFont="1" applyFill="1" applyBorder="1" applyAlignment="1">
      <alignment vertical="center" wrapText="1"/>
    </xf>
    <xf numFmtId="0" fontId="88" fillId="28" borderId="31" xfId="5" applyFont="1" applyFill="1" applyBorder="1" applyAlignment="1">
      <alignment horizontal="center" vertical="center"/>
    </xf>
    <xf numFmtId="0" fontId="73" fillId="28" borderId="31" xfId="5" applyFont="1" applyFill="1" applyBorder="1" applyAlignment="1">
      <alignment vertical="center" wrapText="1"/>
    </xf>
    <xf numFmtId="0" fontId="70" fillId="28" borderId="31" xfId="5" applyFont="1" applyFill="1" applyBorder="1" applyAlignment="1">
      <alignment horizontal="center" vertical="center" wrapText="1"/>
    </xf>
    <xf numFmtId="0" fontId="75" fillId="28" borderId="31" xfId="5" applyFont="1" applyFill="1" applyBorder="1" applyAlignment="1">
      <alignment horizontal="center" vertical="center" wrapText="1"/>
    </xf>
    <xf numFmtId="0" fontId="72" fillId="28" borderId="31" xfId="5" applyFont="1" applyFill="1" applyBorder="1" applyAlignment="1">
      <alignment horizontal="center" vertical="center" wrapText="1"/>
    </xf>
    <xf numFmtId="0" fontId="70" fillId="28" borderId="31" xfId="5" quotePrefix="1" applyFont="1" applyFill="1" applyBorder="1" applyAlignment="1">
      <alignment horizontal="center" vertical="center" wrapText="1"/>
    </xf>
    <xf numFmtId="0" fontId="64" fillId="28" borderId="0" xfId="5" applyFont="1" applyFill="1" applyAlignment="1">
      <alignment vertical="center"/>
    </xf>
    <xf numFmtId="0" fontId="57" fillId="28" borderId="31" xfId="5" applyFont="1" applyFill="1" applyBorder="1" applyAlignment="1">
      <alignment horizontal="right" vertical="center" wrapText="1"/>
    </xf>
    <xf numFmtId="0" fontId="89" fillId="28" borderId="31" xfId="5" applyFont="1" applyFill="1" applyBorder="1" applyAlignment="1">
      <alignment horizontal="center" vertical="center" wrapText="1"/>
    </xf>
    <xf numFmtId="0" fontId="60" fillId="28" borderId="31" xfId="5" applyFont="1" applyFill="1" applyBorder="1" applyAlignment="1">
      <alignment horizontal="center" vertical="center" wrapText="1"/>
    </xf>
    <xf numFmtId="0" fontId="55" fillId="28" borderId="31" xfId="5" applyFont="1" applyFill="1" applyBorder="1" applyAlignment="1">
      <alignment horizontal="center" vertical="center" wrapText="1"/>
    </xf>
    <xf numFmtId="0" fontId="33" fillId="28" borderId="31" xfId="5" applyFont="1" applyFill="1" applyBorder="1" applyAlignment="1">
      <alignment horizontal="center" vertical="center" wrapText="1"/>
    </xf>
    <xf numFmtId="0" fontId="54" fillId="28" borderId="0" xfId="5" applyFont="1" applyFill="1" applyAlignment="1">
      <alignment horizontal="center" vertical="center"/>
    </xf>
    <xf numFmtId="0" fontId="57" fillId="28" borderId="31" xfId="5" applyFont="1" applyFill="1" applyBorder="1" applyAlignment="1">
      <alignment vertical="center" wrapText="1"/>
    </xf>
    <xf numFmtId="0" fontId="57" fillId="28" borderId="31" xfId="5" applyFont="1" applyFill="1" applyBorder="1" applyAlignment="1">
      <alignment horizontal="center" vertical="center"/>
    </xf>
    <xf numFmtId="0" fontId="97" fillId="28" borderId="31" xfId="5" applyFont="1" applyFill="1" applyBorder="1" applyAlignment="1">
      <alignment vertical="center"/>
    </xf>
    <xf numFmtId="0" fontId="98" fillId="28" borderId="31" xfId="5" applyFont="1" applyFill="1" applyBorder="1" applyAlignment="1">
      <alignment horizontal="center" vertical="center" wrapText="1"/>
    </xf>
    <xf numFmtId="0" fontId="57" fillId="0" borderId="82" xfId="5" quotePrefix="1" applyFont="1" applyFill="1" applyBorder="1" applyAlignment="1">
      <alignment horizontal="center" vertical="center"/>
    </xf>
    <xf numFmtId="0" fontId="99" fillId="0" borderId="31" xfId="5" applyFont="1" applyBorder="1" applyAlignment="1">
      <alignment horizontal="center" vertical="center"/>
    </xf>
    <xf numFmtId="0" fontId="41" fillId="28" borderId="31" xfId="5" applyFont="1" applyFill="1" applyBorder="1" applyAlignment="1">
      <alignment vertical="center"/>
    </xf>
    <xf numFmtId="0" fontId="96" fillId="28" borderId="0" xfId="5" applyFont="1" applyFill="1" applyBorder="1" applyAlignment="1">
      <alignment vertical="center"/>
    </xf>
    <xf numFmtId="0" fontId="100" fillId="28" borderId="0" xfId="5" applyFont="1" applyFill="1" applyAlignment="1">
      <alignment vertical="center"/>
    </xf>
    <xf numFmtId="0" fontId="0" fillId="0" borderId="0" xfId="0" applyProtection="1">
      <alignment vertical="center"/>
      <protection hidden="1"/>
    </xf>
    <xf numFmtId="0" fontId="0" fillId="15" borderId="0" xfId="0" applyFill="1" applyProtection="1">
      <alignment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0" fillId="0" borderId="67" xfId="0" applyBorder="1" applyProtection="1">
      <alignment vertical="center"/>
      <protection hidden="1"/>
    </xf>
    <xf numFmtId="0" fontId="0" fillId="0" borderId="68" xfId="0" applyBorder="1" applyAlignment="1" applyProtection="1">
      <alignment horizontal="right" vertical="center"/>
      <protection hidden="1"/>
    </xf>
    <xf numFmtId="0" fontId="0" fillId="17" borderId="68" xfId="0" applyFill="1" applyBorder="1" applyProtection="1">
      <alignment vertical="center"/>
      <protection hidden="1"/>
    </xf>
    <xf numFmtId="0" fontId="0" fillId="0" borderId="68" xfId="0" applyBorder="1" applyProtection="1">
      <alignment vertical="center"/>
      <protection hidden="1"/>
    </xf>
    <xf numFmtId="0" fontId="0" fillId="17" borderId="69" xfId="0" applyFill="1" applyBorder="1" applyProtection="1">
      <alignment vertical="center"/>
      <protection hidden="1"/>
    </xf>
    <xf numFmtId="0" fontId="12" fillId="0" borderId="1" xfId="0" applyFont="1" applyBorder="1" applyProtection="1">
      <alignment vertical="center"/>
      <protection hidden="1"/>
    </xf>
    <xf numFmtId="0" fontId="0" fillId="0" borderId="2" xfId="0" applyBorder="1" applyProtection="1">
      <alignment vertical="center"/>
      <protection hidden="1"/>
    </xf>
    <xf numFmtId="0" fontId="0" fillId="0" borderId="16" xfId="0" applyBorder="1" applyProtection="1">
      <alignment vertical="center"/>
      <protection hidden="1"/>
    </xf>
    <xf numFmtId="0" fontId="0" fillId="0" borderId="3" xfId="0" applyBorder="1" applyProtection="1">
      <alignment vertical="center"/>
      <protection hidden="1"/>
    </xf>
    <xf numFmtId="0" fontId="0" fillId="9" borderId="0" xfId="0" quotePrefix="1" applyFill="1" applyProtection="1">
      <alignment vertical="center"/>
      <protection hidden="1"/>
    </xf>
    <xf numFmtId="0" fontId="0" fillId="9" borderId="0" xfId="0" applyFill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0" borderId="13" xfId="0" applyFill="1" applyBorder="1" applyProtection="1">
      <alignment vertical="center"/>
      <protection hidden="1"/>
    </xf>
    <xf numFmtId="0" fontId="0" fillId="0" borderId="5" xfId="0" applyBorder="1" applyProtection="1">
      <alignment vertical="center"/>
      <protection hidden="1"/>
    </xf>
    <xf numFmtId="0" fontId="0" fillId="0" borderId="13" xfId="0" applyBorder="1" applyProtection="1">
      <alignment vertical="center"/>
      <protection hidden="1"/>
    </xf>
    <xf numFmtId="0" fontId="0" fillId="0" borderId="20" xfId="0" applyBorder="1" applyProtection="1">
      <alignment vertical="center"/>
      <protection hidden="1"/>
    </xf>
    <xf numFmtId="0" fontId="0" fillId="0" borderId="17" xfId="0" applyBorder="1" applyProtection="1">
      <alignment vertical="center"/>
      <protection hidden="1"/>
    </xf>
    <xf numFmtId="0" fontId="0" fillId="0" borderId="14" xfId="0" applyBorder="1" applyProtection="1">
      <alignment vertical="center"/>
      <protection hidden="1"/>
    </xf>
    <xf numFmtId="0" fontId="0" fillId="0" borderId="15" xfId="0" applyBorder="1" applyProtection="1">
      <alignment vertical="center"/>
      <protection hidden="1"/>
    </xf>
    <xf numFmtId="0" fontId="0" fillId="0" borderId="23" xfId="0" applyBorder="1" applyProtection="1">
      <alignment vertical="center"/>
      <protection hidden="1"/>
    </xf>
    <xf numFmtId="0" fontId="0" fillId="0" borderId="34" xfId="0" applyBorder="1" applyProtection="1">
      <alignment vertical="center"/>
      <protection hidden="1"/>
    </xf>
    <xf numFmtId="0" fontId="12" fillId="0" borderId="18" xfId="0" applyFont="1" applyFill="1" applyBorder="1" applyProtection="1">
      <alignment vertical="center"/>
      <protection hidden="1"/>
    </xf>
    <xf numFmtId="0" fontId="0" fillId="0" borderId="11" xfId="0" applyBorder="1" applyProtection="1">
      <alignment vertical="center"/>
      <protection hidden="1"/>
    </xf>
    <xf numFmtId="0" fontId="0" fillId="0" borderId="33" xfId="0" applyBorder="1" applyProtection="1">
      <alignment vertical="center"/>
      <protection hidden="1"/>
    </xf>
    <xf numFmtId="0" fontId="12" fillId="0" borderId="4" xfId="0" applyFont="1" applyFill="1" applyBorder="1" applyProtection="1">
      <alignment vertical="center"/>
      <protection hidden="1"/>
    </xf>
    <xf numFmtId="0" fontId="31" fillId="0" borderId="0" xfId="0" applyFont="1" applyFill="1" applyBorder="1" applyProtection="1">
      <alignment vertical="center"/>
      <protection hidden="1"/>
    </xf>
    <xf numFmtId="0" fontId="0" fillId="0" borderId="19" xfId="0" applyBorder="1" applyProtection="1">
      <alignment vertical="center"/>
      <protection hidden="1"/>
    </xf>
    <xf numFmtId="0" fontId="0" fillId="0" borderId="12" xfId="0" applyBorder="1" applyProtection="1">
      <alignment vertical="center"/>
      <protection hidden="1"/>
    </xf>
    <xf numFmtId="0" fontId="0" fillId="0" borderId="12" xfId="0" applyFill="1" applyBorder="1" applyProtection="1">
      <alignment vertical="center"/>
      <protection hidden="1"/>
    </xf>
    <xf numFmtId="0" fontId="0" fillId="0" borderId="32" xfId="0" applyBorder="1" applyProtection="1">
      <alignment vertical="center"/>
      <protection hidden="1"/>
    </xf>
    <xf numFmtId="0" fontId="12" fillId="0" borderId="18" xfId="0" applyFont="1" applyBorder="1" applyProtection="1">
      <alignment vertical="center"/>
      <protection hidden="1"/>
    </xf>
    <xf numFmtId="0" fontId="0" fillId="18" borderId="37" xfId="0" applyFill="1" applyBorder="1" applyProtection="1">
      <alignment vertical="center"/>
      <protection hidden="1"/>
    </xf>
    <xf numFmtId="0" fontId="0" fillId="13" borderId="0" xfId="0" applyFill="1" applyProtection="1">
      <alignment vertical="center"/>
      <protection hidden="1"/>
    </xf>
    <xf numFmtId="0" fontId="0" fillId="18" borderId="38" xfId="0" applyFill="1" applyBorder="1" applyProtection="1">
      <alignment vertical="center"/>
      <protection hidden="1"/>
    </xf>
    <xf numFmtId="0" fontId="0" fillId="0" borderId="25" xfId="0" applyBorder="1" applyProtection="1">
      <alignment vertical="center"/>
      <protection hidden="1"/>
    </xf>
    <xf numFmtId="0" fontId="0" fillId="0" borderId="28" xfId="0" applyBorder="1" applyProtection="1">
      <alignment vertical="center"/>
      <protection hidden="1"/>
    </xf>
    <xf numFmtId="0" fontId="14" fillId="0" borderId="0" xfId="0" applyFont="1" applyBorder="1" applyProtection="1">
      <alignment vertical="center"/>
      <protection hidden="1"/>
    </xf>
    <xf numFmtId="0" fontId="31" fillId="0" borderId="0" xfId="0" applyNumberFormat="1" applyFont="1" applyBorder="1" applyProtection="1">
      <alignment vertical="center"/>
      <protection hidden="1"/>
    </xf>
    <xf numFmtId="0" fontId="0" fillId="0" borderId="6" xfId="0" applyBorder="1" applyProtection="1">
      <alignment vertical="center"/>
      <protection hidden="1"/>
    </xf>
    <xf numFmtId="0" fontId="0" fillId="0" borderId="7" xfId="0" applyBorder="1" applyProtection="1">
      <alignment vertical="center"/>
      <protection hidden="1"/>
    </xf>
    <xf numFmtId="0" fontId="0" fillId="0" borderId="8" xfId="0" applyBorder="1" applyProtection="1">
      <alignment vertical="center"/>
      <protection hidden="1"/>
    </xf>
    <xf numFmtId="0" fontId="0" fillId="10" borderId="0" xfId="0" applyFill="1" applyBorder="1" applyProtection="1">
      <alignment vertical="center"/>
      <protection locked="0"/>
    </xf>
    <xf numFmtId="0" fontId="0" fillId="10" borderId="11" xfId="0" applyFill="1" applyBorder="1" applyProtection="1">
      <alignment vertical="center"/>
      <protection locked="0"/>
    </xf>
    <xf numFmtId="0" fontId="0" fillId="10" borderId="68" xfId="0" applyFill="1" applyBorder="1" applyProtection="1">
      <alignment vertical="center"/>
      <protection locked="0"/>
    </xf>
    <xf numFmtId="0" fontId="0" fillId="10" borderId="0" xfId="0" applyFill="1" applyProtection="1">
      <alignment vertical="center"/>
      <protection locked="0"/>
    </xf>
    <xf numFmtId="0" fontId="0" fillId="11" borderId="0" xfId="0" applyFill="1" applyProtection="1">
      <alignment vertical="center"/>
      <protection hidden="1"/>
    </xf>
    <xf numFmtId="0" fontId="0" fillId="15" borderId="0" xfId="0" applyFont="1" applyFill="1" applyProtection="1">
      <alignment vertical="center"/>
      <protection hidden="1"/>
    </xf>
    <xf numFmtId="0" fontId="0" fillId="34" borderId="0" xfId="0" applyFill="1" applyProtection="1">
      <alignment vertical="center"/>
      <protection hidden="1"/>
    </xf>
    <xf numFmtId="0" fontId="15" fillId="0" borderId="0" xfId="0" applyFont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15" fillId="0" borderId="2" xfId="0" applyFont="1" applyBorder="1" applyProtection="1">
      <alignment vertical="center"/>
      <protection hidden="1"/>
    </xf>
    <xf numFmtId="0" fontId="0" fillId="0" borderId="44" xfId="0" applyBorder="1" applyProtection="1">
      <alignment vertical="center"/>
      <protection hidden="1"/>
    </xf>
    <xf numFmtId="0" fontId="0" fillId="0" borderId="45" xfId="0" applyBorder="1" applyProtection="1">
      <alignment vertical="center"/>
      <protection hidden="1"/>
    </xf>
    <xf numFmtId="0" fontId="0" fillId="0" borderId="18" xfId="0" applyBorder="1" applyProtection="1">
      <alignment vertical="center"/>
      <protection hidden="1"/>
    </xf>
    <xf numFmtId="0" fontId="0" fillId="0" borderId="49" xfId="0" applyBorder="1" applyProtection="1">
      <alignment vertical="center"/>
      <protection hidden="1"/>
    </xf>
    <xf numFmtId="0" fontId="0" fillId="20" borderId="4" xfId="0" applyFill="1" applyBorder="1" applyProtection="1">
      <alignment vertical="center"/>
      <protection hidden="1"/>
    </xf>
    <xf numFmtId="0" fontId="0" fillId="20" borderId="0" xfId="0" applyFill="1" applyBorder="1" applyProtection="1">
      <alignment vertical="center"/>
      <protection hidden="1"/>
    </xf>
    <xf numFmtId="0" fontId="0" fillId="0" borderId="50" xfId="0" applyBorder="1" applyProtection="1">
      <alignment vertical="center"/>
      <protection hidden="1"/>
    </xf>
    <xf numFmtId="0" fontId="16" fillId="0" borderId="46" xfId="0" applyFont="1" applyBorder="1" applyProtection="1">
      <alignment vertical="center"/>
      <protection hidden="1"/>
    </xf>
    <xf numFmtId="0" fontId="16" fillId="0" borderId="47" xfId="0" applyFont="1" applyBorder="1" applyProtection="1">
      <alignment vertical="center"/>
      <protection hidden="1"/>
    </xf>
    <xf numFmtId="0" fontId="0" fillId="0" borderId="51" xfId="0" applyBorder="1" applyProtection="1">
      <alignment vertical="center"/>
      <protection hidden="1"/>
    </xf>
    <xf numFmtId="0" fontId="0" fillId="0" borderId="48" xfId="0" applyBorder="1" applyProtection="1">
      <alignment vertical="center"/>
      <protection hidden="1"/>
    </xf>
    <xf numFmtId="0" fontId="0" fillId="0" borderId="47" xfId="0" applyBorder="1" applyProtection="1">
      <alignment vertical="center"/>
      <protection hidden="1"/>
    </xf>
    <xf numFmtId="0" fontId="0" fillId="19" borderId="26" xfId="0" applyFill="1" applyBorder="1" applyProtection="1">
      <alignment vertical="center"/>
      <protection hidden="1"/>
    </xf>
    <xf numFmtId="0" fontId="0" fillId="19" borderId="27" xfId="0" applyFill="1" applyBorder="1" applyProtection="1">
      <alignment vertical="center"/>
      <protection hidden="1"/>
    </xf>
    <xf numFmtId="0" fontId="0" fillId="19" borderId="0" xfId="0" applyFill="1" applyBorder="1" applyProtection="1">
      <alignment vertical="center"/>
      <protection hidden="1"/>
    </xf>
    <xf numFmtId="0" fontId="0" fillId="19" borderId="41" xfId="0" applyFill="1" applyBorder="1" applyProtection="1">
      <alignment vertical="center"/>
      <protection hidden="1"/>
    </xf>
    <xf numFmtId="0" fontId="0" fillId="19" borderId="28" xfId="0" applyFill="1" applyBorder="1" applyProtection="1">
      <alignment vertical="center"/>
      <protection hidden="1"/>
    </xf>
    <xf numFmtId="0" fontId="0" fillId="19" borderId="29" xfId="0" applyFill="1" applyBorder="1" applyProtection="1">
      <alignment vertical="center"/>
      <protection hidden="1"/>
    </xf>
    <xf numFmtId="0" fontId="0" fillId="19" borderId="30" xfId="0" applyFill="1" applyBorder="1" applyProtection="1">
      <alignment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0" borderId="27" xfId="0" applyBorder="1" applyProtection="1">
      <alignment vertical="center"/>
      <protection hidden="1"/>
    </xf>
    <xf numFmtId="0" fontId="0" fillId="0" borderId="41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30" xfId="0" applyBorder="1" applyProtection="1">
      <alignment vertical="center"/>
      <protection hidden="1"/>
    </xf>
    <xf numFmtId="0" fontId="0" fillId="10" borderId="43" xfId="0" applyFill="1" applyBorder="1" applyProtection="1">
      <alignment vertical="center"/>
      <protection locked="0"/>
    </xf>
    <xf numFmtId="14" fontId="0" fillId="0" borderId="0" xfId="0" applyNumberFormat="1" applyProtection="1">
      <alignment vertical="center"/>
      <protection hidden="1"/>
    </xf>
    <xf numFmtId="0" fontId="16" fillId="0" borderId="19" xfId="0" applyFont="1" applyBorder="1" applyProtection="1">
      <alignment vertical="center"/>
      <protection hidden="1"/>
    </xf>
    <xf numFmtId="0" fontId="0" fillId="0" borderId="52" xfId="0" applyBorder="1" applyProtection="1">
      <alignment vertical="center"/>
      <protection hidden="1"/>
    </xf>
    <xf numFmtId="0" fontId="0" fillId="10" borderId="2" xfId="0" applyFill="1" applyBorder="1" applyProtection="1">
      <alignment vertical="center"/>
      <protection locked="0"/>
    </xf>
    <xf numFmtId="0" fontId="26" fillId="0" borderId="0" xfId="0" applyFont="1" applyProtection="1">
      <alignment vertical="center"/>
      <protection hidden="1"/>
    </xf>
    <xf numFmtId="0" fontId="27" fillId="0" borderId="0" xfId="0" applyFont="1" applyProtection="1">
      <alignment vertical="center"/>
      <protection hidden="1"/>
    </xf>
    <xf numFmtId="0" fontId="12" fillId="0" borderId="0" xfId="0" applyFont="1" applyProtection="1">
      <alignment vertical="center"/>
      <protection hidden="1"/>
    </xf>
    <xf numFmtId="0" fontId="0" fillId="2" borderId="0" xfId="0" applyFill="1" applyProtection="1">
      <alignment vertical="center"/>
      <protection hidden="1"/>
    </xf>
    <xf numFmtId="0" fontId="0" fillId="0" borderId="0" xfId="0" quotePrefix="1" applyProtection="1">
      <alignment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12" borderId="0" xfId="0" applyFill="1" applyProtection="1">
      <alignment vertical="center"/>
      <protection hidden="1"/>
    </xf>
    <xf numFmtId="0" fontId="0" fillId="20" borderId="0" xfId="0" applyFill="1" applyProtection="1">
      <alignment vertical="center"/>
      <protection hidden="1"/>
    </xf>
    <xf numFmtId="177" fontId="0" fillId="0" borderId="0" xfId="0" applyNumberFormat="1" applyProtection="1">
      <alignment vertical="center"/>
      <protection hidden="1"/>
    </xf>
    <xf numFmtId="0" fontId="0" fillId="10" borderId="2" xfId="0" applyFill="1" applyBorder="1" applyAlignment="1" applyProtection="1">
      <alignment horizontal="center" vertical="center"/>
      <protection locked="0"/>
    </xf>
    <xf numFmtId="0" fontId="104" fillId="30" borderId="70" xfId="7" applyFont="1" applyFill="1" applyBorder="1" applyAlignment="1" applyProtection="1">
      <alignment horizontal="center" vertical="center" wrapText="1" readingOrder="1"/>
      <protection hidden="1"/>
    </xf>
    <xf numFmtId="0" fontId="106" fillId="20" borderId="0" xfId="7" applyFont="1" applyFill="1" applyAlignment="1" applyProtection="1">
      <alignment vertical="center" readingOrder="1"/>
      <protection hidden="1"/>
    </xf>
    <xf numFmtId="0" fontId="105" fillId="0" borderId="0" xfId="7" applyFont="1" applyAlignment="1" applyProtection="1">
      <alignment vertical="center" readingOrder="1"/>
      <protection hidden="1"/>
    </xf>
    <xf numFmtId="0" fontId="114" fillId="0" borderId="0" xfId="5" applyFont="1" applyAlignment="1">
      <alignment vertical="center"/>
    </xf>
    <xf numFmtId="0" fontId="39" fillId="0" borderId="0" xfId="5" applyAlignment="1">
      <alignment vertical="center"/>
    </xf>
    <xf numFmtId="0" fontId="39" fillId="0" borderId="0" xfId="5" applyAlignment="1">
      <alignment vertical="center" wrapText="1"/>
    </xf>
    <xf numFmtId="0" fontId="54" fillId="0" borderId="11" xfId="8" applyFont="1" applyBorder="1">
      <alignment vertical="center"/>
    </xf>
    <xf numFmtId="0" fontId="5" fillId="0" borderId="49" xfId="8" applyBorder="1">
      <alignment vertical="center"/>
    </xf>
    <xf numFmtId="0" fontId="54" fillId="0" borderId="0" xfId="8" applyFont="1" applyBorder="1">
      <alignment vertical="center"/>
    </xf>
    <xf numFmtId="0" fontId="54" fillId="0" borderId="12" xfId="8" applyFont="1" applyBorder="1">
      <alignment vertical="center"/>
    </xf>
    <xf numFmtId="0" fontId="5" fillId="0" borderId="0" xfId="8" applyBorder="1">
      <alignment vertical="center"/>
    </xf>
    <xf numFmtId="0" fontId="4" fillId="0" borderId="0" xfId="8" applyFont="1">
      <alignment vertical="center"/>
    </xf>
    <xf numFmtId="0" fontId="4" fillId="0" borderId="0" xfId="8" quotePrefix="1" applyFont="1">
      <alignment vertical="center"/>
    </xf>
    <xf numFmtId="0" fontId="5" fillId="0" borderId="72" xfId="8" applyBorder="1">
      <alignment vertical="center"/>
    </xf>
    <xf numFmtId="0" fontId="5" fillId="0" borderId="11" xfId="8" applyBorder="1">
      <alignment vertical="center"/>
    </xf>
    <xf numFmtId="0" fontId="54" fillId="0" borderId="73" xfId="8" applyFont="1" applyBorder="1" applyAlignment="1">
      <alignment horizontal="left" vertical="center"/>
    </xf>
    <xf numFmtId="0" fontId="5" fillId="0" borderId="50" xfId="8" applyBorder="1">
      <alignment vertical="center"/>
    </xf>
    <xf numFmtId="0" fontId="5" fillId="0" borderId="73" xfId="8" applyBorder="1">
      <alignment vertical="center"/>
    </xf>
    <xf numFmtId="0" fontId="5" fillId="0" borderId="74" xfId="8" applyBorder="1">
      <alignment vertical="center"/>
    </xf>
    <xf numFmtId="0" fontId="54" fillId="0" borderId="12" xfId="8" applyFont="1" applyBorder="1" applyAlignment="1">
      <alignment horizontal="left" vertical="center"/>
    </xf>
    <xf numFmtId="0" fontId="5" fillId="0" borderId="52" xfId="8" applyBorder="1">
      <alignment vertical="center"/>
    </xf>
    <xf numFmtId="0" fontId="122" fillId="30" borderId="70" xfId="7" applyFont="1" applyFill="1" applyBorder="1" applyAlignment="1" applyProtection="1">
      <alignment horizontal="center" vertical="center" wrapText="1" readingOrder="1"/>
      <protection hidden="1"/>
    </xf>
    <xf numFmtId="0" fontId="124" fillId="20" borderId="0" xfId="7" applyFont="1" applyFill="1" applyAlignment="1" applyProtection="1">
      <alignment vertical="center" readingOrder="1"/>
      <protection hidden="1"/>
    </xf>
    <xf numFmtId="0" fontId="123" fillId="0" borderId="0" xfId="7" applyFont="1" applyAlignment="1" applyProtection="1">
      <alignment vertical="center" readingOrder="1"/>
      <protection hidden="1"/>
    </xf>
    <xf numFmtId="0" fontId="0" fillId="0" borderId="89" xfId="0" applyBorder="1" applyAlignment="1" applyProtection="1">
      <alignment horizontal="center" vertical="center"/>
      <protection hidden="1"/>
    </xf>
    <xf numFmtId="0" fontId="0" fillId="0" borderId="90" xfId="0" applyBorder="1" applyProtection="1">
      <alignment vertical="center"/>
      <protection hidden="1"/>
    </xf>
    <xf numFmtId="0" fontId="0" fillId="0" borderId="91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Border="1" applyProtection="1">
      <alignment vertical="center"/>
      <protection hidden="1"/>
    </xf>
    <xf numFmtId="0" fontId="128" fillId="28" borderId="12" xfId="5" applyFont="1" applyFill="1" applyBorder="1" applyAlignment="1">
      <alignment vertical="center"/>
    </xf>
    <xf numFmtId="0" fontId="128" fillId="28" borderId="12" xfId="5" applyFont="1" applyFill="1" applyBorder="1" applyAlignment="1">
      <alignment vertical="center" wrapText="1"/>
    </xf>
    <xf numFmtId="0" fontId="39" fillId="28" borderId="12" xfId="5" applyFill="1" applyBorder="1" applyAlignment="1">
      <alignment vertical="center" wrapText="1"/>
    </xf>
    <xf numFmtId="0" fontId="39" fillId="28" borderId="12" xfId="5" applyFill="1" applyBorder="1" applyAlignment="1">
      <alignment horizontal="center" vertical="center"/>
    </xf>
    <xf numFmtId="0" fontId="128" fillId="28" borderId="92" xfId="5" applyFont="1" applyFill="1" applyBorder="1" applyAlignment="1">
      <alignment vertical="center"/>
    </xf>
    <xf numFmtId="0" fontId="128" fillId="28" borderId="92" xfId="5" applyFont="1" applyFill="1" applyBorder="1" applyAlignment="1">
      <alignment vertical="center" wrapText="1"/>
    </xf>
    <xf numFmtId="0" fontId="129" fillId="28" borderId="92" xfId="5" applyFont="1" applyFill="1" applyBorder="1" applyAlignment="1">
      <alignment vertical="center" wrapText="1"/>
    </xf>
    <xf numFmtId="0" fontId="39" fillId="28" borderId="92" xfId="5" applyFill="1" applyBorder="1" applyAlignment="1">
      <alignment horizontal="center" vertical="center"/>
    </xf>
    <xf numFmtId="0" fontId="128" fillId="28" borderId="0" xfId="5" applyFont="1" applyFill="1" applyBorder="1" applyAlignment="1">
      <alignment vertical="center" wrapText="1"/>
    </xf>
    <xf numFmtId="0" fontId="39" fillId="28" borderId="0" xfId="5" applyFill="1" applyBorder="1" applyAlignment="1">
      <alignment vertical="center" wrapText="1"/>
    </xf>
    <xf numFmtId="0" fontId="39" fillId="28" borderId="0" xfId="5" applyFill="1" applyBorder="1" applyAlignment="1">
      <alignment horizontal="center" vertical="center"/>
    </xf>
    <xf numFmtId="0" fontId="131" fillId="28" borderId="92" xfId="5" applyFont="1" applyFill="1" applyBorder="1" applyAlignment="1">
      <alignment vertical="center" wrapText="1"/>
    </xf>
    <xf numFmtId="0" fontId="39" fillId="28" borderId="92" xfId="5" applyFill="1" applyBorder="1" applyAlignment="1">
      <alignment vertical="center" wrapText="1"/>
    </xf>
    <xf numFmtId="0" fontId="39" fillId="38" borderId="0" xfId="5" applyFill="1" applyAlignment="1">
      <alignment horizontal="center" vertical="center" wrapText="1"/>
    </xf>
    <xf numFmtId="0" fontId="151" fillId="0" borderId="0" xfId="0" applyFont="1" applyBorder="1" applyAlignment="1" applyProtection="1">
      <alignment horizontal="right" vertical="center"/>
      <protection hidden="1"/>
    </xf>
    <xf numFmtId="0" fontId="151" fillId="0" borderId="5" xfId="0" applyFont="1" applyBorder="1" applyProtection="1">
      <alignment vertical="center"/>
      <protection hidden="1"/>
    </xf>
    <xf numFmtId="0" fontId="0" fillId="0" borderId="72" xfId="0" applyBorder="1" applyProtection="1">
      <alignment vertical="center"/>
      <protection hidden="1"/>
    </xf>
    <xf numFmtId="0" fontId="0" fillId="0" borderId="73" xfId="0" applyBorder="1" applyProtection="1">
      <alignment vertical="center"/>
      <protection hidden="1"/>
    </xf>
    <xf numFmtId="0" fontId="0" fillId="0" borderId="74" xfId="0" applyBorder="1" applyProtection="1">
      <alignment vertical="center"/>
      <protection hidden="1"/>
    </xf>
    <xf numFmtId="0" fontId="0" fillId="39" borderId="0" xfId="0" applyFill="1" applyProtection="1">
      <alignment vertical="center"/>
      <protection hidden="1"/>
    </xf>
    <xf numFmtId="0" fontId="152" fillId="39" borderId="0" xfId="0" applyFont="1" applyFill="1" applyProtection="1">
      <alignment vertical="center"/>
      <protection hidden="1"/>
    </xf>
    <xf numFmtId="0" fontId="12" fillId="0" borderId="4" xfId="0" applyFont="1" applyBorder="1" applyProtection="1">
      <alignment vertical="center"/>
      <protection hidden="1"/>
    </xf>
    <xf numFmtId="0" fontId="0" fillId="0" borderId="94" xfId="0" applyBorder="1" applyProtection="1">
      <alignment vertical="center"/>
      <protection hidden="1"/>
    </xf>
    <xf numFmtId="0" fontId="0" fillId="0" borderId="95" xfId="0" applyBorder="1" applyProtection="1">
      <alignment vertical="center"/>
      <protection hidden="1"/>
    </xf>
    <xf numFmtId="0" fontId="0" fillId="15" borderId="95" xfId="0" applyFill="1" applyBorder="1" applyProtection="1">
      <alignment vertical="center"/>
      <protection hidden="1"/>
    </xf>
    <xf numFmtId="0" fontId="0" fillId="0" borderId="95" xfId="0" applyBorder="1" applyAlignment="1" applyProtection="1">
      <alignment horizontal="right" vertical="center"/>
      <protection hidden="1"/>
    </xf>
    <xf numFmtId="0" fontId="0" fillId="0" borderId="97" xfId="0" applyBorder="1" applyProtection="1">
      <alignment vertical="center"/>
      <protection hidden="1"/>
    </xf>
    <xf numFmtId="0" fontId="0" fillId="0" borderId="98" xfId="0" applyBorder="1" applyProtection="1">
      <alignment vertical="center"/>
      <protection hidden="1"/>
    </xf>
    <xf numFmtId="0" fontId="0" fillId="0" borderId="99" xfId="0" applyBorder="1" applyProtection="1">
      <alignment vertical="center"/>
      <protection hidden="1"/>
    </xf>
    <xf numFmtId="0" fontId="0" fillId="0" borderId="100" xfId="0" applyBorder="1" applyAlignment="1" applyProtection="1">
      <alignment horizontal="right" vertical="center"/>
      <protection hidden="1"/>
    </xf>
    <xf numFmtId="0" fontId="0" fillId="17" borderId="100" xfId="0" applyFill="1" applyBorder="1" applyProtection="1">
      <alignment vertical="center"/>
      <protection hidden="1"/>
    </xf>
    <xf numFmtId="0" fontId="0" fillId="0" borderId="100" xfId="0" applyBorder="1" applyProtection="1">
      <alignment vertical="center"/>
      <protection hidden="1"/>
    </xf>
    <xf numFmtId="0" fontId="0" fillId="17" borderId="101" xfId="0" applyFill="1" applyBorder="1" applyProtection="1">
      <alignment vertical="center"/>
      <protection hidden="1"/>
    </xf>
    <xf numFmtId="0" fontId="0" fillId="0" borderId="63" xfId="0" applyBorder="1" applyProtection="1">
      <alignment vertical="center"/>
      <protection hidden="1"/>
    </xf>
    <xf numFmtId="0" fontId="0" fillId="0" borderId="64" xfId="0" applyBorder="1" applyProtection="1">
      <alignment vertical="center"/>
      <protection hidden="1"/>
    </xf>
    <xf numFmtId="0" fontId="0" fillId="0" borderId="65" xfId="0" applyBorder="1" applyProtection="1">
      <alignment vertical="center"/>
      <protection hidden="1"/>
    </xf>
    <xf numFmtId="0" fontId="153" fillId="10" borderId="0" xfId="0" applyFont="1" applyFill="1" applyProtection="1">
      <alignment vertical="center"/>
      <protection hidden="1"/>
    </xf>
    <xf numFmtId="0" fontId="0" fillId="0" borderId="102" xfId="0" applyBorder="1" applyProtection="1">
      <alignment vertical="center"/>
      <protection hidden="1"/>
    </xf>
    <xf numFmtId="0" fontId="0" fillId="0" borderId="103" xfId="0" applyBorder="1" applyProtection="1">
      <alignment vertical="center"/>
      <protection hidden="1"/>
    </xf>
    <xf numFmtId="0" fontId="0" fillId="0" borderId="104" xfId="0" applyBorder="1" applyProtection="1">
      <alignment vertical="center"/>
      <protection hidden="1"/>
    </xf>
    <xf numFmtId="0" fontId="15" fillId="28" borderId="103" xfId="0" applyFont="1" applyFill="1" applyBorder="1" applyProtection="1">
      <alignment vertical="center"/>
      <protection hidden="1"/>
    </xf>
    <xf numFmtId="0" fontId="15" fillId="0" borderId="14" xfId="0" applyFont="1" applyBorder="1" applyProtection="1">
      <alignment vertical="center"/>
      <protection hidden="1"/>
    </xf>
    <xf numFmtId="0" fontId="0" fillId="40" borderId="0" xfId="0" quotePrefix="1" applyFill="1" applyProtection="1">
      <alignment vertical="center"/>
      <protection hidden="1"/>
    </xf>
    <xf numFmtId="0" fontId="0" fillId="40" borderId="0" xfId="0" applyFill="1" applyProtection="1">
      <alignment vertical="center"/>
      <protection hidden="1"/>
    </xf>
    <xf numFmtId="0" fontId="0" fillId="10" borderId="100" xfId="0" applyFill="1" applyBorder="1" applyProtection="1">
      <alignment vertical="center"/>
      <protection locked="0" hidden="1"/>
    </xf>
    <xf numFmtId="0" fontId="0" fillId="10" borderId="95" xfId="0" applyFill="1" applyBorder="1" applyProtection="1">
      <alignment vertical="center"/>
      <protection locked="0" hidden="1"/>
    </xf>
    <xf numFmtId="0" fontId="0" fillId="10" borderId="96" xfId="0" applyFill="1" applyBorder="1" applyProtection="1">
      <alignment vertical="center"/>
      <protection locked="0" hidden="1"/>
    </xf>
    <xf numFmtId="0" fontId="0" fillId="10" borderId="0" xfId="0" applyFill="1" applyBorder="1" applyProtection="1">
      <alignment vertical="center"/>
      <protection locked="0" hidden="1"/>
    </xf>
    <xf numFmtId="0" fontId="0" fillId="10" borderId="11" xfId="0" applyFill="1" applyBorder="1" applyProtection="1">
      <alignment vertical="center"/>
      <protection locked="0" hidden="1"/>
    </xf>
    <xf numFmtId="0" fontId="0" fillId="0" borderId="0" xfId="0" applyProtection="1">
      <alignment vertical="center"/>
      <protection locked="0" hidden="1"/>
    </xf>
    <xf numFmtId="0" fontId="0" fillId="10" borderId="43" xfId="0" applyFill="1" applyBorder="1" applyProtection="1">
      <alignment vertical="center"/>
      <protection locked="0" hidden="1"/>
    </xf>
    <xf numFmtId="0" fontId="0" fillId="10" borderId="0" xfId="0" applyFill="1" applyProtection="1">
      <alignment vertical="center"/>
      <protection locked="0" hidden="1"/>
    </xf>
    <xf numFmtId="0" fontId="0" fillId="10" borderId="2" xfId="0" applyFill="1" applyBorder="1" applyProtection="1">
      <alignment vertical="center"/>
      <protection locked="0" hidden="1"/>
    </xf>
    <xf numFmtId="0" fontId="0" fillId="10" borderId="0" xfId="0" applyFill="1" applyBorder="1" applyProtection="1">
      <alignment vertical="center"/>
      <protection locked="0" hidden="1"/>
    </xf>
    <xf numFmtId="0" fontId="0" fillId="0" borderId="26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41" borderId="0" xfId="0" applyFill="1" applyProtection="1">
      <alignment vertical="center"/>
      <protection locked="0"/>
    </xf>
    <xf numFmtId="0" fontId="33" fillId="28" borderId="0" xfId="12" applyFont="1" applyFill="1" applyAlignment="1">
      <alignment horizontal="center"/>
    </xf>
    <xf numFmtId="0" fontId="55" fillId="28" borderId="0" xfId="12" applyFont="1" applyFill="1" applyAlignment="1">
      <alignment horizontal="center"/>
    </xf>
    <xf numFmtId="0" fontId="133" fillId="12" borderId="53" xfId="12" applyFont="1" applyFill="1" applyBorder="1" applyAlignment="1" applyProtection="1">
      <alignment horizontal="center"/>
      <protection locked="0" hidden="1"/>
    </xf>
    <xf numFmtId="0" fontId="33" fillId="12" borderId="53" xfId="12" applyFont="1" applyFill="1" applyBorder="1" applyAlignment="1">
      <alignment horizontal="center"/>
    </xf>
    <xf numFmtId="0" fontId="33" fillId="12" borderId="53" xfId="12" applyFont="1" applyFill="1" applyBorder="1" applyAlignment="1" applyProtection="1">
      <alignment horizontal="center"/>
      <protection locked="0" hidden="1"/>
    </xf>
    <xf numFmtId="0" fontId="55" fillId="12" borderId="53" xfId="12" applyFont="1" applyFill="1" applyBorder="1" applyAlignment="1">
      <alignment horizontal="center"/>
    </xf>
    <xf numFmtId="0" fontId="136" fillId="12" borderId="39" xfId="12" applyFont="1" applyFill="1" applyBorder="1" applyAlignment="1">
      <alignment horizontal="center"/>
    </xf>
    <xf numFmtId="0" fontId="133" fillId="28" borderId="53" xfId="12" applyFont="1" applyFill="1" applyBorder="1" applyAlignment="1" applyProtection="1">
      <alignment horizontal="center"/>
      <protection locked="0" hidden="1"/>
    </xf>
    <xf numFmtId="0" fontId="33" fillId="28" borderId="53" xfId="12" applyFont="1" applyFill="1" applyBorder="1" applyAlignment="1" applyProtection="1">
      <alignment horizontal="center"/>
      <protection locked="0" hidden="1"/>
    </xf>
    <xf numFmtId="0" fontId="55" fillId="28" borderId="31" xfId="12" applyFont="1" applyFill="1" applyBorder="1" applyAlignment="1">
      <alignment horizontal="center"/>
    </xf>
    <xf numFmtId="0" fontId="55" fillId="28" borderId="53" xfId="12" applyFont="1" applyFill="1" applyBorder="1" applyAlignment="1">
      <alignment horizontal="center"/>
    </xf>
    <xf numFmtId="0" fontId="33" fillId="28" borderId="31" xfId="12" applyFont="1" applyFill="1" applyBorder="1" applyAlignment="1">
      <alignment horizontal="center"/>
    </xf>
    <xf numFmtId="0" fontId="134" fillId="28" borderId="31" xfId="12" applyFont="1" applyFill="1" applyBorder="1" applyAlignment="1">
      <alignment horizontal="center"/>
    </xf>
    <xf numFmtId="0" fontId="33" fillId="28" borderId="54" xfId="12" applyFont="1" applyFill="1" applyBorder="1" applyAlignment="1" applyProtection="1">
      <alignment horizontal="center"/>
      <protection locked="0" hidden="1"/>
    </xf>
    <xf numFmtId="0" fontId="55" fillId="28" borderId="54" xfId="12" applyFont="1" applyFill="1" applyBorder="1" applyAlignment="1" applyProtection="1">
      <alignment horizontal="center"/>
      <protection locked="0" hidden="1"/>
    </xf>
    <xf numFmtId="0" fontId="55" fillId="28" borderId="54" xfId="12" applyFont="1" applyFill="1" applyBorder="1" applyAlignment="1">
      <alignment horizontal="center"/>
    </xf>
    <xf numFmtId="0" fontId="33" fillId="28" borderId="54" xfId="12" applyFont="1" applyFill="1" applyBorder="1" applyAlignment="1">
      <alignment horizontal="center"/>
    </xf>
    <xf numFmtId="0" fontId="33" fillId="28" borderId="54" xfId="12" applyFont="1" applyFill="1" applyBorder="1" applyAlignment="1">
      <alignment horizontal="center" vertical="center"/>
    </xf>
    <xf numFmtId="0" fontId="55" fillId="28" borderId="53" xfId="12" applyFont="1" applyFill="1" applyBorder="1" applyAlignment="1" applyProtection="1">
      <alignment horizontal="center"/>
      <protection locked="0" hidden="1"/>
    </xf>
    <xf numFmtId="0" fontId="33" fillId="28" borderId="53" xfId="12" applyFont="1" applyFill="1" applyBorder="1" applyAlignment="1">
      <alignment horizontal="center"/>
    </xf>
    <xf numFmtId="0" fontId="33" fillId="28" borderId="53" xfId="12" applyFont="1" applyFill="1" applyBorder="1" applyAlignment="1">
      <alignment horizontal="center" vertical="center"/>
    </xf>
    <xf numFmtId="0" fontId="55" fillId="0" borderId="0" xfId="12" applyFont="1" applyAlignment="1">
      <alignment horizontal="center"/>
    </xf>
    <xf numFmtId="0" fontId="33" fillId="0" borderId="53" xfId="12" applyFont="1" applyFill="1" applyBorder="1" applyAlignment="1" applyProtection="1">
      <alignment horizontal="center"/>
      <protection locked="0" hidden="1"/>
    </xf>
    <xf numFmtId="0" fontId="55" fillId="0" borderId="53" xfId="12" applyFont="1" applyFill="1" applyBorder="1" applyAlignment="1" applyProtection="1">
      <alignment horizontal="center"/>
      <protection locked="0" hidden="1"/>
    </xf>
    <xf numFmtId="0" fontId="33" fillId="0" borderId="0" xfId="12" applyFont="1" applyFill="1" applyAlignment="1">
      <alignment horizontal="center"/>
    </xf>
    <xf numFmtId="0" fontId="55" fillId="0" borderId="54" xfId="12" applyFont="1" applyFill="1" applyBorder="1" applyAlignment="1">
      <alignment horizontal="center"/>
    </xf>
    <xf numFmtId="0" fontId="33" fillId="0" borderId="54" xfId="12" applyFont="1" applyFill="1" applyBorder="1" applyAlignment="1">
      <alignment horizontal="center"/>
    </xf>
    <xf numFmtId="0" fontId="33" fillId="0" borderId="54" xfId="12" applyFont="1" applyFill="1" applyBorder="1" applyAlignment="1" applyProtection="1">
      <alignment horizontal="center"/>
      <protection locked="0" hidden="1"/>
    </xf>
    <xf numFmtId="0" fontId="55" fillId="0" borderId="53" xfId="12" applyFont="1" applyFill="1" applyBorder="1" applyAlignment="1">
      <alignment horizontal="center"/>
    </xf>
    <xf numFmtId="0" fontId="33" fillId="0" borderId="53" xfId="12" applyFont="1" applyFill="1" applyBorder="1" applyAlignment="1">
      <alignment horizontal="center"/>
    </xf>
    <xf numFmtId="0" fontId="55" fillId="0" borderId="39" xfId="12" applyFont="1" applyFill="1" applyBorder="1" applyAlignment="1">
      <alignment horizontal="center"/>
    </xf>
    <xf numFmtId="0" fontId="55" fillId="0" borderId="65" xfId="12" applyFont="1" applyFill="1" applyBorder="1" applyAlignment="1" applyProtection="1">
      <alignment horizontal="center"/>
      <protection locked="0" hidden="1"/>
    </xf>
    <xf numFmtId="0" fontId="55" fillId="0" borderId="31" xfId="12" applyFont="1" applyBorder="1" applyAlignment="1">
      <alignment horizontal="center"/>
    </xf>
    <xf numFmtId="0" fontId="55" fillId="0" borderId="63" xfId="12" applyFont="1" applyFill="1" applyBorder="1" applyAlignment="1">
      <alignment horizontal="center"/>
    </xf>
    <xf numFmtId="0" fontId="33" fillId="29" borderId="53" xfId="12" applyFont="1" applyFill="1" applyBorder="1" applyAlignment="1" applyProtection="1">
      <alignment horizontal="center"/>
      <protection locked="0" hidden="1"/>
    </xf>
    <xf numFmtId="0" fontId="55" fillId="0" borderId="53" xfId="12" applyFont="1" applyFill="1" applyBorder="1" applyAlignment="1">
      <alignment horizontal="center" vertical="center" wrapText="1"/>
    </xf>
    <xf numFmtId="0" fontId="33" fillId="28" borderId="0" xfId="12" applyFont="1" applyFill="1" applyBorder="1"/>
    <xf numFmtId="0" fontId="55" fillId="28" borderId="0" xfId="12" applyFont="1" applyFill="1" applyAlignment="1">
      <alignment vertical="center"/>
    </xf>
    <xf numFmtId="0" fontId="55" fillId="29" borderId="53" xfId="12" applyFont="1" applyFill="1" applyBorder="1" applyAlignment="1">
      <alignment horizontal="center" vertical="center" wrapText="1"/>
    </xf>
    <xf numFmtId="0" fontId="137" fillId="28" borderId="0" xfId="12" applyFont="1" applyFill="1" applyAlignment="1">
      <alignment vertical="center"/>
    </xf>
    <xf numFmtId="0" fontId="33" fillId="35" borderId="53" xfId="12" applyFont="1" applyFill="1" applyBorder="1" applyAlignment="1" applyProtection="1">
      <alignment horizontal="center"/>
      <protection locked="0" hidden="1"/>
    </xf>
    <xf numFmtId="0" fontId="55" fillId="35" borderId="53" xfId="12" applyFont="1" applyFill="1" applyBorder="1" applyAlignment="1" applyProtection="1">
      <alignment horizontal="center"/>
      <protection locked="0" hidden="1"/>
    </xf>
    <xf numFmtId="0" fontId="33" fillId="28" borderId="0" xfId="12" applyFont="1" applyFill="1" applyAlignment="1">
      <alignment vertical="center"/>
    </xf>
    <xf numFmtId="0" fontId="33" fillId="39" borderId="53" xfId="12" applyFont="1" applyFill="1" applyBorder="1" applyAlignment="1" applyProtection="1">
      <alignment horizontal="center"/>
      <protection locked="0" hidden="1"/>
    </xf>
    <xf numFmtId="0" fontId="55" fillId="39" borderId="53" xfId="12" applyFont="1" applyFill="1" applyBorder="1" applyAlignment="1" applyProtection="1">
      <alignment horizontal="center"/>
      <protection locked="0" hidden="1"/>
    </xf>
    <xf numFmtId="0" fontId="33" fillId="39" borderId="86" xfId="12" applyFont="1" applyFill="1" applyBorder="1" applyAlignment="1" applyProtection="1">
      <alignment horizontal="center"/>
      <protection locked="0" hidden="1"/>
    </xf>
    <xf numFmtId="0" fontId="55" fillId="39" borderId="86" xfId="12" applyFont="1" applyFill="1" applyBorder="1" applyAlignment="1" applyProtection="1">
      <alignment horizontal="center"/>
      <protection locked="0" hidden="1"/>
    </xf>
    <xf numFmtId="0" fontId="138" fillId="0" borderId="0" xfId="12" applyFont="1" applyFill="1" applyAlignment="1">
      <alignment horizontal="center"/>
    </xf>
    <xf numFmtId="0" fontId="33" fillId="0" borderId="0" xfId="12" applyFont="1" applyFill="1" applyBorder="1" applyAlignment="1">
      <alignment horizontal="center"/>
    </xf>
    <xf numFmtId="0" fontId="138" fillId="39" borderId="53" xfId="12" applyFont="1" applyFill="1" applyBorder="1" applyAlignment="1" applyProtection="1">
      <alignment horizontal="center"/>
      <protection locked="0" hidden="1"/>
    </xf>
    <xf numFmtId="0" fontId="138" fillId="0" borderId="0" xfId="12" applyFont="1" applyFill="1" applyBorder="1" applyAlignment="1">
      <alignment horizontal="center"/>
    </xf>
    <xf numFmtId="0" fontId="33" fillId="24" borderId="53" xfId="12" applyFont="1" applyFill="1" applyBorder="1" applyAlignment="1" applyProtection="1">
      <alignment horizontal="center"/>
      <protection locked="0" hidden="1"/>
    </xf>
    <xf numFmtId="0" fontId="55" fillId="24" borderId="53" xfId="12" applyFont="1" applyFill="1" applyBorder="1" applyAlignment="1" applyProtection="1">
      <alignment horizontal="center"/>
      <protection locked="0" hidden="1"/>
    </xf>
    <xf numFmtId="0" fontId="55" fillId="24" borderId="86" xfId="12" applyFont="1" applyFill="1" applyBorder="1" applyAlignment="1" applyProtection="1">
      <alignment horizontal="center"/>
      <protection locked="0" hidden="1"/>
    </xf>
    <xf numFmtId="0" fontId="33" fillId="28" borderId="0" xfId="12" applyFont="1" applyFill="1" applyBorder="1" applyAlignment="1">
      <alignment horizontal="center"/>
    </xf>
    <xf numFmtId="0" fontId="138" fillId="24" borderId="53" xfId="12" applyFont="1" applyFill="1" applyBorder="1" applyAlignment="1" applyProtection="1">
      <alignment horizontal="center"/>
      <protection locked="0" hidden="1"/>
    </xf>
    <xf numFmtId="0" fontId="33" fillId="28" borderId="0" xfId="12" applyFont="1" applyFill="1"/>
    <xf numFmtId="0" fontId="55" fillId="28" borderId="0" xfId="12" applyFont="1" applyFill="1"/>
    <xf numFmtId="0" fontId="52" fillId="0" borderId="0" xfId="12" applyFont="1" applyAlignment="1">
      <alignment vertical="center"/>
    </xf>
    <xf numFmtId="0" fontId="52" fillId="0" borderId="0" xfId="12" applyFont="1" applyAlignment="1">
      <alignment horizontal="center" vertical="center"/>
    </xf>
    <xf numFmtId="0" fontId="52" fillId="0" borderId="0" xfId="12" applyFont="1" applyAlignment="1">
      <alignment horizontal="left" vertical="center"/>
    </xf>
    <xf numFmtId="0" fontId="119" fillId="0" borderId="0" xfId="12" applyFont="1" applyAlignment="1">
      <alignment vertical="center"/>
    </xf>
    <xf numFmtId="0" fontId="119" fillId="0" borderId="31" xfId="12" applyFont="1" applyBorder="1" applyAlignment="1">
      <alignment vertical="center"/>
    </xf>
    <xf numFmtId="0" fontId="119" fillId="28" borderId="31" xfId="12" applyFont="1" applyFill="1" applyBorder="1" applyAlignment="1">
      <alignment horizontal="center" vertical="center" wrapText="1"/>
    </xf>
    <xf numFmtId="0" fontId="119" fillId="0" borderId="31" xfId="12" applyFont="1" applyBorder="1" applyAlignment="1">
      <alignment horizontal="center" vertical="center"/>
    </xf>
    <xf numFmtId="0" fontId="156" fillId="0" borderId="31" xfId="12" applyFont="1" applyBorder="1" applyAlignment="1">
      <alignment vertical="center"/>
    </xf>
    <xf numFmtId="0" fontId="119" fillId="28" borderId="31" xfId="12" applyFont="1" applyFill="1" applyBorder="1" applyAlignment="1">
      <alignment horizontal="left" vertical="center"/>
    </xf>
    <xf numFmtId="0" fontId="156" fillId="0" borderId="31" xfId="12" applyFont="1" applyBorder="1" applyAlignment="1">
      <alignment horizontal="center" vertical="center"/>
    </xf>
    <xf numFmtId="0" fontId="54" fillId="0" borderId="0" xfId="12" applyFont="1" applyAlignment="1">
      <alignment vertical="center"/>
    </xf>
    <xf numFmtId="0" fontId="54" fillId="0" borderId="66" xfId="12" applyFont="1" applyBorder="1" applyAlignment="1">
      <alignment vertical="center"/>
    </xf>
    <xf numFmtId="0" fontId="54" fillId="28" borderId="66" xfId="12" applyFont="1" applyFill="1" applyBorder="1" applyAlignment="1">
      <alignment horizontal="center" vertical="center" wrapText="1"/>
    </xf>
    <xf numFmtId="0" fontId="54" fillId="0" borderId="66" xfId="12" applyFont="1" applyBorder="1" applyAlignment="1">
      <alignment horizontal="center" vertical="center"/>
    </xf>
    <xf numFmtId="0" fontId="95" fillId="0" borderId="66" xfId="12" applyFont="1" applyBorder="1" applyAlignment="1">
      <alignment horizontal="center" vertical="center"/>
    </xf>
    <xf numFmtId="0" fontId="54" fillId="0" borderId="105" xfId="12" applyFont="1" applyBorder="1" applyAlignment="1">
      <alignment horizontal="center" vertical="center"/>
    </xf>
    <xf numFmtId="0" fontId="141" fillId="0" borderId="66" xfId="12" applyFont="1" applyBorder="1" applyAlignment="1">
      <alignment horizontal="center" vertical="center"/>
    </xf>
    <xf numFmtId="0" fontId="22" fillId="0" borderId="66" xfId="12" applyFont="1" applyBorder="1" applyAlignment="1">
      <alignment vertical="center"/>
    </xf>
    <xf numFmtId="0" fontId="54" fillId="0" borderId="66" xfId="12" applyFont="1" applyBorder="1" applyAlignment="1">
      <alignment horizontal="left" vertical="center"/>
    </xf>
    <xf numFmtId="0" fontId="54" fillId="0" borderId="31" xfId="12" applyFont="1" applyBorder="1" applyAlignment="1">
      <alignment vertical="center"/>
    </xf>
    <xf numFmtId="0" fontId="54" fillId="0" borderId="31" xfId="12" applyFont="1" applyBorder="1" applyAlignment="1">
      <alignment horizontal="center" vertical="center"/>
    </xf>
    <xf numFmtId="0" fontId="95" fillId="0" borderId="31" xfId="12" applyFont="1" applyBorder="1" applyAlignment="1">
      <alignment horizontal="center" vertical="center"/>
    </xf>
    <xf numFmtId="0" fontId="54" fillId="0" borderId="82" xfId="12" applyFont="1" applyBorder="1" applyAlignment="1">
      <alignment horizontal="center" vertical="center"/>
    </xf>
    <xf numFmtId="0" fontId="141" fillId="0" borderId="31" xfId="12" applyFont="1" applyBorder="1" applyAlignment="1">
      <alignment horizontal="center" vertical="center"/>
    </xf>
    <xf numFmtId="0" fontId="141" fillId="0" borderId="0" xfId="12" applyFont="1" applyAlignment="1">
      <alignment vertical="center"/>
    </xf>
    <xf numFmtId="0" fontId="54" fillId="0" borderId="31" xfId="12" applyFont="1" applyBorder="1" applyAlignment="1">
      <alignment horizontal="left" vertical="center"/>
    </xf>
    <xf numFmtId="0" fontId="54" fillId="28" borderId="31" xfId="12" applyFont="1" applyFill="1" applyBorder="1" applyAlignment="1">
      <alignment horizontal="center" vertical="center" wrapText="1"/>
    </xf>
    <xf numFmtId="0" fontId="95" fillId="28" borderId="31" xfId="12" applyFont="1" applyFill="1" applyBorder="1" applyAlignment="1">
      <alignment horizontal="center" vertical="center"/>
    </xf>
    <xf numFmtId="0" fontId="141" fillId="0" borderId="31" xfId="12" applyFont="1" applyBorder="1" applyAlignment="1">
      <alignment vertical="center"/>
    </xf>
    <xf numFmtId="0" fontId="54" fillId="0" borderId="82" xfId="12" applyFont="1" applyBorder="1" applyAlignment="1">
      <alignment vertical="center"/>
    </xf>
    <xf numFmtId="0" fontId="95" fillId="0" borderId="88" xfId="12" applyFont="1" applyBorder="1" applyAlignment="1">
      <alignment horizontal="center" vertical="center"/>
    </xf>
    <xf numFmtId="0" fontId="109" fillId="0" borderId="31" xfId="12" applyFont="1" applyBorder="1" applyAlignment="1">
      <alignment horizontal="center" vertical="center" wrapText="1"/>
    </xf>
    <xf numFmtId="0" fontId="142" fillId="0" borderId="31" xfId="12" applyFont="1" applyBorder="1" applyAlignment="1">
      <alignment horizontal="center" vertical="center" wrapText="1"/>
    </xf>
    <xf numFmtId="0" fontId="54" fillId="28" borderId="31" xfId="12" applyFont="1" applyFill="1" applyBorder="1" applyAlignment="1">
      <alignment horizontal="left" vertical="center" wrapText="1"/>
    </xf>
    <xf numFmtId="0" fontId="54" fillId="0" borderId="31" xfId="12" quotePrefix="1" applyFont="1" applyBorder="1" applyAlignment="1">
      <alignment horizontal="center" vertical="center"/>
    </xf>
    <xf numFmtId="0" fontId="54" fillId="28" borderId="0" xfId="12" applyFont="1" applyFill="1" applyAlignment="1">
      <alignment vertical="center"/>
    </xf>
    <xf numFmtId="0" fontId="54" fillId="28" borderId="31" xfId="12" applyFont="1" applyFill="1" applyBorder="1" applyAlignment="1">
      <alignment vertical="center"/>
    </xf>
    <xf numFmtId="0" fontId="54" fillId="28" borderId="31" xfId="12" applyFont="1" applyFill="1" applyBorder="1" applyAlignment="1">
      <alignment horizontal="center" vertical="center"/>
    </xf>
    <xf numFmtId="0" fontId="54" fillId="28" borderId="82" xfId="12" applyFont="1" applyFill="1" applyBorder="1" applyAlignment="1">
      <alignment horizontal="center" vertical="center"/>
    </xf>
    <xf numFmtId="0" fontId="54" fillId="28" borderId="31" xfId="12" applyFont="1" applyFill="1" applyBorder="1" applyAlignment="1">
      <alignment horizontal="left" vertical="center"/>
    </xf>
    <xf numFmtId="0" fontId="109" fillId="0" borderId="93" xfId="12" applyFont="1" applyBorder="1" applyAlignment="1">
      <alignment horizontal="center" vertical="center" wrapText="1"/>
    </xf>
    <xf numFmtId="0" fontId="142" fillId="0" borderId="93" xfId="12" applyFont="1" applyBorder="1" applyAlignment="1">
      <alignment horizontal="center" vertical="center" wrapText="1"/>
    </xf>
    <xf numFmtId="0" fontId="54" fillId="28" borderId="82" xfId="12" applyFont="1" applyFill="1" applyBorder="1" applyAlignment="1">
      <alignment vertical="center"/>
    </xf>
    <xf numFmtId="0" fontId="54" fillId="28" borderId="31" xfId="12" applyFont="1" applyFill="1" applyBorder="1" applyAlignment="1">
      <alignment vertical="center" wrapText="1"/>
    </xf>
    <xf numFmtId="0" fontId="64" fillId="28" borderId="31" xfId="12" applyFont="1" applyFill="1" applyBorder="1" applyAlignment="1">
      <alignment vertical="center"/>
    </xf>
    <xf numFmtId="0" fontId="64" fillId="28" borderId="31" xfId="12" applyFont="1" applyFill="1" applyBorder="1" applyAlignment="1">
      <alignment horizontal="center" vertical="center" wrapText="1"/>
    </xf>
    <xf numFmtId="0" fontId="64" fillId="28" borderId="31" xfId="12" applyFont="1" applyFill="1" applyBorder="1" applyAlignment="1">
      <alignment horizontal="center" vertical="center"/>
    </xf>
    <xf numFmtId="0" fontId="64" fillId="28" borderId="31" xfId="12" quotePrefix="1" applyFont="1" applyFill="1" applyBorder="1" applyAlignment="1">
      <alignment horizontal="center" vertical="center"/>
    </xf>
    <xf numFmtId="0" fontId="64" fillId="28" borderId="31" xfId="12" applyFont="1" applyFill="1" applyBorder="1" applyAlignment="1">
      <alignment horizontal="left" vertical="center" wrapText="1"/>
    </xf>
    <xf numFmtId="0" fontId="54" fillId="28" borderId="31" xfId="12" quotePrefix="1" applyFont="1" applyFill="1" applyBorder="1" applyAlignment="1">
      <alignment horizontal="center" vertical="center"/>
    </xf>
    <xf numFmtId="0" fontId="54" fillId="0" borderId="31" xfId="13" applyFont="1" applyBorder="1" applyAlignment="1">
      <alignment horizontal="center" vertical="center"/>
    </xf>
    <xf numFmtId="0" fontId="143" fillId="0" borderId="0" xfId="12" applyFont="1" applyAlignment="1">
      <alignment vertical="center"/>
    </xf>
    <xf numFmtId="0" fontId="143" fillId="0" borderId="31" xfId="12" applyFont="1" applyBorder="1" applyAlignment="1">
      <alignment vertical="center"/>
    </xf>
    <xf numFmtId="0" fontId="54" fillId="0" borderId="0" xfId="13" applyFont="1" applyAlignment="1">
      <alignment horizontal="center" vertical="center"/>
    </xf>
    <xf numFmtId="0" fontId="54" fillId="0" borderId="31" xfId="12" applyFont="1" applyFill="1" applyBorder="1" applyAlignment="1">
      <alignment horizontal="center" vertical="center"/>
    </xf>
    <xf numFmtId="0" fontId="150" fillId="0" borderId="31" xfId="14" applyBorder="1" applyAlignment="1">
      <alignment horizontal="center" vertical="center"/>
    </xf>
    <xf numFmtId="0" fontId="54" fillId="28" borderId="0" xfId="12" applyFont="1" applyFill="1" applyAlignment="1">
      <alignment horizontal="left" vertical="center"/>
    </xf>
    <xf numFmtId="0" fontId="54" fillId="28" borderId="31" xfId="12" quotePrefix="1" applyFont="1" applyFill="1" applyBorder="1" applyAlignment="1">
      <alignment horizontal="center" vertical="center" wrapText="1"/>
    </xf>
    <xf numFmtId="0" fontId="54" fillId="12" borderId="31" xfId="12" applyFont="1" applyFill="1" applyBorder="1" applyAlignment="1">
      <alignment horizontal="center" vertical="center"/>
    </xf>
    <xf numFmtId="0" fontId="54" fillId="0" borderId="0" xfId="12" applyFont="1" applyFill="1" applyAlignment="1">
      <alignment vertical="center"/>
    </xf>
    <xf numFmtId="0" fontId="54" fillId="0" borderId="31" xfId="12" applyFont="1" applyFill="1" applyBorder="1" applyAlignment="1">
      <alignment vertical="center"/>
    </xf>
    <xf numFmtId="0" fontId="119" fillId="28" borderId="31" xfId="12" applyFont="1" applyFill="1" applyBorder="1" applyAlignment="1">
      <alignment horizontal="center" vertical="center"/>
    </xf>
    <xf numFmtId="0" fontId="119" fillId="28" borderId="31" xfId="12" applyFont="1" applyFill="1" applyBorder="1" applyAlignment="1">
      <alignment vertical="center"/>
    </xf>
    <xf numFmtId="0" fontId="54" fillId="28" borderId="82" xfId="12" quotePrefix="1" applyFont="1" applyFill="1" applyBorder="1" applyAlignment="1">
      <alignment horizontal="center" vertical="center"/>
    </xf>
    <xf numFmtId="0" fontId="119" fillId="0" borderId="0" xfId="12" applyFont="1" applyAlignment="1">
      <alignment horizontal="left" vertical="center"/>
    </xf>
    <xf numFmtId="0" fontId="119" fillId="0" borderId="31" xfId="12" applyFont="1" applyBorder="1" applyAlignment="1">
      <alignment horizontal="left" vertical="center"/>
    </xf>
    <xf numFmtId="0" fontId="54" fillId="12" borderId="31" xfId="12" applyFont="1" applyFill="1" applyBorder="1" applyAlignment="1">
      <alignment horizontal="center" vertical="center" wrapText="1"/>
    </xf>
    <xf numFmtId="0" fontId="52" fillId="28" borderId="31" xfId="12" applyFont="1" applyFill="1" applyBorder="1" applyAlignment="1">
      <alignment horizontal="center" vertical="center" wrapText="1"/>
    </xf>
    <xf numFmtId="0" fontId="145" fillId="28" borderId="0" xfId="12" applyFont="1" applyFill="1" applyAlignment="1">
      <alignment vertical="center"/>
    </xf>
    <xf numFmtId="0" fontId="145" fillId="28" borderId="31" xfId="12" applyFont="1" applyFill="1" applyBorder="1" applyAlignment="1">
      <alignment vertical="center"/>
    </xf>
    <xf numFmtId="0" fontId="145" fillId="28" borderId="31" xfId="12" applyFont="1" applyFill="1" applyBorder="1" applyAlignment="1">
      <alignment vertical="center" wrapText="1"/>
    </xf>
    <xf numFmtId="0" fontId="54" fillId="28" borderId="0" xfId="12" applyFont="1" applyFill="1" applyAlignment="1">
      <alignment horizontal="center" vertical="center"/>
    </xf>
    <xf numFmtId="0" fontId="145" fillId="28" borderId="31" xfId="12" applyFont="1" applyFill="1" applyBorder="1" applyAlignment="1">
      <alignment horizontal="center" vertical="center" wrapText="1"/>
    </xf>
    <xf numFmtId="0" fontId="119" fillId="28" borderId="31" xfId="12" quotePrefix="1" applyFont="1" applyFill="1" applyBorder="1" applyAlignment="1">
      <alignment horizontal="center" vertical="center" wrapText="1"/>
    </xf>
    <xf numFmtId="0" fontId="52" fillId="28" borderId="31" xfId="12" applyFont="1" applyFill="1" applyBorder="1" applyAlignment="1">
      <alignment horizontal="left" vertical="center" wrapText="1"/>
    </xf>
    <xf numFmtId="178" fontId="54" fillId="28" borderId="31" xfId="12" applyNumberFormat="1" applyFont="1" applyFill="1" applyBorder="1" applyAlignment="1">
      <alignment vertical="center" wrapText="1"/>
    </xf>
    <xf numFmtId="0" fontId="54" fillId="28" borderId="31" xfId="12" applyFont="1" applyFill="1" applyBorder="1" applyAlignment="1">
      <alignment horizontal="right" vertical="center" wrapText="1"/>
    </xf>
    <xf numFmtId="0" fontId="52" fillId="28" borderId="0" xfId="12" applyFont="1" applyFill="1" applyAlignment="1">
      <alignment vertical="center"/>
    </xf>
    <xf numFmtId="0" fontId="52" fillId="28" borderId="31" xfId="12" applyFont="1" applyFill="1" applyBorder="1" applyAlignment="1">
      <alignment vertical="center"/>
    </xf>
    <xf numFmtId="0" fontId="52" fillId="28" borderId="31" xfId="12" applyFont="1" applyFill="1" applyBorder="1" applyAlignment="1">
      <alignment vertical="center" wrapText="1"/>
    </xf>
    <xf numFmtId="0" fontId="52" fillId="28" borderId="31" xfId="12" quotePrefix="1" applyFont="1" applyFill="1" applyBorder="1" applyAlignment="1">
      <alignment horizontal="center" vertical="center" wrapText="1"/>
    </xf>
    <xf numFmtId="0" fontId="110" fillId="0" borderId="0" xfId="12" applyFont="1" applyAlignment="1">
      <alignment vertical="center"/>
    </xf>
    <xf numFmtId="0" fontId="52" fillId="0" borderId="31" xfId="12" applyFont="1" applyBorder="1" applyAlignment="1">
      <alignment vertical="center"/>
    </xf>
    <xf numFmtId="0" fontId="149" fillId="29" borderId="66" xfId="12" applyFont="1" applyFill="1" applyBorder="1" applyAlignment="1">
      <alignment horizontal="center" vertical="center" wrapText="1"/>
    </xf>
    <xf numFmtId="0" fontId="149" fillId="29" borderId="66" xfId="12" applyFont="1" applyFill="1" applyBorder="1" applyAlignment="1">
      <alignment horizontal="left" vertical="center" wrapText="1"/>
    </xf>
    <xf numFmtId="0" fontId="76" fillId="0" borderId="0" xfId="7" applyFont="1" applyProtection="1">
      <alignment vertical="center"/>
      <protection hidden="1"/>
    </xf>
    <xf numFmtId="0" fontId="6" fillId="0" borderId="0" xfId="7" applyProtection="1">
      <alignment vertical="center"/>
      <protection hidden="1"/>
    </xf>
    <xf numFmtId="0" fontId="3" fillId="0" borderId="0" xfId="7" applyFont="1" applyProtection="1">
      <alignment vertical="center"/>
      <protection hidden="1"/>
    </xf>
    <xf numFmtId="0" fontId="21" fillId="0" borderId="0" xfId="7" applyFont="1" applyProtection="1">
      <alignment vertical="center"/>
      <protection hidden="1"/>
    </xf>
    <xf numFmtId="0" fontId="21" fillId="22" borderId="31" xfId="7" applyFont="1" applyFill="1" applyBorder="1" applyProtection="1">
      <alignment vertical="center"/>
      <protection hidden="1"/>
    </xf>
    <xf numFmtId="0" fontId="77" fillId="0" borderId="70" xfId="7" applyFont="1" applyBorder="1" applyAlignment="1" applyProtection="1">
      <alignment horizontal="center" vertical="center" wrapText="1" readingOrder="1"/>
      <protection hidden="1"/>
    </xf>
    <xf numFmtId="0" fontId="90" fillId="30" borderId="31" xfId="7" applyFont="1" applyFill="1" applyBorder="1" applyAlignment="1" applyProtection="1">
      <alignment horizontal="center" vertical="center" wrapText="1" readingOrder="1"/>
      <protection hidden="1"/>
    </xf>
    <xf numFmtId="0" fontId="77" fillId="20" borderId="31" xfId="7" applyFont="1" applyFill="1" applyBorder="1" applyAlignment="1" applyProtection="1">
      <alignment horizontal="center" vertical="center" wrapText="1" readingOrder="1"/>
      <protection hidden="1"/>
    </xf>
    <xf numFmtId="0" fontId="118" fillId="0" borderId="70" xfId="7" applyFont="1" applyBorder="1" applyAlignment="1" applyProtection="1">
      <alignment horizontal="center" vertical="center" wrapText="1" readingOrder="1"/>
      <protection hidden="1"/>
    </xf>
    <xf numFmtId="0" fontId="86" fillId="0" borderId="70" xfId="7" applyFont="1" applyFill="1" applyBorder="1" applyAlignment="1" applyProtection="1">
      <alignment horizontal="center" vertical="center" wrapText="1" readingOrder="1"/>
      <protection hidden="1"/>
    </xf>
    <xf numFmtId="0" fontId="85" fillId="0" borderId="70" xfId="7" applyFont="1" applyBorder="1" applyAlignment="1" applyProtection="1">
      <alignment horizontal="center" vertical="center" wrapText="1" readingOrder="1"/>
      <protection hidden="1"/>
    </xf>
    <xf numFmtId="0" fontId="86" fillId="0" borderId="70" xfId="7" applyFont="1" applyBorder="1" applyAlignment="1" applyProtection="1">
      <alignment horizontal="center" vertical="center" wrapText="1" readingOrder="1"/>
      <protection hidden="1"/>
    </xf>
    <xf numFmtId="0" fontId="22" fillId="0" borderId="70" xfId="7" applyFont="1" applyBorder="1" applyAlignment="1" applyProtection="1">
      <alignment vertical="center" wrapText="1" readingOrder="1"/>
      <protection hidden="1"/>
    </xf>
    <xf numFmtId="0" fontId="22" fillId="0" borderId="0" xfId="7" applyFont="1" applyAlignment="1" applyProtection="1">
      <alignment vertical="center" wrapText="1" readingOrder="1"/>
      <protection hidden="1"/>
    </xf>
    <xf numFmtId="0" fontId="77" fillId="20" borderId="81" xfId="7" applyFont="1" applyFill="1" applyBorder="1" applyAlignment="1" applyProtection="1">
      <alignment horizontal="center" vertical="center" wrapText="1" readingOrder="1"/>
      <protection hidden="1"/>
    </xf>
    <xf numFmtId="0" fontId="22" fillId="0" borderId="11" xfId="7" applyFont="1" applyBorder="1" applyAlignment="1" applyProtection="1">
      <alignment vertical="center" wrapText="1" readingOrder="1"/>
      <protection hidden="1"/>
    </xf>
    <xf numFmtId="0" fontId="22" fillId="0" borderId="49" xfId="7" applyFont="1" applyBorder="1" applyAlignment="1" applyProtection="1">
      <alignment vertical="center" wrapText="1" readingOrder="1"/>
      <protection hidden="1"/>
    </xf>
    <xf numFmtId="0" fontId="22" fillId="0" borderId="0" xfId="7" applyFont="1" applyBorder="1" applyAlignment="1" applyProtection="1">
      <alignment vertical="center" readingOrder="1"/>
      <protection hidden="1"/>
    </xf>
    <xf numFmtId="0" fontId="105" fillId="0" borderId="0" xfId="7" applyFont="1" applyBorder="1" applyAlignment="1" applyProtection="1">
      <alignment vertical="center" readingOrder="1"/>
      <protection hidden="1"/>
    </xf>
    <xf numFmtId="0" fontId="166" fillId="0" borderId="0" xfId="0" applyFont="1" applyAlignment="1">
      <alignment horizontal="left" vertical="center"/>
    </xf>
    <xf numFmtId="0" fontId="168" fillId="0" borderId="0" xfId="0" applyFont="1" applyAlignment="1">
      <alignment horizontal="left" vertical="center"/>
    </xf>
    <xf numFmtId="0" fontId="77" fillId="0" borderId="70" xfId="7" applyFont="1" applyBorder="1" applyAlignment="1" applyProtection="1">
      <alignment horizontal="center" vertical="center" wrapText="1" readingOrder="1"/>
      <protection locked="0"/>
    </xf>
    <xf numFmtId="0" fontId="80" fillId="0" borderId="70" xfId="7" applyFont="1" applyBorder="1" applyAlignment="1" applyProtection="1">
      <alignment horizontal="center" vertical="center" wrapText="1" readingOrder="1"/>
      <protection locked="0"/>
    </xf>
    <xf numFmtId="0" fontId="90" fillId="0" borderId="70" xfId="7" applyFont="1" applyBorder="1" applyAlignment="1" applyProtection="1">
      <alignment horizontal="center" vertical="center" wrapText="1" readingOrder="1"/>
      <protection locked="0"/>
    </xf>
    <xf numFmtId="0" fontId="77" fillId="17" borderId="70" xfId="7" applyFont="1" applyFill="1" applyBorder="1" applyAlignment="1" applyProtection="1">
      <alignment horizontal="center" vertical="center" wrapText="1" readingOrder="1"/>
      <protection locked="0"/>
    </xf>
    <xf numFmtId="0" fontId="80" fillId="17" borderId="70" xfId="7" applyFont="1" applyFill="1" applyBorder="1" applyAlignment="1" applyProtection="1">
      <alignment horizontal="center" vertical="center" wrapText="1" readingOrder="1"/>
      <protection locked="0"/>
    </xf>
    <xf numFmtId="0" fontId="90" fillId="17" borderId="70" xfId="7" applyFont="1" applyFill="1" applyBorder="1" applyAlignment="1" applyProtection="1">
      <alignment horizontal="center" vertical="center" wrapText="1" readingOrder="1"/>
      <protection locked="0"/>
    </xf>
    <xf numFmtId="0" fontId="102" fillId="0" borderId="70" xfId="7" applyFont="1" applyBorder="1" applyAlignment="1" applyProtection="1">
      <alignment horizontal="center" vertical="center" readingOrder="1"/>
      <protection locked="0"/>
    </xf>
    <xf numFmtId="0" fontId="103" fillId="0" borderId="70" xfId="7" applyFont="1" applyBorder="1" applyAlignment="1" applyProtection="1">
      <alignment horizontal="center" vertical="center" wrapText="1" readingOrder="1"/>
      <protection locked="0"/>
    </xf>
    <xf numFmtId="0" fontId="104" fillId="0" borderId="70" xfId="7" applyFont="1" applyBorder="1" applyAlignment="1" applyProtection="1">
      <alignment horizontal="center" vertical="center" wrapText="1" readingOrder="1"/>
      <protection locked="0"/>
    </xf>
    <xf numFmtId="0" fontId="102" fillId="0" borderId="70" xfId="7" applyFont="1" applyBorder="1" applyAlignment="1" applyProtection="1">
      <alignment horizontal="center" vertical="center" wrapText="1" readingOrder="1"/>
      <protection locked="0"/>
    </xf>
    <xf numFmtId="0" fontId="84" fillId="0" borderId="70" xfId="7" applyFont="1" applyBorder="1" applyAlignment="1" applyProtection="1">
      <alignment horizontal="center" vertical="center" wrapText="1" readingOrder="1"/>
      <protection locked="0"/>
    </xf>
    <xf numFmtId="0" fontId="91" fillId="0" borderId="70" xfId="7" applyFont="1" applyBorder="1" applyAlignment="1" applyProtection="1">
      <alignment horizontal="center" vertical="center" wrapText="1" readingOrder="1"/>
      <protection locked="0"/>
    </xf>
    <xf numFmtId="0" fontId="78" fillId="0" borderId="75" xfId="7" applyFont="1" applyBorder="1" applyAlignment="1" applyProtection="1">
      <alignment horizontal="center" vertical="center" wrapText="1" readingOrder="1"/>
      <protection locked="0"/>
    </xf>
    <xf numFmtId="0" fontId="84" fillId="0" borderId="75" xfId="7" applyFont="1" applyBorder="1" applyAlignment="1" applyProtection="1">
      <alignment horizontal="center" vertical="center" wrapText="1" readingOrder="1"/>
      <protection locked="0"/>
    </xf>
    <xf numFmtId="0" fontId="91" fillId="0" borderId="75" xfId="7" applyFont="1" applyBorder="1" applyAlignment="1" applyProtection="1">
      <alignment horizontal="center" vertical="center" wrapText="1" readingOrder="1"/>
      <protection locked="0"/>
    </xf>
    <xf numFmtId="0" fontId="77" fillId="0" borderId="75" xfId="7" applyFont="1" applyBorder="1" applyAlignment="1" applyProtection="1">
      <alignment horizontal="center" vertical="center" wrapText="1" readingOrder="1"/>
      <protection locked="0"/>
    </xf>
    <xf numFmtId="0" fontId="77" fillId="0" borderId="77" xfId="7" applyFont="1" applyBorder="1" applyAlignment="1" applyProtection="1">
      <alignment horizontal="center" vertical="center" wrapText="1" readingOrder="1"/>
      <protection locked="0"/>
    </xf>
    <xf numFmtId="0" fontId="80" fillId="0" borderId="77" xfId="7" applyFont="1" applyBorder="1" applyAlignment="1" applyProtection="1">
      <alignment horizontal="center" vertical="center" wrapText="1" readingOrder="1"/>
      <protection locked="0"/>
    </xf>
    <xf numFmtId="0" fontId="90" fillId="0" borderId="77" xfId="7" applyFont="1" applyBorder="1" applyAlignment="1" applyProtection="1">
      <alignment horizontal="center" vertical="center" wrapText="1" readingOrder="1"/>
      <protection locked="0"/>
    </xf>
    <xf numFmtId="0" fontId="102" fillId="12" borderId="70" xfId="7" applyFont="1" applyFill="1" applyBorder="1" applyAlignment="1" applyProtection="1">
      <alignment horizontal="center" vertical="center" wrapText="1" readingOrder="1"/>
      <protection locked="0"/>
    </xf>
    <xf numFmtId="0" fontId="103" fillId="12" borderId="70" xfId="7" applyFont="1" applyFill="1" applyBorder="1" applyAlignment="1" applyProtection="1">
      <alignment horizontal="center" vertical="center" wrapText="1" readingOrder="1"/>
      <protection locked="0"/>
    </xf>
    <xf numFmtId="0" fontId="104" fillId="12" borderId="70" xfId="7" applyFont="1" applyFill="1" applyBorder="1" applyAlignment="1" applyProtection="1">
      <alignment horizontal="center" vertical="center" wrapText="1" readingOrder="1"/>
      <protection locked="0"/>
    </xf>
    <xf numFmtId="0" fontId="77" fillId="12" borderId="75" xfId="7" applyFont="1" applyFill="1" applyBorder="1" applyAlignment="1" applyProtection="1">
      <alignment horizontal="center" vertical="center" wrapText="1" readingOrder="1"/>
      <protection locked="0"/>
    </xf>
    <xf numFmtId="0" fontId="80" fillId="12" borderId="75" xfId="7" applyFont="1" applyFill="1" applyBorder="1" applyAlignment="1" applyProtection="1">
      <alignment horizontal="center" vertical="center" wrapText="1" readingOrder="1"/>
      <protection locked="0"/>
    </xf>
    <xf numFmtId="0" fontId="90" fillId="12" borderId="75" xfId="7" applyFont="1" applyFill="1" applyBorder="1" applyAlignment="1" applyProtection="1">
      <alignment horizontal="center" vertical="center" wrapText="1" readingOrder="1"/>
      <protection locked="0"/>
    </xf>
    <xf numFmtId="0" fontId="78" fillId="12" borderId="77" xfId="7" applyFont="1" applyFill="1" applyBorder="1" applyAlignment="1" applyProtection="1">
      <alignment horizontal="center" vertical="center" wrapText="1" readingOrder="1"/>
      <protection locked="0"/>
    </xf>
    <xf numFmtId="0" fontId="101" fillId="12" borderId="77" xfId="7" applyFont="1" applyFill="1" applyBorder="1" applyAlignment="1" applyProtection="1">
      <alignment horizontal="center" vertical="center" wrapText="1" readingOrder="1"/>
      <protection locked="0"/>
    </xf>
    <xf numFmtId="0" fontId="90" fillId="12" borderId="77" xfId="7" applyFont="1" applyFill="1" applyBorder="1" applyAlignment="1" applyProtection="1">
      <alignment horizontal="center" vertical="center" wrapText="1" readingOrder="1"/>
      <protection locked="0"/>
    </xf>
    <xf numFmtId="0" fontId="77" fillId="12" borderId="70" xfId="7" applyFont="1" applyFill="1" applyBorder="1" applyAlignment="1" applyProtection="1">
      <alignment horizontal="center" vertical="center" wrapText="1" readingOrder="1"/>
      <protection locked="0"/>
    </xf>
    <xf numFmtId="0" fontId="80" fillId="12" borderId="70" xfId="7" applyFont="1" applyFill="1" applyBorder="1" applyAlignment="1" applyProtection="1">
      <alignment horizontal="center" vertical="center" wrapText="1" readingOrder="1"/>
      <protection locked="0"/>
    </xf>
    <xf numFmtId="0" fontId="90" fillId="12" borderId="70" xfId="7" applyFont="1" applyFill="1" applyBorder="1" applyAlignment="1" applyProtection="1">
      <alignment horizontal="center" vertical="center" wrapText="1" readingOrder="1"/>
      <protection locked="0"/>
    </xf>
    <xf numFmtId="0" fontId="94" fillId="12" borderId="70" xfId="7" applyFont="1" applyFill="1" applyBorder="1" applyAlignment="1" applyProtection="1">
      <alignment horizontal="center" vertical="center" wrapText="1" readingOrder="1"/>
      <protection locked="0"/>
    </xf>
    <xf numFmtId="0" fontId="84" fillId="12" borderId="70" xfId="7" applyFont="1" applyFill="1" applyBorder="1" applyAlignment="1" applyProtection="1">
      <alignment horizontal="center" vertical="center" wrapText="1" readingOrder="1"/>
      <protection locked="0"/>
    </xf>
    <xf numFmtId="0" fontId="77" fillId="12" borderId="70" xfId="7" applyFont="1" applyFill="1" applyBorder="1" applyAlignment="1" applyProtection="1">
      <alignment horizontal="center" vertical="center" readingOrder="1"/>
      <protection locked="0"/>
    </xf>
    <xf numFmtId="0" fontId="120" fillId="0" borderId="70" xfId="7" applyFont="1" applyBorder="1" applyAlignment="1" applyProtection="1">
      <alignment horizontal="center" vertical="center" wrapText="1" readingOrder="1"/>
      <protection locked="0"/>
    </xf>
    <xf numFmtId="0" fontId="121" fillId="0" borderId="70" xfId="7" applyFont="1" applyBorder="1" applyAlignment="1" applyProtection="1">
      <alignment horizontal="center" vertical="center" wrapText="1" readingOrder="1"/>
      <protection locked="0"/>
    </xf>
    <xf numFmtId="0" fontId="122" fillId="0" borderId="70" xfId="7" applyFont="1" applyBorder="1" applyAlignment="1" applyProtection="1">
      <alignment horizontal="center" vertical="center" wrapText="1" readingOrder="1"/>
      <protection locked="0"/>
    </xf>
    <xf numFmtId="0" fontId="77" fillId="36" borderId="70" xfId="7" applyFont="1" applyFill="1" applyBorder="1" applyAlignment="1" applyProtection="1">
      <alignment horizontal="center" vertical="center" wrapText="1" readingOrder="1"/>
      <protection locked="0"/>
    </xf>
    <xf numFmtId="0" fontId="80" fillId="36" borderId="70" xfId="7" applyFont="1" applyFill="1" applyBorder="1" applyAlignment="1" applyProtection="1">
      <alignment horizontal="center" vertical="center" wrapText="1" readingOrder="1"/>
      <protection locked="0"/>
    </xf>
    <xf numFmtId="0" fontId="90" fillId="36" borderId="70" xfId="7" applyFont="1" applyFill="1" applyBorder="1" applyAlignment="1" applyProtection="1">
      <alignment horizontal="center" vertical="center" wrapText="1" readingOrder="1"/>
      <protection locked="0"/>
    </xf>
    <xf numFmtId="0" fontId="126" fillId="0" borderId="70" xfId="7" applyFont="1" applyBorder="1" applyAlignment="1" applyProtection="1">
      <alignment horizontal="center" vertical="center" wrapText="1" readingOrder="1"/>
      <protection locked="0"/>
    </xf>
    <xf numFmtId="0" fontId="125" fillId="0" borderId="70" xfId="7" applyFont="1" applyBorder="1" applyAlignment="1" applyProtection="1">
      <alignment horizontal="center" vertical="center" wrapText="1" readingOrder="1"/>
      <protection locked="0"/>
    </xf>
    <xf numFmtId="0" fontId="78" fillId="40" borderId="70" xfId="7" applyFont="1" applyFill="1" applyBorder="1" applyAlignment="1" applyProtection="1">
      <alignment horizontal="center" vertical="center" wrapText="1" readingOrder="1"/>
      <protection locked="0"/>
    </xf>
    <xf numFmtId="0" fontId="154" fillId="40" borderId="70" xfId="7" applyFont="1" applyFill="1" applyBorder="1" applyAlignment="1" applyProtection="1">
      <alignment horizontal="center" vertical="center" wrapText="1" readingOrder="1"/>
      <protection locked="0"/>
    </xf>
    <xf numFmtId="0" fontId="101" fillId="40" borderId="70" xfId="7" applyFont="1" applyFill="1" applyBorder="1" applyAlignment="1" applyProtection="1">
      <alignment horizontal="center" vertical="center" wrapText="1" readingOrder="1"/>
      <protection locked="0"/>
    </xf>
    <xf numFmtId="0" fontId="77" fillId="16" borderId="70" xfId="7" applyFont="1" applyFill="1" applyBorder="1" applyAlignment="1" applyProtection="1">
      <alignment horizontal="center" vertical="center" wrapText="1" readingOrder="1"/>
      <protection locked="0"/>
    </xf>
    <xf numFmtId="0" fontId="84" fillId="16" borderId="70" xfId="7" applyFont="1" applyFill="1" applyBorder="1" applyAlignment="1" applyProtection="1">
      <alignment horizontal="center" vertical="center" wrapText="1" readingOrder="1"/>
      <protection locked="0"/>
    </xf>
    <xf numFmtId="0" fontId="90" fillId="16" borderId="70" xfId="7" applyFont="1" applyFill="1" applyBorder="1" applyAlignment="1" applyProtection="1">
      <alignment horizontal="center" vertical="center" wrapText="1" readingOrder="1"/>
      <protection locked="0"/>
    </xf>
    <xf numFmtId="0" fontId="80" fillId="16" borderId="70" xfId="7" applyFont="1" applyFill="1" applyBorder="1" applyAlignment="1" applyProtection="1">
      <alignment horizontal="center" vertical="center" wrapText="1" readingOrder="1"/>
      <protection locked="0"/>
    </xf>
    <xf numFmtId="0" fontId="126" fillId="16" borderId="70" xfId="7" applyFont="1" applyFill="1" applyBorder="1" applyAlignment="1" applyProtection="1">
      <alignment horizontal="center" vertical="center" wrapText="1" readingOrder="1"/>
      <protection locked="0"/>
    </xf>
    <xf numFmtId="0" fontId="77" fillId="20" borderId="70" xfId="7" applyFont="1" applyFill="1" applyBorder="1" applyAlignment="1" applyProtection="1">
      <alignment horizontal="center" vertical="center" wrapText="1" readingOrder="1"/>
      <protection locked="0"/>
    </xf>
    <xf numFmtId="0" fontId="77" fillId="19" borderId="70" xfId="7" applyFont="1" applyFill="1" applyBorder="1" applyAlignment="1" applyProtection="1">
      <alignment horizontal="center" vertical="center" wrapText="1" readingOrder="1"/>
      <protection locked="0"/>
    </xf>
    <xf numFmtId="0" fontId="77" fillId="18" borderId="70" xfId="7" applyFont="1" applyFill="1" applyBorder="1" applyAlignment="1" applyProtection="1">
      <alignment horizontal="center" vertical="center" wrapText="1" readingOrder="1"/>
      <protection locked="0"/>
    </xf>
    <xf numFmtId="0" fontId="77" fillId="0" borderId="31" xfId="7" applyFont="1" applyFill="1" applyBorder="1" applyAlignment="1" applyProtection="1">
      <alignment horizontal="center" vertical="center" wrapText="1" readingOrder="1"/>
      <protection locked="0"/>
    </xf>
    <xf numFmtId="0" fontId="77" fillId="0" borderId="71" xfId="7" applyFont="1" applyBorder="1" applyAlignment="1" applyProtection="1">
      <alignment horizontal="center" vertical="center" wrapText="1" readingOrder="1"/>
      <protection locked="0"/>
    </xf>
    <xf numFmtId="0" fontId="81" fillId="0" borderId="81" xfId="7" applyFont="1" applyBorder="1" applyAlignment="1" applyProtection="1">
      <alignment vertical="center" readingOrder="1"/>
      <protection locked="0"/>
    </xf>
    <xf numFmtId="0" fontId="81" fillId="0" borderId="70" xfId="7" applyFont="1" applyBorder="1" applyAlignment="1" applyProtection="1">
      <alignment vertical="center" readingOrder="1"/>
      <protection locked="0"/>
    </xf>
    <xf numFmtId="0" fontId="77" fillId="0" borderId="83" xfId="7" applyFont="1" applyBorder="1" applyAlignment="1" applyProtection="1">
      <alignment horizontal="center" vertical="center" wrapText="1" readingOrder="1"/>
      <protection locked="0"/>
    </xf>
    <xf numFmtId="0" fontId="22" fillId="18" borderId="70" xfId="7" applyFont="1" applyFill="1" applyBorder="1" applyAlignment="1" applyProtection="1">
      <alignment vertical="center" readingOrder="1"/>
      <protection locked="0"/>
    </xf>
    <xf numFmtId="0" fontId="22" fillId="0" borderId="0" xfId="7" applyFont="1" applyAlignment="1" applyProtection="1">
      <alignment vertical="center" readingOrder="1"/>
      <protection locked="0"/>
    </xf>
    <xf numFmtId="0" fontId="78" fillId="0" borderId="70" xfId="7" applyFont="1" applyBorder="1" applyAlignment="1" applyProtection="1">
      <alignment horizontal="center" vertical="center" wrapText="1" readingOrder="1"/>
      <protection locked="0"/>
    </xf>
    <xf numFmtId="0" fontId="77" fillId="17" borderId="31" xfId="7" applyFont="1" applyFill="1" applyBorder="1" applyAlignment="1" applyProtection="1">
      <alignment horizontal="center" vertical="center" wrapText="1" readingOrder="1"/>
      <protection locked="0"/>
    </xf>
    <xf numFmtId="0" fontId="77" fillId="17" borderId="71" xfId="7" applyFont="1" applyFill="1" applyBorder="1" applyAlignment="1" applyProtection="1">
      <alignment horizontal="center" vertical="center" wrapText="1" readingOrder="1"/>
      <protection locked="0"/>
    </xf>
    <xf numFmtId="0" fontId="81" fillId="17" borderId="81" xfId="7" applyFont="1" applyFill="1" applyBorder="1" applyAlignment="1" applyProtection="1">
      <alignment vertical="center" readingOrder="1"/>
      <protection locked="0"/>
    </xf>
    <xf numFmtId="0" fontId="81" fillId="17" borderId="70" xfId="7" applyFont="1" applyFill="1" applyBorder="1" applyAlignment="1" applyProtection="1">
      <alignment vertical="center" readingOrder="1"/>
      <protection locked="0"/>
    </xf>
    <xf numFmtId="0" fontId="77" fillId="17" borderId="83" xfId="7" applyFont="1" applyFill="1" applyBorder="1" applyAlignment="1" applyProtection="1">
      <alignment horizontal="center" vertical="center" wrapText="1" readingOrder="1"/>
      <protection locked="0"/>
    </xf>
    <xf numFmtId="0" fontId="22" fillId="17" borderId="70" xfId="7" applyFont="1" applyFill="1" applyBorder="1" applyAlignment="1" applyProtection="1">
      <alignment vertical="center" readingOrder="1"/>
      <protection locked="0"/>
    </xf>
    <xf numFmtId="0" fontId="22" fillId="17" borderId="0" xfId="7" applyFont="1" applyFill="1" applyAlignment="1" applyProtection="1">
      <alignment vertical="center" readingOrder="1"/>
      <protection locked="0"/>
    </xf>
    <xf numFmtId="0" fontId="77" fillId="0" borderId="81" xfId="7" applyFont="1" applyFill="1" applyBorder="1" applyAlignment="1" applyProtection="1">
      <alignment horizontal="center" vertical="center" wrapText="1" readingOrder="1"/>
      <protection locked="0"/>
    </xf>
    <xf numFmtId="0" fontId="77" fillId="0" borderId="70" xfId="7" applyFont="1" applyFill="1" applyBorder="1" applyAlignment="1" applyProtection="1">
      <alignment horizontal="center" vertical="center" wrapText="1" readingOrder="1"/>
      <protection locked="0"/>
    </xf>
    <xf numFmtId="0" fontId="78" fillId="0" borderId="84" xfId="7" applyFont="1" applyBorder="1" applyAlignment="1" applyProtection="1">
      <alignment horizontal="center" vertical="center" wrapText="1" readingOrder="1"/>
      <protection locked="0"/>
    </xf>
    <xf numFmtId="0" fontId="82" fillId="0" borderId="70" xfId="7" applyFont="1" applyBorder="1" applyAlignment="1" applyProtection="1">
      <alignment horizontal="center" vertical="center" wrapText="1" readingOrder="1"/>
      <protection locked="0"/>
    </xf>
    <xf numFmtId="0" fontId="102" fillId="20" borderId="70" xfId="7" applyFont="1" applyFill="1" applyBorder="1" applyAlignment="1" applyProtection="1">
      <alignment horizontal="center" vertical="center" wrapText="1" readingOrder="1"/>
      <protection locked="0"/>
    </xf>
    <xf numFmtId="0" fontId="102" fillId="19" borderId="70" xfId="7" applyFont="1" applyFill="1" applyBorder="1" applyAlignment="1" applyProtection="1">
      <alignment horizontal="center" vertical="center" wrapText="1" readingOrder="1"/>
      <protection locked="0"/>
    </xf>
    <xf numFmtId="0" fontId="102" fillId="18" borderId="70" xfId="7" applyFont="1" applyFill="1" applyBorder="1" applyAlignment="1" applyProtection="1">
      <alignment horizontal="center" vertical="center" wrapText="1" readingOrder="1"/>
      <protection locked="0"/>
    </xf>
    <xf numFmtId="0" fontId="102" fillId="0" borderId="31" xfId="7" applyFont="1" applyFill="1" applyBorder="1" applyAlignment="1" applyProtection="1">
      <alignment horizontal="center" vertical="center" wrapText="1" readingOrder="1"/>
      <protection locked="0"/>
    </xf>
    <xf numFmtId="0" fontId="102" fillId="0" borderId="71" xfId="7" applyFont="1" applyBorder="1" applyAlignment="1" applyProtection="1">
      <alignment horizontal="center" vertical="center" wrapText="1" readingOrder="1"/>
      <protection locked="0"/>
    </xf>
    <xf numFmtId="0" fontId="107" fillId="0" borderId="70" xfId="7" applyFont="1" applyBorder="1" applyAlignment="1" applyProtection="1">
      <alignment horizontal="center" vertical="center" wrapText="1" readingOrder="1"/>
      <protection locked="0"/>
    </xf>
    <xf numFmtId="0" fontId="105" fillId="18" borderId="70" xfId="7" applyFont="1" applyFill="1" applyBorder="1" applyAlignment="1" applyProtection="1">
      <alignment vertical="center" readingOrder="1"/>
      <protection locked="0"/>
    </xf>
    <xf numFmtId="0" fontId="105" fillId="0" borderId="0" xfId="7" applyFont="1" applyAlignment="1" applyProtection="1">
      <alignment vertical="center" readingOrder="1"/>
      <protection locked="0"/>
    </xf>
    <xf numFmtId="0" fontId="77" fillId="20" borderId="75" xfId="7" applyFont="1" applyFill="1" applyBorder="1" applyAlignment="1" applyProtection="1">
      <alignment horizontal="center" vertical="center" wrapText="1" readingOrder="1"/>
      <protection locked="0"/>
    </xf>
    <xf numFmtId="0" fontId="77" fillId="19" borderId="75" xfId="7" applyFont="1" applyFill="1" applyBorder="1" applyAlignment="1" applyProtection="1">
      <alignment horizontal="center" vertical="center" wrapText="1" readingOrder="1"/>
      <protection locked="0"/>
    </xf>
    <xf numFmtId="0" fontId="77" fillId="18" borderId="75" xfId="7" applyFont="1" applyFill="1" applyBorder="1" applyAlignment="1" applyProtection="1">
      <alignment horizontal="center" vertical="center" wrapText="1" readingOrder="1"/>
      <protection locked="0"/>
    </xf>
    <xf numFmtId="0" fontId="77" fillId="0" borderId="66" xfId="7" applyFont="1" applyFill="1" applyBorder="1" applyAlignment="1" applyProtection="1">
      <alignment horizontal="center" vertical="center" wrapText="1" readingOrder="1"/>
      <protection locked="0"/>
    </xf>
    <xf numFmtId="0" fontId="77" fillId="0" borderId="76" xfId="7" applyFont="1" applyBorder="1" applyAlignment="1" applyProtection="1">
      <alignment horizontal="center" vertical="center" wrapText="1" readingOrder="1"/>
      <protection locked="0"/>
    </xf>
    <xf numFmtId="0" fontId="22" fillId="18" borderId="75" xfId="7" applyFont="1" applyFill="1" applyBorder="1" applyAlignment="1" applyProtection="1">
      <alignment vertical="center" readingOrder="1"/>
      <protection locked="0"/>
    </xf>
    <xf numFmtId="0" fontId="77" fillId="20" borderId="77" xfId="7" applyFont="1" applyFill="1" applyBorder="1" applyAlignment="1" applyProtection="1">
      <alignment horizontal="center" vertical="center" wrapText="1" readingOrder="1"/>
      <protection locked="0"/>
    </xf>
    <xf numFmtId="0" fontId="77" fillId="19" borderId="77" xfId="7" applyFont="1" applyFill="1" applyBorder="1" applyAlignment="1" applyProtection="1">
      <alignment horizontal="center" vertical="center" wrapText="1" readingOrder="1"/>
      <protection locked="0"/>
    </xf>
    <xf numFmtId="0" fontId="77" fillId="18" borderId="77" xfId="7" applyFont="1" applyFill="1" applyBorder="1" applyAlignment="1" applyProtection="1">
      <alignment horizontal="center" vertical="center" wrapText="1" readingOrder="1"/>
      <protection locked="0"/>
    </xf>
    <xf numFmtId="0" fontId="77" fillId="0" borderId="78" xfId="7" applyFont="1" applyFill="1" applyBorder="1" applyAlignment="1" applyProtection="1">
      <alignment horizontal="center" vertical="center" wrapText="1" readingOrder="1"/>
      <protection locked="0"/>
    </xf>
    <xf numFmtId="0" fontId="77" fillId="0" borderId="79" xfId="7" applyFont="1" applyBorder="1" applyAlignment="1" applyProtection="1">
      <alignment horizontal="center" vertical="center" wrapText="1" readingOrder="1"/>
      <protection locked="0"/>
    </xf>
    <xf numFmtId="0" fontId="22" fillId="18" borderId="77" xfId="7" applyFont="1" applyFill="1" applyBorder="1" applyAlignment="1" applyProtection="1">
      <alignment vertical="center" readingOrder="1"/>
      <protection locked="0"/>
    </xf>
    <xf numFmtId="0" fontId="22" fillId="0" borderId="80" xfId="7" applyFont="1" applyBorder="1" applyAlignment="1" applyProtection="1">
      <alignment vertical="center" readingOrder="1"/>
      <protection locked="0"/>
    </xf>
    <xf numFmtId="0" fontId="77" fillId="12" borderId="77" xfId="7" applyFont="1" applyFill="1" applyBorder="1" applyAlignment="1" applyProtection="1">
      <alignment horizontal="center" vertical="center" wrapText="1" readingOrder="1"/>
      <protection locked="0"/>
    </xf>
    <xf numFmtId="0" fontId="77" fillId="0" borderId="85" xfId="7" applyFont="1" applyBorder="1" applyAlignment="1" applyProtection="1">
      <alignment horizontal="center" vertical="center" wrapText="1" readingOrder="1"/>
      <protection locked="0"/>
    </xf>
    <xf numFmtId="0" fontId="99" fillId="18" borderId="77" xfId="7" applyFont="1" applyFill="1" applyBorder="1" applyAlignment="1" applyProtection="1">
      <alignment vertical="center" readingOrder="1"/>
      <protection locked="0"/>
    </xf>
    <xf numFmtId="0" fontId="102" fillId="0" borderId="83" xfId="7" applyFont="1" applyBorder="1" applyAlignment="1" applyProtection="1">
      <alignment horizontal="center" vertical="center" wrapText="1" readingOrder="1"/>
      <protection locked="0"/>
    </xf>
    <xf numFmtId="0" fontId="78" fillId="18" borderId="70" xfId="7" applyFont="1" applyFill="1" applyBorder="1" applyAlignment="1" applyProtection="1">
      <alignment horizontal="center" vertical="center" wrapText="1" readingOrder="1"/>
      <protection locked="0"/>
    </xf>
    <xf numFmtId="0" fontId="78" fillId="0" borderId="31" xfId="7" applyFont="1" applyFill="1" applyBorder="1" applyAlignment="1" applyProtection="1">
      <alignment horizontal="center" vertical="center" wrapText="1" readingOrder="1"/>
      <protection locked="0"/>
    </xf>
    <xf numFmtId="0" fontId="81" fillId="0" borderId="31" xfId="7" applyFont="1" applyBorder="1" applyAlignment="1" applyProtection="1">
      <alignment vertical="center" readingOrder="1"/>
      <protection locked="0"/>
    </xf>
    <xf numFmtId="0" fontId="22" fillId="0" borderId="0" xfId="7" applyFont="1" applyAlignment="1" applyProtection="1">
      <alignment vertical="center" wrapText="1" readingOrder="1"/>
      <protection locked="0"/>
    </xf>
    <xf numFmtId="0" fontId="77" fillId="0" borderId="84" xfId="7" applyFont="1" applyBorder="1" applyAlignment="1" applyProtection="1">
      <alignment horizontal="center" vertical="center" wrapText="1" readingOrder="1"/>
      <protection locked="0"/>
    </xf>
    <xf numFmtId="0" fontId="77" fillId="0" borderId="0" xfId="7" applyFont="1" applyFill="1" applyBorder="1" applyAlignment="1" applyProtection="1">
      <alignment horizontal="center" vertical="center" wrapText="1" readingOrder="1"/>
      <protection locked="0"/>
    </xf>
    <xf numFmtId="0" fontId="81" fillId="0" borderId="66" xfId="7" applyFont="1" applyBorder="1" applyAlignment="1" applyProtection="1">
      <alignment vertical="center" readingOrder="1"/>
      <protection locked="0"/>
    </xf>
    <xf numFmtId="0" fontId="77" fillId="0" borderId="87" xfId="7" applyFont="1" applyBorder="1" applyAlignment="1" applyProtection="1">
      <alignment horizontal="center" vertical="center" wrapText="1" readingOrder="1"/>
      <protection locked="0"/>
    </xf>
    <xf numFmtId="0" fontId="117" fillId="0" borderId="78" xfId="7" applyFont="1" applyFill="1" applyBorder="1" applyAlignment="1" applyProtection="1">
      <alignment horizontal="center" vertical="center" wrapText="1" readingOrder="1"/>
      <protection locked="0"/>
    </xf>
    <xf numFmtId="0" fontId="77" fillId="0" borderId="80" xfId="7" applyFont="1" applyFill="1" applyBorder="1" applyAlignment="1" applyProtection="1">
      <alignment horizontal="center" vertical="center" wrapText="1" readingOrder="1"/>
      <protection locked="0"/>
    </xf>
    <xf numFmtId="0" fontId="117" fillId="0" borderId="31" xfId="7" applyFont="1" applyFill="1" applyBorder="1" applyAlignment="1" applyProtection="1">
      <alignment horizontal="center" vertical="center" wrapText="1" readingOrder="1"/>
      <protection locked="0"/>
    </xf>
    <xf numFmtId="0" fontId="117" fillId="0" borderId="77" xfId="7" applyFont="1" applyBorder="1" applyAlignment="1" applyProtection="1">
      <alignment horizontal="center" vertical="center" wrapText="1" readingOrder="1"/>
      <protection locked="0"/>
    </xf>
    <xf numFmtId="0" fontId="22" fillId="0" borderId="80" xfId="7" applyFont="1" applyBorder="1" applyAlignment="1" applyProtection="1">
      <alignment vertical="center" wrapText="1" readingOrder="1"/>
      <protection locked="0"/>
    </xf>
    <xf numFmtId="0" fontId="116" fillId="18" borderId="70" xfId="7" applyFont="1" applyFill="1" applyBorder="1" applyAlignment="1" applyProtection="1">
      <alignment vertical="center" readingOrder="1"/>
      <protection locked="0"/>
    </xf>
    <xf numFmtId="0" fontId="77" fillId="12" borderId="31" xfId="7" applyFont="1" applyFill="1" applyBorder="1" applyAlignment="1" applyProtection="1">
      <alignment horizontal="center" vertical="center" wrapText="1" readingOrder="1"/>
      <protection locked="0"/>
    </xf>
    <xf numFmtId="0" fontId="78" fillId="0" borderId="81" xfId="7" applyFont="1" applyFill="1" applyBorder="1" applyAlignment="1" applyProtection="1">
      <alignment horizontal="center" vertical="center" wrapText="1" readingOrder="1"/>
      <protection locked="0"/>
    </xf>
    <xf numFmtId="0" fontId="77" fillId="13" borderId="70" xfId="7" applyFont="1" applyFill="1" applyBorder="1" applyAlignment="1" applyProtection="1">
      <alignment horizontal="center" vertical="center" wrapText="1" readingOrder="1"/>
      <protection locked="0"/>
    </xf>
    <xf numFmtId="0" fontId="120" fillId="12" borderId="70" xfId="7" applyFont="1" applyFill="1" applyBorder="1" applyAlignment="1" applyProtection="1">
      <alignment horizontal="center" vertical="center" wrapText="1" readingOrder="1"/>
      <protection locked="0"/>
    </xf>
    <xf numFmtId="0" fontId="120" fillId="19" borderId="70" xfId="7" applyFont="1" applyFill="1" applyBorder="1" applyAlignment="1" applyProtection="1">
      <alignment horizontal="center" vertical="center" wrapText="1" readingOrder="1"/>
      <protection locked="0"/>
    </xf>
    <xf numFmtId="0" fontId="120" fillId="18" borderId="70" xfId="7" applyFont="1" applyFill="1" applyBorder="1" applyAlignment="1" applyProtection="1">
      <alignment horizontal="center" vertical="center" wrapText="1" readingOrder="1"/>
      <protection locked="0"/>
    </xf>
    <xf numFmtId="0" fontId="120" fillId="0" borderId="81" xfId="7" applyFont="1" applyFill="1" applyBorder="1" applyAlignment="1" applyProtection="1">
      <alignment horizontal="center" vertical="center" wrapText="1" readingOrder="1"/>
      <protection locked="0"/>
    </xf>
    <xf numFmtId="0" fontId="120" fillId="0" borderId="71" xfId="7" applyFont="1" applyBorder="1" applyAlignment="1" applyProtection="1">
      <alignment horizontal="center" vertical="center" wrapText="1" readingOrder="1"/>
      <protection locked="0"/>
    </xf>
    <xf numFmtId="0" fontId="120" fillId="0" borderId="31" xfId="7" applyFont="1" applyFill="1" applyBorder="1" applyAlignment="1" applyProtection="1">
      <alignment horizontal="center" vertical="center" wrapText="1" readingOrder="1"/>
      <protection locked="0"/>
    </xf>
    <xf numFmtId="0" fontId="120" fillId="0" borderId="83" xfId="7" applyFont="1" applyBorder="1" applyAlignment="1" applyProtection="1">
      <alignment horizontal="center" vertical="center" wrapText="1" readingOrder="1"/>
      <protection locked="0"/>
    </xf>
    <xf numFmtId="0" fontId="120" fillId="0" borderId="70" xfId="7" applyFont="1" applyFill="1" applyBorder="1" applyAlignment="1" applyProtection="1">
      <alignment horizontal="center" vertical="center" wrapText="1" readingOrder="1"/>
      <protection locked="0"/>
    </xf>
    <xf numFmtId="0" fontId="123" fillId="18" borderId="70" xfId="7" applyFont="1" applyFill="1" applyBorder="1" applyAlignment="1" applyProtection="1">
      <alignment vertical="center" readingOrder="1"/>
      <protection locked="0"/>
    </xf>
    <xf numFmtId="0" fontId="123" fillId="0" borderId="0" xfId="7" applyFont="1" applyAlignment="1" applyProtection="1">
      <alignment vertical="center" wrapText="1" readingOrder="1"/>
      <protection locked="0"/>
    </xf>
    <xf numFmtId="0" fontId="77" fillId="36" borderId="81" xfId="7" applyFont="1" applyFill="1" applyBorder="1" applyAlignment="1" applyProtection="1">
      <alignment horizontal="center" vertical="center" wrapText="1" readingOrder="1"/>
      <protection locked="0"/>
    </xf>
    <xf numFmtId="0" fontId="77" fillId="36" borderId="71" xfId="7" applyFont="1" applyFill="1" applyBorder="1" applyAlignment="1" applyProtection="1">
      <alignment horizontal="center" vertical="center" wrapText="1" readingOrder="1"/>
      <protection locked="0"/>
    </xf>
    <xf numFmtId="0" fontId="77" fillId="36" borderId="31" xfId="7" applyFont="1" applyFill="1" applyBorder="1" applyAlignment="1" applyProtection="1">
      <alignment horizontal="center" vertical="center" wrapText="1" readingOrder="1"/>
      <protection locked="0"/>
    </xf>
    <xf numFmtId="0" fontId="77" fillId="36" borderId="83" xfId="7" applyFont="1" applyFill="1" applyBorder="1" applyAlignment="1" applyProtection="1">
      <alignment horizontal="center" vertical="center" wrapText="1" readingOrder="1"/>
      <protection locked="0"/>
    </xf>
    <xf numFmtId="0" fontId="95" fillId="0" borderId="0" xfId="7" applyFont="1" applyAlignment="1" applyProtection="1">
      <alignment vertical="center" readingOrder="1"/>
      <protection locked="0"/>
    </xf>
    <xf numFmtId="0" fontId="77" fillId="37" borderId="70" xfId="7" applyFont="1" applyFill="1" applyBorder="1" applyAlignment="1" applyProtection="1">
      <alignment horizontal="center" vertical="center" wrapText="1" readingOrder="1"/>
      <protection locked="0"/>
    </xf>
    <xf numFmtId="0" fontId="78" fillId="0" borderId="71" xfId="7" applyFont="1" applyBorder="1" applyAlignment="1" applyProtection="1">
      <alignment horizontal="center" vertical="center" wrapText="1" readingOrder="1"/>
      <protection locked="0"/>
    </xf>
    <xf numFmtId="0" fontId="78" fillId="0" borderId="83" xfId="7" applyFont="1" applyBorder="1" applyAlignment="1" applyProtection="1">
      <alignment horizontal="center" vertical="center" wrapText="1" readingOrder="1"/>
      <protection locked="0"/>
    </xf>
    <xf numFmtId="0" fontId="78" fillId="0" borderId="70" xfId="7" applyFont="1" applyFill="1" applyBorder="1" applyAlignment="1" applyProtection="1">
      <alignment horizontal="center" vertical="center" wrapText="1" readingOrder="1"/>
      <protection locked="0"/>
    </xf>
    <xf numFmtId="0" fontId="95" fillId="0" borderId="0" xfId="7" applyFont="1" applyAlignment="1" applyProtection="1">
      <alignment vertical="center" wrapText="1" readingOrder="1"/>
      <protection locked="0"/>
    </xf>
    <xf numFmtId="0" fontId="77" fillId="41" borderId="70" xfId="7" applyFont="1" applyFill="1" applyBorder="1" applyAlignment="1" applyProtection="1">
      <alignment horizontal="center" vertical="center" wrapText="1" readingOrder="1"/>
      <protection locked="0"/>
    </xf>
    <xf numFmtId="0" fontId="78" fillId="16" borderId="81" xfId="7" applyFont="1" applyFill="1" applyBorder="1" applyAlignment="1" applyProtection="1">
      <alignment horizontal="center" vertical="center" wrapText="1" readingOrder="1"/>
      <protection locked="0"/>
    </xf>
    <xf numFmtId="0" fontId="78" fillId="16" borderId="70" xfId="7" applyFont="1" applyFill="1" applyBorder="1" applyAlignment="1" applyProtection="1">
      <alignment horizontal="center" vertical="center" wrapText="1" readingOrder="1"/>
      <protection locked="0"/>
    </xf>
    <xf numFmtId="0" fontId="77" fillId="16" borderId="71" xfId="7" applyFont="1" applyFill="1" applyBorder="1" applyAlignment="1" applyProtection="1">
      <alignment horizontal="center" vertical="center" wrapText="1" readingOrder="1"/>
      <protection locked="0"/>
    </xf>
    <xf numFmtId="0" fontId="77" fillId="16" borderId="81" xfId="7" applyFont="1" applyFill="1" applyBorder="1" applyAlignment="1" applyProtection="1">
      <alignment horizontal="center" vertical="center" wrapText="1" readingOrder="1"/>
      <protection locked="0"/>
    </xf>
    <xf numFmtId="0" fontId="77" fillId="16" borderId="31" xfId="7" applyFont="1" applyFill="1" applyBorder="1" applyAlignment="1" applyProtection="1">
      <alignment horizontal="center" vertical="center" wrapText="1" readingOrder="1"/>
      <protection locked="0"/>
    </xf>
    <xf numFmtId="0" fontId="77" fillId="16" borderId="83" xfId="7" applyFont="1" applyFill="1" applyBorder="1" applyAlignment="1" applyProtection="1">
      <alignment horizontal="center" vertical="center" wrapText="1" readingOrder="1"/>
      <protection locked="0"/>
    </xf>
    <xf numFmtId="0" fontId="165" fillId="18" borderId="70" xfId="7" applyFont="1" applyFill="1" applyBorder="1" applyAlignment="1" applyProtection="1">
      <alignment vertical="center" readingOrder="1"/>
      <protection locked="0"/>
    </xf>
    <xf numFmtId="0" fontId="81" fillId="16" borderId="31" xfId="7" applyFont="1" applyFill="1" applyBorder="1" applyAlignment="1" applyProtection="1">
      <alignment vertical="center" readingOrder="1"/>
      <protection locked="0"/>
    </xf>
    <xf numFmtId="0" fontId="0" fillId="10" borderId="0" xfId="0" applyFill="1" applyBorder="1">
      <alignment vertical="center"/>
    </xf>
    <xf numFmtId="0" fontId="0" fillId="0" borderId="0" xfId="0" applyBorder="1">
      <alignment vertical="center"/>
    </xf>
    <xf numFmtId="0" fontId="77" fillId="28" borderId="70" xfId="7" applyFont="1" applyFill="1" applyBorder="1" applyAlignment="1" applyProtection="1">
      <alignment horizontal="center" vertical="center" wrapText="1" readingOrder="1"/>
      <protection locked="0"/>
    </xf>
    <xf numFmtId="0" fontId="90" fillId="28" borderId="70" xfId="7" applyFont="1" applyFill="1" applyBorder="1" applyAlignment="1" applyProtection="1">
      <alignment horizontal="center" vertical="center" wrapText="1" readingOrder="1"/>
      <protection locked="0"/>
    </xf>
    <xf numFmtId="0" fontId="77" fillId="28" borderId="81" xfId="7" applyFont="1" applyFill="1" applyBorder="1" applyAlignment="1" applyProtection="1">
      <alignment horizontal="center" vertical="center" wrapText="1" readingOrder="1"/>
      <protection locked="0"/>
    </xf>
    <xf numFmtId="0" fontId="77" fillId="28" borderId="71" xfId="7" applyFont="1" applyFill="1" applyBorder="1" applyAlignment="1" applyProtection="1">
      <alignment horizontal="center" vertical="center" wrapText="1" readingOrder="1"/>
      <protection locked="0"/>
    </xf>
    <xf numFmtId="0" fontId="77" fillId="28" borderId="31" xfId="7" applyFont="1" applyFill="1" applyBorder="1" applyAlignment="1" applyProtection="1">
      <alignment horizontal="center" vertical="center" wrapText="1" readingOrder="1"/>
      <protection locked="0"/>
    </xf>
    <xf numFmtId="0" fontId="77" fillId="28" borderId="83" xfId="7" applyFont="1" applyFill="1" applyBorder="1" applyAlignment="1" applyProtection="1">
      <alignment horizontal="center" vertical="center" wrapText="1" readingOrder="1"/>
      <protection locked="0"/>
    </xf>
    <xf numFmtId="0" fontId="84" fillId="28" borderId="70" xfId="7" applyFont="1" applyFill="1" applyBorder="1" applyAlignment="1" applyProtection="1">
      <alignment horizontal="center" vertical="center" wrapText="1" readingOrder="1"/>
      <protection locked="0"/>
    </xf>
    <xf numFmtId="0" fontId="91" fillId="16" borderId="70" xfId="7" applyFont="1" applyFill="1" applyBorder="1" applyAlignment="1" applyProtection="1">
      <alignment horizontal="center" vertical="center" wrapText="1" readingOrder="1"/>
      <protection locked="0"/>
    </xf>
    <xf numFmtId="0" fontId="90" fillId="0" borderId="75" xfId="7" applyFont="1" applyBorder="1" applyAlignment="1" applyProtection="1">
      <alignment horizontal="center" vertical="center" wrapText="1" readingOrder="1"/>
      <protection locked="0"/>
    </xf>
    <xf numFmtId="0" fontId="77" fillId="0" borderId="72" xfId="7" applyFont="1" applyFill="1" applyBorder="1" applyAlignment="1" applyProtection="1">
      <alignment horizontal="center" vertical="center" wrapText="1" readingOrder="1"/>
      <protection locked="0"/>
    </xf>
    <xf numFmtId="0" fontId="77" fillId="0" borderId="75" xfId="7" applyFont="1" applyFill="1" applyBorder="1" applyAlignment="1" applyProtection="1">
      <alignment horizontal="center" vertical="center" wrapText="1" readingOrder="1"/>
      <protection locked="0"/>
    </xf>
    <xf numFmtId="0" fontId="77" fillId="16" borderId="77" xfId="7" applyFont="1" applyFill="1" applyBorder="1" applyAlignment="1" applyProtection="1">
      <alignment horizontal="center" vertical="center" wrapText="1" readingOrder="1"/>
      <protection locked="0"/>
    </xf>
    <xf numFmtId="0" fontId="84" fillId="16" borderId="77" xfId="7" applyFont="1" applyFill="1" applyBorder="1" applyAlignment="1" applyProtection="1">
      <alignment horizontal="center" vertical="center" wrapText="1" readingOrder="1"/>
      <protection locked="0"/>
    </xf>
    <xf numFmtId="0" fontId="90" fillId="16" borderId="77" xfId="7" applyFont="1" applyFill="1" applyBorder="1" applyAlignment="1" applyProtection="1">
      <alignment horizontal="center" vertical="center" wrapText="1" readingOrder="1"/>
      <protection locked="0"/>
    </xf>
    <xf numFmtId="0" fontId="77" fillId="41" borderId="77" xfId="7" applyFont="1" applyFill="1" applyBorder="1" applyAlignment="1" applyProtection="1">
      <alignment horizontal="center" vertical="center" wrapText="1" readingOrder="1"/>
      <protection locked="0"/>
    </xf>
    <xf numFmtId="0" fontId="78" fillId="18" borderId="77" xfId="7" applyFont="1" applyFill="1" applyBorder="1" applyAlignment="1" applyProtection="1">
      <alignment horizontal="center" vertical="center" wrapText="1" readingOrder="1"/>
      <protection locked="0"/>
    </xf>
    <xf numFmtId="0" fontId="78" fillId="16" borderId="106" xfId="7" applyFont="1" applyFill="1" applyBorder="1" applyAlignment="1" applyProtection="1">
      <alignment horizontal="center" vertical="center" wrapText="1" readingOrder="1"/>
      <protection locked="0"/>
    </xf>
    <xf numFmtId="0" fontId="78" fillId="16" borderId="77" xfId="7" applyFont="1" applyFill="1" applyBorder="1" applyAlignment="1" applyProtection="1">
      <alignment horizontal="center" vertical="center" wrapText="1" readingOrder="1"/>
      <protection locked="0"/>
    </xf>
    <xf numFmtId="0" fontId="77" fillId="16" borderId="79" xfId="7" applyFont="1" applyFill="1" applyBorder="1" applyAlignment="1" applyProtection="1">
      <alignment horizontal="center" vertical="center" wrapText="1" readingOrder="1"/>
      <protection locked="0"/>
    </xf>
    <xf numFmtId="0" fontId="77" fillId="16" borderId="106" xfId="7" applyFont="1" applyFill="1" applyBorder="1" applyAlignment="1" applyProtection="1">
      <alignment horizontal="center" vertical="center" wrapText="1" readingOrder="1"/>
      <protection locked="0"/>
    </xf>
    <xf numFmtId="0" fontId="77" fillId="16" borderId="78" xfId="7" applyFont="1" applyFill="1" applyBorder="1" applyAlignment="1" applyProtection="1">
      <alignment horizontal="center" vertical="center" wrapText="1" readingOrder="1"/>
      <protection locked="0"/>
    </xf>
    <xf numFmtId="0" fontId="77" fillId="16" borderId="107" xfId="7" applyFont="1" applyFill="1" applyBorder="1" applyAlignment="1" applyProtection="1">
      <alignment horizontal="center" vertical="center" wrapText="1" readingOrder="1"/>
      <protection locked="0"/>
    </xf>
    <xf numFmtId="0" fontId="165" fillId="18" borderId="77" xfId="7" applyFont="1" applyFill="1" applyBorder="1" applyAlignment="1" applyProtection="1">
      <alignment vertical="center" readingOrder="1"/>
      <protection locked="0"/>
    </xf>
    <xf numFmtId="0" fontId="116" fillId="0" borderId="0" xfId="7" applyFont="1" applyAlignment="1" applyProtection="1">
      <alignment vertical="center" wrapText="1" readingOrder="1"/>
      <protection locked="0"/>
    </xf>
    <xf numFmtId="0" fontId="171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2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3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3" fillId="30" borderId="70" xfId="7" applyFont="1" applyFill="1" applyBorder="1" applyAlignment="1" applyProtection="1">
      <alignment horizontal="center" vertical="center" wrapText="1" readingOrder="1"/>
      <protection hidden="1"/>
    </xf>
    <xf numFmtId="0" fontId="171" fillId="12" borderId="70" xfId="7" applyFont="1" applyFill="1" applyBorder="1" applyAlignment="1" applyProtection="1">
      <alignment horizontal="center" vertical="center" wrapText="1" readingOrder="1"/>
      <protection locked="0"/>
    </xf>
    <xf numFmtId="0" fontId="171" fillId="19" borderId="70" xfId="7" applyFont="1" applyFill="1" applyBorder="1" applyAlignment="1" applyProtection="1">
      <alignment horizontal="center" vertical="center" wrapText="1" readingOrder="1"/>
      <protection locked="0"/>
    </xf>
    <xf numFmtId="0" fontId="171" fillId="18" borderId="70" xfId="7" applyFont="1" applyFill="1" applyBorder="1" applyAlignment="1" applyProtection="1">
      <alignment horizontal="center" vertical="center" wrapText="1" readingOrder="1"/>
      <protection locked="0"/>
    </xf>
    <xf numFmtId="0" fontId="171" fillId="16" borderId="81" xfId="7" applyFont="1" applyFill="1" applyBorder="1" applyAlignment="1" applyProtection="1">
      <alignment horizontal="center" vertical="center" wrapText="1" readingOrder="1"/>
      <protection locked="0"/>
    </xf>
    <xf numFmtId="0" fontId="171" fillId="16" borderId="71" xfId="7" applyFont="1" applyFill="1" applyBorder="1" applyAlignment="1" applyProtection="1">
      <alignment horizontal="center" vertical="center" wrapText="1" readingOrder="1"/>
      <protection locked="0"/>
    </xf>
    <xf numFmtId="0" fontId="171" fillId="16" borderId="31" xfId="7" applyFont="1" applyFill="1" applyBorder="1" applyAlignment="1" applyProtection="1">
      <alignment horizontal="center" vertical="center" wrapText="1" readingOrder="1"/>
      <protection locked="0"/>
    </xf>
    <xf numFmtId="0" fontId="171" fillId="16" borderId="83" xfId="7" applyFont="1" applyFill="1" applyBorder="1" applyAlignment="1" applyProtection="1">
      <alignment horizontal="center" vertical="center" wrapText="1" readingOrder="1"/>
      <protection locked="0"/>
    </xf>
    <xf numFmtId="0" fontId="174" fillId="18" borderId="70" xfId="7" applyFont="1" applyFill="1" applyBorder="1" applyAlignment="1" applyProtection="1">
      <alignment vertical="center" readingOrder="1"/>
      <protection locked="0"/>
    </xf>
    <xf numFmtId="0" fontId="74" fillId="0" borderId="0" xfId="7" applyFont="1" applyAlignment="1" applyProtection="1">
      <alignment vertical="center" readingOrder="1"/>
      <protection locked="0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10" borderId="0" xfId="0" applyFill="1" applyBorder="1" applyProtection="1">
      <alignment vertical="center"/>
      <protection locked="0" hidden="1"/>
    </xf>
    <xf numFmtId="0" fontId="0" fillId="0" borderId="0" xfId="0" applyBorder="1" applyProtection="1">
      <alignment vertical="center"/>
      <protection hidden="1"/>
    </xf>
    <xf numFmtId="0" fontId="118" fillId="19" borderId="31" xfId="7" applyFont="1" applyFill="1" applyBorder="1" applyAlignment="1" applyProtection="1">
      <alignment horizontal="center" vertical="center" wrapText="1" readingOrder="1"/>
      <protection hidden="1"/>
    </xf>
    <xf numFmtId="0" fontId="118" fillId="0" borderId="31" xfId="7" applyFont="1" applyFill="1" applyBorder="1" applyAlignment="1" applyProtection="1">
      <alignment horizontal="center" vertical="center" wrapText="1" readingOrder="1"/>
      <protection hidden="1"/>
    </xf>
    <xf numFmtId="0" fontId="86" fillId="0" borderId="83" xfId="7" applyFont="1" applyBorder="1" applyAlignment="1" applyProtection="1">
      <alignment horizontal="center" vertical="center" wrapText="1" readingOrder="1"/>
      <protection hidden="1"/>
    </xf>
    <xf numFmtId="0" fontId="22" fillId="18" borderId="108" xfId="7" applyFont="1" applyFill="1" applyBorder="1" applyAlignment="1" applyProtection="1">
      <alignment vertical="center" readingOrder="1"/>
      <protection locked="0"/>
    </xf>
    <xf numFmtId="0" fontId="176" fillId="18" borderId="70" xfId="7" applyFont="1" applyFill="1" applyBorder="1" applyAlignment="1" applyProtection="1">
      <alignment horizontal="center" vertical="center" wrapText="1" readingOrder="1"/>
      <protection locked="0"/>
    </xf>
    <xf numFmtId="0" fontId="176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7" fillId="0" borderId="0" xfId="7" applyFont="1" applyAlignment="1" applyProtection="1">
      <alignment vertical="center" wrapText="1" readingOrder="1"/>
      <protection locked="0"/>
    </xf>
    <xf numFmtId="0" fontId="178" fillId="20" borderId="0" xfId="7" applyFont="1" applyFill="1" applyAlignment="1" applyProtection="1">
      <alignment vertical="center" readingOrder="1"/>
      <protection hidden="1"/>
    </xf>
    <xf numFmtId="0" fontId="74" fillId="0" borderId="0" xfId="7" applyFont="1" applyAlignment="1" applyProtection="1">
      <alignment vertical="center" readingOrder="1"/>
      <protection hidden="1"/>
    </xf>
    <xf numFmtId="0" fontId="74" fillId="0" borderId="0" xfId="7" applyFont="1" applyBorder="1" applyAlignment="1" applyProtection="1">
      <alignment vertical="center" readingOrder="1"/>
      <protection hidden="1"/>
    </xf>
    <xf numFmtId="0" fontId="99" fillId="18" borderId="70" xfId="7" applyFont="1" applyFill="1" applyBorder="1" applyAlignment="1" applyProtection="1">
      <alignment vertical="center" readingOrder="1"/>
      <protection locked="0"/>
    </xf>
    <xf numFmtId="0" fontId="77" fillId="0" borderId="71" xfId="7" applyFont="1" applyFill="1" applyBorder="1" applyAlignment="1" applyProtection="1">
      <alignment horizontal="center" vertical="center" wrapText="1" readingOrder="1"/>
      <protection locked="0"/>
    </xf>
    <xf numFmtId="0" fontId="77" fillId="0" borderId="83" xfId="7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10" borderId="0" xfId="0" applyFill="1" applyBorder="1" applyProtection="1">
      <alignment vertical="center"/>
      <protection locked="0" hidden="1"/>
    </xf>
    <xf numFmtId="0" fontId="0" fillId="0" borderId="0" xfId="0" applyBorder="1" applyProtection="1">
      <alignment vertical="center"/>
      <protection hidden="1"/>
    </xf>
    <xf numFmtId="0" fontId="54" fillId="28" borderId="66" xfId="12" applyFont="1" applyFill="1" applyBorder="1" applyAlignment="1">
      <alignment horizontal="center" vertical="center"/>
    </xf>
    <xf numFmtId="0" fontId="54" fillId="28" borderId="82" xfId="12" applyFont="1" applyFill="1" applyBorder="1" applyAlignment="1">
      <alignment horizontal="center" vertical="center"/>
    </xf>
    <xf numFmtId="0" fontId="54" fillId="0" borderId="66" xfId="12" applyFont="1" applyBorder="1" applyAlignment="1">
      <alignment horizontal="center" vertical="center"/>
    </xf>
    <xf numFmtId="0" fontId="54" fillId="0" borderId="82" xfId="12" applyFont="1" applyBorder="1" applyAlignment="1">
      <alignment horizontal="center" vertical="center"/>
    </xf>
    <xf numFmtId="0" fontId="54" fillId="28" borderId="66" xfId="12" applyFont="1" applyFill="1" applyBorder="1" applyAlignment="1">
      <alignment horizontal="center" vertical="center" wrapText="1"/>
    </xf>
    <xf numFmtId="0" fontId="54" fillId="28" borderId="82" xfId="12" applyFont="1" applyFill="1" applyBorder="1" applyAlignment="1">
      <alignment horizontal="center" vertical="center" wrapText="1"/>
    </xf>
    <xf numFmtId="0" fontId="95" fillId="0" borderId="66" xfId="12" applyFont="1" applyBorder="1" applyAlignment="1">
      <alignment horizontal="center" vertical="center"/>
    </xf>
    <xf numFmtId="0" fontId="54" fillId="28" borderId="66" xfId="12" quotePrefix="1" applyFont="1" applyFill="1" applyBorder="1" applyAlignment="1">
      <alignment horizontal="center" vertical="center"/>
    </xf>
    <xf numFmtId="0" fontId="54" fillId="28" borderId="82" xfId="12" quotePrefix="1" applyFont="1" applyFill="1" applyBorder="1" applyAlignment="1">
      <alignment horizontal="center" vertical="center"/>
    </xf>
    <xf numFmtId="0" fontId="54" fillId="0" borderId="66" xfId="12" applyFont="1" applyBorder="1" applyAlignment="1">
      <alignment horizontal="left" vertical="center"/>
    </xf>
    <xf numFmtId="0" fontId="54" fillId="0" borderId="82" xfId="12" applyFont="1" applyBorder="1" applyAlignment="1">
      <alignment horizontal="left" vertical="center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30" fillId="0" borderId="25" xfId="0" applyFont="1" applyBorder="1" applyAlignment="1" applyProtection="1">
      <alignment horizontal="center" vertical="center" wrapText="1"/>
      <protection hidden="1"/>
    </xf>
    <xf numFmtId="0" fontId="30" fillId="0" borderId="40" xfId="0" applyFont="1" applyBorder="1" applyAlignment="1" applyProtection="1">
      <alignment horizontal="center" vertical="center" wrapText="1"/>
      <protection hidden="1"/>
    </xf>
    <xf numFmtId="0" fontId="30" fillId="0" borderId="28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19" borderId="25" xfId="0" applyFill="1" applyBorder="1" applyAlignment="1" applyProtection="1">
      <alignment horizontal="center" vertical="center" wrapText="1"/>
      <protection hidden="1"/>
    </xf>
    <xf numFmtId="0" fontId="0" fillId="19" borderId="26" xfId="0" applyFill="1" applyBorder="1" applyAlignment="1" applyProtection="1">
      <alignment horizontal="center" vertical="center" wrapText="1"/>
      <protection hidden="1"/>
    </xf>
    <xf numFmtId="0" fontId="0" fillId="19" borderId="28" xfId="0" applyFill="1" applyBorder="1" applyAlignment="1" applyProtection="1">
      <alignment horizontal="center" vertical="center" wrapText="1"/>
      <protection hidden="1"/>
    </xf>
    <xf numFmtId="0" fontId="0" fillId="19" borderId="29" xfId="0" applyFill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43" xfId="0" applyBorder="1" applyAlignment="1" applyProtection="1">
      <alignment horizontal="center" vertical="center"/>
      <protection hidden="1"/>
    </xf>
    <xf numFmtId="0" fontId="0" fillId="10" borderId="29" xfId="0" applyFill="1" applyBorder="1" applyProtection="1">
      <alignment vertical="center"/>
      <protection locked="0" hidden="1"/>
    </xf>
    <xf numFmtId="0" fontId="0" fillId="0" borderId="29" xfId="0" applyBorder="1" applyProtection="1">
      <alignment vertical="center"/>
      <protection hidden="1"/>
    </xf>
    <xf numFmtId="0" fontId="0" fillId="14" borderId="29" xfId="0" applyFill="1" applyBorder="1" applyAlignment="1" applyProtection="1">
      <alignment horizontal="center" vertical="center"/>
      <protection hidden="1"/>
    </xf>
    <xf numFmtId="0" fontId="0" fillId="17" borderId="29" xfId="0" applyFill="1" applyBorder="1" applyAlignment="1" applyProtection="1">
      <alignment vertical="center"/>
      <protection hidden="1"/>
    </xf>
    <xf numFmtId="0" fontId="0" fillId="17" borderId="30" xfId="0" applyFill="1" applyBorder="1" applyAlignment="1" applyProtection="1">
      <alignment vertical="center"/>
      <protection hidden="1"/>
    </xf>
    <xf numFmtId="0" fontId="0" fillId="19" borderId="40" xfId="0" applyFill="1" applyBorder="1" applyAlignment="1" applyProtection="1">
      <alignment horizontal="center" vertical="center" wrapText="1"/>
      <protection hidden="1"/>
    </xf>
    <xf numFmtId="0" fontId="0" fillId="19" borderId="0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Protection="1">
      <alignment vertical="center"/>
      <protection locked="0" hidden="1"/>
    </xf>
    <xf numFmtId="0" fontId="0" fillId="14" borderId="35" xfId="0" applyFill="1" applyBorder="1" applyAlignment="1" applyProtection="1">
      <alignment horizontal="center" vertical="center"/>
      <protection hidden="1"/>
    </xf>
    <xf numFmtId="0" fontId="0" fillId="16" borderId="35" xfId="0" applyFill="1" applyBorder="1" applyAlignment="1" applyProtection="1">
      <alignment horizontal="center" vertical="center"/>
      <protection hidden="1"/>
    </xf>
    <xf numFmtId="0" fontId="0" fillId="16" borderId="36" xfId="0" applyFill="1" applyBorder="1" applyAlignment="1" applyProtection="1">
      <alignment horizontal="center"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1" xfId="0" applyBorder="1" applyProtection="1">
      <alignment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22" xfId="0" applyBorder="1" applyAlignment="1" applyProtection="1">
      <alignment horizontal="center" vertical="center"/>
      <protection hidden="1"/>
    </xf>
    <xf numFmtId="0" fontId="0" fillId="10" borderId="0" xfId="0" applyFill="1" applyBorder="1" applyProtection="1">
      <alignment vertical="center"/>
      <protection locked="0" hidden="1"/>
    </xf>
    <xf numFmtId="0" fontId="0" fillId="14" borderId="0" xfId="0" applyFill="1" applyBorder="1" applyAlignment="1" applyProtection="1">
      <alignment horizontal="center" vertical="center"/>
      <protection hidden="1"/>
    </xf>
    <xf numFmtId="0" fontId="0" fillId="16" borderId="0" xfId="0" applyFill="1" applyBorder="1" applyAlignment="1" applyProtection="1">
      <alignment horizontal="center" vertical="center"/>
      <protection hidden="1"/>
    </xf>
    <xf numFmtId="0" fontId="0" fillId="16" borderId="24" xfId="0" applyFill="1" applyBorder="1" applyAlignment="1" applyProtection="1">
      <alignment horizontal="center" vertical="center"/>
      <protection hidden="1"/>
    </xf>
    <xf numFmtId="0" fontId="0" fillId="10" borderId="0" xfId="0" applyFill="1" applyBorder="1" applyProtection="1">
      <alignment vertical="center"/>
      <protection locked="0"/>
    </xf>
    <xf numFmtId="0" fontId="0" fillId="10" borderId="29" xfId="0" applyFill="1" applyBorder="1" applyProtection="1">
      <alignment vertical="center"/>
      <protection locked="0"/>
    </xf>
    <xf numFmtId="0" fontId="0" fillId="10" borderId="35" xfId="0" applyFill="1" applyBorder="1" applyProtection="1">
      <alignment vertical="center"/>
      <protection locked="0"/>
    </xf>
    <xf numFmtId="0" fontId="0" fillId="0" borderId="35" xfId="0" applyBorder="1" applyProtection="1">
      <alignment vertical="center"/>
      <protection hidden="1"/>
    </xf>
    <xf numFmtId="0" fontId="0" fillId="16" borderId="35" xfId="0" applyFill="1" applyBorder="1" applyAlignment="1" applyProtection="1">
      <alignment vertical="center"/>
      <protection hidden="1"/>
    </xf>
    <xf numFmtId="0" fontId="0" fillId="16" borderId="36" xfId="0" applyFill="1" applyBorder="1" applyAlignme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16" borderId="0" xfId="0" applyFill="1" applyBorder="1" applyAlignment="1" applyProtection="1">
      <alignment vertical="center"/>
      <protection hidden="1"/>
    </xf>
    <xf numFmtId="0" fontId="0" fillId="16" borderId="24" xfId="0" applyFill="1" applyBorder="1" applyAlignment="1" applyProtection="1">
      <alignment vertical="center"/>
      <protection hidden="1"/>
    </xf>
    <xf numFmtId="0" fontId="132" fillId="28" borderId="0" xfId="5" applyFont="1" applyFill="1" applyAlignment="1">
      <alignment horizontal="center" vertical="center"/>
    </xf>
    <xf numFmtId="0" fontId="39" fillId="28" borderId="11" xfId="5" applyFill="1" applyBorder="1" applyAlignment="1">
      <alignment horizontal="left" vertical="center" wrapText="1"/>
    </xf>
    <xf numFmtId="0" fontId="39" fillId="28" borderId="0" xfId="5" applyFill="1" applyBorder="1" applyAlignment="1">
      <alignment horizontal="left" vertical="center" wrapText="1"/>
    </xf>
    <xf numFmtId="0" fontId="39" fillId="28" borderId="12" xfId="5" applyFill="1" applyBorder="1" applyAlignment="1">
      <alignment horizontal="left" vertical="center" wrapText="1"/>
    </xf>
    <xf numFmtId="0" fontId="0" fillId="19" borderId="25" xfId="0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10" borderId="0" xfId="0" applyFill="1" applyBorder="1">
      <alignment vertical="center"/>
    </xf>
    <xf numFmtId="0" fontId="0" fillId="10" borderId="35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5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9" xfId="0" applyFill="1" applyBorder="1">
      <alignment vertical="center"/>
    </xf>
    <xf numFmtId="0" fontId="0" fillId="0" borderId="29" xfId="0" applyBorder="1">
      <alignment vertical="center"/>
    </xf>
    <xf numFmtId="0" fontId="0" fillId="14" borderId="29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40" fillId="26" borderId="54" xfId="5" applyFont="1" applyFill="1" applyBorder="1" applyAlignment="1">
      <alignment horizontal="center" vertical="center" wrapText="1"/>
    </xf>
    <xf numFmtId="0" fontId="0" fillId="26" borderId="39" xfId="0" applyFill="1" applyBorder="1" applyAlignment="1">
      <alignment horizontal="center" vertical="center" wrapText="1"/>
    </xf>
    <xf numFmtId="0" fontId="33" fillId="0" borderId="31" xfId="4" applyFont="1" applyBorder="1" applyAlignment="1">
      <alignment horizontal="center"/>
    </xf>
    <xf numFmtId="0" fontId="35" fillId="25" borderId="54" xfId="5" applyFont="1" applyFill="1" applyBorder="1" applyAlignment="1">
      <alignment horizontal="center" vertical="center" wrapText="1"/>
    </xf>
    <xf numFmtId="0" fontId="35" fillId="25" borderId="39" xfId="5" applyFont="1" applyFill="1" applyBorder="1" applyAlignment="1">
      <alignment horizontal="center" vertical="center" wrapText="1"/>
    </xf>
    <xf numFmtId="0" fontId="40" fillId="25" borderId="54" xfId="5" applyFont="1" applyFill="1" applyBorder="1" applyAlignment="1">
      <alignment horizontal="center" vertical="center" wrapText="1"/>
    </xf>
    <xf numFmtId="0" fontId="40" fillId="25" borderId="39" xfId="5" applyFont="1" applyFill="1" applyBorder="1" applyAlignment="1">
      <alignment horizontal="center" vertical="center" wrapText="1"/>
    </xf>
    <xf numFmtId="0" fontId="40" fillId="23" borderId="54" xfId="5" applyFont="1" applyFill="1" applyBorder="1" applyAlignment="1">
      <alignment horizontal="center" vertical="center" wrapText="1"/>
    </xf>
    <xf numFmtId="0" fontId="40" fillId="23" borderId="39" xfId="5" applyFont="1" applyFill="1" applyBorder="1" applyAlignment="1">
      <alignment horizontal="center" vertical="center" wrapText="1"/>
    </xf>
  </cellXfs>
  <cellStyles count="15">
    <cellStyle name="一般" xfId="0" builtinId="0"/>
    <cellStyle name="一般 2" xfId="1"/>
    <cellStyle name="一般 2 2" xfId="5"/>
    <cellStyle name="一般 2 3" xfId="10"/>
    <cellStyle name="一般 2 4" xfId="13"/>
    <cellStyle name="一般 3" xfId="2"/>
    <cellStyle name="一般 3 2" xfId="11"/>
    <cellStyle name="一般 3 3" xfId="14"/>
    <cellStyle name="一般 4" xfId="3"/>
    <cellStyle name="一般 5" xfId="4"/>
    <cellStyle name="一般 6" xfId="6"/>
    <cellStyle name="一般 7" xfId="7"/>
    <cellStyle name="一般 8" xfId="8"/>
    <cellStyle name="一般 9" xfId="12"/>
    <cellStyle name="常规_北斗星2011年度" xfId="9"/>
  </cellStyles>
  <dxfs count="0"/>
  <tableStyles count="0" defaultTableStyle="TableStyleMedium9" defaultPivotStyle="PivotStyleLight16"/>
  <colors>
    <mruColors>
      <color rgb="FF00FF00"/>
      <color rgb="FFF9583D"/>
      <color rgb="FF35F964"/>
      <color rgb="FFF27272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902387340949934E-2"/>
          <c:y val="8.1301028172182765E-2"/>
          <c:w val="0.79229764355444865"/>
          <c:h val="0.77235976763574365"/>
        </c:manualLayout>
      </c:layout>
      <c:scatterChart>
        <c:scatterStyle val="lineMarker"/>
        <c:ser>
          <c:idx val="0"/>
          <c:order val="0"/>
          <c:tx>
            <c:v>current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OP'!$X$32:$X$42</c:f>
              <c:numCache>
                <c:formatCode>General</c:formatCode>
                <c:ptCount val="11"/>
                <c:pt idx="0">
                  <c:v>110</c:v>
                </c:pt>
                <c:pt idx="1">
                  <c:v>95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v>OP out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OP'!$Z$32:$Z$42</c:f>
              <c:numCache>
                <c:formatCode>General</c:formatCode>
                <c:ptCount val="11"/>
                <c:pt idx="0">
                  <c:v>117.1</c:v>
                </c:pt>
                <c:pt idx="1">
                  <c:v>101.9</c:v>
                </c:pt>
                <c:pt idx="2">
                  <c:v>97.2</c:v>
                </c:pt>
                <c:pt idx="3">
                  <c:v>83.3</c:v>
                </c:pt>
                <c:pt idx="4">
                  <c:v>73.5</c:v>
                </c:pt>
                <c:pt idx="5">
                  <c:v>64.010000000000005</c:v>
                </c:pt>
                <c:pt idx="6">
                  <c:v>53.2</c:v>
                </c:pt>
                <c:pt idx="7">
                  <c:v>42</c:v>
                </c:pt>
                <c:pt idx="8">
                  <c:v>31.6</c:v>
                </c:pt>
                <c:pt idx="9">
                  <c:v>22.9</c:v>
                </c:pt>
                <c:pt idx="10">
                  <c:v>10.3</c:v>
                </c:pt>
              </c:numCache>
            </c:numRef>
          </c:yVal>
        </c:ser>
        <c:axId val="101082624"/>
        <c:axId val="101084544"/>
      </c:scatterChart>
      <c:valAx>
        <c:axId val="101082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01084544"/>
        <c:crosses val="autoZero"/>
        <c:crossBetween val="midCat"/>
      </c:valAx>
      <c:valAx>
        <c:axId val="101084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01082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08588248332665"/>
          <c:y val="0.39837503804370439"/>
          <c:w val="9.4910655217460005E-2"/>
          <c:h val="0.138211747892716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99060</xdr:colOff>
      <xdr:row>15</xdr:row>
      <xdr:rowOff>137160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71260" cy="285178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8</xdr:col>
      <xdr:colOff>632460</xdr:colOff>
      <xdr:row>33</xdr:row>
      <xdr:rowOff>114300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076575"/>
          <a:ext cx="6118860" cy="3009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2</xdr:row>
      <xdr:rowOff>171450</xdr:rowOff>
    </xdr:from>
    <xdr:to>
      <xdr:col>6</xdr:col>
      <xdr:colOff>875441</xdr:colOff>
      <xdr:row>16</xdr:row>
      <xdr:rowOff>155850</xdr:rowOff>
    </xdr:to>
    <xdr:pic>
      <xdr:nvPicPr>
        <xdr:cNvPr id="2" name="圖片 1" descr="DSC_0523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10000"/>
        </a:blip>
        <a:srcRect l="4614" t="8202" r="3411" b="9248"/>
        <a:stretch>
          <a:fillRect/>
        </a:stretch>
      </xdr:blipFill>
      <xdr:spPr>
        <a:xfrm>
          <a:off x="304800" y="609600"/>
          <a:ext cx="3980591" cy="2518050"/>
        </a:xfrm>
        <a:prstGeom prst="rect">
          <a:avLst/>
        </a:prstGeom>
      </xdr:spPr>
    </xdr:pic>
    <xdr:clientData/>
  </xdr:twoCellAnchor>
  <xdr:twoCellAnchor>
    <xdr:from>
      <xdr:col>2</xdr:col>
      <xdr:colOff>161924</xdr:colOff>
      <xdr:row>14</xdr:row>
      <xdr:rowOff>28574</xdr:rowOff>
    </xdr:from>
    <xdr:to>
      <xdr:col>5</xdr:col>
      <xdr:colOff>428625</xdr:colOff>
      <xdr:row>15</xdr:row>
      <xdr:rowOff>161925</xdr:rowOff>
    </xdr:to>
    <xdr:sp macro="" textlink="">
      <xdr:nvSpPr>
        <xdr:cNvPr id="3" name="文字方塊 2"/>
        <xdr:cNvSpPr txBox="1"/>
      </xdr:nvSpPr>
      <xdr:spPr>
        <a:xfrm>
          <a:off x="904874" y="2638424"/>
          <a:ext cx="2266951" cy="31432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altLang="zh-TW" sz="1800" b="0">
              <a:latin typeface="Arial" pitchFamily="34" charset="0"/>
              <a:cs typeface="Arial" pitchFamily="34" charset="0"/>
            </a:rPr>
            <a:t>D2ES1310120011</a:t>
          </a:r>
          <a:endParaRPr lang="zh-TW" altLang="en-US" sz="18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619125</xdr:colOff>
      <xdr:row>15</xdr:row>
      <xdr:rowOff>95250</xdr:rowOff>
    </xdr:from>
    <xdr:to>
      <xdr:col>6</xdr:col>
      <xdr:colOff>0</xdr:colOff>
      <xdr:row>17</xdr:row>
      <xdr:rowOff>142875</xdr:rowOff>
    </xdr:to>
    <xdr:cxnSp macro="">
      <xdr:nvCxnSpPr>
        <xdr:cNvPr id="4" name="肘形接點 3"/>
        <xdr:cNvCxnSpPr/>
      </xdr:nvCxnSpPr>
      <xdr:spPr bwMode="auto">
        <a:xfrm>
          <a:off x="2695575" y="2886075"/>
          <a:ext cx="714375" cy="40957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</xdr:col>
      <xdr:colOff>247650</xdr:colOff>
      <xdr:row>15</xdr:row>
      <xdr:rowOff>95250</xdr:rowOff>
    </xdr:from>
    <xdr:to>
      <xdr:col>5</xdr:col>
      <xdr:colOff>647700</xdr:colOff>
      <xdr:row>19</xdr:row>
      <xdr:rowOff>95250</xdr:rowOff>
    </xdr:to>
    <xdr:cxnSp macro="">
      <xdr:nvCxnSpPr>
        <xdr:cNvPr id="5" name="肘形接點 4"/>
        <xdr:cNvCxnSpPr/>
      </xdr:nvCxnSpPr>
      <xdr:spPr bwMode="auto">
        <a:xfrm>
          <a:off x="2324100" y="2886075"/>
          <a:ext cx="1066800" cy="723900"/>
        </a:xfrm>
        <a:prstGeom prst="bentConnector3">
          <a:avLst>
            <a:gd name="adj1" fmla="val 2982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</xdr:col>
      <xdr:colOff>200025</xdr:colOff>
      <xdr:row>15</xdr:row>
      <xdr:rowOff>95250</xdr:rowOff>
    </xdr:from>
    <xdr:to>
      <xdr:col>5</xdr:col>
      <xdr:colOff>628650</xdr:colOff>
      <xdr:row>21</xdr:row>
      <xdr:rowOff>123825</xdr:rowOff>
    </xdr:to>
    <xdr:cxnSp macro="">
      <xdr:nvCxnSpPr>
        <xdr:cNvPr id="6" name="肘形接點 5"/>
        <xdr:cNvCxnSpPr/>
      </xdr:nvCxnSpPr>
      <xdr:spPr bwMode="auto">
        <a:xfrm>
          <a:off x="1609725" y="2886075"/>
          <a:ext cx="1762125" cy="1114425"/>
        </a:xfrm>
        <a:prstGeom prst="bentConnector3">
          <a:avLst>
            <a:gd name="adj1" fmla="val 3783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552450</xdr:colOff>
      <xdr:row>15</xdr:row>
      <xdr:rowOff>95250</xdr:rowOff>
    </xdr:from>
    <xdr:to>
      <xdr:col>5</xdr:col>
      <xdr:colOff>628650</xdr:colOff>
      <xdr:row>23</xdr:row>
      <xdr:rowOff>114300</xdr:rowOff>
    </xdr:to>
    <xdr:cxnSp macro="">
      <xdr:nvCxnSpPr>
        <xdr:cNvPr id="7" name="肘形接點 6"/>
        <xdr:cNvCxnSpPr/>
      </xdr:nvCxnSpPr>
      <xdr:spPr bwMode="auto">
        <a:xfrm>
          <a:off x="1295400" y="2886075"/>
          <a:ext cx="2076450" cy="1466850"/>
        </a:xfrm>
        <a:prstGeom prst="bentConnector3">
          <a:avLst>
            <a:gd name="adj1" fmla="val 1383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419100</xdr:colOff>
      <xdr:row>15</xdr:row>
      <xdr:rowOff>95250</xdr:rowOff>
    </xdr:from>
    <xdr:to>
      <xdr:col>5</xdr:col>
      <xdr:colOff>628650</xdr:colOff>
      <xdr:row>25</xdr:row>
      <xdr:rowOff>123825</xdr:rowOff>
    </xdr:to>
    <xdr:cxnSp macro="">
      <xdr:nvCxnSpPr>
        <xdr:cNvPr id="8" name="肘形接點 7"/>
        <xdr:cNvCxnSpPr/>
      </xdr:nvCxnSpPr>
      <xdr:spPr bwMode="auto">
        <a:xfrm>
          <a:off x="1162050" y="2886075"/>
          <a:ext cx="2209800" cy="1838325"/>
        </a:xfrm>
        <a:prstGeom prst="bentConnector3">
          <a:avLst>
            <a:gd name="adj1" fmla="val 504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114300</xdr:colOff>
      <xdr:row>15</xdr:row>
      <xdr:rowOff>95250</xdr:rowOff>
    </xdr:from>
    <xdr:to>
      <xdr:col>5</xdr:col>
      <xdr:colOff>638175</xdr:colOff>
      <xdr:row>27</xdr:row>
      <xdr:rowOff>104775</xdr:rowOff>
    </xdr:to>
    <xdr:cxnSp macro="">
      <xdr:nvCxnSpPr>
        <xdr:cNvPr id="9" name="肘形接點 8"/>
        <xdr:cNvCxnSpPr/>
      </xdr:nvCxnSpPr>
      <xdr:spPr bwMode="auto">
        <a:xfrm>
          <a:off x="857250" y="2886075"/>
          <a:ext cx="2524125" cy="2362200"/>
        </a:xfrm>
        <a:prstGeom prst="bentConnector3">
          <a:avLst>
            <a:gd name="adj1" fmla="val 1014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43</xdr:row>
      <xdr:rowOff>0</xdr:rowOff>
    </xdr:from>
    <xdr:to>
      <xdr:col>28</xdr:col>
      <xdr:colOff>514350</xdr:colOff>
      <xdr:row>59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AppData\Local\Microsoft\Windows\Temporary%20Internet%20Files\Content.Outlook\X3SA4UVY\Ananda%20project%20List%20updated%20Oct_23_2013-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AppData\Local\Microsoft\Windows\Temporary%20Internet%20Files\Content.Outlook\X3SA4UVY\Ananda%20project%20List%20updated%20Aug_18_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Documents\&#38918;&#36948;&#23560;&#26696;\New_LEV_D2_ST_Solution\Ananda%20project%20List%20updated%20May_31_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AppData\Local\Microsoft\Windows\Temporary%20Internet%20Files\Content.Outlook\X3SA4UVY\Ananda%20project%20List%20updated%20Jun_13_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V PN"/>
      <sheetName val="Team member"/>
    </sheetNames>
    <sheetDataSet>
      <sheetData sheetId="0"/>
      <sheetData sheetId="1">
        <row r="15">
          <cell r="M15" t="str">
            <v>Jinn.li</v>
          </cell>
          <cell r="N15" t="str">
            <v>Volins.ren</v>
          </cell>
        </row>
        <row r="16">
          <cell r="M16" t="str">
            <v>Jinn.li</v>
          </cell>
          <cell r="N16" t="str">
            <v>Volins.ren</v>
          </cell>
        </row>
        <row r="17">
          <cell r="M17" t="str">
            <v>Jinn.li</v>
          </cell>
          <cell r="N17" t="str">
            <v>Volins.ren</v>
          </cell>
        </row>
        <row r="18">
          <cell r="M18" t="str">
            <v>Jinn.li</v>
          </cell>
          <cell r="N18" t="str">
            <v>Volins.ren</v>
          </cell>
        </row>
        <row r="19">
          <cell r="M19" t="str">
            <v>Jinn.li</v>
          </cell>
          <cell r="N19" t="str">
            <v>Volins.ren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5">
          <cell r="M15" t="str">
            <v>DAK740000-W0Q1E06LT</v>
          </cell>
          <cell r="N15" t="str">
            <v>36V-B type</v>
          </cell>
        </row>
        <row r="16">
          <cell r="M16" t="str">
            <v>DAK740000-W0Q1E06LT</v>
          </cell>
          <cell r="N16" t="str">
            <v>36V-B type</v>
          </cell>
        </row>
        <row r="17">
          <cell r="M17" t="str">
            <v>DAK740000-W0Q1E06LT</v>
          </cell>
          <cell r="N17" t="str">
            <v>36V-B type</v>
          </cell>
        </row>
        <row r="18">
          <cell r="M18" t="str">
            <v>DAK740000-W0Q1E06LT</v>
          </cell>
          <cell r="N18" t="str">
            <v>36V-B type</v>
          </cell>
        </row>
        <row r="19">
          <cell r="M19" t="str">
            <v>DAK740000-W0Q1E06LT</v>
          </cell>
          <cell r="N19" t="str">
            <v>36V-B type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5">
          <cell r="M15" t="str">
            <v>DAK740000-W0Q1E06LT</v>
          </cell>
          <cell r="N15" t="str">
            <v>36V-B type</v>
          </cell>
        </row>
        <row r="16">
          <cell r="M16" t="str">
            <v>DAK740000-W0Q1E06LT</v>
          </cell>
          <cell r="N16" t="str">
            <v>36V-B type</v>
          </cell>
        </row>
        <row r="17">
          <cell r="M17" t="str">
            <v>DAK740000-W0Q1E06LT</v>
          </cell>
          <cell r="N17" t="str">
            <v>36V-B type</v>
          </cell>
        </row>
        <row r="18">
          <cell r="M18" t="str">
            <v>DAK740000-W0Q1E06LT</v>
          </cell>
          <cell r="N18" t="str">
            <v>36V-B type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EV PN"/>
      <sheetName val="Sheet1"/>
    </sheetNames>
    <sheetDataSet>
      <sheetData sheetId="0"/>
      <sheetData sheetId="1">
        <row r="15">
          <cell r="M15" t="str">
            <v>DAK740000-W0Q1E06LT</v>
          </cell>
          <cell r="N15" t="str">
            <v>36V-B type</v>
          </cell>
        </row>
        <row r="16">
          <cell r="M16" t="str">
            <v>DAK740000-W0Q1E06LT</v>
          </cell>
          <cell r="N16" t="str">
            <v>36V-B type</v>
          </cell>
        </row>
        <row r="17">
          <cell r="M17" t="str">
            <v>DAK740000-W0Q1E06LT</v>
          </cell>
          <cell r="N17" t="str">
            <v>36V-B type</v>
          </cell>
        </row>
        <row r="18">
          <cell r="M18" t="str">
            <v>DAK740000-W0Q1E06LT</v>
          </cell>
          <cell r="N18" t="str">
            <v>36V-B 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it53.dynapack.com.tw/Windchill/servlet/TypeBasedIncludeServlet?ContainerOid=OR%3Awt.pdmlink.PDMLinkProduct%3A306250141&amp;oid=VR%3Awt.part.WTPart%3A340600851&amp;u8=1" TargetMode="External"/><Relationship Id="rId1" Type="http://schemas.openxmlformats.org/officeDocument/2006/relationships/hyperlink" Target="http://it53.dynapack.com.tw/Windchill/servlet/TypeBasedIncludeServlet?ContainerOid=OR%3Awt.pdmlink.PDMLinkProduct%3A306250141&amp;oid=VR%3Awt.part.WTPart%3A340601043&amp;u8=1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04"/>
  <sheetViews>
    <sheetView zoomScale="80" zoomScaleNormal="80" workbookViewId="0">
      <pane ySplit="2" topLeftCell="A87" activePane="bottomLeft" state="frozen"/>
      <selection pane="bottomLeft" activeCell="C103" sqref="C103"/>
    </sheetView>
  </sheetViews>
  <sheetFormatPr defaultColWidth="8.125" defaultRowHeight="12.75"/>
  <cols>
    <col min="1" max="1" width="5.25" style="504" bestFit="1" customWidth="1"/>
    <col min="2" max="2" width="8.75" style="504" bestFit="1" customWidth="1"/>
    <col min="3" max="3" width="33.875" style="504" customWidth="1"/>
    <col min="4" max="4" width="9.375" style="504" customWidth="1"/>
    <col min="5" max="5" width="12.125" style="505" customWidth="1"/>
    <col min="6" max="6" width="9.25" style="505" customWidth="1"/>
    <col min="7" max="7" width="8.75" style="505" customWidth="1"/>
    <col min="8" max="8" width="11" style="505" customWidth="1"/>
    <col min="9" max="9" width="9.625" style="505" customWidth="1"/>
    <col min="10" max="10" width="12.75" style="505" customWidth="1"/>
    <col min="11" max="11" width="11.125" style="504" customWidth="1"/>
    <col min="12" max="12" width="9.875" style="504" customWidth="1"/>
    <col min="13" max="13" width="11.5" style="504" bestFit="1" customWidth="1"/>
    <col min="14" max="14" width="8.5" style="504" bestFit="1" customWidth="1"/>
    <col min="15" max="15" width="9.25" style="504" bestFit="1" customWidth="1"/>
    <col min="16" max="16" width="11.5" style="504" customWidth="1"/>
    <col min="17" max="17" width="8.125" style="504" customWidth="1"/>
    <col min="18" max="18" width="11.5" style="504" customWidth="1"/>
    <col min="19" max="19" width="9.125" style="504" customWidth="1"/>
    <col min="20" max="16384" width="8.125" style="504"/>
  </cols>
  <sheetData>
    <row r="1" spans="1:19" ht="13.5" thickBot="1">
      <c r="A1" s="560"/>
      <c r="B1" s="560"/>
      <c r="C1" s="560"/>
      <c r="D1" s="560"/>
      <c r="E1" s="561"/>
      <c r="K1" s="560"/>
      <c r="L1" s="560"/>
      <c r="M1" s="560"/>
      <c r="N1" s="560"/>
      <c r="O1" s="560"/>
    </row>
    <row r="2" spans="1:19" ht="15" thickBot="1">
      <c r="A2" s="512" t="s">
        <v>1114</v>
      </c>
      <c r="B2" s="512" t="s">
        <v>258</v>
      </c>
      <c r="C2" s="512" t="s">
        <v>1115</v>
      </c>
      <c r="D2" s="512" t="s">
        <v>1116</v>
      </c>
      <c r="E2" s="522" t="s">
        <v>1117</v>
      </c>
      <c r="F2" s="522" t="s">
        <v>1118</v>
      </c>
      <c r="G2" s="522" t="s">
        <v>1119</v>
      </c>
      <c r="H2" s="522" t="s">
        <v>1120</v>
      </c>
      <c r="I2" s="522" t="s">
        <v>1121</v>
      </c>
      <c r="J2" s="522" t="s">
        <v>1122</v>
      </c>
      <c r="K2" s="512" t="s">
        <v>1123</v>
      </c>
      <c r="L2" s="512" t="s">
        <v>1124</v>
      </c>
      <c r="M2" s="512" t="s">
        <v>1125</v>
      </c>
      <c r="N2" s="512" t="s">
        <v>1126</v>
      </c>
      <c r="O2" s="512" t="s">
        <v>1127</v>
      </c>
      <c r="P2" s="523" t="s">
        <v>1497</v>
      </c>
      <c r="Q2" s="523" t="s">
        <v>1498</v>
      </c>
      <c r="R2" s="523" t="s">
        <v>1497</v>
      </c>
      <c r="S2" s="523" t="s">
        <v>1496</v>
      </c>
    </row>
    <row r="3" spans="1:19" ht="13.5" thickBot="1">
      <c r="A3" s="555">
        <v>1</v>
      </c>
      <c r="B3" s="555" t="s">
        <v>1128</v>
      </c>
      <c r="C3" s="555" t="s">
        <v>1129</v>
      </c>
      <c r="D3" s="555"/>
      <c r="E3" s="556" t="s">
        <v>1280</v>
      </c>
      <c r="F3" s="557"/>
      <c r="G3" s="556" t="s">
        <v>1335</v>
      </c>
      <c r="H3" s="556" t="s">
        <v>1334</v>
      </c>
      <c r="I3" s="556" t="s">
        <v>1487</v>
      </c>
      <c r="J3" s="556" t="s">
        <v>1276</v>
      </c>
      <c r="K3" s="555" t="s">
        <v>1281</v>
      </c>
      <c r="L3" s="555" t="s">
        <v>1273</v>
      </c>
      <c r="M3" s="555" t="s">
        <v>1288</v>
      </c>
      <c r="N3" s="555" t="s">
        <v>1273</v>
      </c>
      <c r="O3" s="555" t="s">
        <v>1287</v>
      </c>
      <c r="P3" s="523" t="s">
        <v>313</v>
      </c>
      <c r="Q3" s="523">
        <f t="shared" ref="Q3:Q13" si="0">COUNTIF(I$1:O$65536,P3)</f>
        <v>75</v>
      </c>
      <c r="R3" s="523" t="s">
        <v>313</v>
      </c>
      <c r="S3" s="523">
        <f t="shared" ref="S3:S13" si="1">COUNTIF($I$39:$O$199,R3)</f>
        <v>65</v>
      </c>
    </row>
    <row r="4" spans="1:19" ht="13.5" thickBot="1">
      <c r="A4" s="555">
        <v>2</v>
      </c>
      <c r="B4" s="555" t="s">
        <v>1128</v>
      </c>
      <c r="C4" s="555" t="s">
        <v>1336</v>
      </c>
      <c r="D4" s="555"/>
      <c r="E4" s="556" t="s">
        <v>1280</v>
      </c>
      <c r="F4" s="557"/>
      <c r="G4" s="556" t="s">
        <v>1335</v>
      </c>
      <c r="H4" s="556" t="s">
        <v>1334</v>
      </c>
      <c r="I4" s="556" t="s">
        <v>1487</v>
      </c>
      <c r="J4" s="556" t="s">
        <v>1276</v>
      </c>
      <c r="K4" s="555" t="s">
        <v>1281</v>
      </c>
      <c r="L4" s="555" t="s">
        <v>1273</v>
      </c>
      <c r="M4" s="555" t="s">
        <v>1288</v>
      </c>
      <c r="N4" s="555" t="s">
        <v>1273</v>
      </c>
      <c r="O4" s="555" t="s">
        <v>1287</v>
      </c>
      <c r="P4" s="523" t="s">
        <v>1487</v>
      </c>
      <c r="Q4" s="523">
        <f t="shared" si="0"/>
        <v>23</v>
      </c>
      <c r="R4" s="523" t="s">
        <v>1487</v>
      </c>
      <c r="S4" s="523">
        <f t="shared" si="1"/>
        <v>1</v>
      </c>
    </row>
    <row r="5" spans="1:19" ht="15" thickBot="1">
      <c r="A5" s="559">
        <v>3</v>
      </c>
      <c r="B5" s="559" t="s">
        <v>1494</v>
      </c>
      <c r="C5" s="559" t="s">
        <v>1495</v>
      </c>
      <c r="D5" s="559"/>
      <c r="E5" s="556" t="s">
        <v>1280</v>
      </c>
      <c r="F5" s="556"/>
      <c r="G5" s="556" t="s">
        <v>1335</v>
      </c>
      <c r="H5" s="556" t="s">
        <v>1334</v>
      </c>
      <c r="I5" s="556" t="s">
        <v>1487</v>
      </c>
      <c r="J5" s="556" t="s">
        <v>1276</v>
      </c>
      <c r="K5" s="559" t="s">
        <v>1281</v>
      </c>
      <c r="L5" s="559" t="s">
        <v>1273</v>
      </c>
      <c r="M5" s="559" t="s">
        <v>1288</v>
      </c>
      <c r="N5" s="559" t="s">
        <v>1273</v>
      </c>
      <c r="O5" s="559" t="s">
        <v>1287</v>
      </c>
      <c r="P5" s="523" t="s">
        <v>1276</v>
      </c>
      <c r="Q5" s="523">
        <f t="shared" si="0"/>
        <v>95</v>
      </c>
      <c r="R5" s="523" t="s">
        <v>1276</v>
      </c>
      <c r="S5" s="523">
        <f t="shared" si="1"/>
        <v>66</v>
      </c>
    </row>
    <row r="6" spans="1:19" ht="15" thickBot="1">
      <c r="A6" s="559">
        <v>4</v>
      </c>
      <c r="B6" s="559" t="s">
        <v>1494</v>
      </c>
      <c r="C6" s="559" t="s">
        <v>1493</v>
      </c>
      <c r="D6" s="559"/>
      <c r="E6" s="556" t="s">
        <v>1280</v>
      </c>
      <c r="F6" s="556"/>
      <c r="G6" s="556" t="s">
        <v>1335</v>
      </c>
      <c r="H6" s="556" t="s">
        <v>1334</v>
      </c>
      <c r="I6" s="556" t="s">
        <v>1487</v>
      </c>
      <c r="J6" s="556" t="s">
        <v>1276</v>
      </c>
      <c r="K6" s="559" t="s">
        <v>1281</v>
      </c>
      <c r="L6" s="559" t="s">
        <v>1273</v>
      </c>
      <c r="M6" s="559" t="s">
        <v>1288</v>
      </c>
      <c r="N6" s="559" t="s">
        <v>1273</v>
      </c>
      <c r="O6" s="559" t="s">
        <v>1287</v>
      </c>
      <c r="P6" s="523" t="s">
        <v>1281</v>
      </c>
      <c r="Q6" s="523">
        <f t="shared" si="0"/>
        <v>47</v>
      </c>
      <c r="R6" s="523" t="s">
        <v>1281</v>
      </c>
      <c r="S6" s="523">
        <f t="shared" si="1"/>
        <v>18</v>
      </c>
    </row>
    <row r="7" spans="1:19" ht="13.5" thickBot="1">
      <c r="A7" s="555">
        <v>5</v>
      </c>
      <c r="B7" s="555" t="s">
        <v>1130</v>
      </c>
      <c r="C7" s="555" t="s">
        <v>1131</v>
      </c>
      <c r="D7" s="555" t="s">
        <v>1132</v>
      </c>
      <c r="E7" s="556" t="s">
        <v>1133</v>
      </c>
      <c r="F7" s="557"/>
      <c r="G7" s="556"/>
      <c r="H7" s="556"/>
      <c r="I7" s="556" t="s">
        <v>1487</v>
      </c>
      <c r="J7" s="556" t="s">
        <v>1276</v>
      </c>
      <c r="K7" s="555" t="s">
        <v>1281</v>
      </c>
      <c r="L7" s="555" t="s">
        <v>1273</v>
      </c>
      <c r="M7" s="555" t="s">
        <v>1289</v>
      </c>
      <c r="N7" s="555" t="s">
        <v>1273</v>
      </c>
      <c r="O7" s="555" t="s">
        <v>1272</v>
      </c>
      <c r="P7" s="523" t="s">
        <v>1275</v>
      </c>
      <c r="Q7" s="523">
        <f t="shared" si="0"/>
        <v>48</v>
      </c>
      <c r="R7" s="523" t="s">
        <v>1275</v>
      </c>
      <c r="S7" s="523">
        <f t="shared" si="1"/>
        <v>48</v>
      </c>
    </row>
    <row r="8" spans="1:19" ht="13.5" thickBot="1">
      <c r="A8" s="555">
        <v>6</v>
      </c>
      <c r="B8" s="555" t="s">
        <v>1130</v>
      </c>
      <c r="C8" s="555" t="s">
        <v>1135</v>
      </c>
      <c r="D8" s="555" t="s">
        <v>1132</v>
      </c>
      <c r="E8" s="556" t="s">
        <v>1133</v>
      </c>
      <c r="F8" s="557"/>
      <c r="G8" s="556"/>
      <c r="H8" s="556"/>
      <c r="I8" s="556" t="s">
        <v>1487</v>
      </c>
      <c r="J8" s="556" t="s">
        <v>1276</v>
      </c>
      <c r="K8" s="555" t="s">
        <v>1281</v>
      </c>
      <c r="L8" s="555" t="s">
        <v>1273</v>
      </c>
      <c r="M8" s="555" t="s">
        <v>1289</v>
      </c>
      <c r="N8" s="555" t="s">
        <v>1273</v>
      </c>
      <c r="O8" s="555" t="s">
        <v>1272</v>
      </c>
      <c r="P8" s="523" t="s">
        <v>1273</v>
      </c>
      <c r="Q8" s="523">
        <f t="shared" si="0"/>
        <v>184</v>
      </c>
      <c r="R8" s="523" t="s">
        <v>1273</v>
      </c>
      <c r="S8" s="523">
        <f t="shared" si="1"/>
        <v>126</v>
      </c>
    </row>
    <row r="9" spans="1:19" ht="13.5" thickBot="1">
      <c r="A9" s="555">
        <v>7</v>
      </c>
      <c r="B9" s="555" t="s">
        <v>1136</v>
      </c>
      <c r="C9" s="555" t="s">
        <v>1137</v>
      </c>
      <c r="D9" s="555" t="s">
        <v>1138</v>
      </c>
      <c r="E9" s="556" t="s">
        <v>1333</v>
      </c>
      <c r="F9" s="557"/>
      <c r="G9" s="556"/>
      <c r="H9" s="556"/>
      <c r="I9" s="556" t="s">
        <v>1487</v>
      </c>
      <c r="J9" s="556" t="s">
        <v>1276</v>
      </c>
      <c r="K9" s="555" t="s">
        <v>1281</v>
      </c>
      <c r="L9" s="555" t="s">
        <v>1273</v>
      </c>
      <c r="M9" s="555" t="s">
        <v>1289</v>
      </c>
      <c r="N9" s="555" t="s">
        <v>1273</v>
      </c>
      <c r="O9" s="555" t="s">
        <v>1272</v>
      </c>
      <c r="P9" s="523" t="s">
        <v>1288</v>
      </c>
      <c r="Q9" s="523">
        <f t="shared" si="0"/>
        <v>33</v>
      </c>
      <c r="R9" s="523" t="s">
        <v>1288</v>
      </c>
      <c r="S9" s="523">
        <f t="shared" si="1"/>
        <v>22</v>
      </c>
    </row>
    <row r="10" spans="1:19" ht="13.5" thickBot="1">
      <c r="A10" s="555">
        <v>8</v>
      </c>
      <c r="B10" s="555" t="s">
        <v>1139</v>
      </c>
      <c r="C10" s="555" t="s">
        <v>1140</v>
      </c>
      <c r="D10" s="555" t="s">
        <v>1141</v>
      </c>
      <c r="E10" s="556" t="s">
        <v>1286</v>
      </c>
      <c r="F10" s="557"/>
      <c r="G10" s="556" t="s">
        <v>1319</v>
      </c>
      <c r="H10" s="556" t="s">
        <v>1318</v>
      </c>
      <c r="I10" s="556" t="s">
        <v>1487</v>
      </c>
      <c r="J10" s="556" t="s">
        <v>1276</v>
      </c>
      <c r="K10" s="555" t="s">
        <v>1281</v>
      </c>
      <c r="L10" s="555" t="s">
        <v>1273</v>
      </c>
      <c r="M10" s="555" t="s">
        <v>1289</v>
      </c>
      <c r="N10" s="555" t="s">
        <v>1273</v>
      </c>
      <c r="O10" s="555" t="s">
        <v>1287</v>
      </c>
      <c r="P10" s="523" t="s">
        <v>1289</v>
      </c>
      <c r="Q10" s="523">
        <f t="shared" si="0"/>
        <v>19</v>
      </c>
      <c r="R10" s="523" t="s">
        <v>1289</v>
      </c>
      <c r="S10" s="523">
        <f t="shared" si="1"/>
        <v>14</v>
      </c>
    </row>
    <row r="11" spans="1:19" ht="13.5" thickBot="1">
      <c r="A11" s="555">
        <v>9</v>
      </c>
      <c r="B11" s="555" t="s">
        <v>1139</v>
      </c>
      <c r="C11" s="555" t="s">
        <v>1142</v>
      </c>
      <c r="D11" s="555" t="s">
        <v>1141</v>
      </c>
      <c r="E11" s="556" t="s">
        <v>1280</v>
      </c>
      <c r="F11" s="557"/>
      <c r="G11" s="556" t="s">
        <v>1319</v>
      </c>
      <c r="H11" s="556" t="s">
        <v>1318</v>
      </c>
      <c r="I11" s="556" t="s">
        <v>1487</v>
      </c>
      <c r="J11" s="556" t="s">
        <v>1276</v>
      </c>
      <c r="K11" s="555" t="s">
        <v>1281</v>
      </c>
      <c r="L11" s="555" t="s">
        <v>1273</v>
      </c>
      <c r="M11" s="555" t="s">
        <v>1289</v>
      </c>
      <c r="N11" s="555" t="s">
        <v>1273</v>
      </c>
      <c r="O11" s="555" t="s">
        <v>1287</v>
      </c>
      <c r="P11" s="523" t="s">
        <v>1274</v>
      </c>
      <c r="Q11" s="523">
        <f t="shared" si="0"/>
        <v>43</v>
      </c>
      <c r="R11" s="523" t="s">
        <v>1274</v>
      </c>
      <c r="S11" s="523">
        <f t="shared" si="1"/>
        <v>30</v>
      </c>
    </row>
    <row r="12" spans="1:19" ht="13.5" thickBot="1">
      <c r="A12" s="555">
        <v>10</v>
      </c>
      <c r="B12" s="555" t="s">
        <v>1139</v>
      </c>
      <c r="C12" s="555" t="s">
        <v>1332</v>
      </c>
      <c r="D12" s="555"/>
      <c r="E12" s="556" t="s">
        <v>1280</v>
      </c>
      <c r="F12" s="557"/>
      <c r="G12" s="556" t="s">
        <v>1319</v>
      </c>
      <c r="H12" s="556" t="s">
        <v>1318</v>
      </c>
      <c r="I12" s="556" t="s">
        <v>1487</v>
      </c>
      <c r="J12" s="556" t="s">
        <v>1276</v>
      </c>
      <c r="K12" s="555" t="s">
        <v>1281</v>
      </c>
      <c r="L12" s="555" t="s">
        <v>1273</v>
      </c>
      <c r="M12" s="555" t="s">
        <v>1288</v>
      </c>
      <c r="N12" s="555" t="s">
        <v>1273</v>
      </c>
      <c r="O12" s="555" t="s">
        <v>1272</v>
      </c>
      <c r="P12" s="523" t="s">
        <v>1272</v>
      </c>
      <c r="Q12" s="523">
        <f t="shared" si="0"/>
        <v>61</v>
      </c>
      <c r="R12" s="523" t="s">
        <v>1272</v>
      </c>
      <c r="S12" s="523">
        <f t="shared" si="1"/>
        <v>45</v>
      </c>
    </row>
    <row r="13" spans="1:19" ht="13.5" thickBot="1">
      <c r="A13" s="555">
        <v>11</v>
      </c>
      <c r="B13" s="555" t="s">
        <v>1139</v>
      </c>
      <c r="C13" s="555" t="s">
        <v>1331</v>
      </c>
      <c r="D13" s="555"/>
      <c r="E13" s="556" t="s">
        <v>1280</v>
      </c>
      <c r="F13" s="557"/>
      <c r="G13" s="556" t="s">
        <v>1319</v>
      </c>
      <c r="H13" s="556" t="s">
        <v>1318</v>
      </c>
      <c r="I13" s="556" t="s">
        <v>1487</v>
      </c>
      <c r="J13" s="556" t="s">
        <v>1276</v>
      </c>
      <c r="K13" s="555" t="s">
        <v>1281</v>
      </c>
      <c r="L13" s="555" t="s">
        <v>1273</v>
      </c>
      <c r="M13" s="555" t="s">
        <v>1288</v>
      </c>
      <c r="N13" s="555" t="s">
        <v>1273</v>
      </c>
      <c r="O13" s="555" t="s">
        <v>1272</v>
      </c>
      <c r="P13" s="523" t="s">
        <v>1287</v>
      </c>
      <c r="Q13" s="523">
        <f t="shared" si="0"/>
        <v>39</v>
      </c>
      <c r="R13" s="523" t="s">
        <v>1287</v>
      </c>
      <c r="S13" s="523">
        <f t="shared" si="1"/>
        <v>23</v>
      </c>
    </row>
    <row r="14" spans="1:19" ht="13.5" thickBot="1">
      <c r="A14" s="555">
        <v>12</v>
      </c>
      <c r="B14" s="555" t="s">
        <v>1139</v>
      </c>
      <c r="C14" s="555" t="s">
        <v>1330</v>
      </c>
      <c r="D14" s="555"/>
      <c r="E14" s="556" t="s">
        <v>1280</v>
      </c>
      <c r="F14" s="557"/>
      <c r="G14" s="556" t="s">
        <v>1319</v>
      </c>
      <c r="H14" s="556" t="s">
        <v>1318</v>
      </c>
      <c r="I14" s="556" t="s">
        <v>1487</v>
      </c>
      <c r="J14" s="556" t="s">
        <v>1276</v>
      </c>
      <c r="K14" s="555" t="s">
        <v>1281</v>
      </c>
      <c r="L14" s="555" t="s">
        <v>1273</v>
      </c>
      <c r="M14" s="555" t="s">
        <v>1288</v>
      </c>
      <c r="N14" s="555" t="s">
        <v>1273</v>
      </c>
      <c r="O14" s="555" t="s">
        <v>1272</v>
      </c>
      <c r="P14" s="558"/>
      <c r="Q14" s="558"/>
    </row>
    <row r="15" spans="1:19" ht="13.5" thickBot="1">
      <c r="A15" s="555">
        <v>13</v>
      </c>
      <c r="B15" s="555" t="s">
        <v>1139</v>
      </c>
      <c r="C15" s="555" t="s">
        <v>1329</v>
      </c>
      <c r="D15" s="555"/>
      <c r="E15" s="556" t="s">
        <v>1286</v>
      </c>
      <c r="F15" s="557"/>
      <c r="G15" s="556" t="s">
        <v>1319</v>
      </c>
      <c r="H15" s="556" t="s">
        <v>1318</v>
      </c>
      <c r="I15" s="556" t="s">
        <v>1487</v>
      </c>
      <c r="J15" s="556" t="s">
        <v>1276</v>
      </c>
      <c r="K15" s="555" t="s">
        <v>1281</v>
      </c>
      <c r="L15" s="555" t="s">
        <v>1273</v>
      </c>
      <c r="M15" s="555" t="s">
        <v>1274</v>
      </c>
      <c r="N15" s="555" t="s">
        <v>1273</v>
      </c>
      <c r="O15" s="555" t="s">
        <v>1287</v>
      </c>
      <c r="P15" s="558"/>
      <c r="Q15" s="558"/>
    </row>
    <row r="16" spans="1:19" ht="13.5" thickBot="1">
      <c r="A16" s="555">
        <v>14</v>
      </c>
      <c r="B16" s="555" t="s">
        <v>1139</v>
      </c>
      <c r="C16" s="555" t="s">
        <v>1328</v>
      </c>
      <c r="D16" s="555"/>
      <c r="E16" s="556" t="s">
        <v>1286</v>
      </c>
      <c r="F16" s="557"/>
      <c r="G16" s="556" t="s">
        <v>1319</v>
      </c>
      <c r="H16" s="556" t="s">
        <v>1318</v>
      </c>
      <c r="I16" s="556" t="s">
        <v>1487</v>
      </c>
      <c r="J16" s="556" t="s">
        <v>1276</v>
      </c>
      <c r="K16" s="555" t="s">
        <v>1281</v>
      </c>
      <c r="L16" s="555" t="s">
        <v>1273</v>
      </c>
      <c r="M16" s="555" t="s">
        <v>1274</v>
      </c>
      <c r="N16" s="555" t="s">
        <v>1273</v>
      </c>
      <c r="O16" s="555" t="s">
        <v>1272</v>
      </c>
      <c r="P16" s="558"/>
      <c r="Q16" s="558"/>
    </row>
    <row r="17" spans="1:19" ht="13.5" thickBot="1">
      <c r="A17" s="555">
        <v>15</v>
      </c>
      <c r="B17" s="555" t="s">
        <v>1139</v>
      </c>
      <c r="C17" s="555" t="s">
        <v>1327</v>
      </c>
      <c r="D17" s="555"/>
      <c r="E17" s="556" t="s">
        <v>1280</v>
      </c>
      <c r="F17" s="557"/>
      <c r="G17" s="556" t="s">
        <v>1319</v>
      </c>
      <c r="H17" s="556" t="s">
        <v>1318</v>
      </c>
      <c r="I17" s="556" t="s">
        <v>1487</v>
      </c>
      <c r="J17" s="556" t="s">
        <v>1276</v>
      </c>
      <c r="K17" s="555" t="s">
        <v>1281</v>
      </c>
      <c r="L17" s="555" t="s">
        <v>1273</v>
      </c>
      <c r="M17" s="555" t="s">
        <v>1274</v>
      </c>
      <c r="N17" s="555" t="s">
        <v>1273</v>
      </c>
      <c r="O17" s="555" t="s">
        <v>1272</v>
      </c>
      <c r="P17" s="558"/>
      <c r="Q17" s="558"/>
    </row>
    <row r="18" spans="1:19" ht="13.5" thickBot="1">
      <c r="A18" s="555">
        <v>16</v>
      </c>
      <c r="B18" s="555" t="s">
        <v>1139</v>
      </c>
      <c r="C18" s="555" t="s">
        <v>1326</v>
      </c>
      <c r="D18" s="555"/>
      <c r="E18" s="556" t="s">
        <v>1286</v>
      </c>
      <c r="F18" s="557"/>
      <c r="G18" s="556" t="s">
        <v>1319</v>
      </c>
      <c r="H18" s="556" t="s">
        <v>1318</v>
      </c>
      <c r="I18" s="556" t="s">
        <v>1487</v>
      </c>
      <c r="J18" s="556" t="s">
        <v>1276</v>
      </c>
      <c r="K18" s="555" t="s">
        <v>1281</v>
      </c>
      <c r="L18" s="555" t="s">
        <v>1273</v>
      </c>
      <c r="M18" s="555" t="s">
        <v>1274</v>
      </c>
      <c r="N18" s="555" t="s">
        <v>1273</v>
      </c>
      <c r="O18" s="555" t="s">
        <v>1287</v>
      </c>
      <c r="P18" s="558"/>
      <c r="Q18" s="558"/>
    </row>
    <row r="19" spans="1:19" ht="13.5" thickBot="1">
      <c r="A19" s="555">
        <v>17</v>
      </c>
      <c r="B19" s="555" t="s">
        <v>1139</v>
      </c>
      <c r="C19" s="555" t="s">
        <v>1325</v>
      </c>
      <c r="D19" s="555"/>
      <c r="E19" s="556" t="s">
        <v>1286</v>
      </c>
      <c r="F19" s="557"/>
      <c r="G19" s="556" t="s">
        <v>1319</v>
      </c>
      <c r="H19" s="556" t="s">
        <v>1318</v>
      </c>
      <c r="I19" s="556" t="s">
        <v>1487</v>
      </c>
      <c r="J19" s="556" t="s">
        <v>1276</v>
      </c>
      <c r="K19" s="555" t="s">
        <v>1281</v>
      </c>
      <c r="L19" s="555" t="s">
        <v>1273</v>
      </c>
      <c r="M19" s="555" t="s">
        <v>1274</v>
      </c>
      <c r="N19" s="555" t="s">
        <v>1273</v>
      </c>
      <c r="O19" s="555" t="s">
        <v>1272</v>
      </c>
      <c r="P19" s="558"/>
      <c r="Q19" s="558"/>
    </row>
    <row r="20" spans="1:19" ht="13.5" thickBot="1">
      <c r="A20" s="555">
        <v>18</v>
      </c>
      <c r="B20" s="555" t="s">
        <v>1139</v>
      </c>
      <c r="C20" s="555" t="s">
        <v>1324</v>
      </c>
      <c r="D20" s="555"/>
      <c r="E20" s="556" t="s">
        <v>1286</v>
      </c>
      <c r="F20" s="557"/>
      <c r="G20" s="556" t="s">
        <v>1319</v>
      </c>
      <c r="H20" s="556" t="s">
        <v>1318</v>
      </c>
      <c r="I20" s="556" t="s">
        <v>1487</v>
      </c>
      <c r="J20" s="556" t="s">
        <v>1276</v>
      </c>
      <c r="K20" s="555" t="s">
        <v>1281</v>
      </c>
      <c r="L20" s="555" t="s">
        <v>1273</v>
      </c>
      <c r="M20" s="555" t="s">
        <v>1274</v>
      </c>
      <c r="N20" s="555" t="s">
        <v>1273</v>
      </c>
      <c r="O20" s="555" t="s">
        <v>1287</v>
      </c>
      <c r="P20" s="558"/>
      <c r="Q20" s="558"/>
    </row>
    <row r="21" spans="1:19" ht="13.5" thickBot="1">
      <c r="A21" s="555">
        <v>19</v>
      </c>
      <c r="B21" s="555" t="s">
        <v>1139</v>
      </c>
      <c r="C21" s="555" t="s">
        <v>1323</v>
      </c>
      <c r="D21" s="555"/>
      <c r="E21" s="556" t="s">
        <v>1286</v>
      </c>
      <c r="F21" s="557"/>
      <c r="G21" s="556" t="s">
        <v>1319</v>
      </c>
      <c r="H21" s="556" t="s">
        <v>1318</v>
      </c>
      <c r="I21" s="556" t="s">
        <v>1487</v>
      </c>
      <c r="J21" s="556" t="s">
        <v>1276</v>
      </c>
      <c r="K21" s="555" t="s">
        <v>1281</v>
      </c>
      <c r="L21" s="555" t="s">
        <v>1273</v>
      </c>
      <c r="M21" s="555" t="s">
        <v>1274</v>
      </c>
      <c r="N21" s="555" t="s">
        <v>1273</v>
      </c>
      <c r="O21" s="555" t="s">
        <v>1272</v>
      </c>
      <c r="Q21" s="558"/>
    </row>
    <row r="22" spans="1:19" ht="13.5" thickBot="1">
      <c r="A22" s="555">
        <v>20</v>
      </c>
      <c r="B22" s="555" t="s">
        <v>1139</v>
      </c>
      <c r="C22" s="555" t="s">
        <v>1322</v>
      </c>
      <c r="D22" s="555"/>
      <c r="E22" s="556" t="s">
        <v>1286</v>
      </c>
      <c r="F22" s="557"/>
      <c r="G22" s="556" t="s">
        <v>1319</v>
      </c>
      <c r="H22" s="556" t="s">
        <v>1318</v>
      </c>
      <c r="I22" s="556" t="s">
        <v>1487</v>
      </c>
      <c r="J22" s="556" t="s">
        <v>1276</v>
      </c>
      <c r="K22" s="555" t="s">
        <v>1281</v>
      </c>
      <c r="L22" s="555" t="s">
        <v>1273</v>
      </c>
      <c r="M22" s="555" t="s">
        <v>1274</v>
      </c>
      <c r="N22" s="555" t="s">
        <v>1273</v>
      </c>
      <c r="O22" s="555" t="s">
        <v>1272</v>
      </c>
      <c r="P22" s="528"/>
      <c r="Q22" s="552"/>
    </row>
    <row r="23" spans="1:19" ht="13.5" thickBot="1">
      <c r="A23" s="555">
        <v>21</v>
      </c>
      <c r="B23" s="555" t="s">
        <v>1139</v>
      </c>
      <c r="C23" s="555" t="s">
        <v>1321</v>
      </c>
      <c r="D23" s="555"/>
      <c r="E23" s="556" t="s">
        <v>1286</v>
      </c>
      <c r="F23" s="557"/>
      <c r="G23" s="556" t="s">
        <v>1319</v>
      </c>
      <c r="H23" s="556" t="s">
        <v>1318</v>
      </c>
      <c r="I23" s="556" t="s">
        <v>1487</v>
      </c>
      <c r="J23" s="556" t="s">
        <v>1276</v>
      </c>
      <c r="K23" s="555" t="s">
        <v>1281</v>
      </c>
      <c r="L23" s="555" t="s">
        <v>1273</v>
      </c>
      <c r="M23" s="555" t="s">
        <v>1274</v>
      </c>
      <c r="N23" s="555" t="s">
        <v>1273</v>
      </c>
      <c r="O23" s="555" t="s">
        <v>1272</v>
      </c>
      <c r="P23" s="528"/>
      <c r="Q23" s="552"/>
    </row>
    <row r="24" spans="1:19" ht="13.5" thickBot="1">
      <c r="A24" s="555">
        <v>22</v>
      </c>
      <c r="B24" s="555" t="s">
        <v>1139</v>
      </c>
      <c r="C24" s="555" t="s">
        <v>1320</v>
      </c>
      <c r="D24" s="555"/>
      <c r="E24" s="556" t="s">
        <v>1286</v>
      </c>
      <c r="F24" s="557"/>
      <c r="G24" s="556" t="s">
        <v>1319</v>
      </c>
      <c r="H24" s="556" t="s">
        <v>1318</v>
      </c>
      <c r="I24" s="556" t="s">
        <v>1487</v>
      </c>
      <c r="J24" s="556" t="s">
        <v>1276</v>
      </c>
      <c r="K24" s="555" t="s">
        <v>1281</v>
      </c>
      <c r="L24" s="555" t="s">
        <v>1273</v>
      </c>
      <c r="M24" s="555" t="s">
        <v>1274</v>
      </c>
      <c r="N24" s="555" t="s">
        <v>1273</v>
      </c>
      <c r="O24" s="555" t="s">
        <v>1272</v>
      </c>
      <c r="P24" s="551"/>
      <c r="Q24" s="554"/>
      <c r="R24" s="528"/>
      <c r="S24" s="528"/>
    </row>
    <row r="25" spans="1:19" s="528" customFormat="1" ht="13.5" thickBot="1">
      <c r="A25" s="547">
        <v>23</v>
      </c>
      <c r="B25" s="547" t="s">
        <v>1313</v>
      </c>
      <c r="C25" s="547" t="s">
        <v>1317</v>
      </c>
      <c r="D25" s="547"/>
      <c r="E25" s="548"/>
      <c r="F25" s="548"/>
      <c r="G25" s="548"/>
      <c r="H25" s="548"/>
      <c r="I25" s="548" t="s">
        <v>1134</v>
      </c>
      <c r="J25" s="548" t="s">
        <v>1276</v>
      </c>
      <c r="K25" s="547" t="s">
        <v>1281</v>
      </c>
      <c r="L25" s="547" t="s">
        <v>1273</v>
      </c>
      <c r="M25" s="547" t="s">
        <v>1288</v>
      </c>
      <c r="N25" s="547" t="s">
        <v>1273</v>
      </c>
      <c r="O25" s="547" t="s">
        <v>1287</v>
      </c>
      <c r="P25" s="551"/>
      <c r="Q25" s="554"/>
    </row>
    <row r="26" spans="1:19" s="528" customFormat="1" ht="13.5" thickBot="1">
      <c r="A26" s="547">
        <v>24</v>
      </c>
      <c r="B26" s="547" t="s">
        <v>1313</v>
      </c>
      <c r="C26" s="547" t="s">
        <v>1316</v>
      </c>
      <c r="D26" s="547"/>
      <c r="E26" s="548"/>
      <c r="F26" s="548"/>
      <c r="G26" s="548"/>
      <c r="H26" s="548"/>
      <c r="I26" s="548" t="s">
        <v>1134</v>
      </c>
      <c r="J26" s="548" t="s">
        <v>1276</v>
      </c>
      <c r="K26" s="547" t="s">
        <v>1281</v>
      </c>
      <c r="L26" s="547" t="s">
        <v>1273</v>
      </c>
      <c r="M26" s="547" t="s">
        <v>1288</v>
      </c>
      <c r="N26" s="547" t="s">
        <v>1273</v>
      </c>
      <c r="O26" s="547" t="s">
        <v>1287</v>
      </c>
      <c r="Q26" s="552"/>
      <c r="R26" s="551"/>
      <c r="S26" s="551"/>
    </row>
    <row r="27" spans="1:19" s="551" customFormat="1" ht="13.5" thickBot="1">
      <c r="A27" s="553">
        <v>25</v>
      </c>
      <c r="B27" s="553" t="s">
        <v>1313</v>
      </c>
      <c r="C27" s="553" t="s">
        <v>1492</v>
      </c>
      <c r="D27" s="553"/>
      <c r="E27" s="548"/>
      <c r="F27" s="548"/>
      <c r="G27" s="548"/>
      <c r="H27" s="548"/>
      <c r="I27" s="548" t="s">
        <v>1134</v>
      </c>
      <c r="J27" s="548" t="s">
        <v>1276</v>
      </c>
      <c r="K27" s="553" t="s">
        <v>1281</v>
      </c>
      <c r="L27" s="553" t="s">
        <v>1273</v>
      </c>
      <c r="M27" s="553" t="s">
        <v>1288</v>
      </c>
      <c r="N27" s="553" t="s">
        <v>1273</v>
      </c>
      <c r="O27" s="553" t="s">
        <v>1287</v>
      </c>
      <c r="P27" s="528"/>
      <c r="Q27" s="552"/>
    </row>
    <row r="28" spans="1:19" s="551" customFormat="1" ht="13.5" thickBot="1">
      <c r="A28" s="553">
        <v>26</v>
      </c>
      <c r="B28" s="553" t="s">
        <v>1313</v>
      </c>
      <c r="C28" s="553" t="s">
        <v>1491</v>
      </c>
      <c r="D28" s="553"/>
      <c r="E28" s="548"/>
      <c r="F28" s="548"/>
      <c r="G28" s="548"/>
      <c r="H28" s="548"/>
      <c r="I28" s="548" t="s">
        <v>1134</v>
      </c>
      <c r="J28" s="548" t="s">
        <v>1276</v>
      </c>
      <c r="K28" s="553" t="s">
        <v>1281</v>
      </c>
      <c r="L28" s="553" t="s">
        <v>1273</v>
      </c>
      <c r="M28" s="553" t="s">
        <v>1288</v>
      </c>
      <c r="N28" s="553" t="s">
        <v>1273</v>
      </c>
      <c r="O28" s="553" t="s">
        <v>1287</v>
      </c>
      <c r="P28" s="528"/>
      <c r="Q28" s="552"/>
      <c r="R28" s="528"/>
      <c r="S28" s="528"/>
    </row>
    <row r="29" spans="1:19" s="528" customFormat="1" ht="17.25" customHeight="1" thickBot="1">
      <c r="A29" s="547">
        <v>27</v>
      </c>
      <c r="B29" s="547" t="s">
        <v>1313</v>
      </c>
      <c r="C29" s="547" t="s">
        <v>1315</v>
      </c>
      <c r="D29" s="547"/>
      <c r="E29" s="548"/>
      <c r="F29" s="548"/>
      <c r="G29" s="548"/>
      <c r="H29" s="548"/>
      <c r="I29" s="548" t="s">
        <v>1134</v>
      </c>
      <c r="J29" s="550"/>
      <c r="K29" s="549"/>
      <c r="L29" s="549"/>
      <c r="M29" s="549"/>
      <c r="N29" s="549"/>
      <c r="O29" s="547" t="s">
        <v>1287</v>
      </c>
      <c r="P29" s="504"/>
      <c r="Q29" s="504"/>
    </row>
    <row r="30" spans="1:19" s="528" customFormat="1" ht="13.5" thickBot="1">
      <c r="A30" s="547">
        <v>28</v>
      </c>
      <c r="B30" s="547" t="s">
        <v>1313</v>
      </c>
      <c r="C30" s="547" t="s">
        <v>1314</v>
      </c>
      <c r="D30" s="547"/>
      <c r="E30" s="548"/>
      <c r="F30" s="548"/>
      <c r="G30" s="548"/>
      <c r="H30" s="548"/>
      <c r="I30" s="548" t="s">
        <v>1134</v>
      </c>
      <c r="J30" s="550"/>
      <c r="K30" s="549"/>
      <c r="L30" s="549"/>
      <c r="M30" s="549"/>
      <c r="N30" s="549"/>
      <c r="O30" s="547" t="s">
        <v>1287</v>
      </c>
      <c r="P30" s="504"/>
      <c r="Q30" s="504"/>
    </row>
    <row r="31" spans="1:19" s="528" customFormat="1" ht="13.5" thickBot="1">
      <c r="A31" s="547">
        <v>29</v>
      </c>
      <c r="B31" s="547" t="s">
        <v>1313</v>
      </c>
      <c r="C31" s="547" t="s">
        <v>1312</v>
      </c>
      <c r="D31" s="547"/>
      <c r="E31" s="548"/>
      <c r="F31" s="548"/>
      <c r="G31" s="548"/>
      <c r="H31" s="548"/>
      <c r="I31" s="548" t="s">
        <v>1134</v>
      </c>
      <c r="J31" s="550"/>
      <c r="K31" s="549"/>
      <c r="L31" s="549"/>
      <c r="M31" s="549"/>
      <c r="N31" s="549"/>
      <c r="O31" s="547" t="s">
        <v>1287</v>
      </c>
      <c r="P31" s="504"/>
      <c r="Q31" s="504"/>
    </row>
    <row r="32" spans="1:19" s="528" customFormat="1" ht="13.5" thickBot="1">
      <c r="A32" s="547">
        <v>30</v>
      </c>
      <c r="B32" s="547"/>
      <c r="C32" s="547"/>
      <c r="D32" s="547"/>
      <c r="E32" s="548"/>
      <c r="F32" s="548"/>
      <c r="G32" s="548"/>
      <c r="H32" s="548"/>
      <c r="I32" s="548"/>
      <c r="J32" s="548"/>
      <c r="K32" s="547"/>
      <c r="L32" s="547"/>
      <c r="M32" s="547"/>
      <c r="N32" s="547"/>
      <c r="O32" s="547"/>
      <c r="P32" s="504"/>
      <c r="Q32" s="504"/>
    </row>
    <row r="33" spans="1:19" s="528" customFormat="1" ht="13.5" thickBot="1">
      <c r="A33" s="547">
        <v>31</v>
      </c>
      <c r="B33" s="547"/>
      <c r="C33" s="547"/>
      <c r="D33" s="547"/>
      <c r="E33" s="548"/>
      <c r="F33" s="548"/>
      <c r="G33" s="548"/>
      <c r="H33" s="548"/>
      <c r="I33" s="548"/>
      <c r="J33" s="548"/>
      <c r="K33" s="547"/>
      <c r="L33" s="547"/>
      <c r="M33" s="547"/>
      <c r="N33" s="547"/>
      <c r="O33" s="547"/>
      <c r="P33" s="504"/>
      <c r="Q33" s="504"/>
    </row>
    <row r="34" spans="1:19" s="528" customFormat="1" ht="13.5" thickBot="1">
      <c r="A34" s="547">
        <v>32</v>
      </c>
      <c r="B34" s="547"/>
      <c r="C34" s="547"/>
      <c r="D34" s="547"/>
      <c r="E34" s="548"/>
      <c r="F34" s="548"/>
      <c r="G34" s="548"/>
      <c r="H34" s="548"/>
      <c r="I34" s="548"/>
      <c r="J34" s="548"/>
      <c r="K34" s="547"/>
      <c r="L34" s="547"/>
      <c r="M34" s="547"/>
      <c r="N34" s="547"/>
      <c r="O34" s="547"/>
      <c r="P34" s="504"/>
      <c r="Q34" s="504"/>
    </row>
    <row r="35" spans="1:19" s="528" customFormat="1" ht="13.5" thickBot="1">
      <c r="A35" s="547">
        <v>33</v>
      </c>
      <c r="B35" s="547"/>
      <c r="C35" s="547"/>
      <c r="D35" s="547"/>
      <c r="E35" s="548"/>
      <c r="F35" s="548"/>
      <c r="G35" s="548"/>
      <c r="H35" s="548"/>
      <c r="I35" s="548"/>
      <c r="J35" s="548"/>
      <c r="K35" s="547"/>
      <c r="L35" s="547"/>
      <c r="M35" s="547"/>
      <c r="N35" s="547"/>
      <c r="O35" s="547"/>
      <c r="P35" s="504"/>
      <c r="Q35" s="504"/>
      <c r="R35" s="504"/>
      <c r="S35" s="504"/>
    </row>
    <row r="36" spans="1:19" ht="13.5" thickBot="1">
      <c r="A36" s="544">
        <v>34</v>
      </c>
      <c r="B36" s="544" t="s">
        <v>1143</v>
      </c>
      <c r="C36" s="544" t="s">
        <v>1144</v>
      </c>
      <c r="D36" s="544" t="s">
        <v>1145</v>
      </c>
      <c r="E36" s="545" t="s">
        <v>1146</v>
      </c>
      <c r="F36" s="545" t="s">
        <v>1291</v>
      </c>
      <c r="G36" s="545" t="s">
        <v>1311</v>
      </c>
      <c r="H36" s="545" t="s">
        <v>1310</v>
      </c>
      <c r="I36" s="545" t="s">
        <v>1134</v>
      </c>
      <c r="J36" s="545" t="s">
        <v>1276</v>
      </c>
      <c r="K36" s="544" t="s">
        <v>1281</v>
      </c>
      <c r="L36" s="544" t="s">
        <v>1273</v>
      </c>
      <c r="M36" s="544" t="s">
        <v>1274</v>
      </c>
      <c r="N36" s="544" t="s">
        <v>1273</v>
      </c>
      <c r="O36" s="544" t="s">
        <v>1272</v>
      </c>
      <c r="P36" s="546"/>
    </row>
    <row r="37" spans="1:19" ht="13.5" thickBot="1">
      <c r="A37" s="544">
        <v>35</v>
      </c>
      <c r="B37" s="544" t="s">
        <v>1143</v>
      </c>
      <c r="C37" s="544" t="s">
        <v>1147</v>
      </c>
      <c r="D37" s="544" t="s">
        <v>1145</v>
      </c>
      <c r="E37" s="545" t="s">
        <v>1146</v>
      </c>
      <c r="F37" s="545" t="s">
        <v>1291</v>
      </c>
      <c r="G37" s="545" t="s">
        <v>1311</v>
      </c>
      <c r="H37" s="545" t="s">
        <v>1310</v>
      </c>
      <c r="I37" s="545" t="s">
        <v>1134</v>
      </c>
      <c r="J37" s="545" t="s">
        <v>1276</v>
      </c>
      <c r="K37" s="544" t="s">
        <v>1281</v>
      </c>
      <c r="L37" s="544" t="s">
        <v>1273</v>
      </c>
      <c r="M37" s="544" t="s">
        <v>1274</v>
      </c>
      <c r="N37" s="544" t="s">
        <v>1273</v>
      </c>
      <c r="O37" s="544" t="s">
        <v>1272</v>
      </c>
      <c r="P37" s="546"/>
    </row>
    <row r="38" spans="1:19" ht="13.5" thickBot="1">
      <c r="A38" s="544">
        <v>36</v>
      </c>
      <c r="B38" s="544" t="s">
        <v>1143</v>
      </c>
      <c r="C38" s="544" t="s">
        <v>1148</v>
      </c>
      <c r="D38" s="544" t="s">
        <v>1145</v>
      </c>
      <c r="E38" s="545" t="s">
        <v>1146</v>
      </c>
      <c r="F38" s="545" t="s">
        <v>1291</v>
      </c>
      <c r="G38" s="545" t="s">
        <v>1311</v>
      </c>
      <c r="H38" s="545" t="s">
        <v>1310</v>
      </c>
      <c r="I38" s="545" t="s">
        <v>1134</v>
      </c>
      <c r="J38" s="545" t="s">
        <v>1276</v>
      </c>
      <c r="K38" s="544" t="s">
        <v>1281</v>
      </c>
      <c r="L38" s="544" t="s">
        <v>1273</v>
      </c>
      <c r="M38" s="544" t="s">
        <v>1274</v>
      </c>
      <c r="N38" s="544" t="s">
        <v>1273</v>
      </c>
      <c r="O38" s="544" t="s">
        <v>1272</v>
      </c>
      <c r="P38" s="546"/>
    </row>
    <row r="39" spans="1:19" ht="13.5" thickBot="1">
      <c r="A39" s="544">
        <v>37</v>
      </c>
      <c r="B39" s="544" t="s">
        <v>410</v>
      </c>
      <c r="C39" s="544" t="s">
        <v>1309</v>
      </c>
      <c r="D39" s="544"/>
      <c r="E39" s="545" t="s">
        <v>1286</v>
      </c>
      <c r="F39" s="545" t="s">
        <v>1285</v>
      </c>
      <c r="G39" s="545" t="s">
        <v>1149</v>
      </c>
      <c r="H39" s="545" t="s">
        <v>1150</v>
      </c>
      <c r="I39" s="545" t="s">
        <v>1134</v>
      </c>
      <c r="J39" s="545" t="s">
        <v>1276</v>
      </c>
      <c r="K39" s="544" t="s">
        <v>1275</v>
      </c>
      <c r="L39" s="544" t="s">
        <v>1273</v>
      </c>
      <c r="M39" s="544" t="s">
        <v>1274</v>
      </c>
      <c r="N39" s="544" t="s">
        <v>1273</v>
      </c>
      <c r="O39" s="544" t="s">
        <v>1272</v>
      </c>
      <c r="P39" s="541"/>
    </row>
    <row r="40" spans="1:19" ht="13.5" thickBot="1">
      <c r="A40" s="544">
        <v>38</v>
      </c>
      <c r="B40" s="544" t="s">
        <v>410</v>
      </c>
      <c r="C40" s="544" t="s">
        <v>1308</v>
      </c>
      <c r="D40" s="544"/>
      <c r="E40" s="545" t="s">
        <v>1286</v>
      </c>
      <c r="F40" s="545" t="s">
        <v>1285</v>
      </c>
      <c r="G40" s="545" t="s">
        <v>1149</v>
      </c>
      <c r="H40" s="545" t="s">
        <v>1150</v>
      </c>
      <c r="I40" s="545" t="s">
        <v>1134</v>
      </c>
      <c r="J40" s="545" t="s">
        <v>1276</v>
      </c>
      <c r="K40" s="544" t="s">
        <v>1275</v>
      </c>
      <c r="L40" s="544" t="s">
        <v>1273</v>
      </c>
      <c r="M40" s="544" t="s">
        <v>1274</v>
      </c>
      <c r="N40" s="544" t="s">
        <v>1273</v>
      </c>
      <c r="O40" s="544" t="s">
        <v>1272</v>
      </c>
      <c r="P40" s="541"/>
    </row>
    <row r="41" spans="1:19" ht="13.5" thickBot="1">
      <c r="A41" s="544">
        <v>39</v>
      </c>
      <c r="B41" s="544" t="s">
        <v>410</v>
      </c>
      <c r="C41" s="544" t="s">
        <v>1307</v>
      </c>
      <c r="D41" s="544"/>
      <c r="E41" s="545" t="s">
        <v>1280</v>
      </c>
      <c r="F41" s="545" t="s">
        <v>1285</v>
      </c>
      <c r="G41" s="545" t="s">
        <v>1151</v>
      </c>
      <c r="H41" s="545" t="s">
        <v>1150</v>
      </c>
      <c r="I41" s="545" t="s">
        <v>1134</v>
      </c>
      <c r="J41" s="545" t="s">
        <v>1276</v>
      </c>
      <c r="K41" s="544" t="s">
        <v>1275</v>
      </c>
      <c r="L41" s="544" t="s">
        <v>1273</v>
      </c>
      <c r="M41" s="544" t="s">
        <v>1274</v>
      </c>
      <c r="N41" s="544" t="s">
        <v>1273</v>
      </c>
      <c r="O41" s="544" t="s">
        <v>1272</v>
      </c>
      <c r="P41" s="541"/>
    </row>
    <row r="42" spans="1:19" ht="13.5" thickBot="1">
      <c r="A42" s="544">
        <v>40</v>
      </c>
      <c r="B42" s="544" t="s">
        <v>410</v>
      </c>
      <c r="C42" s="544" t="s">
        <v>1306</v>
      </c>
      <c r="D42" s="544"/>
      <c r="E42" s="545" t="s">
        <v>1280</v>
      </c>
      <c r="F42" s="545" t="s">
        <v>1285</v>
      </c>
      <c r="G42" s="545" t="s">
        <v>1151</v>
      </c>
      <c r="H42" s="545" t="s">
        <v>1152</v>
      </c>
      <c r="I42" s="545" t="s">
        <v>1134</v>
      </c>
      <c r="J42" s="545" t="s">
        <v>1276</v>
      </c>
      <c r="K42" s="544" t="s">
        <v>1275</v>
      </c>
      <c r="L42" s="544" t="s">
        <v>1273</v>
      </c>
      <c r="M42" s="544" t="s">
        <v>1288</v>
      </c>
      <c r="N42" s="544" t="s">
        <v>1273</v>
      </c>
      <c r="O42" s="544" t="s">
        <v>1272</v>
      </c>
      <c r="P42" s="541"/>
    </row>
    <row r="43" spans="1:19" ht="13.5" thickBot="1">
      <c r="A43" s="544">
        <v>41</v>
      </c>
      <c r="B43" s="544" t="s">
        <v>410</v>
      </c>
      <c r="C43" s="544" t="s">
        <v>1305</v>
      </c>
      <c r="D43" s="544"/>
      <c r="E43" s="545" t="s">
        <v>1280</v>
      </c>
      <c r="F43" s="545" t="s">
        <v>1285</v>
      </c>
      <c r="G43" s="545" t="s">
        <v>1149</v>
      </c>
      <c r="H43" s="545" t="s">
        <v>1152</v>
      </c>
      <c r="I43" s="545" t="s">
        <v>1134</v>
      </c>
      <c r="J43" s="545" t="s">
        <v>1276</v>
      </c>
      <c r="K43" s="544" t="s">
        <v>1275</v>
      </c>
      <c r="L43" s="544" t="s">
        <v>1273</v>
      </c>
      <c r="M43" s="544" t="s">
        <v>1274</v>
      </c>
      <c r="N43" s="544" t="s">
        <v>1273</v>
      </c>
      <c r="O43" s="544" t="s">
        <v>1272</v>
      </c>
      <c r="P43" s="541"/>
    </row>
    <row r="44" spans="1:19" ht="13.5" thickBot="1">
      <c r="A44" s="544">
        <v>42</v>
      </c>
      <c r="B44" s="544" t="s">
        <v>410</v>
      </c>
      <c r="C44" s="544" t="s">
        <v>1304</v>
      </c>
      <c r="D44" s="544"/>
      <c r="E44" s="545" t="s">
        <v>1280</v>
      </c>
      <c r="F44" s="545" t="s">
        <v>1285</v>
      </c>
      <c r="G44" s="545" t="s">
        <v>1149</v>
      </c>
      <c r="H44" s="545" t="s">
        <v>1152</v>
      </c>
      <c r="I44" s="545" t="s">
        <v>1134</v>
      </c>
      <c r="J44" s="545" t="s">
        <v>1276</v>
      </c>
      <c r="K44" s="544" t="s">
        <v>1275</v>
      </c>
      <c r="L44" s="544" t="s">
        <v>1273</v>
      </c>
      <c r="M44" s="544" t="s">
        <v>1274</v>
      </c>
      <c r="N44" s="544" t="s">
        <v>1273</v>
      </c>
      <c r="O44" s="544" t="s">
        <v>1272</v>
      </c>
      <c r="P44" s="541"/>
    </row>
    <row r="45" spans="1:19" ht="13.5" thickBot="1">
      <c r="A45" s="512">
        <v>43</v>
      </c>
      <c r="B45" s="512" t="s">
        <v>410</v>
      </c>
      <c r="C45" s="512" t="s">
        <v>1303</v>
      </c>
      <c r="D45" s="512"/>
      <c r="E45" s="522" t="s">
        <v>1286</v>
      </c>
      <c r="F45" s="522" t="s">
        <v>1285</v>
      </c>
      <c r="G45" s="522" t="s">
        <v>1149</v>
      </c>
      <c r="H45" s="522" t="s">
        <v>1282</v>
      </c>
      <c r="I45" s="527" t="s">
        <v>313</v>
      </c>
      <c r="J45" s="522" t="s">
        <v>1276</v>
      </c>
      <c r="K45" s="512" t="s">
        <v>1275</v>
      </c>
      <c r="L45" s="512" t="s">
        <v>1273</v>
      </c>
      <c r="M45" s="512" t="s">
        <v>1289</v>
      </c>
      <c r="N45" s="512" t="s">
        <v>1273</v>
      </c>
      <c r="O45" s="512" t="s">
        <v>1287</v>
      </c>
      <c r="P45" s="541"/>
    </row>
    <row r="46" spans="1:19" ht="13.5" thickBot="1">
      <c r="A46" s="512">
        <v>44</v>
      </c>
      <c r="B46" s="512" t="s">
        <v>410</v>
      </c>
      <c r="C46" s="512" t="s">
        <v>1302</v>
      </c>
      <c r="D46" s="512"/>
      <c r="E46" s="522" t="s">
        <v>1286</v>
      </c>
      <c r="F46" s="522" t="s">
        <v>1285</v>
      </c>
      <c r="G46" s="522" t="s">
        <v>1149</v>
      </c>
      <c r="H46" s="522" t="s">
        <v>1282</v>
      </c>
      <c r="I46" s="527" t="s">
        <v>313</v>
      </c>
      <c r="J46" s="522" t="s">
        <v>1276</v>
      </c>
      <c r="K46" s="512" t="s">
        <v>1275</v>
      </c>
      <c r="L46" s="512" t="s">
        <v>1273</v>
      </c>
      <c r="M46" s="512" t="s">
        <v>1289</v>
      </c>
      <c r="N46" s="512" t="s">
        <v>1273</v>
      </c>
      <c r="O46" s="512" t="s">
        <v>1287</v>
      </c>
      <c r="P46" s="543"/>
    </row>
    <row r="47" spans="1:19" ht="13.5" thickBot="1">
      <c r="A47" s="512">
        <v>45</v>
      </c>
      <c r="B47" s="512" t="s">
        <v>410</v>
      </c>
      <c r="C47" s="512" t="s">
        <v>1301</v>
      </c>
      <c r="D47" s="512"/>
      <c r="E47" s="522" t="s">
        <v>1286</v>
      </c>
      <c r="F47" s="522" t="s">
        <v>1285</v>
      </c>
      <c r="G47" s="522" t="s">
        <v>1149</v>
      </c>
      <c r="H47" s="522" t="s">
        <v>1282</v>
      </c>
      <c r="I47" s="527" t="s">
        <v>313</v>
      </c>
      <c r="J47" s="522" t="s">
        <v>1276</v>
      </c>
      <c r="K47" s="512" t="s">
        <v>1275</v>
      </c>
      <c r="L47" s="512" t="s">
        <v>1273</v>
      </c>
      <c r="M47" s="512" t="s">
        <v>1289</v>
      </c>
      <c r="N47" s="512" t="s">
        <v>1273</v>
      </c>
      <c r="O47" s="512" t="s">
        <v>1287</v>
      </c>
      <c r="P47" s="543"/>
    </row>
    <row r="48" spans="1:19" ht="13.5" thickBot="1">
      <c r="A48" s="512">
        <v>46</v>
      </c>
      <c r="B48" s="512" t="s">
        <v>410</v>
      </c>
      <c r="C48" s="512" t="s">
        <v>1300</v>
      </c>
      <c r="D48" s="512"/>
      <c r="E48" s="522" t="s">
        <v>1286</v>
      </c>
      <c r="F48" s="522" t="s">
        <v>1285</v>
      </c>
      <c r="G48" s="522" t="s">
        <v>1149</v>
      </c>
      <c r="H48" s="522" t="s">
        <v>1282</v>
      </c>
      <c r="I48" s="527" t="s">
        <v>313</v>
      </c>
      <c r="J48" s="522" t="s">
        <v>1276</v>
      </c>
      <c r="K48" s="512" t="s">
        <v>1275</v>
      </c>
      <c r="L48" s="512" t="s">
        <v>1273</v>
      </c>
      <c r="M48" s="512" t="s">
        <v>1289</v>
      </c>
      <c r="N48" s="512" t="s">
        <v>1273</v>
      </c>
      <c r="O48" s="512" t="s">
        <v>1287</v>
      </c>
      <c r="P48" s="543"/>
    </row>
    <row r="49" spans="1:16" ht="13.5" thickBot="1">
      <c r="A49" s="512">
        <v>47</v>
      </c>
      <c r="B49" s="512" t="s">
        <v>410</v>
      </c>
      <c r="C49" s="512" t="s">
        <v>1299</v>
      </c>
      <c r="D49" s="512"/>
      <c r="E49" s="522" t="s">
        <v>1286</v>
      </c>
      <c r="F49" s="522" t="s">
        <v>1285</v>
      </c>
      <c r="G49" s="522" t="s">
        <v>294</v>
      </c>
      <c r="H49" s="522" t="s">
        <v>1282</v>
      </c>
      <c r="I49" s="527" t="s">
        <v>313</v>
      </c>
      <c r="J49" s="522" t="s">
        <v>1276</v>
      </c>
      <c r="K49" s="512" t="s">
        <v>1275</v>
      </c>
      <c r="L49" s="512" t="s">
        <v>1273</v>
      </c>
      <c r="M49" s="512" t="s">
        <v>1289</v>
      </c>
      <c r="N49" s="512" t="s">
        <v>1273</v>
      </c>
      <c r="O49" s="512" t="s">
        <v>1287</v>
      </c>
      <c r="P49" s="543"/>
    </row>
    <row r="50" spans="1:16" ht="13.5" thickBot="1">
      <c r="A50" s="512">
        <v>48</v>
      </c>
      <c r="B50" s="512" t="s">
        <v>410</v>
      </c>
      <c r="C50" s="512" t="s">
        <v>1298</v>
      </c>
      <c r="D50" s="512"/>
      <c r="E50" s="522" t="s">
        <v>1286</v>
      </c>
      <c r="F50" s="522" t="s">
        <v>1285</v>
      </c>
      <c r="G50" s="522" t="s">
        <v>294</v>
      </c>
      <c r="H50" s="522" t="s">
        <v>1282</v>
      </c>
      <c r="I50" s="527" t="s">
        <v>313</v>
      </c>
      <c r="J50" s="522" t="s">
        <v>1276</v>
      </c>
      <c r="K50" s="512" t="s">
        <v>1275</v>
      </c>
      <c r="L50" s="512" t="s">
        <v>1273</v>
      </c>
      <c r="M50" s="512" t="s">
        <v>1289</v>
      </c>
      <c r="N50" s="512" t="s">
        <v>1273</v>
      </c>
      <c r="O50" s="512" t="s">
        <v>1287</v>
      </c>
      <c r="P50" s="543"/>
    </row>
    <row r="51" spans="1:16" ht="13.5" thickBot="1">
      <c r="A51" s="512">
        <v>49</v>
      </c>
      <c r="B51" s="512" t="s">
        <v>410</v>
      </c>
      <c r="C51" s="512" t="s">
        <v>1153</v>
      </c>
      <c r="D51" s="512"/>
      <c r="E51" s="522" t="s">
        <v>1286</v>
      </c>
      <c r="F51" s="522" t="s">
        <v>1285</v>
      </c>
      <c r="G51" s="522" t="s">
        <v>294</v>
      </c>
      <c r="H51" s="522" t="s">
        <v>1282</v>
      </c>
      <c r="I51" s="527" t="s">
        <v>313</v>
      </c>
      <c r="J51" s="522" t="s">
        <v>1276</v>
      </c>
      <c r="K51" s="512" t="s">
        <v>1275</v>
      </c>
      <c r="L51" s="512" t="s">
        <v>1273</v>
      </c>
      <c r="M51" s="512" t="s">
        <v>1289</v>
      </c>
      <c r="N51" s="512" t="s">
        <v>1273</v>
      </c>
      <c r="O51" s="512" t="s">
        <v>1287</v>
      </c>
    </row>
    <row r="52" spans="1:16" ht="15" thickBot="1">
      <c r="A52" s="512">
        <v>50</v>
      </c>
      <c r="B52" s="512" t="s">
        <v>410</v>
      </c>
      <c r="C52" s="526" t="s">
        <v>1490</v>
      </c>
      <c r="D52" s="512"/>
      <c r="E52" s="522" t="s">
        <v>1286</v>
      </c>
      <c r="F52" s="522" t="s">
        <v>1291</v>
      </c>
      <c r="G52" s="514" t="s">
        <v>1154</v>
      </c>
      <c r="H52" s="522" t="s">
        <v>1282</v>
      </c>
      <c r="I52" s="527" t="s">
        <v>313</v>
      </c>
      <c r="J52" s="522" t="s">
        <v>1276</v>
      </c>
      <c r="K52" s="512" t="s">
        <v>1281</v>
      </c>
      <c r="L52" s="512" t="s">
        <v>1273</v>
      </c>
      <c r="M52" s="512" t="s">
        <v>1289</v>
      </c>
      <c r="N52" s="512" t="s">
        <v>1273</v>
      </c>
      <c r="O52" s="512" t="s">
        <v>1287</v>
      </c>
      <c r="P52" s="541"/>
    </row>
    <row r="53" spans="1:16" ht="15" thickBot="1">
      <c r="A53" s="512">
        <v>51</v>
      </c>
      <c r="B53" s="512" t="s">
        <v>410</v>
      </c>
      <c r="C53" s="526" t="s">
        <v>1489</v>
      </c>
      <c r="D53" s="512"/>
      <c r="E53" s="522" t="s">
        <v>1286</v>
      </c>
      <c r="F53" s="522" t="s">
        <v>1291</v>
      </c>
      <c r="G53" s="514" t="s">
        <v>1154</v>
      </c>
      <c r="H53" s="522" t="s">
        <v>1282</v>
      </c>
      <c r="I53" s="527" t="s">
        <v>313</v>
      </c>
      <c r="J53" s="522" t="s">
        <v>1276</v>
      </c>
      <c r="K53" s="512" t="s">
        <v>1281</v>
      </c>
      <c r="L53" s="512" t="s">
        <v>1273</v>
      </c>
      <c r="M53" s="512" t="s">
        <v>1289</v>
      </c>
      <c r="N53" s="512" t="s">
        <v>1273</v>
      </c>
      <c r="O53" s="512" t="s">
        <v>1287</v>
      </c>
      <c r="P53" s="541"/>
    </row>
    <row r="54" spans="1:16" ht="13.5" thickBot="1">
      <c r="A54" s="512">
        <v>52</v>
      </c>
      <c r="B54" s="512" t="s">
        <v>410</v>
      </c>
      <c r="C54" s="526" t="s">
        <v>1488</v>
      </c>
      <c r="D54" s="512"/>
      <c r="E54" s="522" t="s">
        <v>1286</v>
      </c>
      <c r="F54" s="522" t="s">
        <v>1291</v>
      </c>
      <c r="G54" s="514" t="s">
        <v>1154</v>
      </c>
      <c r="H54" s="522" t="s">
        <v>1282</v>
      </c>
      <c r="I54" s="527" t="s">
        <v>1487</v>
      </c>
      <c r="J54" s="527" t="s">
        <v>1276</v>
      </c>
      <c r="K54" s="526" t="s">
        <v>1281</v>
      </c>
      <c r="L54" s="526" t="s">
        <v>1273</v>
      </c>
      <c r="M54" s="526" t="s">
        <v>1289</v>
      </c>
      <c r="N54" s="526" t="s">
        <v>1273</v>
      </c>
      <c r="O54" s="526" t="s">
        <v>1287</v>
      </c>
      <c r="P54" s="541"/>
    </row>
    <row r="55" spans="1:16" ht="13.5" thickBot="1">
      <c r="A55" s="512">
        <v>53</v>
      </c>
      <c r="B55" s="512" t="s">
        <v>410</v>
      </c>
      <c r="C55" s="526" t="s">
        <v>1297</v>
      </c>
      <c r="D55" s="512"/>
      <c r="E55" s="522" t="s">
        <v>1280</v>
      </c>
      <c r="F55" s="522" t="s">
        <v>1285</v>
      </c>
      <c r="G55" s="522" t="s">
        <v>1151</v>
      </c>
      <c r="H55" s="522" t="s">
        <v>342</v>
      </c>
      <c r="I55" s="527" t="s">
        <v>313</v>
      </c>
      <c r="J55" s="522" t="s">
        <v>1276</v>
      </c>
      <c r="K55" s="512" t="s">
        <v>1275</v>
      </c>
      <c r="L55" s="512" t="s">
        <v>1273</v>
      </c>
      <c r="M55" s="512" t="s">
        <v>1274</v>
      </c>
      <c r="N55" s="512" t="s">
        <v>1273</v>
      </c>
      <c r="O55" s="512" t="s">
        <v>1272</v>
      </c>
      <c r="P55" s="541"/>
    </row>
    <row r="56" spans="1:16" ht="13.5" thickBot="1">
      <c r="A56" s="512">
        <v>54</v>
      </c>
      <c r="B56" s="512" t="s">
        <v>410</v>
      </c>
      <c r="C56" s="526" t="s">
        <v>1296</v>
      </c>
      <c r="D56" s="512"/>
      <c r="E56" s="522" t="s">
        <v>1280</v>
      </c>
      <c r="F56" s="522" t="s">
        <v>1285</v>
      </c>
      <c r="G56" s="522" t="s">
        <v>1151</v>
      </c>
      <c r="H56" s="522" t="s">
        <v>342</v>
      </c>
      <c r="I56" s="527" t="s">
        <v>313</v>
      </c>
      <c r="J56" s="522" t="s">
        <v>1276</v>
      </c>
      <c r="K56" s="512" t="s">
        <v>1275</v>
      </c>
      <c r="L56" s="512" t="s">
        <v>1273</v>
      </c>
      <c r="M56" s="512" t="s">
        <v>1274</v>
      </c>
      <c r="N56" s="512" t="s">
        <v>1273</v>
      </c>
      <c r="O56" s="512" t="s">
        <v>1272</v>
      </c>
      <c r="P56" s="541"/>
    </row>
    <row r="57" spans="1:16" ht="13.5" thickBot="1">
      <c r="A57" s="512">
        <v>55</v>
      </c>
      <c r="B57" s="512" t="s">
        <v>410</v>
      </c>
      <c r="C57" s="526" t="s">
        <v>1295</v>
      </c>
      <c r="D57" s="512"/>
      <c r="E57" s="522" t="s">
        <v>1280</v>
      </c>
      <c r="F57" s="522" t="s">
        <v>1285</v>
      </c>
      <c r="G57" s="522" t="s">
        <v>1151</v>
      </c>
      <c r="H57" s="522" t="s">
        <v>342</v>
      </c>
      <c r="I57" s="527" t="s">
        <v>313</v>
      </c>
      <c r="J57" s="522" t="s">
        <v>1276</v>
      </c>
      <c r="K57" s="512" t="s">
        <v>1275</v>
      </c>
      <c r="L57" s="512" t="s">
        <v>1273</v>
      </c>
      <c r="M57" s="512" t="s">
        <v>1274</v>
      </c>
      <c r="N57" s="512" t="s">
        <v>1273</v>
      </c>
      <c r="O57" s="512" t="s">
        <v>1272</v>
      </c>
      <c r="P57" s="541"/>
    </row>
    <row r="58" spans="1:16" ht="15" thickBot="1">
      <c r="A58" s="512">
        <v>56</v>
      </c>
      <c r="B58" s="512" t="s">
        <v>410</v>
      </c>
      <c r="C58" s="526" t="s">
        <v>1486</v>
      </c>
      <c r="D58" s="512"/>
      <c r="E58" s="522" t="s">
        <v>1280</v>
      </c>
      <c r="F58" s="522" t="s">
        <v>1285</v>
      </c>
      <c r="G58" s="522" t="s">
        <v>1151</v>
      </c>
      <c r="H58" s="522" t="s">
        <v>342</v>
      </c>
      <c r="I58" s="527" t="s">
        <v>313</v>
      </c>
      <c r="J58" s="522" t="s">
        <v>1276</v>
      </c>
      <c r="K58" s="512" t="s">
        <v>1275</v>
      </c>
      <c r="L58" s="512" t="s">
        <v>1273</v>
      </c>
      <c r="M58" s="512" t="s">
        <v>1274</v>
      </c>
      <c r="N58" s="512" t="s">
        <v>1273</v>
      </c>
      <c r="O58" s="512" t="s">
        <v>1272</v>
      </c>
      <c r="P58" s="541"/>
    </row>
    <row r="59" spans="1:16" ht="15" thickBot="1">
      <c r="A59" s="512">
        <v>57</v>
      </c>
      <c r="B59" s="512" t="s">
        <v>410</v>
      </c>
      <c r="C59" s="526" t="s">
        <v>1485</v>
      </c>
      <c r="D59" s="512"/>
      <c r="E59" s="522" t="s">
        <v>1280</v>
      </c>
      <c r="F59" s="522" t="s">
        <v>1285</v>
      </c>
      <c r="G59" s="522" t="s">
        <v>1151</v>
      </c>
      <c r="H59" s="522" t="s">
        <v>342</v>
      </c>
      <c r="I59" s="527" t="s">
        <v>313</v>
      </c>
      <c r="J59" s="522" t="s">
        <v>1276</v>
      </c>
      <c r="K59" s="512" t="s">
        <v>1275</v>
      </c>
      <c r="L59" s="512" t="s">
        <v>1273</v>
      </c>
      <c r="M59" s="512" t="s">
        <v>1274</v>
      </c>
      <c r="N59" s="512" t="s">
        <v>1273</v>
      </c>
      <c r="O59" s="512" t="s">
        <v>1272</v>
      </c>
      <c r="P59" s="541"/>
    </row>
    <row r="60" spans="1:16" ht="15" thickBot="1">
      <c r="A60" s="512">
        <v>58</v>
      </c>
      <c r="B60" s="512" t="s">
        <v>410</v>
      </c>
      <c r="C60" s="526" t="s">
        <v>1484</v>
      </c>
      <c r="D60" s="512"/>
      <c r="E60" s="522" t="s">
        <v>1280</v>
      </c>
      <c r="F60" s="522" t="s">
        <v>1285</v>
      </c>
      <c r="G60" s="522" t="s">
        <v>1151</v>
      </c>
      <c r="H60" s="522" t="s">
        <v>342</v>
      </c>
      <c r="I60" s="527" t="s">
        <v>313</v>
      </c>
      <c r="J60" s="522" t="s">
        <v>1276</v>
      </c>
      <c r="K60" s="512" t="s">
        <v>1275</v>
      </c>
      <c r="L60" s="512" t="s">
        <v>1273</v>
      </c>
      <c r="M60" s="512" t="s">
        <v>1288</v>
      </c>
      <c r="N60" s="512" t="s">
        <v>1273</v>
      </c>
      <c r="O60" s="512" t="s">
        <v>1272</v>
      </c>
      <c r="P60" s="541"/>
    </row>
    <row r="61" spans="1:16" ht="15" thickBot="1">
      <c r="A61" s="512">
        <v>59</v>
      </c>
      <c r="B61" s="512" t="s">
        <v>410</v>
      </c>
      <c r="C61" s="526" t="s">
        <v>1483</v>
      </c>
      <c r="D61" s="512"/>
      <c r="E61" s="522" t="s">
        <v>1280</v>
      </c>
      <c r="F61" s="522" t="s">
        <v>1285</v>
      </c>
      <c r="G61" s="522" t="s">
        <v>1151</v>
      </c>
      <c r="H61" s="522" t="s">
        <v>342</v>
      </c>
      <c r="I61" s="527" t="s">
        <v>313</v>
      </c>
      <c r="J61" s="522" t="s">
        <v>1276</v>
      </c>
      <c r="K61" s="512" t="s">
        <v>1275</v>
      </c>
      <c r="L61" s="512" t="s">
        <v>1273</v>
      </c>
      <c r="M61" s="512" t="s">
        <v>1288</v>
      </c>
      <c r="N61" s="512" t="s">
        <v>1273</v>
      </c>
      <c r="O61" s="512" t="s">
        <v>1272</v>
      </c>
      <c r="P61" s="541"/>
    </row>
    <row r="62" spans="1:16" ht="15" thickBot="1">
      <c r="A62" s="512">
        <v>60</v>
      </c>
      <c r="B62" s="512" t="s">
        <v>410</v>
      </c>
      <c r="C62" s="539" t="s">
        <v>1482</v>
      </c>
      <c r="D62" s="512"/>
      <c r="E62" s="522" t="s">
        <v>1280</v>
      </c>
      <c r="F62" s="522" t="s">
        <v>1291</v>
      </c>
      <c r="G62" s="514" t="s">
        <v>1155</v>
      </c>
      <c r="H62" s="514" t="s">
        <v>1152</v>
      </c>
      <c r="I62" s="527" t="s">
        <v>313</v>
      </c>
      <c r="J62" s="522" t="s">
        <v>1276</v>
      </c>
      <c r="K62" s="512" t="s">
        <v>1275</v>
      </c>
      <c r="L62" s="512" t="s">
        <v>1273</v>
      </c>
      <c r="M62" s="526" t="s">
        <v>1288</v>
      </c>
      <c r="N62" s="526" t="s">
        <v>1273</v>
      </c>
      <c r="O62" s="526" t="s">
        <v>1287</v>
      </c>
      <c r="P62" s="541"/>
    </row>
    <row r="63" spans="1:16" ht="15" thickBot="1">
      <c r="A63" s="512">
        <v>61</v>
      </c>
      <c r="B63" s="512" t="s">
        <v>410</v>
      </c>
      <c r="C63" s="539" t="s">
        <v>1481</v>
      </c>
      <c r="D63" s="512"/>
      <c r="E63" s="522" t="s">
        <v>1280</v>
      </c>
      <c r="F63" s="522" t="s">
        <v>1291</v>
      </c>
      <c r="G63" s="514" t="s">
        <v>1155</v>
      </c>
      <c r="H63" s="514" t="s">
        <v>1152</v>
      </c>
      <c r="I63" s="527" t="s">
        <v>313</v>
      </c>
      <c r="J63" s="522" t="s">
        <v>1276</v>
      </c>
      <c r="K63" s="512" t="s">
        <v>1275</v>
      </c>
      <c r="L63" s="512" t="s">
        <v>1273</v>
      </c>
      <c r="M63" s="526" t="s">
        <v>1288</v>
      </c>
      <c r="N63" s="526" t="s">
        <v>1273</v>
      </c>
      <c r="O63" s="526" t="s">
        <v>1287</v>
      </c>
      <c r="P63" s="541"/>
    </row>
    <row r="64" spans="1:16" ht="15" thickBot="1">
      <c r="A64" s="512">
        <v>62</v>
      </c>
      <c r="B64" s="538" t="s">
        <v>410</v>
      </c>
      <c r="C64" s="542" t="s">
        <v>1480</v>
      </c>
      <c r="D64" s="512"/>
      <c r="E64" s="522" t="s">
        <v>1280</v>
      </c>
      <c r="F64" s="522" t="s">
        <v>1285</v>
      </c>
      <c r="G64" s="522" t="s">
        <v>294</v>
      </c>
      <c r="H64" s="522" t="s">
        <v>342</v>
      </c>
      <c r="I64" s="527" t="s">
        <v>313</v>
      </c>
      <c r="J64" s="522" t="s">
        <v>1276</v>
      </c>
      <c r="K64" s="512" t="s">
        <v>1281</v>
      </c>
      <c r="L64" s="512" t="s">
        <v>1273</v>
      </c>
      <c r="M64" s="526" t="s">
        <v>1274</v>
      </c>
      <c r="N64" s="526" t="s">
        <v>1273</v>
      </c>
      <c r="O64" s="526" t="s">
        <v>1272</v>
      </c>
      <c r="P64" s="541"/>
    </row>
    <row r="65" spans="1:17" ht="15" thickBot="1">
      <c r="A65" s="512">
        <v>63</v>
      </c>
      <c r="B65" s="512" t="s">
        <v>410</v>
      </c>
      <c r="C65" s="539" t="s">
        <v>1479</v>
      </c>
      <c r="D65" s="512"/>
      <c r="E65" s="522" t="s">
        <v>1280</v>
      </c>
      <c r="F65" s="522" t="s">
        <v>1285</v>
      </c>
      <c r="G65" s="522" t="s">
        <v>294</v>
      </c>
      <c r="H65" s="522" t="s">
        <v>342</v>
      </c>
      <c r="I65" s="527" t="s">
        <v>313</v>
      </c>
      <c r="J65" s="522" t="s">
        <v>1276</v>
      </c>
      <c r="K65" s="512" t="s">
        <v>1281</v>
      </c>
      <c r="L65" s="512" t="s">
        <v>1273</v>
      </c>
      <c r="M65" s="526" t="s">
        <v>1274</v>
      </c>
      <c r="N65" s="526" t="s">
        <v>1273</v>
      </c>
      <c r="O65" s="526" t="s">
        <v>1272</v>
      </c>
      <c r="P65" s="541"/>
    </row>
    <row r="66" spans="1:17" ht="15" thickBot="1">
      <c r="A66" s="512">
        <v>64</v>
      </c>
      <c r="B66" s="512" t="s">
        <v>410</v>
      </c>
      <c r="C66" s="539" t="s">
        <v>1478</v>
      </c>
      <c r="D66" s="512"/>
      <c r="E66" s="522" t="s">
        <v>1280</v>
      </c>
      <c r="F66" s="522" t="s">
        <v>1285</v>
      </c>
      <c r="G66" s="522" t="s">
        <v>1293</v>
      </c>
      <c r="H66" s="522" t="s">
        <v>342</v>
      </c>
      <c r="I66" s="527" t="s">
        <v>313</v>
      </c>
      <c r="J66" s="522" t="s">
        <v>1276</v>
      </c>
      <c r="K66" s="512" t="s">
        <v>1275</v>
      </c>
      <c r="L66" s="512" t="s">
        <v>1273</v>
      </c>
      <c r="M66" s="526" t="s">
        <v>1288</v>
      </c>
      <c r="N66" s="526" t="s">
        <v>1273</v>
      </c>
      <c r="O66" s="526" t="s">
        <v>1272</v>
      </c>
      <c r="P66" s="541"/>
    </row>
    <row r="67" spans="1:17" ht="15" thickBot="1">
      <c r="A67" s="512">
        <v>65</v>
      </c>
      <c r="B67" s="512" t="s">
        <v>410</v>
      </c>
      <c r="C67" s="539" t="s">
        <v>1477</v>
      </c>
      <c r="D67" s="512"/>
      <c r="E67" s="522" t="s">
        <v>1280</v>
      </c>
      <c r="F67" s="522" t="s">
        <v>1285</v>
      </c>
      <c r="G67" s="522" t="s">
        <v>306</v>
      </c>
      <c r="H67" s="522" t="s">
        <v>314</v>
      </c>
      <c r="I67" s="527" t="s">
        <v>313</v>
      </c>
      <c r="J67" s="522" t="s">
        <v>1276</v>
      </c>
      <c r="K67" s="512" t="s">
        <v>1275</v>
      </c>
      <c r="L67" s="512" t="s">
        <v>1273</v>
      </c>
      <c r="M67" s="526" t="s">
        <v>1288</v>
      </c>
      <c r="N67" s="526" t="s">
        <v>1273</v>
      </c>
      <c r="O67" s="526" t="s">
        <v>1272</v>
      </c>
      <c r="P67" s="540"/>
    </row>
    <row r="68" spans="1:17" ht="15" thickBot="1">
      <c r="A68" s="512">
        <v>66</v>
      </c>
      <c r="B68" s="512" t="s">
        <v>410</v>
      </c>
      <c r="C68" s="539" t="s">
        <v>1476</v>
      </c>
      <c r="D68" s="512"/>
      <c r="E68" s="522" t="s">
        <v>1280</v>
      </c>
      <c r="F68" s="522" t="s">
        <v>1285</v>
      </c>
      <c r="G68" s="522" t="s">
        <v>306</v>
      </c>
      <c r="H68" s="522" t="s">
        <v>314</v>
      </c>
      <c r="I68" s="527" t="s">
        <v>313</v>
      </c>
      <c r="J68" s="522" t="s">
        <v>1276</v>
      </c>
      <c r="K68" s="512" t="s">
        <v>1275</v>
      </c>
      <c r="L68" s="512" t="s">
        <v>1273</v>
      </c>
      <c r="M68" s="526" t="s">
        <v>1288</v>
      </c>
      <c r="N68" s="526" t="s">
        <v>1273</v>
      </c>
      <c r="O68" s="526" t="s">
        <v>1272</v>
      </c>
    </row>
    <row r="69" spans="1:17" ht="15" thickBot="1">
      <c r="A69" s="512">
        <v>67</v>
      </c>
      <c r="B69" s="512" t="s">
        <v>410</v>
      </c>
      <c r="C69" s="539" t="s">
        <v>1475</v>
      </c>
      <c r="D69" s="512"/>
      <c r="E69" s="522" t="s">
        <v>1280</v>
      </c>
      <c r="F69" s="522" t="s">
        <v>1285</v>
      </c>
      <c r="G69" s="522" t="s">
        <v>306</v>
      </c>
      <c r="H69" s="522" t="s">
        <v>314</v>
      </c>
      <c r="I69" s="527" t="s">
        <v>313</v>
      </c>
      <c r="J69" s="522" t="s">
        <v>1276</v>
      </c>
      <c r="K69" s="512" t="s">
        <v>1275</v>
      </c>
      <c r="L69" s="512" t="s">
        <v>1273</v>
      </c>
      <c r="M69" s="526" t="s">
        <v>1288</v>
      </c>
      <c r="N69" s="526" t="s">
        <v>1273</v>
      </c>
      <c r="O69" s="526" t="s">
        <v>1272</v>
      </c>
    </row>
    <row r="70" spans="1:17" ht="13.5" thickBot="1">
      <c r="A70" s="512">
        <v>68</v>
      </c>
      <c r="B70" s="512" t="s">
        <v>410</v>
      </c>
      <c r="C70" s="526" t="s">
        <v>1294</v>
      </c>
      <c r="D70" s="512"/>
      <c r="E70" s="522" t="s">
        <v>1280</v>
      </c>
      <c r="F70" s="522" t="s">
        <v>1285</v>
      </c>
      <c r="G70" s="522" t="s">
        <v>1293</v>
      </c>
      <c r="H70" s="522" t="s">
        <v>1292</v>
      </c>
      <c r="I70" s="527" t="s">
        <v>313</v>
      </c>
      <c r="J70" s="522" t="s">
        <v>1276</v>
      </c>
      <c r="K70" s="512" t="s">
        <v>1275</v>
      </c>
      <c r="L70" s="512" t="s">
        <v>1273</v>
      </c>
      <c r="M70" s="512" t="s">
        <v>1288</v>
      </c>
      <c r="N70" s="512" t="s">
        <v>1273</v>
      </c>
      <c r="O70" s="526" t="s">
        <v>1287</v>
      </c>
    </row>
    <row r="71" spans="1:17" ht="15" thickBot="1">
      <c r="A71" s="512">
        <v>69</v>
      </c>
      <c r="B71" s="538" t="s">
        <v>410</v>
      </c>
      <c r="C71" s="538" t="s">
        <v>1474</v>
      </c>
      <c r="D71" s="512"/>
      <c r="E71" s="522" t="s">
        <v>1450</v>
      </c>
      <c r="F71" s="522" t="s">
        <v>1291</v>
      </c>
      <c r="G71" s="514" t="s">
        <v>1156</v>
      </c>
      <c r="H71" s="514" t="s">
        <v>1396</v>
      </c>
      <c r="I71" s="527" t="s">
        <v>313</v>
      </c>
      <c r="J71" s="522" t="s">
        <v>1276</v>
      </c>
      <c r="K71" s="512" t="s">
        <v>1281</v>
      </c>
      <c r="L71" s="512" t="s">
        <v>1273</v>
      </c>
      <c r="M71" s="512" t="s">
        <v>1274</v>
      </c>
      <c r="N71" s="512" t="s">
        <v>1273</v>
      </c>
      <c r="O71" s="526" t="s">
        <v>1272</v>
      </c>
    </row>
    <row r="72" spans="1:17" ht="13.5" thickBot="1">
      <c r="A72" s="512">
        <v>70</v>
      </c>
      <c r="B72" s="526" t="s">
        <v>410</v>
      </c>
      <c r="C72" s="533" t="s">
        <v>1473</v>
      </c>
      <c r="D72" s="533"/>
      <c r="E72" s="527" t="s">
        <v>1280</v>
      </c>
      <c r="F72" s="527" t="s">
        <v>1285</v>
      </c>
      <c r="G72" s="527" t="s">
        <v>306</v>
      </c>
      <c r="H72" s="527" t="s">
        <v>314</v>
      </c>
      <c r="I72" s="527" t="s">
        <v>313</v>
      </c>
      <c r="J72" s="527" t="s">
        <v>1276</v>
      </c>
      <c r="K72" s="526" t="s">
        <v>1275</v>
      </c>
      <c r="L72" s="526" t="s">
        <v>1273</v>
      </c>
      <c r="M72" s="526" t="s">
        <v>1288</v>
      </c>
      <c r="N72" s="526" t="s">
        <v>1273</v>
      </c>
      <c r="O72" s="526" t="s">
        <v>1272</v>
      </c>
    </row>
    <row r="73" spans="1:17" ht="13.5" thickBot="1">
      <c r="A73" s="512">
        <v>71</v>
      </c>
      <c r="B73" s="526" t="s">
        <v>410</v>
      </c>
      <c r="C73" s="533" t="s">
        <v>1395</v>
      </c>
      <c r="D73" s="533"/>
      <c r="E73" s="532" t="s">
        <v>1286</v>
      </c>
      <c r="F73" s="527" t="s">
        <v>1285</v>
      </c>
      <c r="G73" s="527" t="s">
        <v>1149</v>
      </c>
      <c r="H73" s="527" t="s">
        <v>1282</v>
      </c>
      <c r="I73" s="527" t="s">
        <v>313</v>
      </c>
      <c r="J73" s="527" t="s">
        <v>1276</v>
      </c>
      <c r="K73" s="526" t="s">
        <v>1275</v>
      </c>
      <c r="L73" s="526" t="s">
        <v>1273</v>
      </c>
      <c r="M73" s="526" t="s">
        <v>1289</v>
      </c>
      <c r="N73" s="526" t="s">
        <v>1273</v>
      </c>
      <c r="O73" s="526" t="s">
        <v>1287</v>
      </c>
    </row>
    <row r="74" spans="1:17" ht="15" thickBot="1">
      <c r="A74" s="512">
        <v>72</v>
      </c>
      <c r="B74" s="526" t="s">
        <v>410</v>
      </c>
      <c r="C74" s="526" t="s">
        <v>1472</v>
      </c>
      <c r="D74" s="526"/>
      <c r="E74" s="527" t="s">
        <v>1280</v>
      </c>
      <c r="F74" s="532" t="s">
        <v>1279</v>
      </c>
      <c r="G74" s="527" t="s">
        <v>1467</v>
      </c>
      <c r="H74" s="527" t="s">
        <v>314</v>
      </c>
      <c r="I74" s="527" t="s">
        <v>313</v>
      </c>
      <c r="J74" s="527" t="s">
        <v>1276</v>
      </c>
      <c r="K74" s="526" t="s">
        <v>1275</v>
      </c>
      <c r="L74" s="526" t="s">
        <v>1273</v>
      </c>
      <c r="M74" s="526" t="s">
        <v>1288</v>
      </c>
      <c r="N74" s="526" t="s">
        <v>1273</v>
      </c>
      <c r="O74" s="526" t="s">
        <v>1287</v>
      </c>
    </row>
    <row r="75" spans="1:17" ht="15" thickBot="1">
      <c r="A75" s="512">
        <v>73</v>
      </c>
      <c r="B75" s="526" t="s">
        <v>410</v>
      </c>
      <c r="C75" s="533" t="s">
        <v>1471</v>
      </c>
      <c r="D75" s="533"/>
      <c r="E75" s="532" t="s">
        <v>1286</v>
      </c>
      <c r="F75" s="532" t="s">
        <v>1279</v>
      </c>
      <c r="G75" s="532" t="s">
        <v>1293</v>
      </c>
      <c r="H75" s="532" t="s">
        <v>1282</v>
      </c>
      <c r="I75" s="527" t="s">
        <v>313</v>
      </c>
      <c r="J75" s="527" t="s">
        <v>1276</v>
      </c>
      <c r="K75" s="526" t="s">
        <v>1281</v>
      </c>
      <c r="L75" s="526" t="s">
        <v>1273</v>
      </c>
      <c r="M75" s="526" t="s">
        <v>1274</v>
      </c>
      <c r="N75" s="526" t="s">
        <v>1273</v>
      </c>
      <c r="O75" s="526" t="s">
        <v>1272</v>
      </c>
    </row>
    <row r="76" spans="1:17" ht="13.5" thickBot="1">
      <c r="A76" s="512">
        <v>74</v>
      </c>
      <c r="B76" s="526" t="s">
        <v>410</v>
      </c>
      <c r="C76" s="533" t="s">
        <v>1394</v>
      </c>
      <c r="D76" s="533"/>
      <c r="E76" s="532" t="s">
        <v>1280</v>
      </c>
      <c r="F76" s="532" t="s">
        <v>1279</v>
      </c>
      <c r="G76" s="522" t="s">
        <v>1151</v>
      </c>
      <c r="H76" s="522" t="s">
        <v>342</v>
      </c>
      <c r="I76" s="527" t="s">
        <v>313</v>
      </c>
      <c r="J76" s="527" t="s">
        <v>1276</v>
      </c>
      <c r="K76" s="526" t="s">
        <v>1275</v>
      </c>
      <c r="L76" s="526" t="s">
        <v>1273</v>
      </c>
      <c r="M76" s="526" t="s">
        <v>1274</v>
      </c>
      <c r="N76" s="526" t="s">
        <v>1273</v>
      </c>
      <c r="O76" s="526" t="s">
        <v>1272</v>
      </c>
    </row>
    <row r="77" spans="1:17" ht="13.5" thickBot="1">
      <c r="A77" s="512">
        <v>75</v>
      </c>
      <c r="B77" s="526" t="s">
        <v>410</v>
      </c>
      <c r="C77" s="533" t="s">
        <v>1284</v>
      </c>
      <c r="D77" s="526" t="s">
        <v>1271</v>
      </c>
      <c r="E77" s="532" t="s">
        <v>1391</v>
      </c>
      <c r="F77" s="532" t="s">
        <v>1279</v>
      </c>
      <c r="G77" s="532" t="s">
        <v>1283</v>
      </c>
      <c r="H77" s="532" t="s">
        <v>1282</v>
      </c>
      <c r="I77" s="527" t="s">
        <v>313</v>
      </c>
      <c r="J77" s="527" t="s">
        <v>1276</v>
      </c>
      <c r="K77" s="526" t="s">
        <v>1281</v>
      </c>
      <c r="L77" s="526" t="s">
        <v>1273</v>
      </c>
      <c r="M77" s="526" t="s">
        <v>1274</v>
      </c>
      <c r="N77" s="526" t="s">
        <v>1273</v>
      </c>
      <c r="O77" s="526" t="s">
        <v>1272</v>
      </c>
      <c r="P77" s="528"/>
      <c r="Q77" s="528"/>
    </row>
    <row r="78" spans="1:17" s="528" customFormat="1" ht="15" thickBot="1">
      <c r="A78" s="526">
        <v>76</v>
      </c>
      <c r="B78" s="526" t="s">
        <v>410</v>
      </c>
      <c r="C78" s="533" t="s">
        <v>1470</v>
      </c>
      <c r="D78" s="526" t="s">
        <v>1271</v>
      </c>
      <c r="E78" s="532" t="s">
        <v>1280</v>
      </c>
      <c r="F78" s="532" t="s">
        <v>1279</v>
      </c>
      <c r="G78" s="532" t="s">
        <v>1278</v>
      </c>
      <c r="H78" s="532" t="s">
        <v>1277</v>
      </c>
      <c r="I78" s="527" t="s">
        <v>313</v>
      </c>
      <c r="J78" s="527" t="s">
        <v>1276</v>
      </c>
      <c r="K78" s="526" t="s">
        <v>1275</v>
      </c>
      <c r="L78" s="526" t="s">
        <v>1273</v>
      </c>
      <c r="M78" s="526" t="s">
        <v>1288</v>
      </c>
      <c r="N78" s="526" t="s">
        <v>1273</v>
      </c>
      <c r="O78" s="526" t="s">
        <v>1287</v>
      </c>
    </row>
    <row r="79" spans="1:17" s="528" customFormat="1" ht="15" thickBot="1">
      <c r="A79" s="526">
        <v>77</v>
      </c>
      <c r="B79" s="533" t="s">
        <v>280</v>
      </c>
      <c r="C79" s="533" t="s">
        <v>1469</v>
      </c>
      <c r="D79" s="533"/>
      <c r="E79" s="532" t="s">
        <v>1280</v>
      </c>
      <c r="F79" s="532" t="s">
        <v>1279</v>
      </c>
      <c r="G79" s="532" t="s">
        <v>294</v>
      </c>
      <c r="H79" s="532" t="s">
        <v>342</v>
      </c>
      <c r="I79" s="527" t="s">
        <v>313</v>
      </c>
      <c r="J79" s="527" t="s">
        <v>1276</v>
      </c>
      <c r="K79" s="526" t="s">
        <v>1275</v>
      </c>
      <c r="L79" s="526" t="s">
        <v>1273</v>
      </c>
      <c r="M79" s="526" t="s">
        <v>1274</v>
      </c>
      <c r="N79" s="526" t="s">
        <v>1273</v>
      </c>
      <c r="O79" s="526" t="s">
        <v>1272</v>
      </c>
    </row>
    <row r="80" spans="1:17" s="528" customFormat="1" ht="15" thickBot="1">
      <c r="A80" s="526">
        <v>78</v>
      </c>
      <c r="B80" s="533" t="s">
        <v>280</v>
      </c>
      <c r="C80" s="533" t="s">
        <v>1468</v>
      </c>
      <c r="D80" s="533"/>
      <c r="E80" s="532" t="s">
        <v>1286</v>
      </c>
      <c r="F80" s="532" t="s">
        <v>1279</v>
      </c>
      <c r="G80" s="532" t="s">
        <v>1333</v>
      </c>
      <c r="H80" s="532" t="s">
        <v>1282</v>
      </c>
      <c r="I80" s="527" t="s">
        <v>313</v>
      </c>
      <c r="J80" s="527" t="s">
        <v>1276</v>
      </c>
      <c r="K80" s="526" t="s">
        <v>1281</v>
      </c>
      <c r="L80" s="526" t="s">
        <v>1273</v>
      </c>
      <c r="M80" s="526" t="s">
        <v>1288</v>
      </c>
      <c r="N80" s="526" t="s">
        <v>1273</v>
      </c>
      <c r="O80" s="526" t="s">
        <v>1287</v>
      </c>
    </row>
    <row r="81" spans="1:19" s="528" customFormat="1" ht="13.5" thickBot="1">
      <c r="A81" s="526">
        <v>79</v>
      </c>
      <c r="B81" s="533" t="s">
        <v>280</v>
      </c>
      <c r="C81" s="533" t="s">
        <v>1262</v>
      </c>
      <c r="D81" s="533"/>
      <c r="E81" s="532" t="s">
        <v>1450</v>
      </c>
      <c r="F81" s="532" t="s">
        <v>1279</v>
      </c>
      <c r="G81" s="532" t="s">
        <v>306</v>
      </c>
      <c r="H81" s="532" t="s">
        <v>1282</v>
      </c>
      <c r="I81" s="527" t="s">
        <v>313</v>
      </c>
      <c r="J81" s="527" t="s">
        <v>1276</v>
      </c>
      <c r="K81" s="526" t="s">
        <v>1281</v>
      </c>
      <c r="L81" s="526" t="s">
        <v>1273</v>
      </c>
      <c r="M81" s="526" t="s">
        <v>1274</v>
      </c>
      <c r="N81" s="526" t="s">
        <v>1273</v>
      </c>
      <c r="O81" s="526" t="s">
        <v>1272</v>
      </c>
    </row>
    <row r="82" spans="1:19" s="528" customFormat="1" ht="13.5" thickBot="1">
      <c r="A82" s="526">
        <v>80</v>
      </c>
      <c r="B82" s="533" t="s">
        <v>280</v>
      </c>
      <c r="C82" s="533" t="s">
        <v>1343</v>
      </c>
      <c r="D82" s="533"/>
      <c r="E82" s="532" t="s">
        <v>1280</v>
      </c>
      <c r="F82" s="527" t="s">
        <v>1390</v>
      </c>
      <c r="G82" s="532" t="s">
        <v>306</v>
      </c>
      <c r="H82" s="529" t="s">
        <v>314</v>
      </c>
      <c r="I82" s="527" t="s">
        <v>313</v>
      </c>
      <c r="J82" s="527" t="s">
        <v>1276</v>
      </c>
      <c r="K82" s="526" t="s">
        <v>1275</v>
      </c>
      <c r="L82" s="526" t="s">
        <v>1273</v>
      </c>
      <c r="M82" s="526" t="s">
        <v>1288</v>
      </c>
      <c r="N82" s="526" t="s">
        <v>1273</v>
      </c>
      <c r="O82" s="526" t="s">
        <v>1272</v>
      </c>
    </row>
    <row r="83" spans="1:19" s="528" customFormat="1" ht="13.5" thickBot="1">
      <c r="A83" s="512">
        <v>81</v>
      </c>
      <c r="B83" s="533" t="s">
        <v>280</v>
      </c>
      <c r="C83" s="533" t="s">
        <v>1393</v>
      </c>
      <c r="D83" s="533"/>
      <c r="E83" s="532" t="s">
        <v>1450</v>
      </c>
      <c r="F83" s="527" t="s">
        <v>1390</v>
      </c>
      <c r="G83" s="537" t="s">
        <v>1467</v>
      </c>
      <c r="H83" s="536" t="s">
        <v>1457</v>
      </c>
      <c r="I83" s="535" t="s">
        <v>313</v>
      </c>
      <c r="J83" s="527" t="s">
        <v>1276</v>
      </c>
      <c r="K83" s="526" t="s">
        <v>1275</v>
      </c>
      <c r="L83" s="526" t="s">
        <v>1273</v>
      </c>
      <c r="M83" s="526" t="s">
        <v>1274</v>
      </c>
      <c r="N83" s="526" t="s">
        <v>1273</v>
      </c>
      <c r="O83" s="526" t="s">
        <v>1272</v>
      </c>
    </row>
    <row r="84" spans="1:19" s="528" customFormat="1" ht="13.5" thickBot="1">
      <c r="A84" s="512">
        <v>82</v>
      </c>
      <c r="B84" s="533" t="s">
        <v>280</v>
      </c>
      <c r="C84" s="533" t="s">
        <v>1261</v>
      </c>
      <c r="D84" s="533"/>
      <c r="E84" s="532" t="s">
        <v>1450</v>
      </c>
      <c r="F84" s="527" t="s">
        <v>1390</v>
      </c>
      <c r="G84" s="537" t="s">
        <v>1467</v>
      </c>
      <c r="H84" s="536" t="s">
        <v>1457</v>
      </c>
      <c r="I84" s="535" t="s">
        <v>313</v>
      </c>
      <c r="J84" s="527" t="s">
        <v>1276</v>
      </c>
      <c r="K84" s="526" t="s">
        <v>1275</v>
      </c>
      <c r="L84" s="526" t="s">
        <v>1273</v>
      </c>
      <c r="M84" s="526" t="s">
        <v>1274</v>
      </c>
      <c r="N84" s="526" t="s">
        <v>1273</v>
      </c>
      <c r="O84" s="526" t="s">
        <v>1272</v>
      </c>
    </row>
    <row r="85" spans="1:19" s="528" customFormat="1" ht="13.5" thickBot="1">
      <c r="A85" s="512">
        <v>83</v>
      </c>
      <c r="B85" s="533" t="s">
        <v>280</v>
      </c>
      <c r="C85" s="533" t="s">
        <v>1260</v>
      </c>
      <c r="D85" s="533"/>
      <c r="E85" s="532" t="s">
        <v>1286</v>
      </c>
      <c r="F85" s="527" t="s">
        <v>1390</v>
      </c>
      <c r="G85" s="537" t="s">
        <v>306</v>
      </c>
      <c r="H85" s="536" t="s">
        <v>1457</v>
      </c>
      <c r="I85" s="535" t="s">
        <v>313</v>
      </c>
      <c r="J85" s="527" t="s">
        <v>1276</v>
      </c>
      <c r="K85" s="526" t="s">
        <v>1281</v>
      </c>
      <c r="L85" s="526" t="s">
        <v>1273</v>
      </c>
      <c r="M85" s="526" t="s">
        <v>1289</v>
      </c>
      <c r="N85" s="526" t="s">
        <v>1273</v>
      </c>
      <c r="O85" s="526" t="s">
        <v>1287</v>
      </c>
      <c r="P85" s="504"/>
      <c r="Q85" s="504"/>
    </row>
    <row r="86" spans="1:19" s="528" customFormat="1" ht="13.5" thickBot="1">
      <c r="A86" s="512">
        <v>84</v>
      </c>
      <c r="B86" s="533" t="s">
        <v>280</v>
      </c>
      <c r="C86" s="533" t="s">
        <v>1251</v>
      </c>
      <c r="D86" s="533"/>
      <c r="E86" s="532" t="s">
        <v>1280</v>
      </c>
      <c r="F86" s="527" t="s">
        <v>1390</v>
      </c>
      <c r="G86" s="532" t="s">
        <v>306</v>
      </c>
      <c r="H86" s="534" t="s">
        <v>314</v>
      </c>
      <c r="I86" s="527" t="s">
        <v>313</v>
      </c>
      <c r="J86" s="527" t="s">
        <v>1276</v>
      </c>
      <c r="K86" s="526" t="s">
        <v>1275</v>
      </c>
      <c r="L86" s="526" t="s">
        <v>1273</v>
      </c>
      <c r="M86" s="526" t="s">
        <v>1288</v>
      </c>
      <c r="N86" s="526" t="s">
        <v>1273</v>
      </c>
      <c r="O86" s="526" t="s">
        <v>1272</v>
      </c>
      <c r="P86" s="504"/>
      <c r="Q86" s="504"/>
    </row>
    <row r="87" spans="1:19" s="528" customFormat="1" ht="13.5" thickBot="1">
      <c r="A87" s="512">
        <v>85</v>
      </c>
      <c r="B87" s="526" t="s">
        <v>410</v>
      </c>
      <c r="C87" s="533" t="s">
        <v>1392</v>
      </c>
      <c r="D87" s="526" t="s">
        <v>1271</v>
      </c>
      <c r="E87" s="532" t="s">
        <v>1450</v>
      </c>
      <c r="F87" s="527" t="s">
        <v>1390</v>
      </c>
      <c r="G87" s="527" t="s">
        <v>306</v>
      </c>
      <c r="H87" s="527" t="s">
        <v>1282</v>
      </c>
      <c r="I87" s="527" t="s">
        <v>313</v>
      </c>
      <c r="J87" s="527" t="s">
        <v>1276</v>
      </c>
      <c r="K87" s="526" t="s">
        <v>1281</v>
      </c>
      <c r="L87" s="526" t="s">
        <v>1273</v>
      </c>
      <c r="M87" s="526" t="s">
        <v>1274</v>
      </c>
      <c r="N87" s="526" t="s">
        <v>1273</v>
      </c>
      <c r="O87" s="526" t="s">
        <v>1272</v>
      </c>
      <c r="P87" s="504"/>
      <c r="Q87" s="504"/>
      <c r="R87" s="504"/>
      <c r="S87" s="504"/>
    </row>
    <row r="88" spans="1:19" s="528" customFormat="1" ht="15" thickBot="1">
      <c r="A88" s="526">
        <v>86</v>
      </c>
      <c r="B88" s="533" t="s">
        <v>280</v>
      </c>
      <c r="C88" s="533" t="s">
        <v>1466</v>
      </c>
      <c r="D88" s="533"/>
      <c r="E88" s="532" t="s">
        <v>1280</v>
      </c>
      <c r="F88" s="532" t="s">
        <v>1390</v>
      </c>
      <c r="G88" s="532" t="s">
        <v>306</v>
      </c>
      <c r="H88" s="532" t="s">
        <v>342</v>
      </c>
      <c r="I88" s="527" t="s">
        <v>313</v>
      </c>
      <c r="J88" s="527" t="s">
        <v>1276</v>
      </c>
      <c r="K88" s="526" t="s">
        <v>1281</v>
      </c>
      <c r="L88" s="526" t="s">
        <v>1273</v>
      </c>
      <c r="M88" s="526" t="s">
        <v>1272</v>
      </c>
      <c r="N88" s="526" t="s">
        <v>1273</v>
      </c>
      <c r="O88" s="526" t="s">
        <v>1272</v>
      </c>
    </row>
    <row r="89" spans="1:19" s="528" customFormat="1" ht="15" thickBot="1">
      <c r="A89" s="526">
        <v>87</v>
      </c>
      <c r="B89" s="533" t="s">
        <v>280</v>
      </c>
      <c r="C89" s="533" t="s">
        <v>1465</v>
      </c>
      <c r="D89" s="533"/>
      <c r="E89" s="532" t="s">
        <v>1280</v>
      </c>
      <c r="F89" s="532" t="s">
        <v>1390</v>
      </c>
      <c r="G89" s="532" t="s">
        <v>294</v>
      </c>
      <c r="H89" s="532" t="s">
        <v>342</v>
      </c>
      <c r="I89" s="527" t="s">
        <v>313</v>
      </c>
      <c r="J89" s="527" t="s">
        <v>1276</v>
      </c>
      <c r="K89" s="526" t="s">
        <v>1275</v>
      </c>
      <c r="L89" s="526" t="s">
        <v>1273</v>
      </c>
      <c r="M89" s="526" t="s">
        <v>1272</v>
      </c>
      <c r="N89" s="526" t="s">
        <v>1273</v>
      </c>
      <c r="O89" s="526" t="s">
        <v>1272</v>
      </c>
    </row>
    <row r="90" spans="1:19" s="528" customFormat="1" ht="15" thickBot="1">
      <c r="A90" s="526">
        <v>88</v>
      </c>
      <c r="B90" s="533" t="s">
        <v>280</v>
      </c>
      <c r="C90" s="533" t="s">
        <v>1464</v>
      </c>
      <c r="D90" s="533"/>
      <c r="E90" s="532" t="s">
        <v>1286</v>
      </c>
      <c r="F90" s="532" t="s">
        <v>1390</v>
      </c>
      <c r="G90" s="532" t="s">
        <v>1333</v>
      </c>
      <c r="H90" s="532" t="s">
        <v>342</v>
      </c>
      <c r="I90" s="527" t="s">
        <v>313</v>
      </c>
      <c r="J90" s="527" t="s">
        <v>1276</v>
      </c>
      <c r="K90" s="526" t="s">
        <v>1281</v>
      </c>
      <c r="L90" s="526" t="s">
        <v>1273</v>
      </c>
      <c r="M90" s="526" t="s">
        <v>1274</v>
      </c>
      <c r="N90" s="526" t="s">
        <v>1273</v>
      </c>
      <c r="O90" s="526" t="s">
        <v>1272</v>
      </c>
    </row>
    <row r="91" spans="1:19" s="528" customFormat="1" ht="15" thickBot="1">
      <c r="A91" s="526">
        <v>89</v>
      </c>
      <c r="B91" s="533" t="s">
        <v>280</v>
      </c>
      <c r="C91" s="533" t="s">
        <v>1463</v>
      </c>
      <c r="D91" s="533"/>
      <c r="E91" s="532" t="s">
        <v>1286</v>
      </c>
      <c r="F91" s="532" t="s">
        <v>1390</v>
      </c>
      <c r="G91" s="532" t="s">
        <v>294</v>
      </c>
      <c r="H91" s="532" t="s">
        <v>342</v>
      </c>
      <c r="I91" s="527" t="s">
        <v>313</v>
      </c>
      <c r="J91" s="527" t="s">
        <v>1276</v>
      </c>
      <c r="K91" s="526" t="s">
        <v>1281</v>
      </c>
      <c r="L91" s="526" t="s">
        <v>1273</v>
      </c>
      <c r="M91" s="526" t="s">
        <v>1274</v>
      </c>
      <c r="N91" s="526" t="s">
        <v>1273</v>
      </c>
      <c r="O91" s="526" t="s">
        <v>1272</v>
      </c>
    </row>
    <row r="92" spans="1:19" s="528" customFormat="1" ht="15" thickBot="1">
      <c r="A92" s="531">
        <v>90</v>
      </c>
      <c r="B92" s="530" t="s">
        <v>280</v>
      </c>
      <c r="C92" s="530" t="s">
        <v>1462</v>
      </c>
      <c r="D92" s="530"/>
      <c r="E92" s="529" t="s">
        <v>291</v>
      </c>
      <c r="F92" s="529" t="s">
        <v>1390</v>
      </c>
      <c r="G92" s="529" t="s">
        <v>1293</v>
      </c>
      <c r="H92" s="529" t="s">
        <v>314</v>
      </c>
      <c r="I92" s="527" t="s">
        <v>313</v>
      </c>
      <c r="J92" s="527" t="s">
        <v>1276</v>
      </c>
      <c r="K92" s="526" t="s">
        <v>1275</v>
      </c>
      <c r="L92" s="526" t="s">
        <v>1273</v>
      </c>
      <c r="M92" s="526" t="s">
        <v>1288</v>
      </c>
      <c r="N92" s="526" t="s">
        <v>1273</v>
      </c>
      <c r="O92" s="526" t="s">
        <v>1287</v>
      </c>
    </row>
    <row r="93" spans="1:19" ht="13.5" thickBot="1">
      <c r="A93" s="526">
        <v>91</v>
      </c>
      <c r="B93" s="526" t="s">
        <v>1461</v>
      </c>
      <c r="C93" s="526" t="s">
        <v>1460</v>
      </c>
      <c r="D93" s="526"/>
      <c r="E93" s="527" t="s">
        <v>1280</v>
      </c>
      <c r="F93" s="514" t="s">
        <v>1279</v>
      </c>
      <c r="G93" s="527" t="s">
        <v>1333</v>
      </c>
      <c r="H93" s="527" t="s">
        <v>1282</v>
      </c>
      <c r="I93" s="527" t="s">
        <v>313</v>
      </c>
      <c r="J93" s="527" t="s">
        <v>1276</v>
      </c>
      <c r="K93" s="526" t="s">
        <v>1275</v>
      </c>
      <c r="L93" s="526" t="s">
        <v>1273</v>
      </c>
      <c r="M93" s="526" t="s">
        <v>1274</v>
      </c>
      <c r="N93" s="526" t="s">
        <v>1273</v>
      </c>
      <c r="O93" s="526" t="s">
        <v>1287</v>
      </c>
    </row>
    <row r="94" spans="1:19" ht="13.5" thickBot="1">
      <c r="A94" s="512">
        <v>92</v>
      </c>
      <c r="B94" s="523" t="s">
        <v>1452</v>
      </c>
      <c r="C94" s="523" t="s">
        <v>1459</v>
      </c>
      <c r="D94" s="523"/>
      <c r="E94" s="514" t="s">
        <v>291</v>
      </c>
      <c r="F94" s="514" t="s">
        <v>1279</v>
      </c>
      <c r="G94" s="514" t="s">
        <v>306</v>
      </c>
      <c r="H94" s="514" t="s">
        <v>314</v>
      </c>
      <c r="I94" s="522" t="s">
        <v>313</v>
      </c>
      <c r="J94" s="522" t="s">
        <v>1276</v>
      </c>
      <c r="K94" s="512" t="s">
        <v>1275</v>
      </c>
      <c r="L94" s="512" t="s">
        <v>1273</v>
      </c>
      <c r="M94" s="512" t="s">
        <v>1288</v>
      </c>
      <c r="N94" s="512" t="s">
        <v>1273</v>
      </c>
      <c r="O94" s="512" t="s">
        <v>1272</v>
      </c>
    </row>
    <row r="95" spans="1:19" ht="15" thickBot="1">
      <c r="A95" s="512">
        <v>93</v>
      </c>
      <c r="B95" s="523" t="s">
        <v>1452</v>
      </c>
      <c r="C95" s="523" t="s">
        <v>1458</v>
      </c>
      <c r="D95" s="523"/>
      <c r="E95" s="514" t="s">
        <v>1450</v>
      </c>
      <c r="F95" s="514" t="s">
        <v>1279</v>
      </c>
      <c r="G95" s="514" t="s">
        <v>294</v>
      </c>
      <c r="H95" s="525" t="s">
        <v>1457</v>
      </c>
      <c r="I95" s="522" t="s">
        <v>313</v>
      </c>
      <c r="J95" s="522" t="s">
        <v>1276</v>
      </c>
      <c r="K95" s="512" t="s">
        <v>1275</v>
      </c>
      <c r="L95" s="512" t="s">
        <v>1273</v>
      </c>
      <c r="M95" s="512" t="s">
        <v>1289</v>
      </c>
      <c r="N95" s="512" t="s">
        <v>1273</v>
      </c>
      <c r="O95" s="512" t="s">
        <v>1287</v>
      </c>
    </row>
    <row r="96" spans="1:19" ht="13.5" thickBot="1">
      <c r="A96" s="523">
        <v>94</v>
      </c>
      <c r="B96" s="523" t="s">
        <v>1452</v>
      </c>
      <c r="C96" s="524" t="s">
        <v>1919</v>
      </c>
      <c r="D96" s="523"/>
      <c r="E96" s="514" t="s">
        <v>1280</v>
      </c>
      <c r="F96" s="514" t="s">
        <v>1279</v>
      </c>
      <c r="G96" s="514" t="s">
        <v>306</v>
      </c>
      <c r="H96" s="514" t="s">
        <v>314</v>
      </c>
      <c r="I96" s="522" t="s">
        <v>313</v>
      </c>
      <c r="J96" s="522" t="s">
        <v>1276</v>
      </c>
      <c r="K96" s="512" t="s">
        <v>1275</v>
      </c>
      <c r="L96" s="512" t="s">
        <v>1273</v>
      </c>
      <c r="M96" s="512" t="s">
        <v>1288</v>
      </c>
      <c r="N96" s="512" t="s">
        <v>1273</v>
      </c>
      <c r="O96" s="512" t="s">
        <v>1272</v>
      </c>
    </row>
    <row r="97" spans="1:15" ht="13.5" thickBot="1">
      <c r="A97" s="523">
        <v>95</v>
      </c>
      <c r="B97" s="523" t="s">
        <v>1452</v>
      </c>
      <c r="C97" s="524" t="s">
        <v>1455</v>
      </c>
      <c r="D97" s="523"/>
      <c r="E97" s="514" t="s">
        <v>1280</v>
      </c>
      <c r="F97" s="514" t="s">
        <v>1279</v>
      </c>
      <c r="G97" s="514" t="s">
        <v>306</v>
      </c>
      <c r="H97" s="514" t="s">
        <v>314</v>
      </c>
      <c r="I97" s="522" t="s">
        <v>313</v>
      </c>
      <c r="J97" s="522" t="s">
        <v>1276</v>
      </c>
      <c r="K97" s="512" t="s">
        <v>1275</v>
      </c>
      <c r="L97" s="512" t="s">
        <v>1273</v>
      </c>
      <c r="M97" s="512" t="s">
        <v>1288</v>
      </c>
      <c r="N97" s="512" t="s">
        <v>1273</v>
      </c>
      <c r="O97" s="512" t="s">
        <v>1272</v>
      </c>
    </row>
    <row r="98" spans="1:15" ht="13.5" thickBot="1">
      <c r="A98" s="520">
        <v>96</v>
      </c>
      <c r="B98" s="520" t="s">
        <v>1452</v>
      </c>
      <c r="C98" s="521" t="s">
        <v>1454</v>
      </c>
      <c r="D98" s="520"/>
      <c r="E98" s="519" t="s">
        <v>1280</v>
      </c>
      <c r="F98" s="514" t="s">
        <v>1279</v>
      </c>
      <c r="G98" s="519" t="s">
        <v>294</v>
      </c>
      <c r="H98" s="519" t="s">
        <v>342</v>
      </c>
      <c r="I98" s="518" t="s">
        <v>313</v>
      </c>
      <c r="J98" s="518" t="s">
        <v>1276</v>
      </c>
      <c r="K98" s="517" t="s">
        <v>1275</v>
      </c>
      <c r="L98" s="517" t="s">
        <v>1273</v>
      </c>
      <c r="M98" s="517" t="s">
        <v>1274</v>
      </c>
      <c r="N98" s="517" t="s">
        <v>1273</v>
      </c>
      <c r="O98" s="517" t="s">
        <v>1272</v>
      </c>
    </row>
    <row r="99" spans="1:15" ht="15" thickBot="1">
      <c r="A99" s="515">
        <v>97</v>
      </c>
      <c r="B99" s="515" t="s">
        <v>1452</v>
      </c>
      <c r="C99" s="515" t="s">
        <v>1453</v>
      </c>
      <c r="D99" s="515"/>
      <c r="E99" s="513" t="s">
        <v>1286</v>
      </c>
      <c r="F99" s="514" t="s">
        <v>1279</v>
      </c>
      <c r="G99" s="513" t="s">
        <v>1333</v>
      </c>
      <c r="H99" s="513" t="s">
        <v>342</v>
      </c>
      <c r="I99" s="512" t="s">
        <v>313</v>
      </c>
      <c r="J99" s="511" t="s">
        <v>1276</v>
      </c>
      <c r="K99" s="511" t="s">
        <v>1281</v>
      </c>
      <c r="L99" s="511" t="s">
        <v>1274</v>
      </c>
      <c r="M99" s="511" t="s">
        <v>1274</v>
      </c>
      <c r="N99" s="511" t="s">
        <v>1273</v>
      </c>
      <c r="O99" s="511" t="s">
        <v>1272</v>
      </c>
    </row>
    <row r="100" spans="1:15" ht="15" thickBot="1">
      <c r="A100" s="515">
        <v>98</v>
      </c>
      <c r="B100" s="515" t="s">
        <v>1452</v>
      </c>
      <c r="C100" s="516" t="s">
        <v>1451</v>
      </c>
      <c r="D100" s="515"/>
      <c r="E100" s="513" t="s">
        <v>1450</v>
      </c>
      <c r="F100" s="514" t="s">
        <v>1279</v>
      </c>
      <c r="G100" s="513" t="s">
        <v>1333</v>
      </c>
      <c r="H100" s="513" t="s">
        <v>342</v>
      </c>
      <c r="I100" s="512" t="s">
        <v>313</v>
      </c>
      <c r="J100" s="511" t="s">
        <v>1276</v>
      </c>
      <c r="K100" s="511" t="s">
        <v>1281</v>
      </c>
      <c r="L100" s="511" t="s">
        <v>1274</v>
      </c>
      <c r="M100" s="511" t="s">
        <v>1274</v>
      </c>
      <c r="N100" s="511" t="s">
        <v>1273</v>
      </c>
      <c r="O100" s="511" t="s">
        <v>1272</v>
      </c>
    </row>
    <row r="101" spans="1:15" ht="15" thickBot="1">
      <c r="A101" s="507">
        <v>99</v>
      </c>
      <c r="B101" s="507" t="s">
        <v>1452</v>
      </c>
      <c r="C101" s="507" t="s">
        <v>1900</v>
      </c>
      <c r="D101" s="507"/>
      <c r="E101" s="507" t="s">
        <v>1286</v>
      </c>
      <c r="F101" s="509" t="s">
        <v>1279</v>
      </c>
      <c r="G101" s="509" t="s">
        <v>1151</v>
      </c>
      <c r="H101" s="507" t="s">
        <v>1603</v>
      </c>
      <c r="I101" s="508" t="s">
        <v>313</v>
      </c>
      <c r="J101" s="506" t="s">
        <v>1276</v>
      </c>
      <c r="K101" s="506" t="s">
        <v>1275</v>
      </c>
      <c r="L101" s="507" t="s">
        <v>1600</v>
      </c>
      <c r="M101" s="506" t="s">
        <v>1288</v>
      </c>
      <c r="N101" s="506" t="s">
        <v>1273</v>
      </c>
      <c r="O101" s="506" t="s">
        <v>1287</v>
      </c>
    </row>
    <row r="102" spans="1:15" ht="15" thickBot="1">
      <c r="A102" s="507">
        <v>100</v>
      </c>
      <c r="B102" s="507" t="s">
        <v>1452</v>
      </c>
      <c r="C102" s="510" t="s">
        <v>1602</v>
      </c>
      <c r="D102" s="507"/>
      <c r="E102" s="507" t="s">
        <v>1450</v>
      </c>
      <c r="F102" s="509" t="s">
        <v>1279</v>
      </c>
      <c r="G102" s="509" t="s">
        <v>1156</v>
      </c>
      <c r="H102" s="509" t="s">
        <v>1457</v>
      </c>
      <c r="I102" s="508" t="s">
        <v>313</v>
      </c>
      <c r="J102" s="506" t="s">
        <v>1276</v>
      </c>
      <c r="K102" s="506" t="s">
        <v>1281</v>
      </c>
      <c r="L102" s="507" t="s">
        <v>1600</v>
      </c>
      <c r="M102" s="506" t="s">
        <v>1288</v>
      </c>
      <c r="N102" s="506" t="s">
        <v>1273</v>
      </c>
      <c r="O102" s="506" t="s">
        <v>1272</v>
      </c>
    </row>
    <row r="103" spans="1:15" ht="15" thickBot="1">
      <c r="A103" s="507">
        <v>101</v>
      </c>
      <c r="B103" s="507" t="s">
        <v>1452</v>
      </c>
      <c r="C103" s="510" t="s">
        <v>1926</v>
      </c>
      <c r="D103" s="507"/>
      <c r="E103" s="507" t="s">
        <v>1286</v>
      </c>
      <c r="F103" s="509" t="s">
        <v>1279</v>
      </c>
      <c r="G103" s="509" t="s">
        <v>1154</v>
      </c>
      <c r="H103" s="507" t="s">
        <v>307</v>
      </c>
      <c r="I103" s="508" t="s">
        <v>313</v>
      </c>
      <c r="J103" s="506" t="s">
        <v>1276</v>
      </c>
      <c r="K103" s="506" t="s">
        <v>1275</v>
      </c>
      <c r="L103" s="507" t="s">
        <v>1600</v>
      </c>
      <c r="M103" s="506" t="s">
        <v>1289</v>
      </c>
      <c r="N103" s="506" t="s">
        <v>1273</v>
      </c>
      <c r="O103" s="506" t="s">
        <v>1287</v>
      </c>
    </row>
    <row r="104" spans="1:15" ht="13.5" thickBot="1">
      <c r="A104" s="507">
        <v>102</v>
      </c>
      <c r="B104" s="507" t="s">
        <v>1452</v>
      </c>
      <c r="C104" s="507" t="s">
        <v>1601</v>
      </c>
      <c r="D104" s="507"/>
      <c r="E104" s="507" t="s">
        <v>1280</v>
      </c>
      <c r="F104" s="509" t="s">
        <v>1279</v>
      </c>
      <c r="G104" s="509" t="s">
        <v>1149</v>
      </c>
      <c r="H104" s="507" t="s">
        <v>342</v>
      </c>
      <c r="I104" s="508" t="s">
        <v>313</v>
      </c>
      <c r="J104" s="506" t="s">
        <v>1276</v>
      </c>
      <c r="K104" s="506" t="s">
        <v>1275</v>
      </c>
      <c r="L104" s="507" t="s">
        <v>1600</v>
      </c>
      <c r="M104" s="506" t="s">
        <v>1274</v>
      </c>
      <c r="N104" s="506" t="s">
        <v>1273</v>
      </c>
      <c r="O104" s="506" t="s">
        <v>1272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>
    <tabColor rgb="FFFFC000"/>
  </sheetPr>
  <dimension ref="C1:U29"/>
  <sheetViews>
    <sheetView topLeftCell="A4" workbookViewId="0">
      <selection activeCell="K6" sqref="K6:L6"/>
    </sheetView>
  </sheetViews>
  <sheetFormatPr defaultRowHeight="16.5"/>
  <cols>
    <col min="1" max="2" width="9" style="318"/>
    <col min="3" max="3" width="9.5" style="318" bestFit="1" customWidth="1"/>
    <col min="4" max="4" width="9" style="318"/>
    <col min="5" max="5" width="10" style="318" customWidth="1"/>
    <col min="6" max="13" width="9" style="318"/>
    <col min="14" max="14" width="10" style="318" customWidth="1"/>
    <col min="15" max="15" width="9" style="318"/>
    <col min="16" max="16" width="12.5" style="318" customWidth="1"/>
    <col min="17" max="17" width="11.625" style="318" customWidth="1"/>
    <col min="18" max="18" width="15.375" style="318" customWidth="1"/>
    <col min="19" max="19" width="9" style="318"/>
    <col min="20" max="20" width="10.875" style="318" customWidth="1"/>
    <col min="21" max="21" width="11.375" style="318" customWidth="1"/>
    <col min="22" max="16384" width="9" style="318"/>
  </cols>
  <sheetData>
    <row r="1" spans="3:21">
      <c r="E1" s="367"/>
    </row>
    <row r="2" spans="3:21">
      <c r="E2" s="367"/>
    </row>
    <row r="3" spans="3:21">
      <c r="E3" s="368"/>
    </row>
    <row r="4" spans="3:21">
      <c r="E4" s="368"/>
      <c r="O4" s="318" t="s">
        <v>182</v>
      </c>
    </row>
    <row r="5" spans="3:21">
      <c r="N5" s="318" t="s">
        <v>186</v>
      </c>
      <c r="O5" s="318" t="s">
        <v>185</v>
      </c>
      <c r="P5" s="369" t="s">
        <v>188</v>
      </c>
      <c r="Q5" s="318" t="s">
        <v>187</v>
      </c>
      <c r="R5" s="318" t="s">
        <v>184</v>
      </c>
      <c r="S5" s="318" t="s">
        <v>183</v>
      </c>
      <c r="T5" s="318" t="s">
        <v>189</v>
      </c>
      <c r="U5" s="318" t="s">
        <v>190</v>
      </c>
    </row>
    <row r="6" spans="3:21" ht="17.25" thickBot="1">
      <c r="E6" s="370"/>
      <c r="N6" s="318">
        <v>1</v>
      </c>
      <c r="O6" s="318">
        <v>66</v>
      </c>
      <c r="P6" s="369">
        <f>N6*1000*0.0671744</f>
        <v>67.174399999999991</v>
      </c>
      <c r="Q6" s="318">
        <v>1.94</v>
      </c>
      <c r="R6" s="318">
        <v>2.25</v>
      </c>
      <c r="S6" s="318">
        <v>0.15939999999999999</v>
      </c>
      <c r="T6" s="318">
        <f>ROUND(S6/(Q6/1000),3)</f>
        <v>82.165000000000006</v>
      </c>
      <c r="U6" s="318">
        <f>S6/(R6/1000)</f>
        <v>70.844444444444449</v>
      </c>
    </row>
    <row r="7" spans="3:21" ht="17.25" thickTop="1">
      <c r="C7" s="371" t="s">
        <v>250</v>
      </c>
      <c r="D7" s="327" t="s">
        <v>99</v>
      </c>
      <c r="E7" s="372">
        <f>ST_FW設定值_2mR!E10</f>
        <v>0.44683636363636364</v>
      </c>
      <c r="F7" s="327"/>
      <c r="G7" s="329"/>
      <c r="N7" s="318">
        <v>2</v>
      </c>
      <c r="O7" s="318">
        <v>132</v>
      </c>
      <c r="P7" s="369">
        <f t="shared" ref="P7:P15" si="0">N7*1000*0.0671744</f>
        <v>134.34879999999998</v>
      </c>
      <c r="Q7" s="318">
        <v>3.9</v>
      </c>
      <c r="R7" s="318">
        <v>4.5229999999999997</v>
      </c>
      <c r="S7" s="318">
        <v>0.31990000000000002</v>
      </c>
      <c r="T7" s="318">
        <f t="shared" ref="T7:T15" si="1">ROUND(S7/(Q7/1000),3)</f>
        <v>82.025999999999996</v>
      </c>
      <c r="U7" s="318">
        <f t="shared" ref="U7:U15" si="2">S7/(R7/1000)</f>
        <v>70.727393323015704</v>
      </c>
    </row>
    <row r="8" spans="3:21">
      <c r="C8" s="884" t="s">
        <v>248</v>
      </c>
      <c r="D8" s="885"/>
      <c r="E8" s="363">
        <v>10400</v>
      </c>
      <c r="F8" s="333" t="s">
        <v>249</v>
      </c>
      <c r="G8" s="335"/>
      <c r="H8" s="896" t="s">
        <v>101</v>
      </c>
      <c r="I8" s="897"/>
      <c r="J8" s="397">
        <v>600</v>
      </c>
      <c r="K8" s="373"/>
      <c r="N8" s="318">
        <v>3</v>
      </c>
      <c r="O8" s="318">
        <v>198</v>
      </c>
      <c r="P8" s="369">
        <f t="shared" si="0"/>
        <v>201.52319999999997</v>
      </c>
      <c r="Q8" s="318">
        <v>5.8620000000000001</v>
      </c>
      <c r="R8" s="318">
        <v>6.76</v>
      </c>
      <c r="S8" s="318">
        <v>0.47999000000000003</v>
      </c>
      <c r="T8" s="318">
        <f t="shared" si="1"/>
        <v>81.882000000000005</v>
      </c>
      <c r="U8" s="318">
        <f t="shared" si="2"/>
        <v>71.004437869822496</v>
      </c>
    </row>
    <row r="9" spans="3:21">
      <c r="C9" s="884" t="s">
        <v>111</v>
      </c>
      <c r="D9" s="885"/>
      <c r="E9" s="333">
        <f>ROUND(E8*E7,0)</f>
        <v>4647</v>
      </c>
      <c r="F9" s="333"/>
      <c r="G9" s="335"/>
      <c r="H9" s="884" t="s">
        <v>109</v>
      </c>
      <c r="I9" s="885"/>
      <c r="J9" s="333">
        <f>ROUND(J8/E7,0)</f>
        <v>1343</v>
      </c>
      <c r="K9" s="374"/>
      <c r="N9" s="318">
        <v>4</v>
      </c>
      <c r="O9" s="318">
        <v>265</v>
      </c>
      <c r="P9" s="369">
        <f t="shared" si="0"/>
        <v>268.69759999999997</v>
      </c>
      <c r="Q9" s="318">
        <v>7.8159999999999998</v>
      </c>
      <c r="R9" s="318">
        <v>9.0679999999999996</v>
      </c>
      <c r="S9" s="318">
        <v>0.6401</v>
      </c>
      <c r="T9" s="318">
        <f t="shared" si="1"/>
        <v>81.896000000000001</v>
      </c>
      <c r="U9" s="318">
        <f t="shared" si="2"/>
        <v>70.588883987648884</v>
      </c>
    </row>
    <row r="10" spans="3:21">
      <c r="C10" s="884" t="s">
        <v>104</v>
      </c>
      <c r="D10" s="885"/>
      <c r="E10" s="363">
        <v>875</v>
      </c>
      <c r="F10" s="333"/>
      <c r="G10" s="335"/>
      <c r="H10" s="375" t="s">
        <v>254</v>
      </c>
      <c r="I10" s="344"/>
      <c r="J10" s="376"/>
      <c r="K10" s="374"/>
      <c r="N10" s="318">
        <v>5</v>
      </c>
      <c r="O10" s="318">
        <v>331</v>
      </c>
      <c r="P10" s="369">
        <f t="shared" si="0"/>
        <v>335.87199999999996</v>
      </c>
      <c r="Q10" s="318">
        <v>9.7840000000000007</v>
      </c>
      <c r="R10" s="318">
        <v>11.317</v>
      </c>
      <c r="S10" s="318">
        <v>0.80079999999999996</v>
      </c>
      <c r="T10" s="318">
        <f t="shared" si="1"/>
        <v>81.847999999999999</v>
      </c>
      <c r="U10" s="318">
        <f t="shared" si="2"/>
        <v>70.760802332773693</v>
      </c>
    </row>
    <row r="11" spans="3:21">
      <c r="C11" s="884" t="s">
        <v>105</v>
      </c>
      <c r="D11" s="885"/>
      <c r="E11" s="333">
        <f>E10-E9</f>
        <v>-3772</v>
      </c>
      <c r="F11" s="333" t="s">
        <v>114</v>
      </c>
      <c r="G11" s="335"/>
      <c r="H11" s="377" t="str">
        <f>DEC2HEX(E11)</f>
        <v>FFFFFFF144</v>
      </c>
      <c r="I11" s="378"/>
      <c r="J11" s="379"/>
      <c r="K11" s="374"/>
      <c r="N11" s="318">
        <v>6</v>
      </c>
      <c r="O11" s="318">
        <v>398</v>
      </c>
      <c r="P11" s="369">
        <f t="shared" si="0"/>
        <v>403.04639999999995</v>
      </c>
      <c r="Q11" s="318">
        <v>11.752000000000001</v>
      </c>
      <c r="R11" s="318">
        <v>13.656000000000001</v>
      </c>
      <c r="S11" s="318">
        <v>0.96189999999999998</v>
      </c>
      <c r="T11" s="318">
        <f t="shared" si="1"/>
        <v>81.849999999999994</v>
      </c>
      <c r="U11" s="318">
        <f t="shared" si="2"/>
        <v>70.437902753368476</v>
      </c>
    </row>
    <row r="12" spans="3:21" ht="17.25" thickBot="1">
      <c r="C12" s="360"/>
      <c r="D12" s="361"/>
      <c r="E12" s="361" t="s">
        <v>107</v>
      </c>
      <c r="F12" s="361"/>
      <c r="G12" s="362"/>
      <c r="H12" s="380" t="s">
        <v>253</v>
      </c>
      <c r="I12" s="381"/>
      <c r="J12" s="382"/>
      <c r="K12" s="383"/>
      <c r="N12" s="318">
        <v>7</v>
      </c>
      <c r="O12" s="318">
        <v>462</v>
      </c>
      <c r="P12" s="369">
        <f t="shared" si="0"/>
        <v>470.22079999999994</v>
      </c>
      <c r="Q12" s="318">
        <v>13.653</v>
      </c>
      <c r="R12" s="318">
        <v>15.808</v>
      </c>
      <c r="S12" s="318">
        <v>1.1201000000000001</v>
      </c>
      <c r="T12" s="318">
        <f t="shared" si="1"/>
        <v>82.040999999999997</v>
      </c>
      <c r="U12" s="318">
        <f t="shared" si="2"/>
        <v>70.856528340080985</v>
      </c>
    </row>
    <row r="13" spans="3:21" ht="17.25" thickTop="1">
      <c r="C13" s="371" t="s">
        <v>251</v>
      </c>
      <c r="D13" s="327" t="s">
        <v>99</v>
      </c>
      <c r="E13" s="372">
        <f>ST_FW設定值_2mR!E14</f>
        <v>0.24824242424242426</v>
      </c>
      <c r="F13" s="327"/>
      <c r="G13" s="329"/>
      <c r="N13" s="318">
        <v>8</v>
      </c>
      <c r="O13" s="318">
        <v>531</v>
      </c>
      <c r="P13" s="369">
        <f t="shared" si="0"/>
        <v>537.39519999999993</v>
      </c>
      <c r="Q13" s="318">
        <v>15.702</v>
      </c>
      <c r="R13" s="318">
        <v>18.254999999999999</v>
      </c>
      <c r="S13" s="318">
        <v>1.2835000000000001</v>
      </c>
      <c r="T13" s="318">
        <f t="shared" si="1"/>
        <v>81.741</v>
      </c>
      <c r="U13" s="318">
        <f t="shared" si="2"/>
        <v>70.309504245412214</v>
      </c>
    </row>
    <row r="14" spans="3:21">
      <c r="C14" s="884" t="s">
        <v>252</v>
      </c>
      <c r="D14" s="885"/>
      <c r="E14" s="363">
        <v>10400</v>
      </c>
      <c r="F14" s="333" t="s">
        <v>249</v>
      </c>
      <c r="G14" s="335"/>
      <c r="H14" s="896" t="s">
        <v>101</v>
      </c>
      <c r="I14" s="897"/>
      <c r="J14" s="397">
        <v>417</v>
      </c>
      <c r="K14" s="373"/>
      <c r="N14" s="318">
        <v>9</v>
      </c>
      <c r="O14" s="318">
        <v>595</v>
      </c>
      <c r="P14" s="369">
        <f t="shared" si="0"/>
        <v>604.56959999999992</v>
      </c>
      <c r="Q14" s="318">
        <v>17.622</v>
      </c>
      <c r="R14" s="318">
        <v>20.486000000000001</v>
      </c>
      <c r="S14" s="318">
        <v>1.4420999999999999</v>
      </c>
      <c r="T14" s="318">
        <f t="shared" si="1"/>
        <v>81.834999999999994</v>
      </c>
      <c r="U14" s="318">
        <f t="shared" si="2"/>
        <v>70.394415698525819</v>
      </c>
    </row>
    <row r="15" spans="3:21">
      <c r="C15" s="884" t="s">
        <v>111</v>
      </c>
      <c r="D15" s="885"/>
      <c r="E15" s="333">
        <f>ROUND(E14*E13,0)</f>
        <v>2582</v>
      </c>
      <c r="F15" s="333"/>
      <c r="G15" s="335"/>
      <c r="H15" s="884" t="s">
        <v>109</v>
      </c>
      <c r="I15" s="885"/>
      <c r="J15" s="333">
        <f>ROUND(J14/E13,0)</f>
        <v>1680</v>
      </c>
      <c r="K15" s="374"/>
      <c r="N15" s="318">
        <v>10</v>
      </c>
      <c r="O15" s="318">
        <v>661</v>
      </c>
      <c r="P15" s="369">
        <f t="shared" si="0"/>
        <v>671.74399999999991</v>
      </c>
      <c r="Q15" s="318">
        <v>19.53</v>
      </c>
      <c r="R15" s="318">
        <v>22.762</v>
      </c>
      <c r="S15" s="318">
        <v>1.6</v>
      </c>
      <c r="T15" s="318">
        <f t="shared" si="1"/>
        <v>81.924999999999997</v>
      </c>
      <c r="U15" s="318">
        <f t="shared" si="2"/>
        <v>70.292592918021271</v>
      </c>
    </row>
    <row r="16" spans="3:21">
      <c r="C16" s="884" t="s">
        <v>104</v>
      </c>
      <c r="D16" s="885"/>
      <c r="E16" s="363">
        <v>495</v>
      </c>
      <c r="F16" s="333"/>
      <c r="G16" s="335"/>
      <c r="H16" s="375" t="s">
        <v>254</v>
      </c>
      <c r="I16" s="344"/>
      <c r="J16" s="376"/>
      <c r="K16" s="374"/>
    </row>
    <row r="17" spans="3:21">
      <c r="C17" s="884" t="s">
        <v>105</v>
      </c>
      <c r="D17" s="885"/>
      <c r="E17" s="333">
        <f>E16-E15</f>
        <v>-2087</v>
      </c>
      <c r="F17" s="333" t="s">
        <v>106</v>
      </c>
      <c r="G17" s="335"/>
      <c r="H17" s="377" t="str">
        <f>DEC2HEX(E17)</f>
        <v>FFFFFFF7D9</v>
      </c>
      <c r="I17" s="378"/>
      <c r="J17" s="379"/>
      <c r="K17" s="374"/>
    </row>
    <row r="18" spans="3:21" ht="17.25" thickBot="1">
      <c r="C18" s="360"/>
      <c r="D18" s="361"/>
      <c r="E18" s="361" t="s">
        <v>107</v>
      </c>
      <c r="F18" s="361"/>
      <c r="G18" s="362"/>
      <c r="H18" s="380" t="s">
        <v>253</v>
      </c>
      <c r="I18" s="384"/>
      <c r="J18" s="382"/>
      <c r="K18" s="383"/>
    </row>
    <row r="19" spans="3:21" ht="18" thickTop="1" thickBot="1">
      <c r="O19" s="318" t="s">
        <v>191</v>
      </c>
    </row>
    <row r="20" spans="3:21">
      <c r="F20" s="892" t="s">
        <v>236</v>
      </c>
      <c r="G20" s="893"/>
      <c r="H20" s="385" t="s">
        <v>231</v>
      </c>
      <c r="I20" s="385" t="s">
        <v>232</v>
      </c>
      <c r="J20" s="385"/>
      <c r="K20" s="385"/>
      <c r="L20" s="386"/>
      <c r="N20" s="318" t="s">
        <v>186</v>
      </c>
      <c r="O20" s="318" t="s">
        <v>185</v>
      </c>
      <c r="P20" s="369" t="s">
        <v>188</v>
      </c>
      <c r="Q20" s="318" t="s">
        <v>187</v>
      </c>
      <c r="R20" s="318" t="s">
        <v>184</v>
      </c>
      <c r="S20" s="318" t="s">
        <v>183</v>
      </c>
      <c r="T20" s="318" t="s">
        <v>189</v>
      </c>
      <c r="U20" s="318" t="s">
        <v>190</v>
      </c>
    </row>
    <row r="21" spans="3:21">
      <c r="F21" s="903"/>
      <c r="G21" s="904"/>
      <c r="H21" s="387" t="s">
        <v>233</v>
      </c>
      <c r="I21" s="387" t="s">
        <v>234</v>
      </c>
      <c r="J21" s="387"/>
      <c r="K21" s="387"/>
      <c r="L21" s="388"/>
      <c r="N21" s="318">
        <v>0.5</v>
      </c>
      <c r="O21" s="318">
        <v>48</v>
      </c>
      <c r="P21" s="318">
        <f>N21*1000*$E$6</f>
        <v>0</v>
      </c>
      <c r="Q21" s="318">
        <v>1.004</v>
      </c>
      <c r="R21" s="318">
        <v>1.304</v>
      </c>
      <c r="S21" s="318">
        <v>0.12</v>
      </c>
      <c r="T21" s="318">
        <f>S21/(Q21/1000)</f>
        <v>119.52191235059762</v>
      </c>
    </row>
    <row r="22" spans="3:21" ht="17.25" thickBot="1">
      <c r="F22" s="389"/>
      <c r="G22" s="390"/>
      <c r="H22" s="390"/>
      <c r="I22" s="390" t="s">
        <v>235</v>
      </c>
      <c r="J22" s="390"/>
      <c r="K22" s="390"/>
      <c r="L22" s="391"/>
      <c r="N22" s="318">
        <v>1</v>
      </c>
      <c r="O22" s="318">
        <v>96</v>
      </c>
      <c r="P22" s="318">
        <f t="shared" ref="P22:P24" si="3">N22*1000*$E$6</f>
        <v>0</v>
      </c>
      <c r="Q22" s="318">
        <v>1.996</v>
      </c>
      <c r="R22" s="318">
        <v>2.5979999999999999</v>
      </c>
      <c r="S22" s="318">
        <v>0.23630000000000001</v>
      </c>
      <c r="T22" s="318">
        <f t="shared" ref="T22:T29" si="4">S22/(Q22/1000)</f>
        <v>118.38677354709419</v>
      </c>
    </row>
    <row r="23" spans="3:21" ht="17.25" thickBot="1">
      <c r="N23" s="318">
        <v>1.5</v>
      </c>
      <c r="O23" s="318">
        <v>144</v>
      </c>
      <c r="P23" s="318">
        <f t="shared" si="3"/>
        <v>0</v>
      </c>
      <c r="Q23" s="318">
        <v>2.952</v>
      </c>
      <c r="R23" s="318">
        <v>3.94</v>
      </c>
      <c r="S23" s="318">
        <v>0.3518</v>
      </c>
      <c r="T23" s="318">
        <f t="shared" si="4"/>
        <v>119.17344173441735</v>
      </c>
    </row>
    <row r="24" spans="3:21">
      <c r="G24" s="886" t="s">
        <v>230</v>
      </c>
      <c r="H24" s="392" t="s">
        <v>110</v>
      </c>
      <c r="I24" s="392" t="s">
        <v>115</v>
      </c>
      <c r="J24" s="392"/>
      <c r="K24" s="392"/>
      <c r="L24" s="393"/>
      <c r="N24" s="318">
        <v>2</v>
      </c>
      <c r="O24" s="318">
        <v>196</v>
      </c>
      <c r="P24" s="318">
        <f t="shared" si="3"/>
        <v>0</v>
      </c>
      <c r="Q24" s="318">
        <v>3.95</v>
      </c>
      <c r="R24" s="318">
        <v>5.2220000000000004</v>
      </c>
      <c r="S24" s="318">
        <v>0.46710000000000002</v>
      </c>
      <c r="T24" s="318">
        <f t="shared" si="4"/>
        <v>118.25316455696202</v>
      </c>
    </row>
    <row r="25" spans="3:21">
      <c r="G25" s="887"/>
      <c r="H25" s="333"/>
      <c r="I25" s="333" t="s">
        <v>108</v>
      </c>
      <c r="J25" s="333"/>
      <c r="K25" s="333"/>
      <c r="L25" s="394"/>
      <c r="N25" s="318">
        <v>2.5</v>
      </c>
      <c r="Q25" s="318">
        <v>4.9359999999999999</v>
      </c>
      <c r="R25" s="318">
        <v>6.5609999999999999</v>
      </c>
      <c r="S25" s="318">
        <v>0.58140000000000003</v>
      </c>
      <c r="T25" s="318">
        <f t="shared" si="4"/>
        <v>117.78768233387358</v>
      </c>
    </row>
    <row r="26" spans="3:21" ht="17.25" thickBot="1">
      <c r="G26" s="888"/>
      <c r="H26" s="395" t="s">
        <v>95</v>
      </c>
      <c r="I26" s="395" t="s">
        <v>112</v>
      </c>
      <c r="J26" s="395"/>
      <c r="K26" s="395"/>
      <c r="L26" s="396"/>
      <c r="N26" s="318">
        <v>3</v>
      </c>
      <c r="T26" s="318" t="e">
        <f t="shared" si="4"/>
        <v>#DIV/0!</v>
      </c>
    </row>
    <row r="27" spans="3:21">
      <c r="N27" s="318">
        <v>3.5</v>
      </c>
      <c r="T27" s="318" t="e">
        <f t="shared" si="4"/>
        <v>#DIV/0!</v>
      </c>
    </row>
    <row r="28" spans="3:21">
      <c r="N28" s="318">
        <v>4</v>
      </c>
      <c r="T28" s="318" t="e">
        <f t="shared" si="4"/>
        <v>#DIV/0!</v>
      </c>
    </row>
    <row r="29" spans="3:21">
      <c r="N29" s="318">
        <v>4.5</v>
      </c>
      <c r="T29" s="318" t="e">
        <f t="shared" si="4"/>
        <v>#DIV/0!</v>
      </c>
    </row>
  </sheetData>
  <mergeCells count="14">
    <mergeCell ref="C11:D11"/>
    <mergeCell ref="C8:D8"/>
    <mergeCell ref="H8:I8"/>
    <mergeCell ref="C9:D9"/>
    <mergeCell ref="H9:I9"/>
    <mergeCell ref="C10:D10"/>
    <mergeCell ref="G24:G26"/>
    <mergeCell ref="F20:G21"/>
    <mergeCell ref="C14:D14"/>
    <mergeCell ref="H14:I14"/>
    <mergeCell ref="C15:D15"/>
    <mergeCell ref="H15:I15"/>
    <mergeCell ref="C16:D16"/>
    <mergeCell ref="C17:D17"/>
  </mergeCells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>
    <tabColor rgb="FFFFC000"/>
  </sheetPr>
  <dimension ref="C2:M21"/>
  <sheetViews>
    <sheetView workbookViewId="0">
      <selection activeCell="K6" sqref="K6:L6"/>
    </sheetView>
  </sheetViews>
  <sheetFormatPr defaultRowHeight="16.5"/>
  <cols>
    <col min="1" max="2" width="9" style="318"/>
    <col min="3" max="3" width="9.5" style="318" bestFit="1" customWidth="1"/>
    <col min="4" max="16384" width="9" style="318"/>
  </cols>
  <sheetData>
    <row r="2" spans="3:13">
      <c r="C2" s="398"/>
    </row>
    <row r="4" spans="3:13">
      <c r="C4" s="318" t="s">
        <v>21</v>
      </c>
      <c r="D4" s="318" t="s">
        <v>99</v>
      </c>
      <c r="E4" s="367">
        <f>ST_FW設定值_2mR!E19</f>
        <v>6.5821854912764002E-2</v>
      </c>
      <c r="F4" s="318" t="s">
        <v>100</v>
      </c>
    </row>
    <row r="5" spans="3:13" ht="17.25" thickBot="1"/>
    <row r="6" spans="3:13" ht="17.25" thickTop="1">
      <c r="C6" s="889" t="s">
        <v>102</v>
      </c>
      <c r="D6" s="890"/>
      <c r="E6" s="401">
        <v>30000</v>
      </c>
      <c r="F6" s="327"/>
      <c r="G6" s="329"/>
      <c r="H6" s="891" t="s">
        <v>101</v>
      </c>
      <c r="I6" s="891"/>
      <c r="J6" s="366">
        <v>5</v>
      </c>
    </row>
    <row r="7" spans="3:13">
      <c r="C7" s="884" t="s">
        <v>111</v>
      </c>
      <c r="D7" s="885"/>
      <c r="E7" s="333">
        <f>ROUND(E6*E4,0)</f>
        <v>1975</v>
      </c>
      <c r="F7" s="333"/>
      <c r="G7" s="335"/>
      <c r="H7" s="891" t="s">
        <v>103</v>
      </c>
      <c r="I7" s="891"/>
      <c r="J7" s="318">
        <f>ROUND(J6/E4,0)</f>
        <v>76</v>
      </c>
    </row>
    <row r="8" spans="3:13">
      <c r="C8" s="884" t="s">
        <v>104</v>
      </c>
      <c r="D8" s="885"/>
      <c r="E8" s="363">
        <v>2666</v>
      </c>
      <c r="F8" s="333"/>
      <c r="G8" s="335"/>
      <c r="H8" s="375" t="s">
        <v>254</v>
      </c>
      <c r="I8" s="344"/>
      <c r="J8" s="376"/>
    </row>
    <row r="9" spans="3:13">
      <c r="C9" s="884" t="s">
        <v>105</v>
      </c>
      <c r="D9" s="885"/>
      <c r="E9" s="333">
        <f>E8-E7</f>
        <v>691</v>
      </c>
      <c r="F9" s="333" t="s">
        <v>106</v>
      </c>
      <c r="G9" s="335"/>
      <c r="H9" s="377" t="str">
        <f>DEC2HEX(E9)</f>
        <v>2B3</v>
      </c>
      <c r="I9" s="378"/>
      <c r="J9" s="379"/>
    </row>
    <row r="10" spans="3:13" ht="17.25" thickBot="1">
      <c r="C10" s="360"/>
      <c r="D10" s="361"/>
      <c r="E10" s="361" t="s">
        <v>107</v>
      </c>
      <c r="F10" s="361"/>
      <c r="G10" s="362"/>
      <c r="H10" s="399" t="s">
        <v>253</v>
      </c>
      <c r="I10" s="349"/>
      <c r="J10" s="400"/>
    </row>
    <row r="11" spans="3:13" ht="17.25" thickTop="1">
      <c r="I11" s="318" t="s">
        <v>113</v>
      </c>
    </row>
    <row r="13" spans="3:13">
      <c r="C13" s="318" t="s">
        <v>98</v>
      </c>
      <c r="D13" s="318" t="s">
        <v>13</v>
      </c>
      <c r="F13" s="318" t="s">
        <v>53</v>
      </c>
    </row>
    <row r="14" spans="3:13" ht="17.25" thickBot="1">
      <c r="C14" s="318">
        <v>48</v>
      </c>
      <c r="D14" s="318">
        <v>822</v>
      </c>
      <c r="F14" s="318">
        <f>D14/(C14*1000)</f>
        <v>1.7125000000000001E-2</v>
      </c>
    </row>
    <row r="15" spans="3:13">
      <c r="C15" s="318">
        <v>50</v>
      </c>
      <c r="D15" s="318">
        <v>856</v>
      </c>
      <c r="F15" s="318">
        <f t="shared" ref="F15:F17" si="0">D15/(C15*1000)</f>
        <v>1.712E-2</v>
      </c>
      <c r="H15" s="892" t="s">
        <v>236</v>
      </c>
      <c r="I15" s="893"/>
      <c r="J15" s="385" t="s">
        <v>237</v>
      </c>
      <c r="K15" s="385"/>
      <c r="L15" s="385"/>
      <c r="M15" s="386"/>
    </row>
    <row r="16" spans="3:13" ht="17.25" thickBot="1">
      <c r="C16" s="318">
        <v>45</v>
      </c>
      <c r="D16" s="318">
        <v>770</v>
      </c>
      <c r="F16" s="318">
        <f t="shared" si="0"/>
        <v>1.7111111111111112E-2</v>
      </c>
      <c r="H16" s="894"/>
      <c r="I16" s="895"/>
      <c r="J16" s="390" t="s">
        <v>244</v>
      </c>
      <c r="K16" s="390" t="s">
        <v>239</v>
      </c>
      <c r="L16" s="390"/>
      <c r="M16" s="391"/>
    </row>
    <row r="17" spans="3:12">
      <c r="C17" s="318">
        <v>40</v>
      </c>
      <c r="D17" s="318">
        <v>685</v>
      </c>
      <c r="F17" s="318">
        <f t="shared" si="0"/>
        <v>1.7125000000000001E-2</v>
      </c>
    </row>
    <row r="18" spans="3:12" ht="17.25" thickBot="1">
      <c r="H18" s="318" t="s">
        <v>113</v>
      </c>
    </row>
    <row r="19" spans="3:12">
      <c r="H19" s="886" t="s">
        <v>230</v>
      </c>
      <c r="I19" s="392" t="s">
        <v>170</v>
      </c>
      <c r="J19" s="392"/>
      <c r="K19" s="392"/>
      <c r="L19" s="393"/>
    </row>
    <row r="20" spans="3:12">
      <c r="H20" s="887"/>
      <c r="I20" s="333" t="s">
        <v>108</v>
      </c>
      <c r="J20" s="333"/>
      <c r="K20" s="333"/>
      <c r="L20" s="394"/>
    </row>
    <row r="21" spans="3:12" ht="17.25" thickBot="1">
      <c r="H21" s="888"/>
      <c r="I21" s="395"/>
      <c r="J21" s="395"/>
      <c r="K21" s="395"/>
      <c r="L21" s="396"/>
    </row>
  </sheetData>
  <mergeCells count="8">
    <mergeCell ref="H19:H21"/>
    <mergeCell ref="H15:I16"/>
    <mergeCell ref="C6:D6"/>
    <mergeCell ref="C7:D7"/>
    <mergeCell ref="C8:D8"/>
    <mergeCell ref="C9:D9"/>
    <mergeCell ref="H6:I6"/>
    <mergeCell ref="H7:I7"/>
  </mergeCells>
  <phoneticPr fontId="1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>
    <tabColor rgb="FFFFC000"/>
  </sheetPr>
  <dimension ref="A1:Q30"/>
  <sheetViews>
    <sheetView workbookViewId="0">
      <selection activeCell="K6" sqref="K6:L6"/>
    </sheetView>
  </sheetViews>
  <sheetFormatPr defaultRowHeight="16.5"/>
  <cols>
    <col min="1" max="3" width="9" style="318"/>
    <col min="4" max="4" width="10.625" style="318" customWidth="1"/>
    <col min="5" max="5" width="10.75" style="318" customWidth="1"/>
    <col min="6" max="7" width="9" style="318"/>
    <col min="8" max="8" width="8.625" style="318" customWidth="1"/>
    <col min="9" max="14" width="7.625" style="318" customWidth="1"/>
    <col min="15" max="16384" width="9" style="318"/>
  </cols>
  <sheetData>
    <row r="1" spans="3:17" ht="17.25" thickBot="1">
      <c r="C1" s="318" t="s">
        <v>215</v>
      </c>
      <c r="F1" s="319">
        <f>(H1-1980)*512+K1*32+N1</f>
        <v>17306</v>
      </c>
      <c r="G1" s="320" t="s">
        <v>216</v>
      </c>
      <c r="H1" s="366">
        <v>2013</v>
      </c>
      <c r="J1" s="320" t="s">
        <v>217</v>
      </c>
      <c r="K1" s="366">
        <v>12</v>
      </c>
      <c r="M1" s="318" t="s">
        <v>218</v>
      </c>
      <c r="N1" s="366">
        <v>26</v>
      </c>
    </row>
    <row r="2" spans="3:17" ht="18" thickTop="1" thickBot="1">
      <c r="C2" s="318" t="s">
        <v>89</v>
      </c>
      <c r="E2" s="321" t="s">
        <v>519</v>
      </c>
      <c r="F2" s="365">
        <v>16719</v>
      </c>
      <c r="G2" s="322" t="s">
        <v>216</v>
      </c>
      <c r="H2" s="323">
        <f>FLOOR(F2/512,1)+1980</f>
        <v>2012</v>
      </c>
      <c r="I2" s="324"/>
      <c r="J2" s="322" t="s">
        <v>217</v>
      </c>
      <c r="K2" s="323">
        <f>FLOOR((F2-((H2-1980)*512))/32,1)</f>
        <v>10</v>
      </c>
      <c r="L2" s="324"/>
      <c r="M2" s="324" t="s">
        <v>218</v>
      </c>
      <c r="N2" s="325">
        <f>F2-((H2-1980)*512+K2*32)</f>
        <v>15</v>
      </c>
    </row>
    <row r="3" spans="3:17" ht="17.25" thickTop="1">
      <c r="C3" s="326" t="s">
        <v>14</v>
      </c>
      <c r="D3" s="327"/>
      <c r="E3" s="327"/>
      <c r="F3" s="328"/>
      <c r="G3" s="329"/>
      <c r="H3" s="330" t="s">
        <v>91</v>
      </c>
      <c r="I3" s="330"/>
      <c r="J3" s="330"/>
      <c r="K3" s="331"/>
      <c r="L3" s="331"/>
      <c r="M3" s="331"/>
      <c r="N3" s="331"/>
    </row>
    <row r="4" spans="3:17" ht="17.25" thickBot="1">
      <c r="C4" s="332" t="s">
        <v>15</v>
      </c>
      <c r="D4" s="363">
        <v>12</v>
      </c>
      <c r="E4" s="333" t="s">
        <v>16</v>
      </c>
      <c r="F4" s="334">
        <f>2^D4</f>
        <v>4096</v>
      </c>
      <c r="G4" s="335"/>
      <c r="H4" s="331" t="s">
        <v>90</v>
      </c>
      <c r="I4" s="331"/>
      <c r="J4" s="331"/>
      <c r="K4" s="331"/>
      <c r="L4" s="331"/>
      <c r="M4" s="331"/>
      <c r="N4" s="331"/>
    </row>
    <row r="5" spans="3:17">
      <c r="C5" s="332" t="s">
        <v>17</v>
      </c>
      <c r="D5" s="363">
        <v>3.3</v>
      </c>
      <c r="E5" s="333" t="s">
        <v>18</v>
      </c>
      <c r="F5" s="336"/>
      <c r="G5" s="333"/>
      <c r="H5" s="337"/>
      <c r="I5" s="912" t="s">
        <v>94</v>
      </c>
      <c r="J5" s="912"/>
      <c r="K5" s="913" t="s">
        <v>214</v>
      </c>
      <c r="L5" s="913"/>
      <c r="M5" s="913" t="s">
        <v>13</v>
      </c>
      <c r="N5" s="913"/>
      <c r="O5" s="913" t="s">
        <v>222</v>
      </c>
      <c r="P5" s="914"/>
    </row>
    <row r="6" spans="3:17" ht="17.25" thickBot="1">
      <c r="C6" s="338" t="s">
        <v>85</v>
      </c>
      <c r="D6" s="339">
        <f>D5/F4*1000</f>
        <v>0.8056640625</v>
      </c>
      <c r="E6" s="339" t="s">
        <v>19</v>
      </c>
      <c r="F6" s="340"/>
      <c r="G6" s="333"/>
      <c r="H6" s="341" t="s">
        <v>93</v>
      </c>
      <c r="I6" s="919">
        <v>1500</v>
      </c>
      <c r="J6" s="919"/>
      <c r="K6" s="925">
        <f>I6*E10+E9</f>
        <v>682.66666666666674</v>
      </c>
      <c r="L6" s="925"/>
      <c r="M6" s="916">
        <f>ROUND(K6,0)</f>
        <v>683</v>
      </c>
      <c r="N6" s="916"/>
      <c r="O6" s="926">
        <f>I6*(D7/1000*E8)</f>
        <v>550</v>
      </c>
      <c r="P6" s="927"/>
    </row>
    <row r="7" spans="3:17" ht="18" thickTop="1" thickBot="1">
      <c r="C7" s="332" t="s">
        <v>0</v>
      </c>
      <c r="D7" s="363">
        <f>5/3</f>
        <v>1.6666666666666667</v>
      </c>
      <c r="E7" s="333" t="s">
        <v>8</v>
      </c>
      <c r="F7" s="333">
        <f>D7/1000</f>
        <v>1.6666666666666668E-3</v>
      </c>
      <c r="G7" s="333" t="s">
        <v>3</v>
      </c>
      <c r="H7" s="342" t="s">
        <v>95</v>
      </c>
      <c r="I7" s="921">
        <v>8000</v>
      </c>
      <c r="J7" s="921"/>
      <c r="K7" s="922">
        <f>I7*E14+E13</f>
        <v>1357.058585858586</v>
      </c>
      <c r="L7" s="922"/>
      <c r="M7" s="906">
        <f>ROUND(K7,0)</f>
        <v>1357</v>
      </c>
      <c r="N7" s="906"/>
      <c r="O7" s="923">
        <f>I7*(D7/1000*E12)</f>
        <v>1093.3333333333335</v>
      </c>
      <c r="P7" s="924"/>
    </row>
    <row r="8" spans="3:17">
      <c r="C8" s="343" t="s">
        <v>12</v>
      </c>
      <c r="D8" s="344" t="s">
        <v>86</v>
      </c>
      <c r="E8" s="364">
        <v>220</v>
      </c>
      <c r="F8" s="344"/>
      <c r="G8" s="345"/>
    </row>
    <row r="9" spans="3:17">
      <c r="C9" s="346"/>
      <c r="D9" s="333" t="s">
        <v>88</v>
      </c>
      <c r="E9" s="363">
        <v>0</v>
      </c>
      <c r="F9" s="333" t="s">
        <v>97</v>
      </c>
      <c r="G9" s="335"/>
    </row>
    <row r="10" spans="3:17">
      <c r="C10" s="332" t="s">
        <v>92</v>
      </c>
      <c r="D10" s="333"/>
      <c r="E10" s="347">
        <f>F7*E8/D6</f>
        <v>0.45511111111111113</v>
      </c>
      <c r="F10" s="333"/>
      <c r="G10" s="335"/>
    </row>
    <row r="11" spans="3:17">
      <c r="C11" s="348" t="s">
        <v>200</v>
      </c>
      <c r="D11" s="349"/>
      <c r="E11" s="350"/>
      <c r="F11" s="349">
        <f>F4/E10</f>
        <v>9000</v>
      </c>
      <c r="G11" s="351" t="s">
        <v>201</v>
      </c>
    </row>
    <row r="12" spans="3:17">
      <c r="C12" s="343" t="s">
        <v>35</v>
      </c>
      <c r="D12" s="344" t="s">
        <v>86</v>
      </c>
      <c r="E12" s="364">
        <v>82</v>
      </c>
      <c r="F12" s="344"/>
      <c r="G12" s="345"/>
    </row>
    <row r="13" spans="3:17">
      <c r="C13" s="346"/>
      <c r="D13" s="333" t="s">
        <v>88</v>
      </c>
      <c r="E13" s="363">
        <v>0</v>
      </c>
      <c r="F13" s="333" t="s">
        <v>96</v>
      </c>
      <c r="G13" s="335"/>
    </row>
    <row r="14" spans="3:17">
      <c r="C14" s="332" t="s">
        <v>92</v>
      </c>
      <c r="D14" s="333"/>
      <c r="E14" s="347">
        <f>F7*E12/D6</f>
        <v>0.16963232323232325</v>
      </c>
      <c r="F14" s="333"/>
      <c r="G14" s="335"/>
    </row>
    <row r="15" spans="3:17">
      <c r="C15" s="348" t="s">
        <v>202</v>
      </c>
      <c r="D15" s="349"/>
      <c r="E15" s="350"/>
      <c r="F15" s="349">
        <f>F4/E14</f>
        <v>24146.341463414632</v>
      </c>
      <c r="G15" s="351" t="s">
        <v>201</v>
      </c>
    </row>
    <row r="16" spans="3:17" ht="17.25" thickBot="1">
      <c r="C16" s="352" t="s">
        <v>21</v>
      </c>
      <c r="D16" s="344" t="s">
        <v>2</v>
      </c>
      <c r="E16" s="364">
        <v>1000</v>
      </c>
      <c r="F16" s="344" t="s">
        <v>5</v>
      </c>
      <c r="G16" s="353" t="s">
        <v>221</v>
      </c>
      <c r="H16" s="354" t="s">
        <v>212</v>
      </c>
      <c r="I16" s="354"/>
      <c r="J16" s="354"/>
      <c r="K16" s="354"/>
      <c r="L16" s="354"/>
      <c r="M16" s="354"/>
      <c r="N16" s="354"/>
      <c r="O16" s="354"/>
      <c r="P16" s="354"/>
      <c r="Q16" s="354"/>
    </row>
    <row r="17" spans="1:16">
      <c r="C17" s="332"/>
      <c r="D17" s="333" t="s">
        <v>22</v>
      </c>
      <c r="E17" s="363">
        <v>56</v>
      </c>
      <c r="F17" s="333" t="s">
        <v>5</v>
      </c>
      <c r="G17" s="355">
        <f>(E17/(E16+E17))</f>
        <v>5.3030303030303032E-2</v>
      </c>
      <c r="H17" s="356"/>
      <c r="I17" s="909" t="s">
        <v>208</v>
      </c>
      <c r="J17" s="909"/>
      <c r="K17" s="910" t="s">
        <v>220</v>
      </c>
      <c r="L17" s="910"/>
      <c r="M17" s="910" t="s">
        <v>13</v>
      </c>
      <c r="N17" s="910"/>
      <c r="O17" s="910" t="s">
        <v>222</v>
      </c>
      <c r="P17" s="911"/>
    </row>
    <row r="18" spans="1:16" ht="17.25" thickBot="1">
      <c r="C18" s="332"/>
      <c r="D18" s="333" t="s">
        <v>88</v>
      </c>
      <c r="E18" s="363">
        <v>0</v>
      </c>
      <c r="F18" s="333" t="s">
        <v>96</v>
      </c>
      <c r="G18" s="335"/>
      <c r="H18" s="357" t="s">
        <v>21</v>
      </c>
      <c r="I18" s="920">
        <v>39000</v>
      </c>
      <c r="J18" s="920"/>
      <c r="K18" s="899">
        <f>I18*E19</f>
        <v>2567.0523415977959</v>
      </c>
      <c r="L18" s="899"/>
      <c r="M18" s="900">
        <f>ROUND(K18,0)</f>
        <v>2567</v>
      </c>
      <c r="N18" s="900"/>
      <c r="O18" s="901">
        <f>I18*(E17/(E16+E17))</f>
        <v>2068.181818181818</v>
      </c>
      <c r="P18" s="902"/>
    </row>
    <row r="19" spans="1:16">
      <c r="C19" s="332" t="s">
        <v>203</v>
      </c>
      <c r="D19" s="358"/>
      <c r="E19" s="359">
        <f>1/(D6/(E17/(E16+E17)))</f>
        <v>6.5821854912764002E-2</v>
      </c>
      <c r="F19" s="333"/>
      <c r="G19" s="335"/>
    </row>
    <row r="20" spans="1:16" ht="17.25" thickBot="1">
      <c r="C20" s="360" t="s">
        <v>206</v>
      </c>
      <c r="D20" s="361"/>
      <c r="E20" s="361"/>
      <c r="F20" s="361">
        <f>F4/E19</f>
        <v>62228.571428571428</v>
      </c>
      <c r="G20" s="362" t="s">
        <v>19</v>
      </c>
    </row>
    <row r="21" spans="1:16" ht="17.25" thickTop="1"/>
    <row r="22" spans="1:16">
      <c r="A22" s="318" t="s">
        <v>204</v>
      </c>
    </row>
    <row r="23" spans="1:16">
      <c r="A23" s="318" t="s">
        <v>38</v>
      </c>
    </row>
    <row r="24" spans="1:16">
      <c r="A24" s="318" t="s">
        <v>205</v>
      </c>
    </row>
    <row r="25" spans="1:16">
      <c r="A25" s="318" t="s">
        <v>219</v>
      </c>
    </row>
    <row r="26" spans="1:16">
      <c r="A26" s="318" t="s">
        <v>196</v>
      </c>
    </row>
    <row r="27" spans="1:16">
      <c r="A27" s="318" t="s">
        <v>196</v>
      </c>
    </row>
    <row r="28" spans="1:16">
      <c r="A28" s="318" t="s">
        <v>209</v>
      </c>
    </row>
    <row r="29" spans="1:16">
      <c r="A29" s="318" t="s">
        <v>210</v>
      </c>
    </row>
    <row r="30" spans="1:16">
      <c r="A30" s="318" t="s">
        <v>38</v>
      </c>
    </row>
  </sheetData>
  <sheetProtection password="EE63" sheet="1" objects="1" scenarios="1"/>
  <mergeCells count="20">
    <mergeCell ref="I5:J5"/>
    <mergeCell ref="K5:L5"/>
    <mergeCell ref="M5:N5"/>
    <mergeCell ref="O5:P5"/>
    <mergeCell ref="I6:J6"/>
    <mergeCell ref="K6:L6"/>
    <mergeCell ref="M6:N6"/>
    <mergeCell ref="O6:P6"/>
    <mergeCell ref="I18:J18"/>
    <mergeCell ref="K18:L18"/>
    <mergeCell ref="M18:N18"/>
    <mergeCell ref="O18:P18"/>
    <mergeCell ref="I7:J7"/>
    <mergeCell ref="K7:L7"/>
    <mergeCell ref="M7:N7"/>
    <mergeCell ref="O7:P7"/>
    <mergeCell ref="I17:J17"/>
    <mergeCell ref="K17:L17"/>
    <mergeCell ref="M17:N17"/>
    <mergeCell ref="O17:P17"/>
  </mergeCells>
  <phoneticPr fontId="1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>
    <tabColor rgb="FFFFC000"/>
  </sheetPr>
  <dimension ref="C1:U29"/>
  <sheetViews>
    <sheetView topLeftCell="A7" workbookViewId="0">
      <selection activeCell="K6" sqref="K6:L6"/>
    </sheetView>
  </sheetViews>
  <sheetFormatPr defaultRowHeight="16.5"/>
  <cols>
    <col min="1" max="2" width="9" style="318"/>
    <col min="3" max="3" width="9.5" style="318" bestFit="1" customWidth="1"/>
    <col min="4" max="4" width="9" style="318"/>
    <col min="5" max="5" width="12" style="318" customWidth="1"/>
    <col min="6" max="13" width="9" style="318"/>
    <col min="14" max="14" width="10" style="318" customWidth="1"/>
    <col min="15" max="15" width="9" style="318"/>
    <col min="16" max="16" width="12.5" style="318" customWidth="1"/>
    <col min="17" max="17" width="11.625" style="318" customWidth="1"/>
    <col min="18" max="18" width="15.375" style="318" customWidth="1"/>
    <col min="19" max="19" width="9" style="318"/>
    <col min="20" max="20" width="10.875" style="318" customWidth="1"/>
    <col min="21" max="21" width="11.375" style="318" customWidth="1"/>
    <col min="22" max="16384" width="9" style="318"/>
  </cols>
  <sheetData>
    <row r="1" spans="3:21">
      <c r="E1" s="367"/>
    </row>
    <row r="2" spans="3:21">
      <c r="E2" s="367"/>
    </row>
    <row r="3" spans="3:21">
      <c r="E3" s="368"/>
    </row>
    <row r="4" spans="3:21">
      <c r="E4" s="368"/>
      <c r="O4" s="318" t="s">
        <v>95</v>
      </c>
    </row>
    <row r="5" spans="3:21">
      <c r="N5" s="318" t="s">
        <v>186</v>
      </c>
      <c r="O5" s="318" t="s">
        <v>185</v>
      </c>
      <c r="P5" s="369" t="s">
        <v>188</v>
      </c>
      <c r="Q5" s="318" t="s">
        <v>187</v>
      </c>
      <c r="R5" s="318" t="s">
        <v>184</v>
      </c>
      <c r="S5" s="318" t="s">
        <v>183</v>
      </c>
      <c r="T5" s="318" t="s">
        <v>189</v>
      </c>
      <c r="U5" s="318" t="s">
        <v>190</v>
      </c>
    </row>
    <row r="6" spans="3:21" ht="17.25" thickBot="1">
      <c r="E6" s="370"/>
      <c r="N6" s="318">
        <v>1</v>
      </c>
      <c r="O6" s="318">
        <v>66</v>
      </c>
      <c r="P6" s="369">
        <f>N6*1000*0.0671744</f>
        <v>67.174399999999991</v>
      </c>
      <c r="Q6" s="318">
        <v>1.94</v>
      </c>
      <c r="R6" s="318">
        <v>2.25</v>
      </c>
      <c r="S6" s="318">
        <v>0.15939999999999999</v>
      </c>
      <c r="T6" s="318">
        <f>ROUND(S6/(Q6/1000),3)</f>
        <v>82.165000000000006</v>
      </c>
      <c r="U6" s="318">
        <f>S6/(R6/1000)</f>
        <v>70.844444444444449</v>
      </c>
    </row>
    <row r="7" spans="3:21" ht="17.25" thickTop="1">
      <c r="C7" s="371" t="s">
        <v>110</v>
      </c>
      <c r="D7" s="327" t="s">
        <v>99</v>
      </c>
      <c r="E7" s="372">
        <f>ST_FW設定值_1.667mR!E10</f>
        <v>0.45511111111111113</v>
      </c>
      <c r="F7" s="327"/>
      <c r="G7" s="329"/>
      <c r="N7" s="318">
        <v>2</v>
      </c>
      <c r="O7" s="318">
        <v>132</v>
      </c>
      <c r="P7" s="369">
        <f t="shared" ref="P7:P15" si="0">N7*1000*0.0671744</f>
        <v>134.34879999999998</v>
      </c>
      <c r="Q7" s="318">
        <v>3.9</v>
      </c>
      <c r="R7" s="318">
        <v>4.5229999999999997</v>
      </c>
      <c r="S7" s="318">
        <v>0.31990000000000002</v>
      </c>
      <c r="T7" s="318">
        <f t="shared" ref="T7:T15" si="1">ROUND(S7/(Q7/1000),3)</f>
        <v>82.025999999999996</v>
      </c>
      <c r="U7" s="318">
        <f t="shared" ref="U7:U15" si="2">S7/(R7/1000)</f>
        <v>70.727393323015704</v>
      </c>
    </row>
    <row r="8" spans="3:21">
      <c r="C8" s="884" t="s">
        <v>248</v>
      </c>
      <c r="D8" s="885"/>
      <c r="E8" s="363">
        <v>2500</v>
      </c>
      <c r="F8" s="333" t="s">
        <v>249</v>
      </c>
      <c r="G8" s="335"/>
      <c r="H8" s="896" t="s">
        <v>101</v>
      </c>
      <c r="I8" s="897"/>
      <c r="J8" s="397">
        <v>38</v>
      </c>
      <c r="K8" s="373"/>
      <c r="N8" s="318">
        <v>3</v>
      </c>
      <c r="O8" s="318">
        <v>198</v>
      </c>
      <c r="P8" s="369">
        <f t="shared" si="0"/>
        <v>201.52319999999997</v>
      </c>
      <c r="Q8" s="318">
        <v>5.8620000000000001</v>
      </c>
      <c r="R8" s="318">
        <v>6.76</v>
      </c>
      <c r="S8" s="318">
        <v>0.47999000000000003</v>
      </c>
      <c r="T8" s="318">
        <f t="shared" si="1"/>
        <v>81.882000000000005</v>
      </c>
      <c r="U8" s="318">
        <f t="shared" si="2"/>
        <v>71.004437869822496</v>
      </c>
    </row>
    <row r="9" spans="3:21">
      <c r="C9" s="884" t="s">
        <v>111</v>
      </c>
      <c r="D9" s="885"/>
      <c r="E9" s="333">
        <f>ROUND(E8*E7,0)</f>
        <v>1138</v>
      </c>
      <c r="F9" s="333"/>
      <c r="G9" s="335"/>
      <c r="H9" s="884" t="s">
        <v>109</v>
      </c>
      <c r="I9" s="885"/>
      <c r="J9" s="333">
        <f>ROUND(J8/E7,0)</f>
        <v>83</v>
      </c>
      <c r="K9" s="374"/>
      <c r="N9" s="318">
        <v>4</v>
      </c>
      <c r="O9" s="318">
        <v>265</v>
      </c>
      <c r="P9" s="369">
        <f t="shared" si="0"/>
        <v>268.69759999999997</v>
      </c>
      <c r="Q9" s="318">
        <v>7.8159999999999998</v>
      </c>
      <c r="R9" s="318">
        <v>9.0679999999999996</v>
      </c>
      <c r="S9" s="318">
        <v>0.6401</v>
      </c>
      <c r="T9" s="318">
        <f t="shared" si="1"/>
        <v>81.896000000000001</v>
      </c>
      <c r="U9" s="318">
        <f t="shared" si="2"/>
        <v>70.588883987648884</v>
      </c>
    </row>
    <row r="10" spans="3:21">
      <c r="C10" s="884" t="s">
        <v>104</v>
      </c>
      <c r="D10" s="885"/>
      <c r="E10" s="363">
        <v>875</v>
      </c>
      <c r="F10" s="333"/>
      <c r="G10" s="335"/>
      <c r="H10" s="375" t="s">
        <v>243</v>
      </c>
      <c r="I10" s="344"/>
      <c r="J10" s="376"/>
      <c r="K10" s="374"/>
      <c r="N10" s="318">
        <v>5</v>
      </c>
      <c r="O10" s="318">
        <v>331</v>
      </c>
      <c r="P10" s="369">
        <f t="shared" si="0"/>
        <v>335.87199999999996</v>
      </c>
      <c r="Q10" s="318">
        <v>9.7840000000000007</v>
      </c>
      <c r="R10" s="318">
        <v>11.317</v>
      </c>
      <c r="S10" s="318">
        <v>0.80079999999999996</v>
      </c>
      <c r="T10" s="318">
        <f t="shared" si="1"/>
        <v>81.847999999999999</v>
      </c>
      <c r="U10" s="318">
        <f t="shared" si="2"/>
        <v>70.760802332773693</v>
      </c>
    </row>
    <row r="11" spans="3:21">
      <c r="C11" s="884" t="s">
        <v>105</v>
      </c>
      <c r="D11" s="885"/>
      <c r="E11" s="333">
        <f>E10-E9</f>
        <v>-263</v>
      </c>
      <c r="F11" s="333" t="s">
        <v>106</v>
      </c>
      <c r="G11" s="335"/>
      <c r="H11" s="377" t="str">
        <f>DEC2HEX(E11)</f>
        <v>FFFFFFFEF9</v>
      </c>
      <c r="I11" s="378"/>
      <c r="J11" s="379"/>
      <c r="K11" s="374"/>
      <c r="N11" s="318">
        <v>6</v>
      </c>
      <c r="O11" s="318">
        <v>398</v>
      </c>
      <c r="P11" s="369">
        <f t="shared" si="0"/>
        <v>403.04639999999995</v>
      </c>
      <c r="Q11" s="318">
        <v>11.752000000000001</v>
      </c>
      <c r="R11" s="318">
        <v>13.656000000000001</v>
      </c>
      <c r="S11" s="318">
        <v>0.96189999999999998</v>
      </c>
      <c r="T11" s="318">
        <f t="shared" si="1"/>
        <v>81.849999999999994</v>
      </c>
      <c r="U11" s="318">
        <f t="shared" si="2"/>
        <v>70.437902753368476</v>
      </c>
    </row>
    <row r="12" spans="3:21" ht="17.25" thickBot="1">
      <c r="C12" s="360"/>
      <c r="D12" s="361"/>
      <c r="E12" s="361" t="s">
        <v>107</v>
      </c>
      <c r="F12" s="361"/>
      <c r="G12" s="362"/>
      <c r="H12" s="380" t="s">
        <v>253</v>
      </c>
      <c r="I12" s="381"/>
      <c r="J12" s="382"/>
      <c r="K12" s="383"/>
      <c r="N12" s="318">
        <v>7</v>
      </c>
      <c r="O12" s="318">
        <v>462</v>
      </c>
      <c r="P12" s="369">
        <f t="shared" si="0"/>
        <v>470.22079999999994</v>
      </c>
      <c r="Q12" s="318">
        <v>13.653</v>
      </c>
      <c r="R12" s="318">
        <v>15.808</v>
      </c>
      <c r="S12" s="318">
        <v>1.1201000000000001</v>
      </c>
      <c r="T12" s="318">
        <f t="shared" si="1"/>
        <v>82.040999999999997</v>
      </c>
      <c r="U12" s="318">
        <f t="shared" si="2"/>
        <v>70.856528340080985</v>
      </c>
    </row>
    <row r="13" spans="3:21" ht="17.25" thickTop="1">
      <c r="C13" s="371" t="s">
        <v>95</v>
      </c>
      <c r="D13" s="327" t="s">
        <v>99</v>
      </c>
      <c r="E13" s="372">
        <f>ST_FW設定值_2mR!E14</f>
        <v>0.24824242424242426</v>
      </c>
      <c r="F13" s="327"/>
      <c r="G13" s="329"/>
      <c r="N13" s="318">
        <v>8</v>
      </c>
      <c r="O13" s="318">
        <v>531</v>
      </c>
      <c r="P13" s="369">
        <f t="shared" si="0"/>
        <v>537.39519999999993</v>
      </c>
      <c r="Q13" s="318">
        <v>15.702</v>
      </c>
      <c r="R13" s="318">
        <v>18.254999999999999</v>
      </c>
      <c r="S13" s="318">
        <v>1.2835000000000001</v>
      </c>
      <c r="T13" s="318">
        <f t="shared" si="1"/>
        <v>81.741</v>
      </c>
      <c r="U13" s="318">
        <f t="shared" si="2"/>
        <v>70.309504245412214</v>
      </c>
    </row>
    <row r="14" spans="3:21">
      <c r="C14" s="884" t="s">
        <v>252</v>
      </c>
      <c r="D14" s="885"/>
      <c r="E14" s="363">
        <v>5300</v>
      </c>
      <c r="F14" s="333" t="s">
        <v>249</v>
      </c>
      <c r="G14" s="335"/>
      <c r="H14" s="896" t="s">
        <v>101</v>
      </c>
      <c r="I14" s="897"/>
      <c r="J14" s="397">
        <v>916</v>
      </c>
      <c r="K14" s="373"/>
      <c r="N14" s="318">
        <v>9</v>
      </c>
      <c r="O14" s="318">
        <v>595</v>
      </c>
      <c r="P14" s="369">
        <f t="shared" si="0"/>
        <v>604.56959999999992</v>
      </c>
      <c r="Q14" s="318">
        <v>17.622</v>
      </c>
      <c r="R14" s="318">
        <v>20.486000000000001</v>
      </c>
      <c r="S14" s="318">
        <v>1.4420999999999999</v>
      </c>
      <c r="T14" s="318">
        <f t="shared" si="1"/>
        <v>81.834999999999994</v>
      </c>
      <c r="U14" s="318">
        <f t="shared" si="2"/>
        <v>70.394415698525819</v>
      </c>
    </row>
    <row r="15" spans="3:21">
      <c r="C15" s="884" t="s">
        <v>111</v>
      </c>
      <c r="D15" s="885"/>
      <c r="E15" s="333">
        <f>ROUND(E14*E13,0)</f>
        <v>1316</v>
      </c>
      <c r="F15" s="333"/>
      <c r="G15" s="335"/>
      <c r="H15" s="884" t="s">
        <v>109</v>
      </c>
      <c r="I15" s="885"/>
      <c r="J15" s="333">
        <f>ROUND(J14/E13,0)</f>
        <v>3690</v>
      </c>
      <c r="K15" s="374"/>
      <c r="N15" s="318">
        <v>10</v>
      </c>
      <c r="O15" s="318">
        <v>661</v>
      </c>
      <c r="P15" s="369">
        <f t="shared" si="0"/>
        <v>671.74399999999991</v>
      </c>
      <c r="Q15" s="318">
        <v>19.53</v>
      </c>
      <c r="R15" s="318">
        <v>22.762</v>
      </c>
      <c r="S15" s="318">
        <v>1.6</v>
      </c>
      <c r="T15" s="318">
        <f t="shared" si="1"/>
        <v>81.924999999999997</v>
      </c>
      <c r="U15" s="318">
        <f t="shared" si="2"/>
        <v>70.292592918021271</v>
      </c>
    </row>
    <row r="16" spans="3:21">
      <c r="C16" s="884" t="s">
        <v>104</v>
      </c>
      <c r="D16" s="885"/>
      <c r="E16" s="363">
        <v>495</v>
      </c>
      <c r="F16" s="333"/>
      <c r="G16" s="335"/>
      <c r="H16" s="375" t="s">
        <v>243</v>
      </c>
      <c r="I16" s="344"/>
      <c r="J16" s="376"/>
      <c r="K16" s="374"/>
    </row>
    <row r="17" spans="3:21">
      <c r="C17" s="884" t="s">
        <v>105</v>
      </c>
      <c r="D17" s="885"/>
      <c r="E17" s="333">
        <f>E16-E15</f>
        <v>-821</v>
      </c>
      <c r="F17" s="333" t="s">
        <v>106</v>
      </c>
      <c r="G17" s="335"/>
      <c r="H17" s="377" t="str">
        <f>DEC2HEX(E17)</f>
        <v>FFFFFFFCCB</v>
      </c>
      <c r="I17" s="378"/>
      <c r="J17" s="379"/>
      <c r="K17" s="374"/>
    </row>
    <row r="18" spans="3:21" ht="17.25" thickBot="1">
      <c r="C18" s="360"/>
      <c r="D18" s="361"/>
      <c r="E18" s="361" t="s">
        <v>107</v>
      </c>
      <c r="F18" s="361"/>
      <c r="G18" s="362"/>
      <c r="H18" s="380" t="s">
        <v>253</v>
      </c>
      <c r="I18" s="384"/>
      <c r="J18" s="382"/>
      <c r="K18" s="383"/>
    </row>
    <row r="19" spans="3:21" ht="18" thickTop="1" thickBot="1">
      <c r="O19" s="318" t="s">
        <v>110</v>
      </c>
    </row>
    <row r="20" spans="3:21">
      <c r="F20" s="892" t="s">
        <v>236</v>
      </c>
      <c r="G20" s="893"/>
      <c r="H20" s="385" t="s">
        <v>95</v>
      </c>
      <c r="I20" s="385" t="s">
        <v>232</v>
      </c>
      <c r="J20" s="385"/>
      <c r="K20" s="385"/>
      <c r="L20" s="386"/>
      <c r="N20" s="318" t="s">
        <v>186</v>
      </c>
      <c r="O20" s="318" t="s">
        <v>185</v>
      </c>
      <c r="P20" s="369" t="s">
        <v>188</v>
      </c>
      <c r="Q20" s="318" t="s">
        <v>187</v>
      </c>
      <c r="R20" s="318" t="s">
        <v>184</v>
      </c>
      <c r="S20" s="318" t="s">
        <v>183</v>
      </c>
      <c r="T20" s="318" t="s">
        <v>189</v>
      </c>
      <c r="U20" s="318" t="s">
        <v>190</v>
      </c>
    </row>
    <row r="21" spans="3:21">
      <c r="F21" s="903"/>
      <c r="G21" s="904"/>
      <c r="H21" s="387" t="s">
        <v>110</v>
      </c>
      <c r="I21" s="387" t="s">
        <v>234</v>
      </c>
      <c r="J21" s="387"/>
      <c r="K21" s="387"/>
      <c r="L21" s="388"/>
      <c r="N21" s="318">
        <v>0.5</v>
      </c>
      <c r="O21" s="318">
        <v>48</v>
      </c>
      <c r="P21" s="318">
        <f>N21*1000*$E$6</f>
        <v>0</v>
      </c>
      <c r="Q21" s="318">
        <v>1.004</v>
      </c>
      <c r="R21" s="318">
        <v>1.304</v>
      </c>
      <c r="S21" s="318">
        <v>0.12</v>
      </c>
      <c r="T21" s="318">
        <f>S21/(Q21/1000)</f>
        <v>119.52191235059762</v>
      </c>
    </row>
    <row r="22" spans="3:21" ht="17.25" thickBot="1">
      <c r="F22" s="389"/>
      <c r="G22" s="390"/>
      <c r="H22" s="390"/>
      <c r="I22" s="390" t="s">
        <v>235</v>
      </c>
      <c r="J22" s="390"/>
      <c r="K22" s="390"/>
      <c r="L22" s="391"/>
      <c r="N22" s="318">
        <v>1</v>
      </c>
      <c r="O22" s="318">
        <v>96</v>
      </c>
      <c r="P22" s="318">
        <f t="shared" ref="P22:P24" si="3">N22*1000*$E$6</f>
        <v>0</v>
      </c>
      <c r="Q22" s="318">
        <v>1.996</v>
      </c>
      <c r="R22" s="318">
        <v>2.5979999999999999</v>
      </c>
      <c r="S22" s="318">
        <v>0.23630000000000001</v>
      </c>
      <c r="T22" s="318">
        <f t="shared" ref="T22:T29" si="4">S22/(Q22/1000)</f>
        <v>118.38677354709419</v>
      </c>
    </row>
    <row r="23" spans="3:21" ht="17.25" thickBot="1">
      <c r="N23" s="318">
        <v>1.5</v>
      </c>
      <c r="O23" s="318">
        <v>144</v>
      </c>
      <c r="P23" s="318">
        <f t="shared" si="3"/>
        <v>0</v>
      </c>
      <c r="Q23" s="318">
        <v>2.952</v>
      </c>
      <c r="R23" s="318">
        <v>3.94</v>
      </c>
      <c r="S23" s="318">
        <v>0.3518</v>
      </c>
      <c r="T23" s="318">
        <f t="shared" si="4"/>
        <v>119.17344173441735</v>
      </c>
    </row>
    <row r="24" spans="3:21">
      <c r="G24" s="886" t="s">
        <v>230</v>
      </c>
      <c r="H24" s="392" t="s">
        <v>110</v>
      </c>
      <c r="I24" s="392" t="s">
        <v>115</v>
      </c>
      <c r="J24" s="392"/>
      <c r="K24" s="392"/>
      <c r="L24" s="393"/>
      <c r="N24" s="318">
        <v>2</v>
      </c>
      <c r="O24" s="318">
        <v>196</v>
      </c>
      <c r="P24" s="318">
        <f t="shared" si="3"/>
        <v>0</v>
      </c>
      <c r="Q24" s="318">
        <v>3.95</v>
      </c>
      <c r="R24" s="318">
        <v>5.2220000000000004</v>
      </c>
      <c r="S24" s="318">
        <v>0.46710000000000002</v>
      </c>
      <c r="T24" s="318">
        <f t="shared" si="4"/>
        <v>118.25316455696202</v>
      </c>
    </row>
    <row r="25" spans="3:21">
      <c r="G25" s="887"/>
      <c r="H25" s="333"/>
      <c r="I25" s="333" t="s">
        <v>108</v>
      </c>
      <c r="J25" s="333"/>
      <c r="K25" s="333"/>
      <c r="L25" s="394"/>
      <c r="N25" s="318">
        <v>2.5</v>
      </c>
      <c r="Q25" s="318">
        <v>4.9359999999999999</v>
      </c>
      <c r="R25" s="318">
        <v>6.5609999999999999</v>
      </c>
      <c r="S25" s="318">
        <v>0.58140000000000003</v>
      </c>
      <c r="T25" s="318">
        <f t="shared" si="4"/>
        <v>117.78768233387358</v>
      </c>
    </row>
    <row r="26" spans="3:21" ht="17.25" thickBot="1">
      <c r="G26" s="888"/>
      <c r="H26" s="395" t="s">
        <v>95</v>
      </c>
      <c r="I26" s="395" t="s">
        <v>112</v>
      </c>
      <c r="J26" s="395"/>
      <c r="K26" s="395"/>
      <c r="L26" s="396"/>
      <c r="N26" s="318">
        <v>3</v>
      </c>
      <c r="T26" s="318" t="e">
        <f t="shared" si="4"/>
        <v>#DIV/0!</v>
      </c>
    </row>
    <row r="27" spans="3:21">
      <c r="N27" s="318">
        <v>3.5</v>
      </c>
      <c r="T27" s="318" t="e">
        <f t="shared" si="4"/>
        <v>#DIV/0!</v>
      </c>
    </row>
    <row r="28" spans="3:21">
      <c r="N28" s="318">
        <v>4</v>
      </c>
      <c r="T28" s="318" t="e">
        <f t="shared" si="4"/>
        <v>#DIV/0!</v>
      </c>
    </row>
    <row r="29" spans="3:21">
      <c r="N29" s="318">
        <v>4.5</v>
      </c>
      <c r="T29" s="318" t="e">
        <f t="shared" si="4"/>
        <v>#DIV/0!</v>
      </c>
    </row>
  </sheetData>
  <sheetProtection password="EE63" sheet="1" objects="1" scenarios="1"/>
  <mergeCells count="14">
    <mergeCell ref="C11:D11"/>
    <mergeCell ref="C8:D8"/>
    <mergeCell ref="H8:I8"/>
    <mergeCell ref="C9:D9"/>
    <mergeCell ref="H9:I9"/>
    <mergeCell ref="C10:D10"/>
    <mergeCell ref="F20:G21"/>
    <mergeCell ref="G24:G26"/>
    <mergeCell ref="C14:D14"/>
    <mergeCell ref="H14:I14"/>
    <mergeCell ref="C15:D15"/>
    <mergeCell ref="H15:I15"/>
    <mergeCell ref="C16:D16"/>
    <mergeCell ref="C17:D17"/>
  </mergeCells>
  <phoneticPr fontId="1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>
    <tabColor rgb="FFFFC000"/>
  </sheetPr>
  <dimension ref="A1:V46"/>
  <sheetViews>
    <sheetView zoomScale="70" zoomScaleNormal="70" workbookViewId="0">
      <selection activeCell="L14" sqref="L14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17516</v>
      </c>
      <c r="G2" s="470" t="s">
        <v>216</v>
      </c>
      <c r="H2" s="490">
        <v>2014</v>
      </c>
      <c r="I2" s="468"/>
      <c r="J2" s="470" t="s">
        <v>217</v>
      </c>
      <c r="K2" s="490">
        <v>3</v>
      </c>
      <c r="L2" s="468"/>
      <c r="M2" s="468" t="s">
        <v>218</v>
      </c>
      <c r="N2" s="491">
        <v>12</v>
      </c>
    </row>
    <row r="3" spans="1:22" ht="18" thickTop="1" thickBot="1">
      <c r="C3" s="471"/>
      <c r="D3" s="472"/>
      <c r="E3" s="473" t="s">
        <v>519</v>
      </c>
      <c r="F3" s="489">
        <v>17457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1</v>
      </c>
      <c r="L3" s="476"/>
      <c r="M3" s="476" t="s">
        <v>218</v>
      </c>
      <c r="N3" s="477">
        <f>F3-((H3-1980)*512+K3*32)</f>
        <v>17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12" t="s">
        <v>94</v>
      </c>
      <c r="J7" s="912"/>
      <c r="K7" s="913" t="s">
        <v>13</v>
      </c>
      <c r="L7" s="913"/>
      <c r="M7" s="913" t="s">
        <v>1380</v>
      </c>
      <c r="N7" s="913"/>
      <c r="O7" s="913" t="s">
        <v>222</v>
      </c>
      <c r="P7" s="914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5">
        <v>4500</v>
      </c>
      <c r="J8" s="915"/>
      <c r="K8" s="916">
        <f>ROUND(I8*E12+E11,0)</f>
        <v>1438</v>
      </c>
      <c r="L8" s="916"/>
      <c r="M8" s="916">
        <f>I8*F9</f>
        <v>6.4349999999999996</v>
      </c>
      <c r="N8" s="916"/>
      <c r="O8" s="917">
        <f>I8*(D9/1000*E10)</f>
        <v>1158.2999999999997</v>
      </c>
      <c r="P8" s="918"/>
      <c r="Q8" s="439">
        <f>O8/M8</f>
        <v>179.99999999999997</v>
      </c>
    </row>
    <row r="9" spans="1:22" ht="18" thickTop="1" thickBot="1">
      <c r="C9" s="332" t="s">
        <v>0</v>
      </c>
      <c r="D9" s="492">
        <v>1.43</v>
      </c>
      <c r="E9" s="444" t="s">
        <v>8</v>
      </c>
      <c r="F9" s="444">
        <f>D9/1000</f>
        <v>1.4299999999999998E-3</v>
      </c>
      <c r="G9" s="444" t="s">
        <v>3</v>
      </c>
      <c r="H9" s="342" t="s">
        <v>95</v>
      </c>
      <c r="I9" s="905">
        <v>17400</v>
      </c>
      <c r="J9" s="905"/>
      <c r="K9" s="906">
        <f>ROUND(I9*E16+E15,0)</f>
        <v>3088</v>
      </c>
      <c r="L9" s="906"/>
      <c r="M9" s="906">
        <f>I9*F9</f>
        <v>24.881999999999998</v>
      </c>
      <c r="N9" s="906"/>
      <c r="O9" s="907">
        <f>I9*(D9/1000*E14)</f>
        <v>2488.1999999999998</v>
      </c>
      <c r="P9" s="908"/>
      <c r="Q9" s="440">
        <f>O9/M9</f>
        <v>100</v>
      </c>
    </row>
    <row r="10" spans="1:22">
      <c r="C10" s="343" t="s">
        <v>12</v>
      </c>
      <c r="D10" s="344" t="s">
        <v>86</v>
      </c>
      <c r="E10" s="493">
        <v>180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0.31948799999999994</v>
      </c>
      <c r="F12" s="459" t="s">
        <v>1585</v>
      </c>
      <c r="G12" s="460">
        <f>1/E12</f>
        <v>3.1300080128205132</v>
      </c>
    </row>
    <row r="13" spans="1:22">
      <c r="C13" s="348" t="s">
        <v>200</v>
      </c>
      <c r="D13" s="349"/>
      <c r="E13" s="350"/>
      <c r="F13" s="349">
        <f>F6/E12</f>
        <v>12820.512820512822</v>
      </c>
      <c r="G13" s="351" t="s">
        <v>201</v>
      </c>
    </row>
    <row r="14" spans="1:22">
      <c r="C14" s="343" t="s">
        <v>35</v>
      </c>
      <c r="D14" s="344" t="s">
        <v>86</v>
      </c>
      <c r="E14" s="493">
        <v>100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0.17749333333333331</v>
      </c>
      <c r="F16" s="459" t="s">
        <v>1584</v>
      </c>
      <c r="G16" s="460">
        <f>1/E16</f>
        <v>5.6340144230769242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23076.923076923082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09" t="s">
        <v>208</v>
      </c>
      <c r="J19" s="909"/>
      <c r="K19" s="910" t="s">
        <v>220</v>
      </c>
      <c r="L19" s="910"/>
      <c r="M19" s="910" t="s">
        <v>13</v>
      </c>
      <c r="N19" s="910"/>
      <c r="O19" s="910" t="s">
        <v>223</v>
      </c>
      <c r="P19" s="911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8">
        <v>24800</v>
      </c>
      <c r="J20" s="898"/>
      <c r="K20" s="899">
        <f>I20*E21</f>
        <v>1632.3820018365473</v>
      </c>
      <c r="L20" s="899"/>
      <c r="M20" s="900">
        <f>ROUND(K20,0)</f>
        <v>1632</v>
      </c>
      <c r="N20" s="900"/>
      <c r="O20" s="901">
        <f>I20*(E19/(E18+E19))</f>
        <v>1315.1515151515152</v>
      </c>
      <c r="P20" s="902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1.43mR</v>
      </c>
    </row>
    <row r="25" spans="3:22" ht="18" thickTop="1" thickBot="1">
      <c r="C25" s="443" t="s">
        <v>110</v>
      </c>
      <c r="D25" s="327" t="s">
        <v>99</v>
      </c>
      <c r="E25" s="372">
        <f>E12</f>
        <v>0.31948799999999994</v>
      </c>
      <c r="F25" s="327"/>
      <c r="G25" s="329"/>
    </row>
    <row r="26" spans="3:22">
      <c r="C26" s="884" t="s">
        <v>248</v>
      </c>
      <c r="D26" s="885"/>
      <c r="E26" s="492">
        <v>10400</v>
      </c>
      <c r="F26" s="444" t="s">
        <v>249</v>
      </c>
      <c r="G26" s="335"/>
      <c r="H26" s="896" t="s">
        <v>101</v>
      </c>
      <c r="I26" s="897"/>
      <c r="J26" s="495">
        <v>600</v>
      </c>
      <c r="K26" s="373"/>
      <c r="M26" s="892" t="s">
        <v>236</v>
      </c>
      <c r="N26" s="893"/>
      <c r="O26" s="385" t="s">
        <v>231</v>
      </c>
      <c r="P26" s="385" t="s">
        <v>232</v>
      </c>
      <c r="Q26" s="385"/>
      <c r="R26" s="385"/>
      <c r="S26" s="386"/>
    </row>
    <row r="27" spans="3:22">
      <c r="C27" s="884" t="s">
        <v>111</v>
      </c>
      <c r="D27" s="885"/>
      <c r="E27" s="444">
        <f>ROUND(E26*E25,0)</f>
        <v>3323</v>
      </c>
      <c r="F27" s="444"/>
      <c r="G27" s="335"/>
      <c r="H27" s="884" t="s">
        <v>109</v>
      </c>
      <c r="I27" s="885"/>
      <c r="J27" s="444">
        <f>ROUND(J26/E25,0)</f>
        <v>1878</v>
      </c>
      <c r="K27" s="374"/>
      <c r="M27" s="903"/>
      <c r="N27" s="904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4" t="s">
        <v>104</v>
      </c>
      <c r="D28" s="885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4" t="s">
        <v>105</v>
      </c>
      <c r="D29" s="885"/>
      <c r="E29" s="444">
        <f>E28-E27</f>
        <v>-2448</v>
      </c>
      <c r="F29" s="444" t="s">
        <v>106</v>
      </c>
      <c r="G29" s="335"/>
      <c r="H29" s="377" t="str">
        <f>DEC2HEX(E29)</f>
        <v>FFFFFFF670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6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0.17749333333333331</v>
      </c>
      <c r="F31" s="327"/>
      <c r="G31" s="329"/>
      <c r="N31" s="887"/>
      <c r="O31" s="444"/>
      <c r="P31" s="444" t="s">
        <v>108</v>
      </c>
      <c r="Q31" s="444"/>
      <c r="R31" s="444"/>
      <c r="S31" s="394"/>
    </row>
    <row r="32" spans="3:22" ht="17.25" thickBot="1">
      <c r="C32" s="884" t="s">
        <v>252</v>
      </c>
      <c r="D32" s="885"/>
      <c r="E32" s="492">
        <v>10400</v>
      </c>
      <c r="F32" s="444" t="s">
        <v>249</v>
      </c>
      <c r="G32" s="335"/>
      <c r="H32" s="896" t="s">
        <v>101</v>
      </c>
      <c r="I32" s="897"/>
      <c r="J32" s="495">
        <v>417</v>
      </c>
      <c r="K32" s="373"/>
      <c r="N32" s="888"/>
      <c r="O32" s="441" t="s">
        <v>95</v>
      </c>
      <c r="P32" s="441" t="s">
        <v>112</v>
      </c>
      <c r="Q32" s="441"/>
      <c r="R32" s="441"/>
      <c r="S32" s="396"/>
    </row>
    <row r="33" spans="3:18">
      <c r="C33" s="884" t="s">
        <v>111</v>
      </c>
      <c r="D33" s="885"/>
      <c r="E33" s="444">
        <f>ROUND(E32*E31,0)</f>
        <v>1846</v>
      </c>
      <c r="F33" s="444"/>
      <c r="G33" s="335"/>
      <c r="H33" s="884" t="s">
        <v>109</v>
      </c>
      <c r="I33" s="885"/>
      <c r="J33" s="444">
        <f>ROUND(J32/E31,0)</f>
        <v>2349</v>
      </c>
      <c r="K33" s="374"/>
    </row>
    <row r="34" spans="3:18">
      <c r="C34" s="884" t="s">
        <v>104</v>
      </c>
      <c r="D34" s="885"/>
      <c r="E34" s="492">
        <v>495</v>
      </c>
      <c r="F34" s="444"/>
      <c r="G34" s="335"/>
      <c r="H34" s="375" t="s">
        <v>254</v>
      </c>
      <c r="I34" s="344"/>
      <c r="J34" s="376"/>
      <c r="K34" s="374"/>
    </row>
    <row r="35" spans="3:18">
      <c r="C35" s="884" t="s">
        <v>105</v>
      </c>
      <c r="D35" s="885"/>
      <c r="E35" s="444">
        <f>E34-E33</f>
        <v>-1351</v>
      </c>
      <c r="F35" s="444" t="s">
        <v>106</v>
      </c>
      <c r="G35" s="335"/>
      <c r="H35" s="377" t="str">
        <f>DEC2HEX(E35)</f>
        <v>FFFFFFFAB9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9" t="s">
        <v>102</v>
      </c>
      <c r="D40" s="890"/>
      <c r="E40" s="497">
        <v>30000</v>
      </c>
      <c r="F40" s="327"/>
      <c r="G40" s="329"/>
      <c r="H40" s="891" t="s">
        <v>101</v>
      </c>
      <c r="I40" s="891"/>
      <c r="J40" s="496">
        <v>6</v>
      </c>
      <c r="M40" s="892" t="s">
        <v>236</v>
      </c>
      <c r="N40" s="893"/>
      <c r="O40" s="385" t="s">
        <v>237</v>
      </c>
      <c r="P40" s="385"/>
      <c r="Q40" s="385"/>
      <c r="R40" s="386"/>
    </row>
    <row r="41" spans="3:18" ht="17.25" thickBot="1">
      <c r="C41" s="884" t="s">
        <v>111</v>
      </c>
      <c r="D41" s="885"/>
      <c r="E41" s="444">
        <f>ROUND(E40*E39,0)</f>
        <v>1975</v>
      </c>
      <c r="F41" s="444"/>
      <c r="G41" s="335"/>
      <c r="H41" s="891" t="s">
        <v>103</v>
      </c>
      <c r="I41" s="891"/>
      <c r="J41" s="318">
        <f>ROUND(J40/E39,0)</f>
        <v>91</v>
      </c>
      <c r="M41" s="894"/>
      <c r="N41" s="895"/>
      <c r="O41" s="390" t="s">
        <v>244</v>
      </c>
      <c r="P41" s="390" t="s">
        <v>239</v>
      </c>
      <c r="Q41" s="390"/>
      <c r="R41" s="391"/>
    </row>
    <row r="42" spans="3:18">
      <c r="C42" s="884" t="s">
        <v>104</v>
      </c>
      <c r="D42" s="885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84" t="s">
        <v>105</v>
      </c>
      <c r="D43" s="885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6" t="s">
        <v>230</v>
      </c>
      <c r="N44" s="442" t="s">
        <v>170</v>
      </c>
      <c r="O44" s="442"/>
      <c r="P44" s="442"/>
      <c r="Q44" s="393"/>
    </row>
    <row r="45" spans="3:18" ht="17.25" thickTop="1">
      <c r="M45" s="887"/>
      <c r="N45" s="444" t="s">
        <v>108</v>
      </c>
      <c r="O45" s="444"/>
      <c r="P45" s="444"/>
      <c r="Q45" s="394"/>
    </row>
    <row r="46" spans="3:18" ht="17.25" thickBot="1">
      <c r="M46" s="888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>
    <tabColor rgb="FF00FF00"/>
  </sheetPr>
  <dimension ref="A1:W46"/>
  <sheetViews>
    <sheetView zoomScale="70" zoomScaleNormal="70" workbookViewId="0">
      <selection activeCell="N24" sqref="N24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3" ht="17.25" thickBot="1">
      <c r="A1" s="481" t="s">
        <v>1586</v>
      </c>
      <c r="S1" s="318" t="s">
        <v>1596</v>
      </c>
    </row>
    <row r="2" spans="1:23" ht="17.25" thickBot="1">
      <c r="A2" s="481" t="s">
        <v>1587</v>
      </c>
      <c r="C2" s="467" t="s">
        <v>215</v>
      </c>
      <c r="D2" s="468"/>
      <c r="E2" s="468"/>
      <c r="F2" s="469">
        <f>(H2-1980)*512+K2*32+N2</f>
        <v>17545</v>
      </c>
      <c r="G2" s="470" t="s">
        <v>216</v>
      </c>
      <c r="H2" s="490">
        <v>2014</v>
      </c>
      <c r="I2" s="468"/>
      <c r="J2" s="470" t="s">
        <v>217</v>
      </c>
      <c r="K2" s="490">
        <v>4</v>
      </c>
      <c r="L2" s="468"/>
      <c r="M2" s="468" t="s">
        <v>218</v>
      </c>
      <c r="N2" s="491">
        <v>9</v>
      </c>
      <c r="S2" s="503" t="s">
        <v>1597</v>
      </c>
      <c r="T2" s="503" t="s">
        <v>1598</v>
      </c>
      <c r="U2" s="503"/>
      <c r="V2" s="503"/>
      <c r="W2" s="503"/>
    </row>
    <row r="3" spans="1:23" ht="18" thickTop="1" thickBot="1">
      <c r="C3" s="471"/>
      <c r="D3" s="472"/>
      <c r="E3" s="473" t="s">
        <v>519</v>
      </c>
      <c r="F3" s="489">
        <v>17516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3</v>
      </c>
      <c r="L3" s="476"/>
      <c r="M3" s="476" t="s">
        <v>218</v>
      </c>
      <c r="N3" s="477">
        <f>F3-((H3-1980)*512+K3*32)</f>
        <v>12</v>
      </c>
      <c r="S3" s="503" t="s">
        <v>1599</v>
      </c>
      <c r="T3" s="503">
        <f>1/((1/5)+(1/5)+(1/3))</f>
        <v>1.3636363636363635</v>
      </c>
      <c r="U3" s="503"/>
      <c r="V3" s="503"/>
      <c r="W3" s="503"/>
    </row>
    <row r="4" spans="1:23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  <c r="S4" s="503"/>
      <c r="T4" s="503"/>
      <c r="U4" s="503"/>
      <c r="V4" s="503"/>
      <c r="W4" s="503"/>
    </row>
    <row r="5" spans="1:23">
      <c r="C5" s="466" t="s">
        <v>14</v>
      </c>
      <c r="D5" s="502"/>
      <c r="E5" s="502"/>
      <c r="F5" s="336"/>
      <c r="G5" s="335"/>
      <c r="H5" s="487" t="s">
        <v>91</v>
      </c>
      <c r="I5" s="487"/>
      <c r="J5" s="487"/>
      <c r="K5" s="488"/>
      <c r="L5" s="488"/>
      <c r="M5" s="488"/>
      <c r="N5" s="488"/>
      <c r="S5" s="503"/>
      <c r="T5" s="503"/>
      <c r="U5" s="503"/>
      <c r="V5" s="503"/>
      <c r="W5" s="503"/>
    </row>
    <row r="6" spans="1:23" ht="17.25" thickBot="1">
      <c r="C6" s="332" t="s">
        <v>15</v>
      </c>
      <c r="D6" s="498">
        <v>12</v>
      </c>
      <c r="E6" s="502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  <c r="S6" s="503"/>
      <c r="T6" s="503"/>
      <c r="U6" s="503"/>
      <c r="V6" s="503"/>
      <c r="W6" s="503"/>
    </row>
    <row r="7" spans="1:23">
      <c r="C7" s="332" t="s">
        <v>17</v>
      </c>
      <c r="D7" s="498">
        <v>3.3</v>
      </c>
      <c r="E7" s="502" t="s">
        <v>18</v>
      </c>
      <c r="F7" s="336"/>
      <c r="G7" s="502"/>
      <c r="H7" s="337"/>
      <c r="I7" s="912" t="s">
        <v>94</v>
      </c>
      <c r="J7" s="912"/>
      <c r="K7" s="913" t="s">
        <v>13</v>
      </c>
      <c r="L7" s="913"/>
      <c r="M7" s="913" t="s">
        <v>1380</v>
      </c>
      <c r="N7" s="913"/>
      <c r="O7" s="913" t="s">
        <v>222</v>
      </c>
      <c r="P7" s="914"/>
      <c r="Q7" s="438" t="s">
        <v>86</v>
      </c>
      <c r="S7" s="503"/>
      <c r="T7" s="503"/>
      <c r="U7" s="503"/>
      <c r="V7" s="503"/>
      <c r="W7" s="503"/>
    </row>
    <row r="8" spans="1:23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502"/>
      <c r="H8" s="341" t="s">
        <v>93</v>
      </c>
      <c r="I8" s="915">
        <v>11600</v>
      </c>
      <c r="J8" s="915"/>
      <c r="K8" s="916">
        <f>ROUND(I8*E12+E11,0)</f>
        <v>4319</v>
      </c>
      <c r="L8" s="916"/>
      <c r="M8" s="916">
        <f>I8*F9</f>
        <v>15.818181818181817</v>
      </c>
      <c r="N8" s="916"/>
      <c r="O8" s="917">
        <f>I8*(D9/1000*E10)</f>
        <v>3480</v>
      </c>
      <c r="P8" s="918"/>
      <c r="Q8" s="439">
        <f>O8/M8</f>
        <v>220.00000000000003</v>
      </c>
      <c r="S8" s="503"/>
      <c r="T8" s="503"/>
      <c r="U8" s="503"/>
      <c r="V8" s="503"/>
      <c r="W8" s="503"/>
    </row>
    <row r="9" spans="1:23" ht="18" thickTop="1" thickBot="1">
      <c r="C9" s="332" t="s">
        <v>0</v>
      </c>
      <c r="D9" s="498">
        <v>1.3636363636363635</v>
      </c>
      <c r="E9" s="502" t="s">
        <v>8</v>
      </c>
      <c r="F9" s="502">
        <f>D9/1000</f>
        <v>1.3636363636363635E-3</v>
      </c>
      <c r="G9" s="502" t="s">
        <v>3</v>
      </c>
      <c r="H9" s="342" t="s">
        <v>95</v>
      </c>
      <c r="I9" s="905">
        <v>24250</v>
      </c>
      <c r="J9" s="905"/>
      <c r="K9" s="906">
        <f>ROUND(I9*E16+E15,0)</f>
        <v>3366</v>
      </c>
      <c r="L9" s="906"/>
      <c r="M9" s="906">
        <f>I9*F9</f>
        <v>33.068181818181813</v>
      </c>
      <c r="N9" s="906"/>
      <c r="O9" s="907">
        <f>I9*(D9/1000*E14)</f>
        <v>2711.5909090909086</v>
      </c>
      <c r="P9" s="908"/>
      <c r="Q9" s="440">
        <f>O9/M9</f>
        <v>82</v>
      </c>
      <c r="S9" s="503"/>
      <c r="T9" s="503"/>
      <c r="U9" s="503"/>
      <c r="V9" s="503"/>
      <c r="W9" s="503"/>
    </row>
    <row r="10" spans="1:23">
      <c r="C10" s="343" t="s">
        <v>12</v>
      </c>
      <c r="D10" s="344" t="s">
        <v>86</v>
      </c>
      <c r="E10" s="493">
        <v>220</v>
      </c>
      <c r="F10" s="344"/>
      <c r="G10" s="345"/>
    </row>
    <row r="11" spans="1:23">
      <c r="C11" s="346"/>
      <c r="D11" s="502" t="s">
        <v>88</v>
      </c>
      <c r="E11" s="498">
        <v>0</v>
      </c>
      <c r="F11" s="502" t="s">
        <v>97</v>
      </c>
      <c r="G11" s="335"/>
    </row>
    <row r="12" spans="1:23">
      <c r="C12" s="332" t="s">
        <v>92</v>
      </c>
      <c r="D12" s="502"/>
      <c r="E12" s="347">
        <f>F9*E10/D8</f>
        <v>0.37236363636363634</v>
      </c>
      <c r="F12" s="459" t="s">
        <v>1584</v>
      </c>
      <c r="G12" s="460">
        <f>1/E12</f>
        <v>2.685546875</v>
      </c>
    </row>
    <row r="13" spans="1:23">
      <c r="C13" s="348" t="s">
        <v>200</v>
      </c>
      <c r="D13" s="349"/>
      <c r="E13" s="350"/>
      <c r="F13" s="349">
        <f>F6/E12</f>
        <v>11000</v>
      </c>
      <c r="G13" s="351" t="s">
        <v>201</v>
      </c>
    </row>
    <row r="14" spans="1:23">
      <c r="C14" s="343" t="s">
        <v>35</v>
      </c>
      <c r="D14" s="344" t="s">
        <v>86</v>
      </c>
      <c r="E14" s="493">
        <v>82</v>
      </c>
      <c r="F14" s="344"/>
      <c r="G14" s="345"/>
      <c r="R14" s="461" t="s">
        <v>204</v>
      </c>
      <c r="S14" s="344"/>
      <c r="T14" s="344"/>
      <c r="U14" s="344"/>
      <c r="V14" s="376"/>
    </row>
    <row r="15" spans="1:23">
      <c r="C15" s="346"/>
      <c r="D15" s="502" t="s">
        <v>88</v>
      </c>
      <c r="E15" s="498">
        <v>0</v>
      </c>
      <c r="F15" s="502" t="s">
        <v>96</v>
      </c>
      <c r="G15" s="335"/>
      <c r="R15" s="462" t="s">
        <v>38</v>
      </c>
      <c r="S15" s="502"/>
      <c r="T15" s="502"/>
      <c r="U15" s="502"/>
      <c r="V15" s="379"/>
    </row>
    <row r="16" spans="1:23">
      <c r="C16" s="332" t="s">
        <v>92</v>
      </c>
      <c r="D16" s="502"/>
      <c r="E16" s="347">
        <f>F9*E14/D8</f>
        <v>0.13879008264462808</v>
      </c>
      <c r="F16" s="459" t="s">
        <v>1584</v>
      </c>
      <c r="G16" s="460">
        <f>1/E16</f>
        <v>7.2051257621951228</v>
      </c>
      <c r="R16" s="462" t="s">
        <v>205</v>
      </c>
      <c r="S16" s="502"/>
      <c r="T16" s="502"/>
      <c r="U16" s="502"/>
      <c r="V16" s="379"/>
    </row>
    <row r="17" spans="3:22">
      <c r="C17" s="348" t="s">
        <v>202</v>
      </c>
      <c r="D17" s="349"/>
      <c r="E17" s="350"/>
      <c r="F17" s="349">
        <f>F6/E16</f>
        <v>29512.195121951223</v>
      </c>
      <c r="G17" s="351" t="s">
        <v>201</v>
      </c>
      <c r="R17" s="462" t="s">
        <v>219</v>
      </c>
      <c r="S17" s="502"/>
      <c r="T17" s="502"/>
      <c r="U17" s="502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502"/>
      <c r="T18" s="502"/>
      <c r="U18" s="502"/>
      <c r="V18" s="379"/>
    </row>
    <row r="19" spans="3:22">
      <c r="C19" s="332"/>
      <c r="D19" s="502" t="s">
        <v>22</v>
      </c>
      <c r="E19" s="498">
        <v>56</v>
      </c>
      <c r="F19" s="502" t="s">
        <v>5</v>
      </c>
      <c r="G19" s="355">
        <f>(E19/(E18+E19))</f>
        <v>5.3030303030303032E-2</v>
      </c>
      <c r="H19" s="356"/>
      <c r="I19" s="909" t="s">
        <v>208</v>
      </c>
      <c r="J19" s="909"/>
      <c r="K19" s="910" t="s">
        <v>220</v>
      </c>
      <c r="L19" s="910"/>
      <c r="M19" s="910" t="s">
        <v>13</v>
      </c>
      <c r="N19" s="910"/>
      <c r="O19" s="910" t="s">
        <v>222</v>
      </c>
      <c r="P19" s="911"/>
      <c r="R19" s="462" t="s">
        <v>196</v>
      </c>
      <c r="S19" s="502"/>
      <c r="T19" s="502"/>
      <c r="U19" s="502"/>
      <c r="V19" s="379"/>
    </row>
    <row r="20" spans="3:22" ht="17.25" thickBot="1">
      <c r="C20" s="332"/>
      <c r="D20" s="502" t="s">
        <v>88</v>
      </c>
      <c r="E20" s="498">
        <v>0</v>
      </c>
      <c r="F20" s="502" t="s">
        <v>96</v>
      </c>
      <c r="G20" s="335"/>
      <c r="H20" s="357" t="s">
        <v>21</v>
      </c>
      <c r="I20" s="898">
        <v>21700</v>
      </c>
      <c r="J20" s="898"/>
      <c r="K20" s="899">
        <f>I20*E21</f>
        <v>1428.3342516069788</v>
      </c>
      <c r="L20" s="899"/>
      <c r="M20" s="900">
        <f>ROUND(K20,0)</f>
        <v>1428</v>
      </c>
      <c r="N20" s="900"/>
      <c r="O20" s="901">
        <f>I20*(E19/(E18+E19))</f>
        <v>1150.7575757575758</v>
      </c>
      <c r="P20" s="902"/>
      <c r="R20" s="462" t="s">
        <v>209</v>
      </c>
      <c r="S20" s="502"/>
      <c r="T20" s="502"/>
      <c r="U20" s="502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502"/>
      <c r="T21" s="502"/>
      <c r="U21" s="502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1.36363636363636mR</v>
      </c>
    </row>
    <row r="25" spans="3:22" ht="18" thickTop="1" thickBot="1">
      <c r="C25" s="501" t="s">
        <v>110</v>
      </c>
      <c r="D25" s="327" t="s">
        <v>99</v>
      </c>
      <c r="E25" s="372">
        <f>E12</f>
        <v>0.37236363636363634</v>
      </c>
      <c r="F25" s="327"/>
      <c r="G25" s="329"/>
    </row>
    <row r="26" spans="3:22">
      <c r="C26" s="884" t="s">
        <v>248</v>
      </c>
      <c r="D26" s="885"/>
      <c r="E26" s="498">
        <v>4500</v>
      </c>
      <c r="F26" s="502" t="s">
        <v>249</v>
      </c>
      <c r="G26" s="335"/>
      <c r="H26" s="896" t="s">
        <v>101</v>
      </c>
      <c r="I26" s="897"/>
      <c r="J26" s="495">
        <v>54</v>
      </c>
      <c r="K26" s="373"/>
      <c r="M26" s="892" t="s">
        <v>236</v>
      </c>
      <c r="N26" s="893"/>
      <c r="O26" s="385" t="s">
        <v>95</v>
      </c>
      <c r="P26" s="385" t="s">
        <v>232</v>
      </c>
      <c r="Q26" s="385"/>
      <c r="R26" s="385"/>
      <c r="S26" s="386"/>
    </row>
    <row r="27" spans="3:22">
      <c r="C27" s="884" t="s">
        <v>111</v>
      </c>
      <c r="D27" s="885"/>
      <c r="E27" s="502">
        <f>ROUND(E26*E25,0)</f>
        <v>1676</v>
      </c>
      <c r="F27" s="502"/>
      <c r="G27" s="335"/>
      <c r="H27" s="884" t="s">
        <v>109</v>
      </c>
      <c r="I27" s="885"/>
      <c r="J27" s="502">
        <f>ROUND(J26/E25,0)</f>
        <v>145</v>
      </c>
      <c r="K27" s="374"/>
      <c r="M27" s="903"/>
      <c r="N27" s="904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4" t="s">
        <v>104</v>
      </c>
      <c r="D28" s="885"/>
      <c r="E28" s="498">
        <v>875</v>
      </c>
      <c r="F28" s="502"/>
      <c r="G28" s="335"/>
      <c r="H28" s="375" t="s">
        <v>243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4" t="s">
        <v>105</v>
      </c>
      <c r="D29" s="885"/>
      <c r="E29" s="502">
        <f>E28-E27</f>
        <v>-801</v>
      </c>
      <c r="F29" s="502" t="s">
        <v>106</v>
      </c>
      <c r="G29" s="335"/>
      <c r="H29" s="377" t="str">
        <f>DEC2HEX(E29)</f>
        <v>FFFFFFFCDF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6" t="s">
        <v>230</v>
      </c>
      <c r="O30" s="499" t="s">
        <v>110</v>
      </c>
      <c r="P30" s="499" t="s">
        <v>115</v>
      </c>
      <c r="Q30" s="499"/>
      <c r="R30" s="499"/>
      <c r="S30" s="393"/>
    </row>
    <row r="31" spans="3:22" ht="17.25" thickTop="1">
      <c r="C31" s="501" t="s">
        <v>95</v>
      </c>
      <c r="D31" s="327" t="s">
        <v>99</v>
      </c>
      <c r="E31" s="372">
        <f>E16</f>
        <v>0.13879008264462808</v>
      </c>
      <c r="F31" s="327"/>
      <c r="G31" s="329"/>
      <c r="N31" s="887"/>
      <c r="O31" s="502"/>
      <c r="P31" s="502" t="s">
        <v>108</v>
      </c>
      <c r="Q31" s="502"/>
      <c r="R31" s="502"/>
      <c r="S31" s="394"/>
    </row>
    <row r="32" spans="3:22" ht="17.25" thickBot="1">
      <c r="C32" s="884" t="s">
        <v>252</v>
      </c>
      <c r="D32" s="885"/>
      <c r="E32" s="498">
        <v>8000</v>
      </c>
      <c r="F32" s="502" t="s">
        <v>249</v>
      </c>
      <c r="G32" s="335"/>
      <c r="H32" s="896" t="s">
        <v>101</v>
      </c>
      <c r="I32" s="897"/>
      <c r="J32" s="495">
        <v>30</v>
      </c>
      <c r="K32" s="373"/>
      <c r="N32" s="888"/>
      <c r="O32" s="500" t="s">
        <v>95</v>
      </c>
      <c r="P32" s="500" t="s">
        <v>112</v>
      </c>
      <c r="Q32" s="500"/>
      <c r="R32" s="500"/>
      <c r="S32" s="396"/>
    </row>
    <row r="33" spans="3:18">
      <c r="C33" s="884" t="s">
        <v>111</v>
      </c>
      <c r="D33" s="885"/>
      <c r="E33" s="502">
        <f>ROUND(E32*E31,0)</f>
        <v>1110</v>
      </c>
      <c r="F33" s="502"/>
      <c r="G33" s="335"/>
      <c r="H33" s="884" t="s">
        <v>109</v>
      </c>
      <c r="I33" s="885"/>
      <c r="J33" s="502">
        <f>ROUND(J32/E31,0)</f>
        <v>216</v>
      </c>
      <c r="K33" s="374"/>
    </row>
    <row r="34" spans="3:18">
      <c r="C34" s="884" t="s">
        <v>104</v>
      </c>
      <c r="D34" s="885"/>
      <c r="E34" s="498">
        <v>1358</v>
      </c>
      <c r="F34" s="502"/>
      <c r="G34" s="335"/>
      <c r="H34" s="375" t="s">
        <v>243</v>
      </c>
      <c r="I34" s="344"/>
      <c r="J34" s="376"/>
      <c r="K34" s="374"/>
    </row>
    <row r="35" spans="3:18">
      <c r="C35" s="884" t="s">
        <v>105</v>
      </c>
      <c r="D35" s="885"/>
      <c r="E35" s="502">
        <f>E34-E33</f>
        <v>248</v>
      </c>
      <c r="F35" s="502" t="s">
        <v>106</v>
      </c>
      <c r="G35" s="335"/>
      <c r="H35" s="377" t="str">
        <f>DEC2HEX(E35)</f>
        <v>F8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9" t="s">
        <v>102</v>
      </c>
      <c r="D40" s="890"/>
      <c r="E40" s="497">
        <v>30000</v>
      </c>
      <c r="F40" s="327"/>
      <c r="G40" s="329"/>
      <c r="H40" s="891" t="s">
        <v>101</v>
      </c>
      <c r="I40" s="891"/>
      <c r="J40" s="496">
        <v>6</v>
      </c>
      <c r="M40" s="892" t="s">
        <v>236</v>
      </c>
      <c r="N40" s="893"/>
      <c r="O40" s="385" t="s">
        <v>237</v>
      </c>
      <c r="P40" s="385"/>
      <c r="Q40" s="385"/>
      <c r="R40" s="386"/>
    </row>
    <row r="41" spans="3:18" ht="17.25" thickBot="1">
      <c r="C41" s="884" t="s">
        <v>111</v>
      </c>
      <c r="D41" s="885"/>
      <c r="E41" s="502">
        <f>ROUND(E40*E39,0)</f>
        <v>1975</v>
      </c>
      <c r="F41" s="502"/>
      <c r="G41" s="335"/>
      <c r="H41" s="891" t="s">
        <v>103</v>
      </c>
      <c r="I41" s="891"/>
      <c r="J41" s="318">
        <f>ROUND(J40/E39,0)</f>
        <v>91</v>
      </c>
      <c r="M41" s="894"/>
      <c r="N41" s="895"/>
      <c r="O41" s="390" t="s">
        <v>244</v>
      </c>
      <c r="P41" s="390" t="s">
        <v>239</v>
      </c>
      <c r="Q41" s="390"/>
      <c r="R41" s="391"/>
    </row>
    <row r="42" spans="3:18">
      <c r="C42" s="884" t="s">
        <v>104</v>
      </c>
      <c r="D42" s="885"/>
      <c r="E42" s="498">
        <v>1111</v>
      </c>
      <c r="F42" s="502"/>
      <c r="G42" s="335"/>
      <c r="H42" s="375" t="s">
        <v>243</v>
      </c>
      <c r="I42" s="344"/>
      <c r="J42" s="376"/>
    </row>
    <row r="43" spans="3:18" ht="17.25" thickBot="1">
      <c r="C43" s="884" t="s">
        <v>105</v>
      </c>
      <c r="D43" s="885"/>
      <c r="E43" s="502">
        <f>E42-E41</f>
        <v>-864</v>
      </c>
      <c r="F43" s="502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6" t="s">
        <v>230</v>
      </c>
      <c r="N44" s="499" t="s">
        <v>170</v>
      </c>
      <c r="O44" s="499"/>
      <c r="P44" s="499"/>
      <c r="Q44" s="393"/>
    </row>
    <row r="45" spans="3:18" ht="17.25" thickTop="1">
      <c r="M45" s="887"/>
      <c r="N45" s="502" t="s">
        <v>108</v>
      </c>
      <c r="O45" s="502"/>
      <c r="P45" s="502"/>
      <c r="Q45" s="394"/>
    </row>
    <row r="46" spans="3:18" ht="17.25" thickBot="1">
      <c r="M46" s="888"/>
      <c r="N46" s="500"/>
      <c r="O46" s="500"/>
      <c r="P46" s="500"/>
      <c r="Q46" s="396"/>
    </row>
  </sheetData>
  <sheetProtection password="EE63" sheet="1" objects="1" scenarios="1"/>
  <mergeCells count="42"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O20:P20"/>
    <mergeCell ref="C26:D26"/>
    <mergeCell ref="H26:I26"/>
    <mergeCell ref="M26:N27"/>
    <mergeCell ref="C27:D27"/>
    <mergeCell ref="H27:I27"/>
    <mergeCell ref="I9:J9"/>
    <mergeCell ref="K9:L9"/>
    <mergeCell ref="M9:N9"/>
    <mergeCell ref="O9:P9"/>
    <mergeCell ref="I19:J19"/>
    <mergeCell ref="K19:L19"/>
    <mergeCell ref="M19:N19"/>
    <mergeCell ref="O19:P19"/>
    <mergeCell ref="I7:J7"/>
    <mergeCell ref="K7:L7"/>
    <mergeCell ref="M7:N7"/>
    <mergeCell ref="O7:P7"/>
    <mergeCell ref="I8:J8"/>
    <mergeCell ref="K8:L8"/>
    <mergeCell ref="M8:N8"/>
    <mergeCell ref="O8:P8"/>
  </mergeCells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>
    <tabColor rgb="FFFFC000"/>
  </sheetPr>
  <dimension ref="A1:V46"/>
  <sheetViews>
    <sheetView zoomScale="70" zoomScaleNormal="70" workbookViewId="0">
      <selection activeCell="M13" sqref="M13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17516</v>
      </c>
      <c r="G2" s="470" t="s">
        <v>216</v>
      </c>
      <c r="H2" s="490">
        <v>2014</v>
      </c>
      <c r="I2" s="468"/>
      <c r="J2" s="470" t="s">
        <v>217</v>
      </c>
      <c r="K2" s="490">
        <v>3</v>
      </c>
      <c r="L2" s="468"/>
      <c r="M2" s="468" t="s">
        <v>218</v>
      </c>
      <c r="N2" s="491">
        <v>12</v>
      </c>
    </row>
    <row r="3" spans="1:22" ht="18" thickTop="1" thickBot="1">
      <c r="C3" s="471"/>
      <c r="D3" s="472"/>
      <c r="E3" s="473" t="s">
        <v>519</v>
      </c>
      <c r="F3" s="489">
        <v>17457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1</v>
      </c>
      <c r="L3" s="476"/>
      <c r="M3" s="476" t="s">
        <v>218</v>
      </c>
      <c r="N3" s="477">
        <f>F3-((H3-1980)*512+K3*32)</f>
        <v>17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12" t="s">
        <v>94</v>
      </c>
      <c r="J7" s="912"/>
      <c r="K7" s="913" t="s">
        <v>13</v>
      </c>
      <c r="L7" s="913"/>
      <c r="M7" s="913" t="s">
        <v>1380</v>
      </c>
      <c r="N7" s="913"/>
      <c r="O7" s="913" t="s">
        <v>222</v>
      </c>
      <c r="P7" s="914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5">
        <v>4500</v>
      </c>
      <c r="J8" s="915"/>
      <c r="K8" s="916">
        <f>ROUND(I8*E12+E11,0)</f>
        <v>1206</v>
      </c>
      <c r="L8" s="916"/>
      <c r="M8" s="916">
        <f>I8*F9</f>
        <v>5.3999999999999995</v>
      </c>
      <c r="N8" s="916"/>
      <c r="O8" s="917">
        <f>I8*(D9/1000*E10)</f>
        <v>971.99999999999989</v>
      </c>
      <c r="P8" s="918"/>
      <c r="Q8" s="439">
        <f>O8/M8</f>
        <v>180</v>
      </c>
    </row>
    <row r="9" spans="1:22" ht="18" thickTop="1" thickBot="1">
      <c r="C9" s="332" t="s">
        <v>0</v>
      </c>
      <c r="D9" s="492">
        <v>1.2</v>
      </c>
      <c r="E9" s="444" t="s">
        <v>8</v>
      </c>
      <c r="F9" s="444">
        <f>D9/1000</f>
        <v>1.1999999999999999E-3</v>
      </c>
      <c r="G9" s="444" t="s">
        <v>3</v>
      </c>
      <c r="H9" s="342" t="s">
        <v>95</v>
      </c>
      <c r="I9" s="905">
        <v>2000</v>
      </c>
      <c r="J9" s="905"/>
      <c r="K9" s="906">
        <f>ROUND(I9*E16+E15,0)</f>
        <v>298</v>
      </c>
      <c r="L9" s="906"/>
      <c r="M9" s="906">
        <f>I9*F9</f>
        <v>2.4</v>
      </c>
      <c r="N9" s="906"/>
      <c r="O9" s="907">
        <f>I9*(D9/1000*E14)</f>
        <v>240</v>
      </c>
      <c r="P9" s="908"/>
      <c r="Q9" s="440">
        <f>O9/M9</f>
        <v>100</v>
      </c>
    </row>
    <row r="10" spans="1:22">
      <c r="C10" s="343" t="s">
        <v>12</v>
      </c>
      <c r="D10" s="344" t="s">
        <v>86</v>
      </c>
      <c r="E10" s="493">
        <v>180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0.26810181818181816</v>
      </c>
      <c r="F12" s="459" t="s">
        <v>1585</v>
      </c>
      <c r="G12" s="460">
        <f>1/E12</f>
        <v>3.7299262152777781</v>
      </c>
    </row>
    <row r="13" spans="1:22">
      <c r="C13" s="348" t="s">
        <v>200</v>
      </c>
      <c r="D13" s="349"/>
      <c r="E13" s="350"/>
      <c r="F13" s="349">
        <f>F6/E12</f>
        <v>15277.777777777779</v>
      </c>
      <c r="G13" s="351" t="s">
        <v>201</v>
      </c>
    </row>
    <row r="14" spans="1:22">
      <c r="C14" s="343" t="s">
        <v>35</v>
      </c>
      <c r="D14" s="344" t="s">
        <v>86</v>
      </c>
      <c r="E14" s="493">
        <v>100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0.14894545454545455</v>
      </c>
      <c r="F16" s="459" t="s">
        <v>1584</v>
      </c>
      <c r="G16" s="460">
        <f>1/E16</f>
        <v>6.7138671875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27500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09" t="s">
        <v>208</v>
      </c>
      <c r="J19" s="909"/>
      <c r="K19" s="910" t="s">
        <v>220</v>
      </c>
      <c r="L19" s="910"/>
      <c r="M19" s="910" t="s">
        <v>13</v>
      </c>
      <c r="N19" s="910"/>
      <c r="O19" s="910" t="s">
        <v>223</v>
      </c>
      <c r="P19" s="911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8">
        <v>24800</v>
      </c>
      <c r="J20" s="898"/>
      <c r="K20" s="899">
        <f>I20*E21</f>
        <v>1632.3820018365473</v>
      </c>
      <c r="L20" s="899"/>
      <c r="M20" s="900">
        <f>ROUND(K20,0)</f>
        <v>1632</v>
      </c>
      <c r="N20" s="900"/>
      <c r="O20" s="901">
        <f>I20*(E19/(E18+E19))</f>
        <v>1315.1515151515152</v>
      </c>
      <c r="P20" s="902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1.2mR</v>
      </c>
    </row>
    <row r="25" spans="3:22" ht="18" thickTop="1" thickBot="1">
      <c r="C25" s="443" t="s">
        <v>110</v>
      </c>
      <c r="D25" s="327" t="s">
        <v>99</v>
      </c>
      <c r="E25" s="372">
        <f>E12</f>
        <v>0.26810181818181816</v>
      </c>
      <c r="F25" s="327"/>
      <c r="G25" s="329"/>
    </row>
    <row r="26" spans="3:22">
      <c r="C26" s="884" t="s">
        <v>248</v>
      </c>
      <c r="D26" s="885"/>
      <c r="E26" s="492">
        <v>10400</v>
      </c>
      <c r="F26" s="444" t="s">
        <v>249</v>
      </c>
      <c r="G26" s="335"/>
      <c r="H26" s="896" t="s">
        <v>101</v>
      </c>
      <c r="I26" s="897"/>
      <c r="J26" s="495">
        <v>11</v>
      </c>
      <c r="K26" s="373"/>
      <c r="M26" s="892" t="s">
        <v>236</v>
      </c>
      <c r="N26" s="893"/>
      <c r="O26" s="385" t="s">
        <v>231</v>
      </c>
      <c r="P26" s="385" t="s">
        <v>232</v>
      </c>
      <c r="Q26" s="385"/>
      <c r="R26" s="385"/>
      <c r="S26" s="386"/>
    </row>
    <row r="27" spans="3:22">
      <c r="C27" s="884" t="s">
        <v>111</v>
      </c>
      <c r="D27" s="885"/>
      <c r="E27" s="444">
        <f>ROUND(E26*E25,0)</f>
        <v>2788</v>
      </c>
      <c r="F27" s="444"/>
      <c r="G27" s="335"/>
      <c r="H27" s="884" t="s">
        <v>109</v>
      </c>
      <c r="I27" s="885"/>
      <c r="J27" s="444">
        <f>ROUND(J26/E25,0)</f>
        <v>41</v>
      </c>
      <c r="K27" s="374"/>
      <c r="M27" s="903"/>
      <c r="N27" s="904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4" t="s">
        <v>104</v>
      </c>
      <c r="D28" s="885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4" t="s">
        <v>105</v>
      </c>
      <c r="D29" s="885"/>
      <c r="E29" s="444">
        <f>E28-E27</f>
        <v>-1913</v>
      </c>
      <c r="F29" s="444" t="s">
        <v>106</v>
      </c>
      <c r="G29" s="335"/>
      <c r="H29" s="377" t="str">
        <f>DEC2HEX(E29)</f>
        <v>FFFFFFF887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6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0.14894545454545455</v>
      </c>
      <c r="F31" s="327"/>
      <c r="G31" s="329"/>
      <c r="N31" s="887"/>
      <c r="O31" s="444"/>
      <c r="P31" s="444" t="s">
        <v>108</v>
      </c>
      <c r="Q31" s="444"/>
      <c r="R31" s="444"/>
      <c r="S31" s="394"/>
    </row>
    <row r="32" spans="3:22" ht="17.25" thickBot="1">
      <c r="C32" s="884" t="s">
        <v>252</v>
      </c>
      <c r="D32" s="885"/>
      <c r="E32" s="492">
        <v>10400</v>
      </c>
      <c r="F32" s="444" t="s">
        <v>249</v>
      </c>
      <c r="G32" s="335"/>
      <c r="H32" s="896" t="s">
        <v>101</v>
      </c>
      <c r="I32" s="897"/>
      <c r="J32" s="495">
        <v>417</v>
      </c>
      <c r="K32" s="373"/>
      <c r="N32" s="888"/>
      <c r="O32" s="441" t="s">
        <v>95</v>
      </c>
      <c r="P32" s="441" t="s">
        <v>112</v>
      </c>
      <c r="Q32" s="441"/>
      <c r="R32" s="441"/>
      <c r="S32" s="396"/>
    </row>
    <row r="33" spans="3:18">
      <c r="C33" s="884" t="s">
        <v>111</v>
      </c>
      <c r="D33" s="885"/>
      <c r="E33" s="444">
        <f>ROUND(E32*E31,0)</f>
        <v>1549</v>
      </c>
      <c r="F33" s="444"/>
      <c r="G33" s="335"/>
      <c r="H33" s="884" t="s">
        <v>109</v>
      </c>
      <c r="I33" s="885"/>
      <c r="J33" s="444">
        <f>ROUND(J32/E31,0)</f>
        <v>2800</v>
      </c>
      <c r="K33" s="374"/>
    </row>
    <row r="34" spans="3:18">
      <c r="C34" s="884" t="s">
        <v>104</v>
      </c>
      <c r="D34" s="885"/>
      <c r="E34" s="492">
        <v>495</v>
      </c>
      <c r="F34" s="444"/>
      <c r="G34" s="335"/>
      <c r="H34" s="375" t="s">
        <v>254</v>
      </c>
      <c r="I34" s="344"/>
      <c r="J34" s="376"/>
      <c r="K34" s="374"/>
    </row>
    <row r="35" spans="3:18">
      <c r="C35" s="884" t="s">
        <v>105</v>
      </c>
      <c r="D35" s="885"/>
      <c r="E35" s="444">
        <f>E34-E33</f>
        <v>-1054</v>
      </c>
      <c r="F35" s="444" t="s">
        <v>106</v>
      </c>
      <c r="G35" s="335"/>
      <c r="H35" s="377" t="str">
        <f>DEC2HEX(E35)</f>
        <v>FFFFFFFBE2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9" t="s">
        <v>102</v>
      </c>
      <c r="D40" s="890"/>
      <c r="E40" s="497">
        <v>30000</v>
      </c>
      <c r="F40" s="327"/>
      <c r="G40" s="329"/>
      <c r="H40" s="891" t="s">
        <v>101</v>
      </c>
      <c r="I40" s="891"/>
      <c r="J40" s="496">
        <v>6</v>
      </c>
      <c r="M40" s="892" t="s">
        <v>236</v>
      </c>
      <c r="N40" s="893"/>
      <c r="O40" s="385" t="s">
        <v>237</v>
      </c>
      <c r="P40" s="385"/>
      <c r="Q40" s="385"/>
      <c r="R40" s="386"/>
    </row>
    <row r="41" spans="3:18" ht="17.25" thickBot="1">
      <c r="C41" s="884" t="s">
        <v>111</v>
      </c>
      <c r="D41" s="885"/>
      <c r="E41" s="444">
        <f>ROUND(E40*E39,0)</f>
        <v>1975</v>
      </c>
      <c r="F41" s="444"/>
      <c r="G41" s="335"/>
      <c r="H41" s="891" t="s">
        <v>103</v>
      </c>
      <c r="I41" s="891"/>
      <c r="J41" s="318">
        <f>ROUND(J40/E39,0)</f>
        <v>91</v>
      </c>
      <c r="M41" s="894"/>
      <c r="N41" s="895"/>
      <c r="O41" s="390" t="s">
        <v>244</v>
      </c>
      <c r="P41" s="390" t="s">
        <v>239</v>
      </c>
      <c r="Q41" s="390"/>
      <c r="R41" s="391"/>
    </row>
    <row r="42" spans="3:18">
      <c r="C42" s="884" t="s">
        <v>104</v>
      </c>
      <c r="D42" s="885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84" t="s">
        <v>105</v>
      </c>
      <c r="D43" s="885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6" t="s">
        <v>230</v>
      </c>
      <c r="N44" s="442" t="s">
        <v>170</v>
      </c>
      <c r="O44" s="442"/>
      <c r="P44" s="442"/>
      <c r="Q44" s="393"/>
    </row>
    <row r="45" spans="3:18" ht="17.25" thickTop="1">
      <c r="M45" s="887"/>
      <c r="N45" s="444" t="s">
        <v>108</v>
      </c>
      <c r="O45" s="444"/>
      <c r="P45" s="444"/>
      <c r="Q45" s="394"/>
    </row>
    <row r="46" spans="3:18" ht="17.25" thickBot="1">
      <c r="M46" s="888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W46"/>
  <sheetViews>
    <sheetView zoomScale="70" zoomScaleNormal="70" workbookViewId="0">
      <selection activeCell="K13" sqref="K13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3" ht="17.25" thickBot="1">
      <c r="A1" s="481" t="s">
        <v>1586</v>
      </c>
      <c r="S1" s="318" t="s">
        <v>1596</v>
      </c>
    </row>
    <row r="2" spans="1:23" ht="17.25" thickBot="1">
      <c r="A2" s="481" t="s">
        <v>1587</v>
      </c>
      <c r="C2" s="467" t="s">
        <v>215</v>
      </c>
      <c r="D2" s="468"/>
      <c r="E2" s="468"/>
      <c r="F2" s="469">
        <f>(H2-1980)*512+K2*32+N2</f>
        <v>17545</v>
      </c>
      <c r="G2" s="470" t="s">
        <v>216</v>
      </c>
      <c r="H2" s="490">
        <v>2014</v>
      </c>
      <c r="I2" s="468"/>
      <c r="J2" s="470" t="s">
        <v>217</v>
      </c>
      <c r="K2" s="490">
        <v>4</v>
      </c>
      <c r="L2" s="468"/>
      <c r="M2" s="468" t="s">
        <v>218</v>
      </c>
      <c r="N2" s="491">
        <v>9</v>
      </c>
      <c r="S2" s="503" t="s">
        <v>1597</v>
      </c>
      <c r="T2" s="503" t="s">
        <v>1598</v>
      </c>
      <c r="U2" s="503"/>
      <c r="V2" s="503"/>
      <c r="W2" s="503"/>
    </row>
    <row r="3" spans="1:23" ht="18" thickTop="1" thickBot="1">
      <c r="C3" s="471"/>
      <c r="D3" s="472"/>
      <c r="E3" s="473" t="s">
        <v>519</v>
      </c>
      <c r="F3" s="489">
        <v>17516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3</v>
      </c>
      <c r="L3" s="476"/>
      <c r="M3" s="476" t="s">
        <v>218</v>
      </c>
      <c r="N3" s="477">
        <f>F3-((H3-1980)*512+K3*32)</f>
        <v>12</v>
      </c>
      <c r="S3" s="503" t="s">
        <v>1599</v>
      </c>
      <c r="T3" s="503">
        <f>1/((1/5)+(1/5)+(1/3))</f>
        <v>1.3636363636363635</v>
      </c>
      <c r="U3" s="503"/>
      <c r="V3" s="503"/>
      <c r="W3" s="503"/>
    </row>
    <row r="4" spans="1:23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  <c r="S4" s="503"/>
      <c r="T4" s="503"/>
      <c r="U4" s="503"/>
      <c r="V4" s="503"/>
      <c r="W4" s="503"/>
    </row>
    <row r="5" spans="1:23">
      <c r="C5" s="466" t="s">
        <v>14</v>
      </c>
      <c r="D5" s="854"/>
      <c r="E5" s="854"/>
      <c r="F5" s="336"/>
      <c r="G5" s="335"/>
      <c r="H5" s="487" t="s">
        <v>91</v>
      </c>
      <c r="I5" s="487"/>
      <c r="J5" s="487"/>
      <c r="K5" s="488"/>
      <c r="L5" s="488"/>
      <c r="M5" s="488"/>
      <c r="N5" s="488"/>
      <c r="S5" s="503"/>
      <c r="T5" s="503"/>
      <c r="U5" s="503"/>
      <c r="V5" s="503"/>
      <c r="W5" s="503"/>
    </row>
    <row r="6" spans="1:23" ht="17.25" thickBot="1">
      <c r="C6" s="332" t="s">
        <v>15</v>
      </c>
      <c r="D6" s="853">
        <v>12</v>
      </c>
      <c r="E6" s="85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  <c r="S6" s="503"/>
      <c r="T6" s="503"/>
      <c r="U6" s="503"/>
      <c r="V6" s="503"/>
      <c r="W6" s="503"/>
    </row>
    <row r="7" spans="1:23">
      <c r="C7" s="332" t="s">
        <v>17</v>
      </c>
      <c r="D7" s="853">
        <v>3.3</v>
      </c>
      <c r="E7" s="854" t="s">
        <v>18</v>
      </c>
      <c r="F7" s="336"/>
      <c r="G7" s="854"/>
      <c r="H7" s="337"/>
      <c r="I7" s="912" t="s">
        <v>94</v>
      </c>
      <c r="J7" s="912"/>
      <c r="K7" s="913" t="s">
        <v>13</v>
      </c>
      <c r="L7" s="913"/>
      <c r="M7" s="913" t="s">
        <v>1380</v>
      </c>
      <c r="N7" s="913"/>
      <c r="O7" s="913" t="s">
        <v>222</v>
      </c>
      <c r="P7" s="914"/>
      <c r="Q7" s="438" t="s">
        <v>86</v>
      </c>
      <c r="S7" s="503"/>
      <c r="T7" s="503"/>
      <c r="U7" s="503"/>
      <c r="V7" s="503"/>
      <c r="W7" s="503"/>
    </row>
    <row r="8" spans="1:23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854"/>
      <c r="H8" s="341" t="s">
        <v>93</v>
      </c>
      <c r="I8" s="915">
        <v>11600</v>
      </c>
      <c r="J8" s="915"/>
      <c r="K8" s="916">
        <f>ROUND(I8*E12+E11,0)</f>
        <v>4319</v>
      </c>
      <c r="L8" s="916"/>
      <c r="M8" s="916">
        <f>I8*F9</f>
        <v>15.818181818181817</v>
      </c>
      <c r="N8" s="916"/>
      <c r="O8" s="917">
        <f>I8*(D9/1000*E10)</f>
        <v>3480</v>
      </c>
      <c r="P8" s="918"/>
      <c r="Q8" s="439">
        <f>O8/M8</f>
        <v>220.00000000000003</v>
      </c>
      <c r="S8" s="503"/>
      <c r="T8" s="503"/>
      <c r="U8" s="503"/>
      <c r="V8" s="503"/>
      <c r="W8" s="503"/>
    </row>
    <row r="9" spans="1:23" ht="18" thickTop="1" thickBot="1">
      <c r="C9" s="332" t="s">
        <v>0</v>
      </c>
      <c r="D9" s="853">
        <v>1.3636363636363635</v>
      </c>
      <c r="E9" s="854" t="s">
        <v>8</v>
      </c>
      <c r="F9" s="854">
        <f>D9/1000</f>
        <v>1.3636363636363635E-3</v>
      </c>
      <c r="G9" s="854" t="s">
        <v>3</v>
      </c>
      <c r="H9" s="342" t="s">
        <v>95</v>
      </c>
      <c r="I9" s="905">
        <v>120</v>
      </c>
      <c r="J9" s="905"/>
      <c r="K9" s="906">
        <f>ROUND(I9*E16+E15,0)</f>
        <v>14</v>
      </c>
      <c r="L9" s="906"/>
      <c r="M9" s="906">
        <f>I9*F9</f>
        <v>0.16363636363636364</v>
      </c>
      <c r="N9" s="906"/>
      <c r="O9" s="907">
        <f>I9*(D9/1000*E14)</f>
        <v>11.143636363636361</v>
      </c>
      <c r="P9" s="908"/>
      <c r="Q9" s="440">
        <f>O9/M9</f>
        <v>68.09999999999998</v>
      </c>
      <c r="S9" s="503"/>
      <c r="T9" s="503"/>
      <c r="U9" s="503"/>
      <c r="V9" s="503"/>
      <c r="W9" s="503"/>
    </row>
    <row r="10" spans="1:23">
      <c r="C10" s="343" t="s">
        <v>12</v>
      </c>
      <c r="D10" s="344" t="s">
        <v>86</v>
      </c>
      <c r="E10" s="493">
        <v>220</v>
      </c>
      <c r="F10" s="344"/>
      <c r="G10" s="345"/>
    </row>
    <row r="11" spans="1:23">
      <c r="C11" s="346"/>
      <c r="D11" s="854" t="s">
        <v>88</v>
      </c>
      <c r="E11" s="853">
        <v>0</v>
      </c>
      <c r="F11" s="854" t="s">
        <v>97</v>
      </c>
      <c r="G11" s="335"/>
    </row>
    <row r="12" spans="1:23">
      <c r="C12" s="332" t="s">
        <v>92</v>
      </c>
      <c r="D12" s="854"/>
      <c r="E12" s="347">
        <f>F9*E10/D8</f>
        <v>0.37236363636363634</v>
      </c>
      <c r="F12" s="459" t="s">
        <v>1584</v>
      </c>
      <c r="G12" s="460">
        <f>1/E12</f>
        <v>2.685546875</v>
      </c>
    </row>
    <row r="13" spans="1:23">
      <c r="C13" s="348" t="s">
        <v>200</v>
      </c>
      <c r="D13" s="349"/>
      <c r="E13" s="350"/>
      <c r="F13" s="349">
        <f>F6/E12</f>
        <v>11000</v>
      </c>
      <c r="G13" s="351" t="s">
        <v>201</v>
      </c>
    </row>
    <row r="14" spans="1:23">
      <c r="C14" s="343" t="s">
        <v>35</v>
      </c>
      <c r="D14" s="344" t="s">
        <v>86</v>
      </c>
      <c r="E14" s="493">
        <v>68.099999999999994</v>
      </c>
      <c r="F14" s="344"/>
      <c r="G14" s="345"/>
      <c r="R14" s="461" t="s">
        <v>204</v>
      </c>
      <c r="S14" s="344"/>
      <c r="T14" s="344"/>
      <c r="U14" s="344"/>
      <c r="V14" s="376"/>
    </row>
    <row r="15" spans="1:23">
      <c r="C15" s="346"/>
      <c r="D15" s="854" t="s">
        <v>88</v>
      </c>
      <c r="E15" s="853">
        <v>0</v>
      </c>
      <c r="F15" s="854" t="s">
        <v>96</v>
      </c>
      <c r="G15" s="335"/>
      <c r="R15" s="462" t="s">
        <v>38</v>
      </c>
      <c r="S15" s="854"/>
      <c r="T15" s="854"/>
      <c r="U15" s="854"/>
      <c r="V15" s="379"/>
    </row>
    <row r="16" spans="1:23">
      <c r="C16" s="332" t="s">
        <v>92</v>
      </c>
      <c r="D16" s="854"/>
      <c r="E16" s="347">
        <f>F9*E14/D8</f>
        <v>0.11526347107438013</v>
      </c>
      <c r="F16" s="459" t="s">
        <v>1584</v>
      </c>
      <c r="G16" s="460">
        <f>1/E16</f>
        <v>8.6757755139500752</v>
      </c>
      <c r="R16" s="462" t="s">
        <v>205</v>
      </c>
      <c r="S16" s="854"/>
      <c r="T16" s="854"/>
      <c r="U16" s="854"/>
      <c r="V16" s="379"/>
    </row>
    <row r="17" spans="3:22">
      <c r="C17" s="348" t="s">
        <v>202</v>
      </c>
      <c r="D17" s="349"/>
      <c r="E17" s="350"/>
      <c r="F17" s="349">
        <f>F6/E16</f>
        <v>35535.976505139508</v>
      </c>
      <c r="G17" s="351" t="s">
        <v>201</v>
      </c>
      <c r="R17" s="462" t="s">
        <v>219</v>
      </c>
      <c r="S17" s="854"/>
      <c r="T17" s="854"/>
      <c r="U17" s="85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854"/>
      <c r="T18" s="854"/>
      <c r="U18" s="854"/>
      <c r="V18" s="379"/>
    </row>
    <row r="19" spans="3:22">
      <c r="C19" s="332"/>
      <c r="D19" s="854" t="s">
        <v>22</v>
      </c>
      <c r="E19" s="853">
        <v>56</v>
      </c>
      <c r="F19" s="854" t="s">
        <v>5</v>
      </c>
      <c r="G19" s="355">
        <f>(E19/(E18+E19))</f>
        <v>5.3030303030303032E-2</v>
      </c>
      <c r="H19" s="356"/>
      <c r="I19" s="909" t="s">
        <v>208</v>
      </c>
      <c r="J19" s="909"/>
      <c r="K19" s="910" t="s">
        <v>220</v>
      </c>
      <c r="L19" s="910"/>
      <c r="M19" s="910" t="s">
        <v>13</v>
      </c>
      <c r="N19" s="910"/>
      <c r="O19" s="910" t="s">
        <v>222</v>
      </c>
      <c r="P19" s="911"/>
      <c r="R19" s="462" t="s">
        <v>196</v>
      </c>
      <c r="S19" s="854"/>
      <c r="T19" s="854"/>
      <c r="U19" s="854"/>
      <c r="V19" s="379"/>
    </row>
    <row r="20" spans="3:22" ht="17.25" thickBot="1">
      <c r="C20" s="332"/>
      <c r="D20" s="854" t="s">
        <v>88</v>
      </c>
      <c r="E20" s="853">
        <v>0</v>
      </c>
      <c r="F20" s="854" t="s">
        <v>96</v>
      </c>
      <c r="G20" s="335"/>
      <c r="H20" s="357" t="s">
        <v>21</v>
      </c>
      <c r="I20" s="898">
        <v>21700</v>
      </c>
      <c r="J20" s="898"/>
      <c r="K20" s="899">
        <f>I20*E21</f>
        <v>1428.3342516069788</v>
      </c>
      <c r="L20" s="899"/>
      <c r="M20" s="900">
        <f>ROUND(K20,0)</f>
        <v>1428</v>
      </c>
      <c r="N20" s="900"/>
      <c r="O20" s="901">
        <f>I20*(E19/(E18+E19))</f>
        <v>1150.7575757575758</v>
      </c>
      <c r="P20" s="902"/>
      <c r="R20" s="462" t="s">
        <v>209</v>
      </c>
      <c r="S20" s="854"/>
      <c r="T20" s="854"/>
      <c r="U20" s="85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854"/>
      <c r="T21" s="854"/>
      <c r="U21" s="85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1.36363636363636mR</v>
      </c>
    </row>
    <row r="25" spans="3:22" ht="18" thickTop="1" thickBot="1">
      <c r="C25" s="850" t="s">
        <v>110</v>
      </c>
      <c r="D25" s="327" t="s">
        <v>99</v>
      </c>
      <c r="E25" s="372">
        <f>E12</f>
        <v>0.37236363636363634</v>
      </c>
      <c r="F25" s="327"/>
      <c r="G25" s="329"/>
    </row>
    <row r="26" spans="3:22">
      <c r="C26" s="884" t="s">
        <v>248</v>
      </c>
      <c r="D26" s="885"/>
      <c r="E26" s="853">
        <v>4500</v>
      </c>
      <c r="F26" s="854" t="s">
        <v>249</v>
      </c>
      <c r="G26" s="335"/>
      <c r="H26" s="896" t="s">
        <v>101</v>
      </c>
      <c r="I26" s="897"/>
      <c r="J26" s="495">
        <v>54</v>
      </c>
      <c r="K26" s="373"/>
      <c r="M26" s="892" t="s">
        <v>236</v>
      </c>
      <c r="N26" s="893"/>
      <c r="O26" s="385" t="s">
        <v>95</v>
      </c>
      <c r="P26" s="385" t="s">
        <v>232</v>
      </c>
      <c r="Q26" s="385"/>
      <c r="R26" s="385"/>
      <c r="S26" s="386"/>
    </row>
    <row r="27" spans="3:22">
      <c r="C27" s="884" t="s">
        <v>111</v>
      </c>
      <c r="D27" s="885"/>
      <c r="E27" s="854">
        <f>ROUND(E26*E25,0)</f>
        <v>1676</v>
      </c>
      <c r="F27" s="854"/>
      <c r="G27" s="335"/>
      <c r="H27" s="884" t="s">
        <v>109</v>
      </c>
      <c r="I27" s="885"/>
      <c r="J27" s="854">
        <f>ROUND(J26/E25,0)</f>
        <v>145</v>
      </c>
      <c r="K27" s="374"/>
      <c r="M27" s="903"/>
      <c r="N27" s="904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4" t="s">
        <v>104</v>
      </c>
      <c r="D28" s="885"/>
      <c r="E28" s="853">
        <v>875</v>
      </c>
      <c r="F28" s="854"/>
      <c r="G28" s="335"/>
      <c r="H28" s="375" t="s">
        <v>243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4" t="s">
        <v>105</v>
      </c>
      <c r="D29" s="885"/>
      <c r="E29" s="854">
        <f>E28-E27</f>
        <v>-801</v>
      </c>
      <c r="F29" s="854" t="s">
        <v>106</v>
      </c>
      <c r="G29" s="335"/>
      <c r="H29" s="377" t="str">
        <f>DEC2HEX(E29)</f>
        <v>FFFFFFFCDF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6" t="s">
        <v>230</v>
      </c>
      <c r="O30" s="852" t="s">
        <v>110</v>
      </c>
      <c r="P30" s="852" t="s">
        <v>115</v>
      </c>
      <c r="Q30" s="852"/>
      <c r="R30" s="852"/>
      <c r="S30" s="393"/>
    </row>
    <row r="31" spans="3:22" ht="17.25" thickTop="1">
      <c r="C31" s="850" t="s">
        <v>95</v>
      </c>
      <c r="D31" s="327" t="s">
        <v>99</v>
      </c>
      <c r="E31" s="372">
        <f>E16</f>
        <v>0.11526347107438013</v>
      </c>
      <c r="F31" s="327"/>
      <c r="G31" s="329"/>
      <c r="N31" s="887"/>
      <c r="O31" s="854"/>
      <c r="P31" s="854" t="s">
        <v>108</v>
      </c>
      <c r="Q31" s="854"/>
      <c r="R31" s="854"/>
      <c r="S31" s="394"/>
    </row>
    <row r="32" spans="3:22" ht="17.25" thickBot="1">
      <c r="C32" s="884" t="s">
        <v>252</v>
      </c>
      <c r="D32" s="885"/>
      <c r="E32" s="853">
        <v>8000</v>
      </c>
      <c r="F32" s="854" t="s">
        <v>249</v>
      </c>
      <c r="G32" s="335"/>
      <c r="H32" s="896" t="s">
        <v>101</v>
      </c>
      <c r="I32" s="897"/>
      <c r="J32" s="495">
        <v>30</v>
      </c>
      <c r="K32" s="373"/>
      <c r="N32" s="888"/>
      <c r="O32" s="851" t="s">
        <v>95</v>
      </c>
      <c r="P32" s="851" t="s">
        <v>112</v>
      </c>
      <c r="Q32" s="851"/>
      <c r="R32" s="851"/>
      <c r="S32" s="396"/>
    </row>
    <row r="33" spans="3:18">
      <c r="C33" s="884" t="s">
        <v>111</v>
      </c>
      <c r="D33" s="885"/>
      <c r="E33" s="854">
        <f>ROUND(E32*E31,0)</f>
        <v>922</v>
      </c>
      <c r="F33" s="854"/>
      <c r="G33" s="335"/>
      <c r="H33" s="884" t="s">
        <v>109</v>
      </c>
      <c r="I33" s="885"/>
      <c r="J33" s="854">
        <f>ROUND(J32/E31,0)</f>
        <v>260</v>
      </c>
      <c r="K33" s="374"/>
    </row>
    <row r="34" spans="3:18">
      <c r="C34" s="884" t="s">
        <v>104</v>
      </c>
      <c r="D34" s="885"/>
      <c r="E34" s="853">
        <v>1358</v>
      </c>
      <c r="F34" s="854"/>
      <c r="G34" s="335"/>
      <c r="H34" s="375" t="s">
        <v>243</v>
      </c>
      <c r="I34" s="344"/>
      <c r="J34" s="376"/>
      <c r="K34" s="374"/>
    </row>
    <row r="35" spans="3:18">
      <c r="C35" s="884" t="s">
        <v>105</v>
      </c>
      <c r="D35" s="885"/>
      <c r="E35" s="854">
        <f>E34-E33</f>
        <v>436</v>
      </c>
      <c r="F35" s="854" t="s">
        <v>106</v>
      </c>
      <c r="G35" s="335"/>
      <c r="H35" s="377" t="str">
        <f>DEC2HEX(E35)</f>
        <v>1B4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9" t="s">
        <v>102</v>
      </c>
      <c r="D40" s="890"/>
      <c r="E40" s="497">
        <v>30000</v>
      </c>
      <c r="F40" s="327"/>
      <c r="G40" s="329"/>
      <c r="H40" s="891" t="s">
        <v>101</v>
      </c>
      <c r="I40" s="891"/>
      <c r="J40" s="496">
        <v>6</v>
      </c>
      <c r="M40" s="892" t="s">
        <v>236</v>
      </c>
      <c r="N40" s="893"/>
      <c r="O40" s="385" t="s">
        <v>237</v>
      </c>
      <c r="P40" s="385"/>
      <c r="Q40" s="385"/>
      <c r="R40" s="386"/>
    </row>
    <row r="41" spans="3:18" ht="17.25" thickBot="1">
      <c r="C41" s="884" t="s">
        <v>111</v>
      </c>
      <c r="D41" s="885"/>
      <c r="E41" s="854">
        <f>ROUND(E40*E39,0)</f>
        <v>1975</v>
      </c>
      <c r="F41" s="854"/>
      <c r="G41" s="335"/>
      <c r="H41" s="891" t="s">
        <v>103</v>
      </c>
      <c r="I41" s="891"/>
      <c r="J41" s="318">
        <f>ROUND(J40/E39,0)</f>
        <v>91</v>
      </c>
      <c r="M41" s="894"/>
      <c r="N41" s="895"/>
      <c r="O41" s="390" t="s">
        <v>244</v>
      </c>
      <c r="P41" s="390" t="s">
        <v>239</v>
      </c>
      <c r="Q41" s="390"/>
      <c r="R41" s="391"/>
    </row>
    <row r="42" spans="3:18">
      <c r="C42" s="884" t="s">
        <v>104</v>
      </c>
      <c r="D42" s="885"/>
      <c r="E42" s="853">
        <v>1111</v>
      </c>
      <c r="F42" s="854"/>
      <c r="G42" s="335"/>
      <c r="H42" s="375" t="s">
        <v>243</v>
      </c>
      <c r="I42" s="344"/>
      <c r="J42" s="376"/>
    </row>
    <row r="43" spans="3:18" ht="17.25" thickBot="1">
      <c r="C43" s="884" t="s">
        <v>105</v>
      </c>
      <c r="D43" s="885"/>
      <c r="E43" s="854">
        <f>E42-E41</f>
        <v>-864</v>
      </c>
      <c r="F43" s="85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6" t="s">
        <v>230</v>
      </c>
      <c r="N44" s="852" t="s">
        <v>170</v>
      </c>
      <c r="O44" s="852"/>
      <c r="P44" s="852"/>
      <c r="Q44" s="393"/>
    </row>
    <row r="45" spans="3:18" ht="17.25" thickTop="1">
      <c r="M45" s="887"/>
      <c r="N45" s="854" t="s">
        <v>108</v>
      </c>
      <c r="O45" s="854"/>
      <c r="P45" s="854"/>
      <c r="Q45" s="394"/>
    </row>
    <row r="46" spans="3:18" ht="17.25" thickBot="1">
      <c r="M46" s="888"/>
      <c r="N46" s="851"/>
      <c r="O46" s="851"/>
      <c r="P46" s="85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6"/>
  <dimension ref="A1"/>
  <sheetViews>
    <sheetView topLeftCell="A10" workbookViewId="0">
      <selection activeCell="J35" sqref="J35"/>
    </sheetView>
  </sheetViews>
  <sheetFormatPr defaultRowHeight="14.25"/>
  <cols>
    <col min="1" max="16384" width="9" style="224"/>
  </cols>
  <sheetData/>
  <phoneticPr fontId="10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/>
  <dimension ref="A1:AZ236"/>
  <sheetViews>
    <sheetView zoomScale="55" zoomScaleNormal="55" workbookViewId="0">
      <pane xSplit="1" ySplit="4" topLeftCell="B113" activePane="bottomRight" state="frozen"/>
      <selection activeCell="C64" sqref="C64"/>
      <selection pane="topRight" activeCell="C64" sqref="C64"/>
      <selection pane="bottomLeft" activeCell="C64" sqref="C64"/>
      <selection pane="bottomRight" activeCell="K99" sqref="K99"/>
    </sheetView>
  </sheetViews>
  <sheetFormatPr defaultRowHeight="16.5"/>
  <cols>
    <col min="1" max="1" width="31.5" style="647" customWidth="1"/>
    <col min="2" max="2" width="16.25" style="648" customWidth="1"/>
    <col min="3" max="3" width="23.5" style="648" customWidth="1"/>
    <col min="4" max="4" width="15.25" style="647" customWidth="1"/>
    <col min="5" max="5" width="7.75" style="648" customWidth="1"/>
    <col min="6" max="6" width="11.875" style="648" customWidth="1"/>
    <col min="7" max="7" width="4.5" style="648" customWidth="1"/>
    <col min="8" max="8" width="5.125" style="647" customWidth="1"/>
    <col min="9" max="10" width="6.375" style="647" customWidth="1"/>
    <col min="11" max="11" width="6" style="647" customWidth="1"/>
    <col min="12" max="12" width="7.125" style="647" customWidth="1"/>
    <col min="13" max="13" width="6.5" style="647" customWidth="1"/>
    <col min="14" max="14" width="6.25" style="647" customWidth="1"/>
    <col min="15" max="15" width="6.875" style="647" customWidth="1"/>
    <col min="16" max="16" width="8.375" style="647" customWidth="1"/>
    <col min="17" max="17" width="6.125" style="647" customWidth="1"/>
    <col min="18" max="18" width="7.625" style="647" customWidth="1"/>
    <col min="19" max="19" width="8.125" style="647" customWidth="1"/>
    <col min="20" max="20" width="6.875" style="647" customWidth="1"/>
    <col min="21" max="21" width="7.125" style="647" customWidth="1"/>
    <col min="22" max="22" width="9.25" style="647" customWidth="1"/>
    <col min="23" max="24" width="10.125" style="647" customWidth="1"/>
    <col min="25" max="25" width="10.375" style="647" customWidth="1"/>
    <col min="26" max="28" width="8.125" style="648" customWidth="1"/>
    <col min="29" max="29" width="22.75" style="649" customWidth="1"/>
    <col min="30" max="30" width="22.875" style="647" customWidth="1"/>
    <col min="31" max="31" width="18.625" style="648" customWidth="1"/>
    <col min="32" max="32" width="24" style="648" customWidth="1"/>
    <col min="33" max="33" width="19.625" style="648" customWidth="1"/>
    <col min="34" max="34" width="14.125" style="648" customWidth="1"/>
    <col min="35" max="35" width="17.875" style="648" customWidth="1"/>
    <col min="36" max="36" width="4" style="648" hidden="1" customWidth="1"/>
    <col min="37" max="37" width="3.25" style="648" hidden="1" customWidth="1"/>
    <col min="38" max="38" width="4" style="648" hidden="1" customWidth="1"/>
    <col min="39" max="39" width="3.875" style="648" hidden="1" customWidth="1"/>
    <col min="40" max="40" width="4.625" style="648" hidden="1" customWidth="1"/>
    <col min="41" max="41" width="3.875" style="648" hidden="1" customWidth="1"/>
    <col min="42" max="42" width="4" style="648" hidden="1" customWidth="1"/>
    <col min="43" max="43" width="5.375" style="648" hidden="1" customWidth="1"/>
    <col min="44" max="44" width="7" style="648" hidden="1" customWidth="1"/>
    <col min="45" max="45" width="20.25" style="648" hidden="1" customWidth="1"/>
    <col min="46" max="46" width="27.625" style="648" hidden="1" customWidth="1"/>
    <col min="47" max="47" width="36.75" style="648" hidden="1" customWidth="1"/>
    <col min="48" max="48" width="10.125" style="648" hidden="1" customWidth="1"/>
    <col min="49" max="49" width="6.125" style="648" hidden="1" customWidth="1"/>
    <col min="50" max="50" width="21.625" style="648" hidden="1" customWidth="1"/>
    <col min="51" max="51" width="24.25" style="648" hidden="1" customWidth="1"/>
    <col min="52" max="52" width="17.375" style="648" hidden="1" customWidth="1"/>
    <col min="53" max="16384" width="9" style="648"/>
  </cols>
  <sheetData>
    <row r="1" spans="1:52" ht="31.5" customHeight="1">
      <c r="A1" s="647" t="s">
        <v>1188</v>
      </c>
    </row>
    <row r="2" spans="1:52" s="650" customFormat="1" ht="34.5" customHeight="1">
      <c r="B2" s="651" t="s">
        <v>701</v>
      </c>
      <c r="C2" s="651"/>
      <c r="D2" s="651"/>
      <c r="E2" s="283" t="s">
        <v>947</v>
      </c>
      <c r="F2" s="651"/>
      <c r="G2" s="651"/>
      <c r="H2" s="651" t="s">
        <v>697</v>
      </c>
      <c r="I2" s="651" t="s">
        <v>1108</v>
      </c>
      <c r="J2" s="651" t="s">
        <v>733</v>
      </c>
      <c r="K2" s="651" t="s">
        <v>703</v>
      </c>
      <c r="L2" s="651" t="s">
        <v>1216</v>
      </c>
      <c r="M2" s="651" t="s">
        <v>704</v>
      </c>
      <c r="N2" s="651" t="s">
        <v>705</v>
      </c>
      <c r="O2" s="651" t="s">
        <v>702</v>
      </c>
      <c r="P2" s="651" t="s">
        <v>1093</v>
      </c>
      <c r="Q2" s="651" t="s">
        <v>1092</v>
      </c>
      <c r="R2" s="651" t="s">
        <v>1982</v>
      </c>
      <c r="S2" s="651" t="s">
        <v>1983</v>
      </c>
      <c r="T2" s="651" t="s">
        <v>734</v>
      </c>
      <c r="U2" s="651" t="s">
        <v>735</v>
      </c>
      <c r="V2" s="651" t="s">
        <v>746</v>
      </c>
      <c r="W2" s="651" t="s">
        <v>747</v>
      </c>
      <c r="X2" s="651" t="s">
        <v>1386</v>
      </c>
      <c r="Y2" s="651" t="s">
        <v>1387</v>
      </c>
      <c r="Z2" s="651" t="s">
        <v>953</v>
      </c>
      <c r="AA2" s="651"/>
      <c r="AB2" s="651"/>
    </row>
    <row r="3" spans="1:52" ht="12.75" customHeight="1"/>
    <row r="4" spans="1:52" s="660" customFormat="1" ht="47.25" customHeight="1">
      <c r="A4" s="652" t="s">
        <v>730</v>
      </c>
      <c r="B4" s="652" t="s">
        <v>700</v>
      </c>
      <c r="C4" s="652" t="s">
        <v>931</v>
      </c>
      <c r="D4" s="652" t="s">
        <v>699</v>
      </c>
      <c r="E4" s="653" t="s">
        <v>936</v>
      </c>
      <c r="F4" s="654" t="s">
        <v>714</v>
      </c>
      <c r="G4" s="855" t="s">
        <v>698</v>
      </c>
      <c r="H4" s="856" t="s">
        <v>2085</v>
      </c>
      <c r="I4" s="856" t="s">
        <v>2086</v>
      </c>
      <c r="J4" s="655" t="s">
        <v>2087</v>
      </c>
      <c r="K4" s="655" t="s">
        <v>2088</v>
      </c>
      <c r="L4" s="655" t="s">
        <v>1217</v>
      </c>
      <c r="M4" s="656" t="s">
        <v>704</v>
      </c>
      <c r="N4" s="656" t="s">
        <v>1986</v>
      </c>
      <c r="O4" s="652" t="s">
        <v>736</v>
      </c>
      <c r="P4" s="656" t="s">
        <v>696</v>
      </c>
      <c r="Q4" s="656" t="s">
        <v>1091</v>
      </c>
      <c r="R4" s="656" t="s">
        <v>1984</v>
      </c>
      <c r="S4" s="656" t="s">
        <v>1985</v>
      </c>
      <c r="T4" s="857" t="s">
        <v>2089</v>
      </c>
      <c r="U4" s="658" t="s">
        <v>2090</v>
      </c>
      <c r="V4" s="657" t="s">
        <v>744</v>
      </c>
      <c r="W4" s="658" t="s">
        <v>745</v>
      </c>
      <c r="X4" s="658" t="s">
        <v>1388</v>
      </c>
      <c r="Y4" s="658" t="s">
        <v>1389</v>
      </c>
      <c r="Z4" s="659" t="s">
        <v>954</v>
      </c>
      <c r="AA4" s="659"/>
      <c r="AB4" s="659"/>
      <c r="AC4" s="660" t="s">
        <v>1236</v>
      </c>
      <c r="AD4" s="661" t="s">
        <v>948</v>
      </c>
      <c r="AE4" s="662"/>
      <c r="AF4" s="663"/>
      <c r="AJ4" s="660" t="s">
        <v>716</v>
      </c>
      <c r="AK4" s="660" t="s">
        <v>717</v>
      </c>
      <c r="AL4" s="660" t="s">
        <v>718</v>
      </c>
      <c r="AM4" s="660" t="s">
        <v>719</v>
      </c>
      <c r="AN4" s="660" t="s">
        <v>720</v>
      </c>
      <c r="AO4" s="660" t="s">
        <v>721</v>
      </c>
      <c r="AP4" s="660" t="s">
        <v>722</v>
      </c>
      <c r="AQ4" s="660" t="s">
        <v>723</v>
      </c>
      <c r="AT4" s="660" t="s">
        <v>725</v>
      </c>
      <c r="AU4" s="660" t="s">
        <v>726</v>
      </c>
      <c r="AV4" s="660" t="s">
        <v>943</v>
      </c>
      <c r="AW4" s="660" t="s">
        <v>944</v>
      </c>
      <c r="AX4" s="660" t="s">
        <v>945</v>
      </c>
      <c r="AY4" s="660" t="s">
        <v>946</v>
      </c>
      <c r="AZ4" s="660" t="s">
        <v>955</v>
      </c>
    </row>
    <row r="5" spans="1:52" s="225" customFormat="1" ht="23.25" customHeight="1">
      <c r="A5" s="668" t="s">
        <v>1363</v>
      </c>
      <c r="B5" s="669" t="s">
        <v>1365</v>
      </c>
      <c r="C5" s="670"/>
      <c r="D5" s="668" t="s">
        <v>738</v>
      </c>
      <c r="E5" s="280" t="str">
        <f>AR5</f>
        <v>10S4P</v>
      </c>
      <c r="F5" s="718" t="s">
        <v>715</v>
      </c>
      <c r="G5" s="719" t="s">
        <v>685</v>
      </c>
      <c r="H5" s="720">
        <v>5</v>
      </c>
      <c r="I5" s="721"/>
      <c r="J5" s="668"/>
      <c r="K5" s="668" t="s">
        <v>116</v>
      </c>
      <c r="L5" s="668"/>
      <c r="M5" s="668"/>
      <c r="N5" s="722"/>
      <c r="O5" s="668"/>
      <c r="P5" s="723"/>
      <c r="Q5" s="724"/>
      <c r="R5" s="722"/>
      <c r="S5" s="668"/>
      <c r="T5" s="725"/>
      <c r="U5" s="668"/>
      <c r="V5" s="668"/>
      <c r="W5" s="668"/>
      <c r="X5" s="668"/>
      <c r="Y5" s="668"/>
      <c r="Z5" s="726"/>
      <c r="AA5" s="726"/>
      <c r="AB5" s="726"/>
      <c r="AC5" s="727"/>
      <c r="AD5" s="284" t="str">
        <f>A5&amp;"_"&amp;E5&amp;AS5&amp;AT5&amp;AU5&amp;AZ5</f>
        <v>Aurola_36100_N_10S4P5LED_SDI26H_SW1_</v>
      </c>
      <c r="AJ5" s="225">
        <f>FIND("V",UPPER(TRIM(D5)))</f>
        <v>3</v>
      </c>
      <c r="AK5" s="225">
        <f>FIND("AH",UPPER(TRIM(D5)))</f>
        <v>9</v>
      </c>
      <c r="AL5" s="225">
        <f t="shared" ref="AL5:AL141" si="0">VALUE(MID(TRIM(D5),1,AJ5-1))</f>
        <v>36</v>
      </c>
      <c r="AM5" s="225">
        <f t="shared" ref="AM5:AM141" si="1">VALUE(MID(TRIM(D5),AJ5+2,(AK5) -(AJ5+2) ))</f>
        <v>10</v>
      </c>
      <c r="AN5" s="225">
        <f>VALUE(MID(TRIM(F5),4,2))</f>
        <v>26</v>
      </c>
      <c r="AO5" s="225">
        <f>ROUNDDOWN(AL5/3.5,0)</f>
        <v>10</v>
      </c>
      <c r="AP5" s="225">
        <f>ROUNDUP(AM5*10/AN5,0)</f>
        <v>4</v>
      </c>
      <c r="AQ5" s="225" t="str">
        <f>IF(OR(ISERROR(AO5),ISERROR(AP5)),"error","ok")</f>
        <v>ok</v>
      </c>
      <c r="AR5" s="225" t="str">
        <f>IF(AQ5="ok", TEXT(AO5,0)&amp;"S"&amp; TEXT(AP5,0)&amp;"P","_")</f>
        <v>10S4P</v>
      </c>
      <c r="AS5" s="225" t="str">
        <f>IF(ISBLANK(H5),"",H5&amp;$H$2&amp;IF(UPPER(TRIM(I5))="V",$I$2,"")&amp;"_"&amp;F5&amp;"_")</f>
        <v>5LED_SDI26H_</v>
      </c>
      <c r="AT5" s="225" t="str">
        <f>IF(UPPER(TRIM(J5))="V",$J$2&amp;"_","")&amp;IF(UPPER(TRIM(K5))="V",$K$2&amp;"_","")&amp;IF(UPPER(TRIM(L5))="V",$L$2&amp;"_","")&amp;IF(UPPER(TRIM(M5))="V",$M$2&amp;"_","")&amp;IF(UPPER(TRIM(N5))="V",$N$2&amp;"_","")&amp;IF(UPPER(TRIM(O5))="V",$O$2&amp;"_","")</f>
        <v>SW1_</v>
      </c>
      <c r="AU5" s="225" t="str">
        <f>IF(UPPER(TRIM(P5))="V",$P$2&amp;"_","")&amp;IF(UPPER(TRIM(Q5))="V",$Q$2&amp;"_","")&amp;IF(UPPER(TRIM(R5))="V",$R$2&amp;"_","")&amp;IF(UPPER(TRIM(S5))="V",$S$2&amp;"_","")&amp;IF(UPPER(TRIM(T5))="V",$T$2&amp;"_","")&amp;IF(UPPER(TRIM(U5))="V",$U$2&amp;"_","")&amp;IF(UPPER(TRIM(V5))="V",$V$2&amp;"_","")&amp;IF(UPPER(TRIM(W5))="V",$W$2&amp;"_","")</f>
        <v/>
      </c>
      <c r="AV5" s="225" t="e">
        <f>FIND("
",C5)</f>
        <v>#VALUE!</v>
      </c>
      <c r="AW5" s="225" t="b">
        <f>IF(ISBLANK(C5),TRUE,(TRIM(C5)=""))</f>
        <v>1</v>
      </c>
      <c r="AX5" s="225" t="str">
        <f>IF(AW5=TRUE,"",IF(NOT(ISERROR(AV5)),TRIM(MID(C5,1,AV5-1))&amp;"_",TRIM(C5)&amp;"_"))</f>
        <v/>
      </c>
      <c r="AY5" s="225" t="str">
        <f>SUBSTITUTE(AX5,"-","_")</f>
        <v/>
      </c>
      <c r="AZ5" s="664" t="str">
        <f>IF(UPPER(TRIM(X5))="V",$X$2&amp;"_","")&amp;IF(UPPER(TRIM(Y5))="V",$Y$2&amp;"_","")&amp;IF(ISBLANK(Z5),"",Z5&amp;$Z$2&amp;"_")</f>
        <v/>
      </c>
    </row>
    <row r="6" spans="1:52" s="225" customFormat="1" ht="21">
      <c r="A6" s="668" t="s">
        <v>694</v>
      </c>
      <c r="B6" s="669" t="s">
        <v>706</v>
      </c>
      <c r="C6" s="670"/>
      <c r="D6" s="668" t="s">
        <v>738</v>
      </c>
      <c r="E6" s="280" t="str">
        <f t="shared" ref="E6:E140" si="2">AR6</f>
        <v>10S4P</v>
      </c>
      <c r="F6" s="718" t="s">
        <v>715</v>
      </c>
      <c r="G6" s="719" t="s">
        <v>685</v>
      </c>
      <c r="H6" s="720">
        <v>5</v>
      </c>
      <c r="I6" s="721"/>
      <c r="J6" s="668" t="s">
        <v>116</v>
      </c>
      <c r="K6" s="668" t="s">
        <v>116</v>
      </c>
      <c r="L6" s="668"/>
      <c r="M6" s="668"/>
      <c r="N6" s="722"/>
      <c r="O6" s="728" t="s">
        <v>116</v>
      </c>
      <c r="P6" s="722" t="s">
        <v>116</v>
      </c>
      <c r="Q6" s="668"/>
      <c r="R6" s="722"/>
      <c r="S6" s="668"/>
      <c r="T6" s="725"/>
      <c r="U6" s="668"/>
      <c r="V6" s="668"/>
      <c r="W6" s="668"/>
      <c r="X6" s="668"/>
      <c r="Y6" s="668"/>
      <c r="Z6" s="726"/>
      <c r="AA6" s="726"/>
      <c r="AB6" s="726"/>
      <c r="AC6" s="727"/>
      <c r="AD6" s="284" t="str">
        <f t="shared" ref="AD6:AD140" si="3">A6&amp;"_"&amp;E6&amp;AS6&amp;AT6&amp;AU6&amp;AZ6</f>
        <v>Aurola_36100_SU_10S4P5LED_SDI26H_COM_SW1_USBC_Aslp_</v>
      </c>
      <c r="AJ6" s="225">
        <f t="shared" ref="AJ6:AJ18" si="4">FIND("V",UPPER(TRIM(D6)))</f>
        <v>3</v>
      </c>
      <c r="AK6" s="225">
        <f t="shared" ref="AK6:AK18" si="5">FIND("AH",UPPER(TRIM(D6)))</f>
        <v>9</v>
      </c>
      <c r="AL6" s="225">
        <f t="shared" si="0"/>
        <v>36</v>
      </c>
      <c r="AM6" s="225">
        <f t="shared" si="1"/>
        <v>10</v>
      </c>
      <c r="AN6" s="225">
        <f t="shared" ref="AN6:AN18" si="6">VALUE(MID(TRIM(F6),4,2))</f>
        <v>26</v>
      </c>
      <c r="AO6" s="225">
        <f t="shared" ref="AO6:AO18" si="7">ROUNDDOWN(AL6/3.5,0)</f>
        <v>10</v>
      </c>
      <c r="AP6" s="225">
        <f t="shared" ref="AP6:AP18" si="8">ROUNDUP(AM6*10/AN6,0)</f>
        <v>4</v>
      </c>
      <c r="AQ6" s="225" t="str">
        <f t="shared" ref="AQ6:AQ18" si="9">IF(OR(ISERROR(AO6),ISERROR(AP6)),"error","ok")</f>
        <v>ok</v>
      </c>
      <c r="AR6" s="225" t="str">
        <f t="shared" ref="AR6:AR141" si="10">IF(AQ6="ok", TEXT(AO6,0)&amp;"S"&amp; TEXT(AP6,0)&amp;"P","_")</f>
        <v>10S4P</v>
      </c>
      <c r="AS6" s="225" t="str">
        <f t="shared" ref="AS6:AS141" si="11">IF(ISBLANK(H6),"",H6&amp;$H$2&amp;IF(UPPER(TRIM(I6))="V",$I$2,"")&amp;"_"&amp;F6&amp;"_")</f>
        <v>5LED_SDI26H_</v>
      </c>
      <c r="AT6" s="225" t="str">
        <f t="shared" ref="AT6:AT141" si="12">IF(UPPER(TRIM(J6))="V",$J$2&amp;"_","")&amp;IF(UPPER(TRIM(K6))="V",$K$2&amp;"_","")&amp;IF(UPPER(TRIM(L6))="V",$L$2&amp;"_","")&amp;IF(UPPER(TRIM(M6))="V",$M$2&amp;"_","")&amp;IF(UPPER(TRIM(N6))="V",$N$2&amp;"_","")&amp;IF(UPPER(TRIM(O6))="V",$O$2&amp;"_","")</f>
        <v>COM_SW1_USBC_</v>
      </c>
      <c r="AU6" s="225" t="str">
        <f t="shared" ref="AU6:AU69" si="13">IF(UPPER(TRIM(P6))="V",$P$2&amp;"_","")&amp;IF(UPPER(TRIM(Q6))="V",$Q$2&amp;"_","")&amp;IF(UPPER(TRIM(R6))="V",$R$2&amp;"_","")&amp;IF(UPPER(TRIM(S6))="V",$S$2&amp;"_","")&amp;IF(UPPER(TRIM(T6))="V",$T$2&amp;"_","")&amp;IF(UPPER(TRIM(U6))="V",$U$2&amp;"_","")&amp;IF(UPPER(TRIM(V6))="V",$V$2&amp;"_","")&amp;IF(UPPER(TRIM(W6))="V",$W$2&amp;"_","")</f>
        <v>Aslp_</v>
      </c>
      <c r="AV6" s="225" t="e">
        <f>FIND("
",C6)</f>
        <v>#VALUE!</v>
      </c>
      <c r="AW6" s="225" t="b">
        <f>IF(ISBLANK(C6),TRUE,(TRIM(C6)=""))</f>
        <v>1</v>
      </c>
      <c r="AX6" s="225" t="str">
        <f t="shared" ref="AX6:AX141" si="14">IF(AW6=TRUE,"",IF(NOT(ISERROR(AV6)),TRIM(MID(C6,1,AV6-1))&amp;"_",TRIM(C6)&amp;"_"))</f>
        <v/>
      </c>
      <c r="AY6" s="225" t="str">
        <f t="shared" ref="AY6:AY141" si="15">SUBSTITUTE(AX6,"-","_")</f>
        <v/>
      </c>
      <c r="AZ6" s="664" t="str">
        <f t="shared" ref="AZ6:AZ141" si="16">IF(UPPER(TRIM(X6))="V",$X$2&amp;"_","")&amp;IF(UPPER(TRIM(Y6))="V",$Y$2&amp;"_","")&amp;IF(ISBLANK(Z6),"",Z6&amp;$Z$2&amp;"_")</f>
        <v/>
      </c>
    </row>
    <row r="7" spans="1:52" s="225" customFormat="1" ht="21">
      <c r="A7" s="668" t="s">
        <v>693</v>
      </c>
      <c r="B7" s="669" t="s">
        <v>707</v>
      </c>
      <c r="C7" s="670"/>
      <c r="D7" s="668" t="s">
        <v>739</v>
      </c>
      <c r="E7" s="280" t="str">
        <f t="shared" si="2"/>
        <v>10S3P</v>
      </c>
      <c r="F7" s="718" t="s">
        <v>715</v>
      </c>
      <c r="G7" s="719" t="s">
        <v>685</v>
      </c>
      <c r="H7" s="720">
        <v>4</v>
      </c>
      <c r="I7" s="721"/>
      <c r="J7" s="668"/>
      <c r="K7" s="668" t="s">
        <v>116</v>
      </c>
      <c r="L7" s="668"/>
      <c r="M7" s="668"/>
      <c r="N7" s="722"/>
      <c r="O7" s="668"/>
      <c r="P7" s="723"/>
      <c r="Q7" s="724"/>
      <c r="R7" s="668"/>
      <c r="S7" s="668"/>
      <c r="T7" s="725"/>
      <c r="U7" s="668"/>
      <c r="V7" s="668"/>
      <c r="W7" s="668"/>
      <c r="X7" s="668"/>
      <c r="Y7" s="668"/>
      <c r="Z7" s="726"/>
      <c r="AA7" s="726"/>
      <c r="AB7" s="726"/>
      <c r="AC7" s="727"/>
      <c r="AD7" s="284" t="str">
        <f t="shared" si="3"/>
        <v>Eos_36076_N_10S3P4LED_SDI26H_SW1_</v>
      </c>
      <c r="AJ7" s="225">
        <f t="shared" si="4"/>
        <v>3</v>
      </c>
      <c r="AK7" s="225">
        <f t="shared" si="5"/>
        <v>8</v>
      </c>
      <c r="AL7" s="225">
        <f t="shared" si="0"/>
        <v>36</v>
      </c>
      <c r="AM7" s="225">
        <f t="shared" si="1"/>
        <v>7.6</v>
      </c>
      <c r="AN7" s="225">
        <f t="shared" si="6"/>
        <v>26</v>
      </c>
      <c r="AO7" s="225">
        <f t="shared" si="7"/>
        <v>10</v>
      </c>
      <c r="AP7" s="225">
        <f t="shared" si="8"/>
        <v>3</v>
      </c>
      <c r="AQ7" s="225" t="str">
        <f t="shared" si="9"/>
        <v>ok</v>
      </c>
      <c r="AR7" s="225" t="str">
        <f t="shared" si="10"/>
        <v>10S3P</v>
      </c>
      <c r="AS7" s="225" t="str">
        <f t="shared" si="11"/>
        <v>4LED_SDI26H_</v>
      </c>
      <c r="AT7" s="225" t="str">
        <f t="shared" si="12"/>
        <v>SW1_</v>
      </c>
      <c r="AU7" s="225" t="str">
        <f t="shared" si="13"/>
        <v/>
      </c>
      <c r="AV7" s="225" t="e">
        <f t="shared" ref="AV7:AV141" si="17">FIND("
",C7)</f>
        <v>#VALUE!</v>
      </c>
      <c r="AW7" s="225" t="b">
        <f t="shared" ref="AW7:AW141" si="18">IF(ISBLANK(C7),TRUE,(TRIM(C7)=""))</f>
        <v>1</v>
      </c>
      <c r="AX7" s="225" t="str">
        <f t="shared" si="14"/>
        <v/>
      </c>
      <c r="AY7" s="225" t="str">
        <f t="shared" si="15"/>
        <v/>
      </c>
      <c r="AZ7" s="664" t="str">
        <f t="shared" si="16"/>
        <v/>
      </c>
    </row>
    <row r="8" spans="1:52" s="225" customFormat="1" ht="21">
      <c r="A8" s="668" t="s">
        <v>692</v>
      </c>
      <c r="B8" s="669" t="s">
        <v>708</v>
      </c>
      <c r="C8" s="670"/>
      <c r="D8" s="668" t="s">
        <v>682</v>
      </c>
      <c r="E8" s="280" t="str">
        <f t="shared" si="2"/>
        <v>10S4P</v>
      </c>
      <c r="F8" s="718" t="s">
        <v>715</v>
      </c>
      <c r="G8" s="719" t="s">
        <v>685</v>
      </c>
      <c r="H8" s="720">
        <v>3</v>
      </c>
      <c r="I8" s="721"/>
      <c r="J8" s="668" t="s">
        <v>116</v>
      </c>
      <c r="K8" s="668" t="s">
        <v>116</v>
      </c>
      <c r="L8" s="668"/>
      <c r="M8" s="668"/>
      <c r="N8" s="722"/>
      <c r="O8" s="668"/>
      <c r="P8" s="723"/>
      <c r="Q8" s="724"/>
      <c r="R8" s="668"/>
      <c r="S8" s="668"/>
      <c r="T8" s="725"/>
      <c r="U8" s="668"/>
      <c r="V8" s="668"/>
      <c r="W8" s="668"/>
      <c r="X8" s="668"/>
      <c r="Y8" s="668"/>
      <c r="Z8" s="726"/>
      <c r="AA8" s="726"/>
      <c r="AB8" s="726"/>
      <c r="AC8" s="727"/>
      <c r="AD8" s="284" t="str">
        <f t="shared" si="3"/>
        <v>Demeter_B215_36100_S_10S4P3LED_SDI26H_COM_SW1_</v>
      </c>
      <c r="AJ8" s="225">
        <f t="shared" si="4"/>
        <v>3</v>
      </c>
      <c r="AK8" s="225">
        <f t="shared" si="5"/>
        <v>9</v>
      </c>
      <c r="AL8" s="225">
        <f t="shared" si="0"/>
        <v>36</v>
      </c>
      <c r="AM8" s="225">
        <f t="shared" si="1"/>
        <v>10</v>
      </c>
      <c r="AN8" s="225">
        <f t="shared" si="6"/>
        <v>26</v>
      </c>
      <c r="AO8" s="225">
        <f t="shared" si="7"/>
        <v>10</v>
      </c>
      <c r="AP8" s="225">
        <f t="shared" si="8"/>
        <v>4</v>
      </c>
      <c r="AQ8" s="225" t="str">
        <f t="shared" si="9"/>
        <v>ok</v>
      </c>
      <c r="AR8" s="225" t="str">
        <f t="shared" si="10"/>
        <v>10S4P</v>
      </c>
      <c r="AS8" s="225" t="str">
        <f t="shared" si="11"/>
        <v>3LED_SDI26H_</v>
      </c>
      <c r="AT8" s="225" t="str">
        <f t="shared" si="12"/>
        <v>COM_SW1_</v>
      </c>
      <c r="AU8" s="225" t="str">
        <f t="shared" si="13"/>
        <v/>
      </c>
      <c r="AV8" s="225" t="e">
        <f t="shared" si="17"/>
        <v>#VALUE!</v>
      </c>
      <c r="AW8" s="225" t="b">
        <f t="shared" si="18"/>
        <v>1</v>
      </c>
      <c r="AX8" s="225" t="str">
        <f t="shared" si="14"/>
        <v/>
      </c>
      <c r="AY8" s="225" t="str">
        <f t="shared" si="15"/>
        <v/>
      </c>
      <c r="AZ8" s="664" t="str">
        <f t="shared" si="16"/>
        <v/>
      </c>
    </row>
    <row r="9" spans="1:52" s="225" customFormat="1" ht="21">
      <c r="A9" s="668" t="s">
        <v>691</v>
      </c>
      <c r="B9" s="669" t="s">
        <v>709</v>
      </c>
      <c r="C9" s="670"/>
      <c r="D9" s="668" t="s">
        <v>495</v>
      </c>
      <c r="E9" s="280" t="str">
        <f t="shared" si="2"/>
        <v>10S3P</v>
      </c>
      <c r="F9" s="718" t="s">
        <v>715</v>
      </c>
      <c r="G9" s="719" t="s">
        <v>685</v>
      </c>
      <c r="H9" s="720">
        <v>0</v>
      </c>
      <c r="I9" s="721"/>
      <c r="J9" s="668"/>
      <c r="K9" s="668"/>
      <c r="L9" s="668"/>
      <c r="M9" s="668"/>
      <c r="N9" s="722"/>
      <c r="O9" s="668"/>
      <c r="P9" s="723"/>
      <c r="Q9" s="724"/>
      <c r="R9" s="668"/>
      <c r="S9" s="668"/>
      <c r="T9" s="725"/>
      <c r="U9" s="668"/>
      <c r="V9" s="668"/>
      <c r="W9" s="668"/>
      <c r="X9" s="668"/>
      <c r="Y9" s="668"/>
      <c r="Z9" s="726"/>
      <c r="AA9" s="726"/>
      <c r="AB9" s="726"/>
      <c r="AC9" s="727"/>
      <c r="AD9" s="284" t="str">
        <f t="shared" si="3"/>
        <v>Ceres_36076_N_10S3P0LED_SDI26H_</v>
      </c>
      <c r="AJ9" s="225">
        <f t="shared" si="4"/>
        <v>3</v>
      </c>
      <c r="AK9" s="225">
        <f t="shared" si="5"/>
        <v>8</v>
      </c>
      <c r="AL9" s="225">
        <f t="shared" si="0"/>
        <v>36</v>
      </c>
      <c r="AM9" s="225">
        <f t="shared" si="1"/>
        <v>7.6</v>
      </c>
      <c r="AN9" s="225">
        <f t="shared" si="6"/>
        <v>26</v>
      </c>
      <c r="AO9" s="225">
        <f t="shared" si="7"/>
        <v>10</v>
      </c>
      <c r="AP9" s="225">
        <f t="shared" si="8"/>
        <v>3</v>
      </c>
      <c r="AQ9" s="225" t="str">
        <f t="shared" si="9"/>
        <v>ok</v>
      </c>
      <c r="AR9" s="225" t="str">
        <f t="shared" si="10"/>
        <v>10S3P</v>
      </c>
      <c r="AS9" s="225" t="str">
        <f t="shared" si="11"/>
        <v>0LED_SDI26H_</v>
      </c>
      <c r="AT9" s="225" t="str">
        <f t="shared" si="12"/>
        <v/>
      </c>
      <c r="AU9" s="225" t="str">
        <f t="shared" si="13"/>
        <v/>
      </c>
      <c r="AV9" s="225" t="e">
        <f t="shared" si="17"/>
        <v>#VALUE!</v>
      </c>
      <c r="AW9" s="225" t="b">
        <f t="shared" si="18"/>
        <v>1</v>
      </c>
      <c r="AX9" s="225" t="str">
        <f t="shared" si="14"/>
        <v/>
      </c>
      <c r="AY9" s="225" t="str">
        <f t="shared" si="15"/>
        <v/>
      </c>
      <c r="AZ9" s="664" t="str">
        <f t="shared" si="16"/>
        <v/>
      </c>
    </row>
    <row r="10" spans="1:52" s="225" customFormat="1" ht="21">
      <c r="A10" s="668" t="s">
        <v>690</v>
      </c>
      <c r="B10" s="669" t="s">
        <v>710</v>
      </c>
      <c r="C10" s="670"/>
      <c r="D10" s="668" t="s">
        <v>484</v>
      </c>
      <c r="E10" s="280" t="str">
        <f t="shared" si="2"/>
        <v>7S2P</v>
      </c>
      <c r="F10" s="718" t="s">
        <v>715</v>
      </c>
      <c r="G10" s="719" t="s">
        <v>685</v>
      </c>
      <c r="H10" s="720">
        <v>5</v>
      </c>
      <c r="I10" s="721"/>
      <c r="J10" s="668" t="s">
        <v>116</v>
      </c>
      <c r="K10" s="668" t="s">
        <v>116</v>
      </c>
      <c r="L10" s="668"/>
      <c r="M10" s="668"/>
      <c r="N10" s="722"/>
      <c r="O10" s="668" t="s">
        <v>116</v>
      </c>
      <c r="P10" s="723"/>
      <c r="Q10" s="724"/>
      <c r="R10" s="668"/>
      <c r="S10" s="668"/>
      <c r="T10" s="725"/>
      <c r="U10" s="668"/>
      <c r="V10" s="668"/>
      <c r="W10" s="668"/>
      <c r="X10" s="668"/>
      <c r="Y10" s="668"/>
      <c r="Z10" s="726"/>
      <c r="AA10" s="726"/>
      <c r="AB10" s="726"/>
      <c r="AC10" s="727"/>
      <c r="AD10" s="284" t="str">
        <f t="shared" si="3"/>
        <v>Cupid _26050_SU_7S2P5LED_SDI26H_COM_SW1_USBC_</v>
      </c>
      <c r="AJ10" s="225">
        <f t="shared" si="4"/>
        <v>3</v>
      </c>
      <c r="AK10" s="225">
        <f t="shared" si="5"/>
        <v>8</v>
      </c>
      <c r="AL10" s="225">
        <f t="shared" si="0"/>
        <v>26</v>
      </c>
      <c r="AM10" s="225">
        <f t="shared" si="1"/>
        <v>5</v>
      </c>
      <c r="AN10" s="225">
        <f t="shared" si="6"/>
        <v>26</v>
      </c>
      <c r="AO10" s="225">
        <f t="shared" si="7"/>
        <v>7</v>
      </c>
      <c r="AP10" s="225">
        <f t="shared" si="8"/>
        <v>2</v>
      </c>
      <c r="AQ10" s="225" t="str">
        <f t="shared" si="9"/>
        <v>ok</v>
      </c>
      <c r="AR10" s="225" t="str">
        <f t="shared" si="10"/>
        <v>7S2P</v>
      </c>
      <c r="AS10" s="225" t="str">
        <f t="shared" si="11"/>
        <v>5LED_SDI26H_</v>
      </c>
      <c r="AT10" s="225" t="str">
        <f t="shared" si="12"/>
        <v>COM_SW1_USBC_</v>
      </c>
      <c r="AU10" s="225" t="str">
        <f t="shared" si="13"/>
        <v/>
      </c>
      <c r="AV10" s="225" t="e">
        <f t="shared" si="17"/>
        <v>#VALUE!</v>
      </c>
      <c r="AW10" s="225" t="b">
        <f t="shared" si="18"/>
        <v>1</v>
      </c>
      <c r="AX10" s="225" t="str">
        <f t="shared" si="14"/>
        <v/>
      </c>
      <c r="AY10" s="225" t="str">
        <f t="shared" si="15"/>
        <v/>
      </c>
      <c r="AZ10" s="664" t="str">
        <f t="shared" si="16"/>
        <v/>
      </c>
    </row>
    <row r="11" spans="1:52" s="225" customFormat="1" ht="21">
      <c r="A11" s="668" t="s">
        <v>2042</v>
      </c>
      <c r="B11" s="669" t="s">
        <v>711</v>
      </c>
      <c r="C11" s="670"/>
      <c r="D11" s="668" t="s">
        <v>480</v>
      </c>
      <c r="E11" s="280" t="str">
        <f t="shared" si="2"/>
        <v>7S3P</v>
      </c>
      <c r="F11" s="718" t="s">
        <v>715</v>
      </c>
      <c r="G11" s="719" t="s">
        <v>685</v>
      </c>
      <c r="H11" s="720">
        <v>5</v>
      </c>
      <c r="I11" s="721"/>
      <c r="J11" s="668" t="s">
        <v>116</v>
      </c>
      <c r="K11" s="668" t="s">
        <v>116</v>
      </c>
      <c r="L11" s="668"/>
      <c r="M11" s="668"/>
      <c r="N11" s="722"/>
      <c r="O11" s="668" t="s">
        <v>116</v>
      </c>
      <c r="P11" s="723"/>
      <c r="Q11" s="724"/>
      <c r="R11" s="668"/>
      <c r="S11" s="668"/>
      <c r="T11" s="725"/>
      <c r="U11" s="668"/>
      <c r="V11" s="668"/>
      <c r="W11" s="668"/>
      <c r="X11" s="668"/>
      <c r="Y11" s="668"/>
      <c r="Z11" s="726"/>
      <c r="AA11" s="726"/>
      <c r="AB11" s="726"/>
      <c r="AC11" s="727"/>
      <c r="AD11" s="284" t="str">
        <f t="shared" si="3"/>
        <v>Cupid_26076_SU_7S3P5LED_SDI26H_COM_SW1_USBC_</v>
      </c>
      <c r="AJ11" s="225">
        <f t="shared" si="4"/>
        <v>3</v>
      </c>
      <c r="AK11" s="225">
        <f t="shared" si="5"/>
        <v>8</v>
      </c>
      <c r="AL11" s="225">
        <f t="shared" si="0"/>
        <v>26</v>
      </c>
      <c r="AM11" s="225">
        <f t="shared" si="1"/>
        <v>7.6</v>
      </c>
      <c r="AN11" s="225">
        <f t="shared" si="6"/>
        <v>26</v>
      </c>
      <c r="AO11" s="225">
        <f t="shared" si="7"/>
        <v>7</v>
      </c>
      <c r="AP11" s="225">
        <f t="shared" si="8"/>
        <v>3</v>
      </c>
      <c r="AQ11" s="225" t="str">
        <f t="shared" si="9"/>
        <v>ok</v>
      </c>
      <c r="AR11" s="225" t="str">
        <f t="shared" si="10"/>
        <v>7S3P</v>
      </c>
      <c r="AS11" s="225" t="str">
        <f t="shared" si="11"/>
        <v>5LED_SDI26H_</v>
      </c>
      <c r="AT11" s="225" t="str">
        <f t="shared" si="12"/>
        <v>COM_SW1_USBC_</v>
      </c>
      <c r="AU11" s="225" t="str">
        <f t="shared" si="13"/>
        <v/>
      </c>
      <c r="AV11" s="225" t="e">
        <f t="shared" si="17"/>
        <v>#VALUE!</v>
      </c>
      <c r="AW11" s="225" t="b">
        <f t="shared" si="18"/>
        <v>1</v>
      </c>
      <c r="AX11" s="225" t="str">
        <f t="shared" si="14"/>
        <v/>
      </c>
      <c r="AY11" s="225" t="str">
        <f t="shared" si="15"/>
        <v/>
      </c>
      <c r="AZ11" s="664" t="str">
        <f t="shared" si="16"/>
        <v/>
      </c>
    </row>
    <row r="12" spans="1:52" s="225" customFormat="1" ht="21">
      <c r="A12" s="668" t="s">
        <v>689</v>
      </c>
      <c r="B12" s="669" t="s">
        <v>712</v>
      </c>
      <c r="C12" s="670"/>
      <c r="D12" s="668" t="s">
        <v>682</v>
      </c>
      <c r="E12" s="280" t="str">
        <f t="shared" si="2"/>
        <v>10S4P</v>
      </c>
      <c r="F12" s="718" t="s">
        <v>715</v>
      </c>
      <c r="G12" s="719" t="s">
        <v>685</v>
      </c>
      <c r="H12" s="720">
        <v>3</v>
      </c>
      <c r="I12" s="721"/>
      <c r="J12" s="668"/>
      <c r="K12" s="668" t="s">
        <v>116</v>
      </c>
      <c r="L12" s="668"/>
      <c r="M12" s="668"/>
      <c r="N12" s="722"/>
      <c r="O12" s="668"/>
      <c r="P12" s="723"/>
      <c r="Q12" s="724"/>
      <c r="R12" s="668"/>
      <c r="S12" s="668"/>
      <c r="T12" s="725"/>
      <c r="U12" s="668"/>
      <c r="V12" s="668"/>
      <c r="W12" s="668"/>
      <c r="X12" s="668"/>
      <c r="Y12" s="668"/>
      <c r="Z12" s="726"/>
      <c r="AA12" s="726"/>
      <c r="AB12" s="726"/>
      <c r="AC12" s="727"/>
      <c r="AD12" s="284" t="str">
        <f t="shared" si="3"/>
        <v>Pan_B285_36100_N_10S4P3LED_SDI26H_SW1_</v>
      </c>
      <c r="AJ12" s="225">
        <f t="shared" si="4"/>
        <v>3</v>
      </c>
      <c r="AK12" s="225">
        <f t="shared" si="5"/>
        <v>9</v>
      </c>
      <c r="AL12" s="225">
        <f t="shared" si="0"/>
        <v>36</v>
      </c>
      <c r="AM12" s="225">
        <f t="shared" si="1"/>
        <v>10</v>
      </c>
      <c r="AN12" s="225">
        <f t="shared" si="6"/>
        <v>26</v>
      </c>
      <c r="AO12" s="225">
        <f t="shared" si="7"/>
        <v>10</v>
      </c>
      <c r="AP12" s="225">
        <f t="shared" si="8"/>
        <v>4</v>
      </c>
      <c r="AQ12" s="225" t="str">
        <f t="shared" si="9"/>
        <v>ok</v>
      </c>
      <c r="AR12" s="225" t="str">
        <f t="shared" si="10"/>
        <v>10S4P</v>
      </c>
      <c r="AS12" s="225" t="str">
        <f t="shared" si="11"/>
        <v>3LED_SDI26H_</v>
      </c>
      <c r="AT12" s="225" t="str">
        <f t="shared" si="12"/>
        <v>SW1_</v>
      </c>
      <c r="AU12" s="225" t="str">
        <f t="shared" si="13"/>
        <v/>
      </c>
      <c r="AV12" s="225" t="e">
        <f t="shared" si="17"/>
        <v>#VALUE!</v>
      </c>
      <c r="AW12" s="225" t="b">
        <f t="shared" si="18"/>
        <v>1</v>
      </c>
      <c r="AX12" s="225" t="str">
        <f t="shared" si="14"/>
        <v/>
      </c>
      <c r="AY12" s="225" t="str">
        <f t="shared" si="15"/>
        <v/>
      </c>
      <c r="AZ12" s="664" t="str">
        <f t="shared" si="16"/>
        <v/>
      </c>
    </row>
    <row r="13" spans="1:52" s="289" customFormat="1" ht="21">
      <c r="A13" s="671" t="s">
        <v>957</v>
      </c>
      <c r="B13" s="672" t="s">
        <v>958</v>
      </c>
      <c r="C13" s="673"/>
      <c r="D13" s="671" t="s">
        <v>959</v>
      </c>
      <c r="E13" s="287" t="str">
        <f t="shared" si="2"/>
        <v>10S5P</v>
      </c>
      <c r="F13" s="671" t="s">
        <v>715</v>
      </c>
      <c r="G13" s="671" t="s">
        <v>685</v>
      </c>
      <c r="H13" s="671">
        <v>3</v>
      </c>
      <c r="I13" s="729"/>
      <c r="J13" s="671"/>
      <c r="K13" s="671" t="s">
        <v>116</v>
      </c>
      <c r="L13" s="671"/>
      <c r="M13" s="671"/>
      <c r="N13" s="730"/>
      <c r="O13" s="671"/>
      <c r="P13" s="731"/>
      <c r="Q13" s="732"/>
      <c r="R13" s="671"/>
      <c r="S13" s="671"/>
      <c r="T13" s="733"/>
      <c r="U13" s="671"/>
      <c r="V13" s="671"/>
      <c r="W13" s="671"/>
      <c r="X13" s="671"/>
      <c r="Y13" s="671"/>
      <c r="Z13" s="734"/>
      <c r="AA13" s="734"/>
      <c r="AB13" s="734"/>
      <c r="AC13" s="735"/>
      <c r="AD13" s="288" t="str">
        <f t="shared" si="3"/>
        <v>Pan_B285_36130_N_10S5P3LED_SDI26H_SW1_</v>
      </c>
      <c r="AJ13" s="289">
        <f t="shared" si="4"/>
        <v>3</v>
      </c>
      <c r="AK13" s="289">
        <f t="shared" si="5"/>
        <v>9</v>
      </c>
      <c r="AL13" s="289">
        <f t="shared" si="0"/>
        <v>36</v>
      </c>
      <c r="AM13" s="289">
        <f t="shared" si="1"/>
        <v>13</v>
      </c>
      <c r="AN13" s="289">
        <f t="shared" si="6"/>
        <v>26</v>
      </c>
      <c r="AO13" s="289">
        <f t="shared" si="7"/>
        <v>10</v>
      </c>
      <c r="AP13" s="289">
        <f t="shared" si="8"/>
        <v>5</v>
      </c>
      <c r="AQ13" s="289" t="str">
        <f t="shared" si="9"/>
        <v>ok</v>
      </c>
      <c r="AR13" s="289" t="str">
        <f t="shared" si="10"/>
        <v>10S5P</v>
      </c>
      <c r="AS13" s="225" t="str">
        <f t="shared" si="11"/>
        <v>3LED_SDI26H_</v>
      </c>
      <c r="AT13" s="225" t="str">
        <f t="shared" si="12"/>
        <v>SW1_</v>
      </c>
      <c r="AU13" s="225" t="str">
        <f t="shared" si="13"/>
        <v/>
      </c>
      <c r="AV13" s="289" t="e">
        <f t="shared" si="17"/>
        <v>#VALUE!</v>
      </c>
      <c r="AW13" s="289" t="b">
        <f t="shared" si="18"/>
        <v>1</v>
      </c>
      <c r="AX13" s="289" t="str">
        <f t="shared" si="14"/>
        <v/>
      </c>
      <c r="AY13" s="289" t="str">
        <f t="shared" si="15"/>
        <v/>
      </c>
      <c r="AZ13" s="664" t="str">
        <f t="shared" si="16"/>
        <v/>
      </c>
    </row>
    <row r="14" spans="1:52" s="225" customFormat="1" ht="21">
      <c r="A14" s="668" t="s">
        <v>688</v>
      </c>
      <c r="B14" s="669" t="s">
        <v>713</v>
      </c>
      <c r="C14" s="670"/>
      <c r="D14" s="668" t="s">
        <v>686</v>
      </c>
      <c r="E14" s="280" t="str">
        <f t="shared" si="2"/>
        <v>7S3P</v>
      </c>
      <c r="F14" s="718" t="s">
        <v>715</v>
      </c>
      <c r="G14" s="719" t="s">
        <v>685</v>
      </c>
      <c r="H14" s="720">
        <v>3</v>
      </c>
      <c r="I14" s="721"/>
      <c r="J14" s="668"/>
      <c r="K14" s="668" t="s">
        <v>116</v>
      </c>
      <c r="L14" s="668"/>
      <c r="M14" s="668"/>
      <c r="N14" s="722"/>
      <c r="O14" s="668"/>
      <c r="P14" s="723"/>
      <c r="Q14" s="724"/>
      <c r="R14" s="668"/>
      <c r="S14" s="668"/>
      <c r="T14" s="725"/>
      <c r="U14" s="668"/>
      <c r="V14" s="668"/>
      <c r="W14" s="668"/>
      <c r="X14" s="668"/>
      <c r="Y14" s="668"/>
      <c r="Z14" s="726"/>
      <c r="AA14" s="726"/>
      <c r="AB14" s="726"/>
      <c r="AC14" s="727"/>
      <c r="AD14" s="284" t="str">
        <f t="shared" si="3"/>
        <v>Pan_B285_26076_N_7S3P3LED_SDI26H_SW1_</v>
      </c>
      <c r="AJ14" s="225">
        <f t="shared" si="4"/>
        <v>3</v>
      </c>
      <c r="AK14" s="225">
        <f t="shared" si="5"/>
        <v>8</v>
      </c>
      <c r="AL14" s="225">
        <f t="shared" si="0"/>
        <v>26</v>
      </c>
      <c r="AM14" s="225">
        <f t="shared" si="1"/>
        <v>7.8</v>
      </c>
      <c r="AN14" s="225">
        <f t="shared" si="6"/>
        <v>26</v>
      </c>
      <c r="AO14" s="225">
        <f t="shared" si="7"/>
        <v>7</v>
      </c>
      <c r="AP14" s="225">
        <f t="shared" si="8"/>
        <v>3</v>
      </c>
      <c r="AQ14" s="225" t="str">
        <f t="shared" si="9"/>
        <v>ok</v>
      </c>
      <c r="AR14" s="225" t="str">
        <f t="shared" si="10"/>
        <v>7S3P</v>
      </c>
      <c r="AS14" s="225" t="str">
        <f t="shared" si="11"/>
        <v>3LED_SDI26H_</v>
      </c>
      <c r="AT14" s="225" t="str">
        <f t="shared" si="12"/>
        <v>SW1_</v>
      </c>
      <c r="AU14" s="225" t="str">
        <f t="shared" si="13"/>
        <v/>
      </c>
      <c r="AV14" s="225" t="e">
        <f t="shared" si="17"/>
        <v>#VALUE!</v>
      </c>
      <c r="AW14" s="225" t="b">
        <f t="shared" si="18"/>
        <v>1</v>
      </c>
      <c r="AX14" s="225" t="str">
        <f t="shared" si="14"/>
        <v/>
      </c>
      <c r="AY14" s="225" t="str">
        <f t="shared" si="15"/>
        <v/>
      </c>
      <c r="AZ14" s="664" t="str">
        <f t="shared" si="16"/>
        <v/>
      </c>
    </row>
    <row r="15" spans="1:52" s="225" customFormat="1" ht="21">
      <c r="A15" s="668" t="s">
        <v>687</v>
      </c>
      <c r="B15" s="669" t="s">
        <v>713</v>
      </c>
      <c r="C15" s="670"/>
      <c r="D15" s="668" t="s">
        <v>686</v>
      </c>
      <c r="E15" s="280" t="str">
        <f t="shared" si="2"/>
        <v>7S3P</v>
      </c>
      <c r="F15" s="718" t="s">
        <v>715</v>
      </c>
      <c r="G15" s="719" t="s">
        <v>685</v>
      </c>
      <c r="H15" s="720">
        <v>3</v>
      </c>
      <c r="I15" s="721"/>
      <c r="J15" s="668"/>
      <c r="K15" s="668" t="s">
        <v>116</v>
      </c>
      <c r="L15" s="668"/>
      <c r="M15" s="668"/>
      <c r="N15" s="722"/>
      <c r="O15" s="668"/>
      <c r="P15" s="723"/>
      <c r="Q15" s="724"/>
      <c r="R15" s="668"/>
      <c r="S15" s="668"/>
      <c r="T15" s="725"/>
      <c r="U15" s="668"/>
      <c r="V15" s="668"/>
      <c r="W15" s="668"/>
      <c r="X15" s="668"/>
      <c r="Y15" s="668"/>
      <c r="Z15" s="726"/>
      <c r="AA15" s="726"/>
      <c r="AB15" s="726"/>
      <c r="AC15" s="727"/>
      <c r="AD15" s="284" t="str">
        <f t="shared" si="3"/>
        <v>Pan_B190_26076_N_7S3P3LED_SDI26H_SW1_</v>
      </c>
      <c r="AJ15" s="225">
        <f t="shared" si="4"/>
        <v>3</v>
      </c>
      <c r="AK15" s="225">
        <f t="shared" si="5"/>
        <v>8</v>
      </c>
      <c r="AL15" s="225">
        <f t="shared" si="0"/>
        <v>26</v>
      </c>
      <c r="AM15" s="225">
        <f t="shared" si="1"/>
        <v>7.8</v>
      </c>
      <c r="AN15" s="225">
        <f t="shared" si="6"/>
        <v>26</v>
      </c>
      <c r="AO15" s="225">
        <f t="shared" si="7"/>
        <v>7</v>
      </c>
      <c r="AP15" s="225">
        <f t="shared" si="8"/>
        <v>3</v>
      </c>
      <c r="AQ15" s="225" t="str">
        <f t="shared" si="9"/>
        <v>ok</v>
      </c>
      <c r="AR15" s="225" t="str">
        <f t="shared" si="10"/>
        <v>7S3P</v>
      </c>
      <c r="AS15" s="225" t="str">
        <f t="shared" si="11"/>
        <v>3LED_SDI26H_</v>
      </c>
      <c r="AT15" s="225" t="str">
        <f t="shared" si="12"/>
        <v>SW1_</v>
      </c>
      <c r="AU15" s="225" t="str">
        <f t="shared" si="13"/>
        <v/>
      </c>
      <c r="AV15" s="225" t="e">
        <f t="shared" si="17"/>
        <v>#VALUE!</v>
      </c>
      <c r="AW15" s="225" t="b">
        <f t="shared" si="18"/>
        <v>1</v>
      </c>
      <c r="AX15" s="225" t="str">
        <f t="shared" si="14"/>
        <v/>
      </c>
      <c r="AY15" s="225" t="str">
        <f t="shared" si="15"/>
        <v/>
      </c>
      <c r="AZ15" s="664" t="str">
        <f t="shared" si="16"/>
        <v/>
      </c>
    </row>
    <row r="16" spans="1:52" s="225" customFormat="1" ht="42">
      <c r="A16" s="668" t="s">
        <v>731</v>
      </c>
      <c r="B16" s="669" t="s">
        <v>684</v>
      </c>
      <c r="C16" s="670"/>
      <c r="D16" s="668" t="s">
        <v>682</v>
      </c>
      <c r="E16" s="280" t="str">
        <f t="shared" si="2"/>
        <v>10S4P</v>
      </c>
      <c r="F16" s="718" t="s">
        <v>715</v>
      </c>
      <c r="G16" s="719" t="s">
        <v>116</v>
      </c>
      <c r="H16" s="720">
        <v>5</v>
      </c>
      <c r="I16" s="721" t="s">
        <v>116</v>
      </c>
      <c r="J16" s="668"/>
      <c r="K16" s="668" t="s">
        <v>116</v>
      </c>
      <c r="L16" s="668"/>
      <c r="M16" s="668" t="s">
        <v>116</v>
      </c>
      <c r="N16" s="722" t="s">
        <v>116</v>
      </c>
      <c r="O16" s="668" t="s">
        <v>116</v>
      </c>
      <c r="P16" s="736" t="s">
        <v>116</v>
      </c>
      <c r="Q16" s="737"/>
      <c r="R16" s="728"/>
      <c r="S16" s="728"/>
      <c r="T16" s="725" t="s">
        <v>116</v>
      </c>
      <c r="U16" s="728" t="s">
        <v>737</v>
      </c>
      <c r="V16" s="728"/>
      <c r="W16" s="728"/>
      <c r="X16" s="728"/>
      <c r="Y16" s="728"/>
      <c r="Z16" s="726"/>
      <c r="AA16" s="726"/>
      <c r="AB16" s="726"/>
      <c r="AC16" s="727"/>
      <c r="AD16" s="284" t="str">
        <f t="shared" si="3"/>
        <v>Ares_HM_36100_SU_10S4P5LEDLowDrv_SDI26H_SW1_NTC2_SW2_USBC_Aslp_Blight_</v>
      </c>
      <c r="AJ16" s="225">
        <f t="shared" si="4"/>
        <v>3</v>
      </c>
      <c r="AK16" s="225">
        <f t="shared" si="5"/>
        <v>9</v>
      </c>
      <c r="AL16" s="225">
        <f t="shared" si="0"/>
        <v>36</v>
      </c>
      <c r="AM16" s="225">
        <f t="shared" si="1"/>
        <v>10</v>
      </c>
      <c r="AN16" s="225">
        <f t="shared" si="6"/>
        <v>26</v>
      </c>
      <c r="AO16" s="225">
        <f t="shared" si="7"/>
        <v>10</v>
      </c>
      <c r="AP16" s="225">
        <f t="shared" si="8"/>
        <v>4</v>
      </c>
      <c r="AQ16" s="225" t="str">
        <f t="shared" si="9"/>
        <v>ok</v>
      </c>
      <c r="AR16" s="225" t="str">
        <f t="shared" si="10"/>
        <v>10S4P</v>
      </c>
      <c r="AS16" s="225" t="str">
        <f t="shared" si="11"/>
        <v>5LEDLowDrv_SDI26H_</v>
      </c>
      <c r="AT16" s="225" t="str">
        <f t="shared" si="12"/>
        <v>SW1_NTC2_SW2_USBC_</v>
      </c>
      <c r="AU16" s="225" t="str">
        <f t="shared" si="13"/>
        <v>Aslp_Blight_</v>
      </c>
      <c r="AV16" s="225" t="e">
        <f t="shared" si="17"/>
        <v>#VALUE!</v>
      </c>
      <c r="AW16" s="225" t="b">
        <f t="shared" si="18"/>
        <v>1</v>
      </c>
      <c r="AX16" s="225" t="str">
        <f t="shared" si="14"/>
        <v/>
      </c>
      <c r="AY16" s="225" t="str">
        <f t="shared" si="15"/>
        <v/>
      </c>
      <c r="AZ16" s="664" t="str">
        <f t="shared" si="16"/>
        <v/>
      </c>
    </row>
    <row r="17" spans="1:52" s="225" customFormat="1" ht="42">
      <c r="A17" s="668" t="s">
        <v>727</v>
      </c>
      <c r="B17" s="669" t="s">
        <v>684</v>
      </c>
      <c r="C17" s="670"/>
      <c r="D17" s="668" t="s">
        <v>682</v>
      </c>
      <c r="E17" s="280" t="str">
        <f t="shared" si="2"/>
        <v>10S4P</v>
      </c>
      <c r="F17" s="718" t="s">
        <v>715</v>
      </c>
      <c r="G17" s="719" t="s">
        <v>116</v>
      </c>
      <c r="H17" s="720">
        <v>5</v>
      </c>
      <c r="I17" s="721" t="s">
        <v>116</v>
      </c>
      <c r="J17" s="668" t="s">
        <v>743</v>
      </c>
      <c r="K17" s="668" t="s">
        <v>116</v>
      </c>
      <c r="L17" s="668"/>
      <c r="M17" s="668" t="s">
        <v>116</v>
      </c>
      <c r="N17" s="722" t="s">
        <v>116</v>
      </c>
      <c r="O17" s="668" t="s">
        <v>116</v>
      </c>
      <c r="P17" s="736" t="s">
        <v>116</v>
      </c>
      <c r="Q17" s="737"/>
      <c r="R17" s="728"/>
      <c r="S17" s="728"/>
      <c r="T17" s="725" t="s">
        <v>116</v>
      </c>
      <c r="U17" s="728" t="s">
        <v>737</v>
      </c>
      <c r="V17" s="728"/>
      <c r="W17" s="728"/>
      <c r="X17" s="728"/>
      <c r="Y17" s="728"/>
      <c r="Z17" s="726"/>
      <c r="AA17" s="726"/>
      <c r="AB17" s="726"/>
      <c r="AC17" s="727"/>
      <c r="AD17" s="284" t="str">
        <f t="shared" si="3"/>
        <v>Ares_HM_36100_NU_10S4P5LEDLowDrv_SDI26H_COM_SW1_NTC2_SW2_USBC_Aslp_Blight_</v>
      </c>
      <c r="AJ17" s="225">
        <f t="shared" si="4"/>
        <v>3</v>
      </c>
      <c r="AK17" s="225">
        <f t="shared" si="5"/>
        <v>9</v>
      </c>
      <c r="AL17" s="225">
        <f t="shared" si="0"/>
        <v>36</v>
      </c>
      <c r="AM17" s="225">
        <f t="shared" si="1"/>
        <v>10</v>
      </c>
      <c r="AN17" s="225">
        <f t="shared" si="6"/>
        <v>26</v>
      </c>
      <c r="AO17" s="225">
        <f t="shared" si="7"/>
        <v>10</v>
      </c>
      <c r="AP17" s="225">
        <f t="shared" si="8"/>
        <v>4</v>
      </c>
      <c r="AQ17" s="225" t="str">
        <f t="shared" si="9"/>
        <v>ok</v>
      </c>
      <c r="AR17" s="225" t="str">
        <f t="shared" si="10"/>
        <v>10S4P</v>
      </c>
      <c r="AS17" s="225" t="str">
        <f t="shared" si="11"/>
        <v>5LEDLowDrv_SDI26H_</v>
      </c>
      <c r="AT17" s="225" t="str">
        <f t="shared" si="12"/>
        <v>COM_SW1_NTC2_SW2_USBC_</v>
      </c>
      <c r="AU17" s="225" t="str">
        <f t="shared" si="13"/>
        <v>Aslp_Blight_</v>
      </c>
      <c r="AV17" s="225" t="e">
        <f t="shared" si="17"/>
        <v>#VALUE!</v>
      </c>
      <c r="AW17" s="225" t="b">
        <f t="shared" si="18"/>
        <v>1</v>
      </c>
      <c r="AX17" s="225" t="str">
        <f t="shared" si="14"/>
        <v/>
      </c>
      <c r="AY17" s="225" t="str">
        <f t="shared" si="15"/>
        <v/>
      </c>
      <c r="AZ17" s="664" t="str">
        <f t="shared" si="16"/>
        <v/>
      </c>
    </row>
    <row r="18" spans="1:52" s="225" customFormat="1" ht="28.5">
      <c r="A18" s="668" t="s">
        <v>728</v>
      </c>
      <c r="B18" s="669" t="s">
        <v>683</v>
      </c>
      <c r="C18" s="670"/>
      <c r="D18" s="668" t="s">
        <v>682</v>
      </c>
      <c r="E18" s="280" t="str">
        <f t="shared" si="2"/>
        <v>10S4P</v>
      </c>
      <c r="F18" s="718" t="s">
        <v>724</v>
      </c>
      <c r="G18" s="719" t="s">
        <v>116</v>
      </c>
      <c r="H18" s="720">
        <v>4</v>
      </c>
      <c r="I18" s="721" t="s">
        <v>116</v>
      </c>
      <c r="J18" s="668"/>
      <c r="K18" s="668" t="s">
        <v>116</v>
      </c>
      <c r="L18" s="668"/>
      <c r="M18" s="668"/>
      <c r="N18" s="722"/>
      <c r="O18" s="668"/>
      <c r="P18" s="728" t="s">
        <v>116</v>
      </c>
      <c r="Q18" s="738"/>
      <c r="R18" s="668"/>
      <c r="S18" s="668"/>
      <c r="T18" s="739" t="s">
        <v>729</v>
      </c>
      <c r="U18" s="668"/>
      <c r="V18" s="668"/>
      <c r="W18" s="668"/>
      <c r="X18" s="668"/>
      <c r="Y18" s="668"/>
      <c r="Z18" s="726"/>
      <c r="AA18" s="726"/>
      <c r="AB18" s="726"/>
      <c r="AC18" s="727"/>
      <c r="AD18" s="284" t="str">
        <f t="shared" si="3"/>
        <v>Ares_TB300_36100_N_10S4P4LEDLowDrv_SDI26H_SW1_Aslp_</v>
      </c>
      <c r="AJ18" s="225">
        <f t="shared" si="4"/>
        <v>3</v>
      </c>
      <c r="AK18" s="225">
        <f t="shared" si="5"/>
        <v>9</v>
      </c>
      <c r="AL18" s="225">
        <f t="shared" si="0"/>
        <v>36</v>
      </c>
      <c r="AM18" s="225">
        <f t="shared" si="1"/>
        <v>10</v>
      </c>
      <c r="AN18" s="225">
        <f t="shared" si="6"/>
        <v>26</v>
      </c>
      <c r="AO18" s="225">
        <f t="shared" si="7"/>
        <v>10</v>
      </c>
      <c r="AP18" s="225">
        <f t="shared" si="8"/>
        <v>4</v>
      </c>
      <c r="AQ18" s="225" t="str">
        <f t="shared" si="9"/>
        <v>ok</v>
      </c>
      <c r="AR18" s="225" t="str">
        <f t="shared" si="10"/>
        <v>10S4P</v>
      </c>
      <c r="AS18" s="225" t="str">
        <f t="shared" si="11"/>
        <v>4LEDLowDrv_SDI26H_</v>
      </c>
      <c r="AT18" s="225" t="str">
        <f t="shared" si="12"/>
        <v>SW1_</v>
      </c>
      <c r="AU18" s="225" t="str">
        <f t="shared" si="13"/>
        <v>Aslp_</v>
      </c>
      <c r="AV18" s="225" t="e">
        <f t="shared" si="17"/>
        <v>#VALUE!</v>
      </c>
      <c r="AW18" s="225" t="b">
        <f t="shared" si="18"/>
        <v>1</v>
      </c>
      <c r="AX18" s="225" t="str">
        <f t="shared" si="14"/>
        <v/>
      </c>
      <c r="AY18" s="225" t="str">
        <f t="shared" si="15"/>
        <v/>
      </c>
      <c r="AZ18" s="664" t="str">
        <f t="shared" si="16"/>
        <v/>
      </c>
    </row>
    <row r="19" spans="1:52" s="416" customFormat="1" ht="21">
      <c r="A19" s="674" t="s">
        <v>1102</v>
      </c>
      <c r="B19" s="675" t="s">
        <v>1103</v>
      </c>
      <c r="C19" s="676"/>
      <c r="D19" s="677" t="s">
        <v>1104</v>
      </c>
      <c r="E19" s="414" t="str">
        <f t="shared" si="2"/>
        <v>13S5P</v>
      </c>
      <c r="F19" s="740" t="s">
        <v>1105</v>
      </c>
      <c r="G19" s="741" t="s">
        <v>1098</v>
      </c>
      <c r="H19" s="742">
        <v>3</v>
      </c>
      <c r="I19" s="743"/>
      <c r="J19" s="677"/>
      <c r="K19" s="677" t="s">
        <v>1098</v>
      </c>
      <c r="L19" s="677"/>
      <c r="M19" s="677"/>
      <c r="N19" s="744"/>
      <c r="O19" s="677"/>
      <c r="P19" s="745" t="s">
        <v>1098</v>
      </c>
      <c r="Q19" s="745"/>
      <c r="R19" s="677"/>
      <c r="S19" s="677"/>
      <c r="T19" s="677"/>
      <c r="U19" s="677"/>
      <c r="V19" s="677"/>
      <c r="W19" s="677"/>
      <c r="X19" s="677"/>
      <c r="Y19" s="677"/>
      <c r="Z19" s="746"/>
      <c r="AA19" s="746"/>
      <c r="AB19" s="746"/>
      <c r="AC19" s="747"/>
      <c r="AD19" s="415" t="str">
        <f t="shared" si="3"/>
        <v>Pan_B285_48130_Y_13S5P3LED_SDI26H_SW1_Aslp_</v>
      </c>
      <c r="AJ19" s="416">
        <f t="shared" ref="AJ19:AJ141" si="19">FIND("V",UPPER(TRIM(D19)))</f>
        <v>3</v>
      </c>
      <c r="AK19" s="416">
        <f t="shared" ref="AK19:AK141" si="20">FIND("AH",UPPER(TRIM(D19)))</f>
        <v>9</v>
      </c>
      <c r="AL19" s="416">
        <f t="shared" si="0"/>
        <v>48</v>
      </c>
      <c r="AM19" s="416">
        <f t="shared" si="1"/>
        <v>13</v>
      </c>
      <c r="AN19" s="416">
        <f t="shared" ref="AN19:AN141" si="21">VALUE(MID(TRIM(F19),4,2))</f>
        <v>26</v>
      </c>
      <c r="AO19" s="416">
        <f t="shared" ref="AO19:AO141" si="22">ROUNDDOWN(AL19/3.5,0)</f>
        <v>13</v>
      </c>
      <c r="AP19" s="416">
        <f t="shared" ref="AP19:AP141" si="23">ROUNDUP(AM19*10/AN19,0)</f>
        <v>5</v>
      </c>
      <c r="AQ19" s="416" t="str">
        <f t="shared" ref="AQ19:AQ141" si="24">IF(OR(ISERROR(AO19),ISERROR(AP19)),"error","ok")</f>
        <v>ok</v>
      </c>
      <c r="AR19" s="416" t="str">
        <f t="shared" si="10"/>
        <v>13S5P</v>
      </c>
      <c r="AS19" s="416" t="str">
        <f t="shared" si="11"/>
        <v>3LED_SDI26H_</v>
      </c>
      <c r="AT19" s="225" t="str">
        <f t="shared" si="12"/>
        <v>SW1_</v>
      </c>
      <c r="AU19" s="225" t="str">
        <f t="shared" si="13"/>
        <v>Aslp_</v>
      </c>
      <c r="AV19" s="416" t="e">
        <f t="shared" si="17"/>
        <v>#VALUE!</v>
      </c>
      <c r="AW19" s="416" t="b">
        <f t="shared" si="18"/>
        <v>1</v>
      </c>
      <c r="AX19" s="416" t="str">
        <f t="shared" si="14"/>
        <v/>
      </c>
      <c r="AY19" s="416" t="str">
        <f t="shared" si="15"/>
        <v/>
      </c>
      <c r="AZ19" s="664" t="str">
        <f t="shared" si="16"/>
        <v/>
      </c>
    </row>
    <row r="20" spans="1:52" s="225" customFormat="1" ht="21">
      <c r="A20" s="668" t="s">
        <v>748</v>
      </c>
      <c r="B20" s="678" t="s">
        <v>741</v>
      </c>
      <c r="C20" s="679"/>
      <c r="D20" s="668" t="s">
        <v>738</v>
      </c>
      <c r="E20" s="280" t="str">
        <f t="shared" si="2"/>
        <v>10S4P</v>
      </c>
      <c r="F20" s="718" t="s">
        <v>724</v>
      </c>
      <c r="G20" s="719" t="s">
        <v>685</v>
      </c>
      <c r="H20" s="720">
        <v>4</v>
      </c>
      <c r="I20" s="721"/>
      <c r="J20" s="668"/>
      <c r="K20" s="668" t="s">
        <v>116</v>
      </c>
      <c r="L20" s="668"/>
      <c r="M20" s="668"/>
      <c r="N20" s="722"/>
      <c r="O20" s="668"/>
      <c r="P20" s="668" t="s">
        <v>740</v>
      </c>
      <c r="Q20" s="668"/>
      <c r="R20" s="668"/>
      <c r="S20" s="668"/>
      <c r="T20" s="668"/>
      <c r="U20" s="668"/>
      <c r="V20" s="668"/>
      <c r="W20" s="668"/>
      <c r="X20" s="668"/>
      <c r="Y20" s="668"/>
      <c r="Z20" s="726"/>
      <c r="AA20" s="726"/>
      <c r="AB20" s="726"/>
      <c r="AC20" s="727"/>
      <c r="AD20" s="284" t="str">
        <f t="shared" si="3"/>
        <v>Pan_B300_36100_Y_10S4P4LED_SDI26H_SW1_Aslp_</v>
      </c>
      <c r="AJ20" s="225">
        <f t="shared" si="19"/>
        <v>3</v>
      </c>
      <c r="AK20" s="225">
        <f t="shared" si="20"/>
        <v>9</v>
      </c>
      <c r="AL20" s="225">
        <f t="shared" si="0"/>
        <v>36</v>
      </c>
      <c r="AM20" s="225">
        <f t="shared" si="1"/>
        <v>10</v>
      </c>
      <c r="AN20" s="225">
        <f t="shared" si="21"/>
        <v>26</v>
      </c>
      <c r="AO20" s="225">
        <f t="shared" si="22"/>
        <v>10</v>
      </c>
      <c r="AP20" s="225">
        <f t="shared" si="23"/>
        <v>4</v>
      </c>
      <c r="AQ20" s="225" t="str">
        <f t="shared" si="24"/>
        <v>ok</v>
      </c>
      <c r="AR20" s="225" t="str">
        <f t="shared" si="10"/>
        <v>10S4P</v>
      </c>
      <c r="AS20" s="225" t="str">
        <f t="shared" si="11"/>
        <v>4LED_SDI26H_</v>
      </c>
      <c r="AT20" s="225" t="str">
        <f t="shared" si="12"/>
        <v>SW1_</v>
      </c>
      <c r="AU20" s="225" t="str">
        <f t="shared" si="13"/>
        <v>Aslp_</v>
      </c>
      <c r="AV20" s="225" t="e">
        <f t="shared" si="17"/>
        <v>#VALUE!</v>
      </c>
      <c r="AW20" s="225" t="b">
        <f t="shared" si="18"/>
        <v>1</v>
      </c>
      <c r="AX20" s="225" t="str">
        <f t="shared" si="14"/>
        <v/>
      </c>
      <c r="AY20" s="225" t="str">
        <f t="shared" si="15"/>
        <v/>
      </c>
      <c r="AZ20" s="664" t="str">
        <f t="shared" si="16"/>
        <v/>
      </c>
    </row>
    <row r="21" spans="1:52" s="225" customFormat="1" ht="21.75" thickBot="1">
      <c r="A21" s="680" t="s">
        <v>934</v>
      </c>
      <c r="B21" s="681" t="s">
        <v>741</v>
      </c>
      <c r="C21" s="682"/>
      <c r="D21" s="683" t="s">
        <v>742</v>
      </c>
      <c r="E21" s="281" t="str">
        <f t="shared" si="2"/>
        <v>7S4P</v>
      </c>
      <c r="F21" s="748" t="s">
        <v>724</v>
      </c>
      <c r="G21" s="749" t="s">
        <v>685</v>
      </c>
      <c r="H21" s="750">
        <v>4</v>
      </c>
      <c r="I21" s="751"/>
      <c r="J21" s="683"/>
      <c r="K21" s="683" t="s">
        <v>116</v>
      </c>
      <c r="L21" s="683"/>
      <c r="M21" s="683"/>
      <c r="N21" s="752"/>
      <c r="O21" s="683"/>
      <c r="P21" s="683" t="s">
        <v>740</v>
      </c>
      <c r="Q21" s="683"/>
      <c r="R21" s="683"/>
      <c r="S21" s="683"/>
      <c r="T21" s="683"/>
      <c r="U21" s="683"/>
      <c r="V21" s="683"/>
      <c r="W21" s="683"/>
      <c r="X21" s="683"/>
      <c r="Y21" s="683"/>
      <c r="Z21" s="753"/>
      <c r="AA21" s="858"/>
      <c r="AB21" s="858"/>
      <c r="AC21" s="727"/>
      <c r="AD21" s="284" t="str">
        <f t="shared" si="3"/>
        <v>Pan_B260_26100_Y_7S4P4LED_SDI26H_SW1_Aslp_</v>
      </c>
      <c r="AJ21" s="225">
        <f t="shared" si="19"/>
        <v>3</v>
      </c>
      <c r="AK21" s="225">
        <f t="shared" si="20"/>
        <v>9</v>
      </c>
      <c r="AL21" s="225">
        <f t="shared" si="0"/>
        <v>26</v>
      </c>
      <c r="AM21" s="225">
        <f t="shared" si="1"/>
        <v>10</v>
      </c>
      <c r="AN21" s="225">
        <f t="shared" si="21"/>
        <v>26</v>
      </c>
      <c r="AO21" s="225">
        <f t="shared" si="22"/>
        <v>7</v>
      </c>
      <c r="AP21" s="225">
        <f t="shared" si="23"/>
        <v>4</v>
      </c>
      <c r="AQ21" s="225" t="str">
        <f t="shared" si="24"/>
        <v>ok</v>
      </c>
      <c r="AR21" s="225" t="str">
        <f t="shared" si="10"/>
        <v>7S4P</v>
      </c>
      <c r="AS21" s="225" t="str">
        <f t="shared" si="11"/>
        <v>4LED_SDI26H_</v>
      </c>
      <c r="AT21" s="225" t="str">
        <f t="shared" si="12"/>
        <v>SW1_</v>
      </c>
      <c r="AU21" s="225" t="str">
        <f t="shared" si="13"/>
        <v>Aslp_</v>
      </c>
      <c r="AV21" s="225" t="e">
        <f t="shared" si="17"/>
        <v>#VALUE!</v>
      </c>
      <c r="AW21" s="225" t="b">
        <f t="shared" si="18"/>
        <v>1</v>
      </c>
      <c r="AX21" s="225" t="str">
        <f t="shared" si="14"/>
        <v/>
      </c>
      <c r="AY21" s="225" t="str">
        <f t="shared" si="15"/>
        <v/>
      </c>
      <c r="AZ21" s="664" t="str">
        <f t="shared" si="16"/>
        <v/>
      </c>
    </row>
    <row r="22" spans="1:52" s="286" customFormat="1" ht="38.25" customHeight="1" thickTop="1">
      <c r="A22" s="684" t="s">
        <v>933</v>
      </c>
      <c r="B22" s="685"/>
      <c r="C22" s="686" t="s">
        <v>937</v>
      </c>
      <c r="D22" s="684" t="s">
        <v>932</v>
      </c>
      <c r="E22" s="282" t="str">
        <f t="shared" si="2"/>
        <v>10S4P</v>
      </c>
      <c r="F22" s="754" t="s">
        <v>724</v>
      </c>
      <c r="G22" s="755" t="s">
        <v>685</v>
      </c>
      <c r="H22" s="756">
        <v>3</v>
      </c>
      <c r="I22" s="757"/>
      <c r="J22" s="684"/>
      <c r="K22" s="684" t="s">
        <v>116</v>
      </c>
      <c r="L22" s="684"/>
      <c r="M22" s="684"/>
      <c r="N22" s="758"/>
      <c r="O22" s="684"/>
      <c r="P22" s="684" t="s">
        <v>116</v>
      </c>
      <c r="Q22" s="684"/>
      <c r="R22" s="684"/>
      <c r="S22" s="684"/>
      <c r="T22" s="684"/>
      <c r="U22" s="684"/>
      <c r="V22" s="684"/>
      <c r="W22" s="684" t="s">
        <v>116</v>
      </c>
      <c r="X22" s="684"/>
      <c r="Y22" s="684"/>
      <c r="Z22" s="759"/>
      <c r="AA22" s="759"/>
      <c r="AB22" s="759"/>
      <c r="AC22" s="760"/>
      <c r="AD22" s="285" t="str">
        <f t="shared" si="3"/>
        <v>Pan_B285_36100_Y_10S4P3LED_SDI26H_SW1_Aslp_DUVP_</v>
      </c>
      <c r="AJ22" s="286">
        <f t="shared" si="19"/>
        <v>3</v>
      </c>
      <c r="AK22" s="286">
        <f t="shared" si="20"/>
        <v>9</v>
      </c>
      <c r="AL22" s="286">
        <f t="shared" si="0"/>
        <v>36</v>
      </c>
      <c r="AM22" s="286">
        <f t="shared" si="1"/>
        <v>10</v>
      </c>
      <c r="AN22" s="286">
        <f t="shared" si="21"/>
        <v>26</v>
      </c>
      <c r="AO22" s="286">
        <f t="shared" si="22"/>
        <v>10</v>
      </c>
      <c r="AP22" s="286">
        <f t="shared" si="23"/>
        <v>4</v>
      </c>
      <c r="AQ22" s="286" t="str">
        <f t="shared" si="24"/>
        <v>ok</v>
      </c>
      <c r="AR22" s="286" t="str">
        <f t="shared" si="10"/>
        <v>10S4P</v>
      </c>
      <c r="AS22" s="225" t="str">
        <f t="shared" si="11"/>
        <v>3LED_SDI26H_</v>
      </c>
      <c r="AT22" s="225" t="str">
        <f t="shared" si="12"/>
        <v>SW1_</v>
      </c>
      <c r="AU22" s="225" t="str">
        <f t="shared" si="13"/>
        <v>Aslp_DUVP_</v>
      </c>
      <c r="AV22" s="286">
        <f t="shared" si="17"/>
        <v>19</v>
      </c>
      <c r="AW22" s="286" t="b">
        <f t="shared" si="18"/>
        <v>0</v>
      </c>
      <c r="AX22" s="286" t="str">
        <f t="shared" si="14"/>
        <v>DAKB00104-W021E05L_</v>
      </c>
      <c r="AY22" s="286" t="str">
        <f t="shared" si="15"/>
        <v>DAKB00104_W021E05L_</v>
      </c>
      <c r="AZ22" s="664" t="str">
        <f t="shared" si="16"/>
        <v/>
      </c>
    </row>
    <row r="23" spans="1:52" s="416" customFormat="1" ht="37.5" customHeight="1">
      <c r="A23" s="687" t="s">
        <v>1094</v>
      </c>
      <c r="B23" s="688"/>
      <c r="C23" s="689" t="s">
        <v>1095</v>
      </c>
      <c r="D23" s="687" t="s">
        <v>1096</v>
      </c>
      <c r="E23" s="414" t="str">
        <f t="shared" si="2"/>
        <v>10S4P</v>
      </c>
      <c r="F23" s="687" t="s">
        <v>1097</v>
      </c>
      <c r="G23" s="741" t="s">
        <v>1098</v>
      </c>
      <c r="H23" s="742">
        <v>3</v>
      </c>
      <c r="I23" s="743"/>
      <c r="J23" s="677"/>
      <c r="K23" s="677" t="s">
        <v>1098</v>
      </c>
      <c r="L23" s="677"/>
      <c r="M23" s="677"/>
      <c r="N23" s="744"/>
      <c r="O23" s="677"/>
      <c r="P23" s="677" t="s">
        <v>1098</v>
      </c>
      <c r="Q23" s="677"/>
      <c r="R23" s="677"/>
      <c r="S23" s="677"/>
      <c r="T23" s="677"/>
      <c r="U23" s="677"/>
      <c r="V23" s="677"/>
      <c r="W23" s="677" t="s">
        <v>1098</v>
      </c>
      <c r="X23" s="677"/>
      <c r="Y23" s="677"/>
      <c r="Z23" s="746"/>
      <c r="AA23" s="746"/>
      <c r="AB23" s="746"/>
      <c r="AC23" s="747" t="s">
        <v>1238</v>
      </c>
      <c r="AD23" s="415" t="str">
        <f t="shared" si="3"/>
        <v>Pan_B285_36100_Y_10S4P3LED_SDI26FM_SW1_Aslp_DUVP_</v>
      </c>
      <c r="AJ23" s="416">
        <f t="shared" si="19"/>
        <v>3</v>
      </c>
      <c r="AK23" s="416">
        <f t="shared" si="20"/>
        <v>9</v>
      </c>
      <c r="AL23" s="416">
        <f t="shared" si="0"/>
        <v>36</v>
      </c>
      <c r="AM23" s="416">
        <f t="shared" si="1"/>
        <v>10</v>
      </c>
      <c r="AN23" s="416">
        <f t="shared" si="21"/>
        <v>26</v>
      </c>
      <c r="AO23" s="416">
        <f t="shared" si="22"/>
        <v>10</v>
      </c>
      <c r="AP23" s="416">
        <f t="shared" si="23"/>
        <v>4</v>
      </c>
      <c r="AQ23" s="416" t="str">
        <f t="shared" si="24"/>
        <v>ok</v>
      </c>
      <c r="AR23" s="416" t="str">
        <f t="shared" si="10"/>
        <v>10S4P</v>
      </c>
      <c r="AS23" s="416" t="str">
        <f t="shared" si="11"/>
        <v>3LED_SDI26FM_</v>
      </c>
      <c r="AT23" s="225" t="str">
        <f t="shared" si="12"/>
        <v>SW1_</v>
      </c>
      <c r="AU23" s="225" t="str">
        <f t="shared" si="13"/>
        <v>Aslp_DUVP_</v>
      </c>
      <c r="AV23" s="416">
        <f t="shared" si="17"/>
        <v>20</v>
      </c>
      <c r="AW23" s="416" t="b">
        <f t="shared" si="18"/>
        <v>0</v>
      </c>
      <c r="AX23" s="416" t="str">
        <f t="shared" si="14"/>
        <v>DAKB00100-W021E12LT_</v>
      </c>
      <c r="AY23" s="416" t="str">
        <f t="shared" si="15"/>
        <v>DAKB00100_W021E12LT_</v>
      </c>
      <c r="AZ23" s="664" t="str">
        <f t="shared" si="16"/>
        <v/>
      </c>
    </row>
    <row r="24" spans="1:52" s="225" customFormat="1" ht="37.5" customHeight="1">
      <c r="A24" s="668" t="s">
        <v>930</v>
      </c>
      <c r="B24" s="669" t="s">
        <v>683</v>
      </c>
      <c r="C24" s="670" t="s">
        <v>940</v>
      </c>
      <c r="D24" s="668" t="s">
        <v>941</v>
      </c>
      <c r="E24" s="280" t="str">
        <f t="shared" si="2"/>
        <v>10S4P</v>
      </c>
      <c r="F24" s="718" t="s">
        <v>724</v>
      </c>
      <c r="G24" s="719" t="s">
        <v>685</v>
      </c>
      <c r="H24" s="720">
        <v>4</v>
      </c>
      <c r="I24" s="721" t="s">
        <v>116</v>
      </c>
      <c r="J24" s="668"/>
      <c r="K24" s="668" t="s">
        <v>116</v>
      </c>
      <c r="L24" s="668"/>
      <c r="M24" s="668"/>
      <c r="N24" s="722"/>
      <c r="O24" s="668"/>
      <c r="P24" s="668" t="s">
        <v>116</v>
      </c>
      <c r="Q24" s="668"/>
      <c r="R24" s="668"/>
      <c r="S24" s="668"/>
      <c r="T24" s="668"/>
      <c r="U24" s="668"/>
      <c r="V24" s="668"/>
      <c r="W24" s="668" t="s">
        <v>116</v>
      </c>
      <c r="X24" s="668"/>
      <c r="Y24" s="668"/>
      <c r="Z24" s="726"/>
      <c r="AA24" s="726"/>
      <c r="AB24" s="726"/>
      <c r="AC24" s="727"/>
      <c r="AD24" s="284" t="str">
        <f t="shared" si="3"/>
        <v>Ares_TB300_36100_D_10S4P4LEDLowDrv_SDI26H_SW1_Aslp_DUVP_</v>
      </c>
      <c r="AJ24" s="225">
        <f t="shared" si="19"/>
        <v>3</v>
      </c>
      <c r="AK24" s="225">
        <f t="shared" si="20"/>
        <v>9</v>
      </c>
      <c r="AL24" s="225">
        <f t="shared" si="0"/>
        <v>36</v>
      </c>
      <c r="AM24" s="225">
        <f t="shared" si="1"/>
        <v>10</v>
      </c>
      <c r="AN24" s="225">
        <f t="shared" si="21"/>
        <v>26</v>
      </c>
      <c r="AO24" s="225">
        <f t="shared" si="22"/>
        <v>10</v>
      </c>
      <c r="AP24" s="225">
        <f t="shared" si="23"/>
        <v>4</v>
      </c>
      <c r="AQ24" s="225" t="str">
        <f t="shared" si="24"/>
        <v>ok</v>
      </c>
      <c r="AR24" s="225" t="str">
        <f t="shared" si="10"/>
        <v>10S4P</v>
      </c>
      <c r="AS24" s="225" t="str">
        <f t="shared" si="11"/>
        <v>4LEDLowDrv_SDI26H_</v>
      </c>
      <c r="AT24" s="225" t="str">
        <f t="shared" si="12"/>
        <v>SW1_</v>
      </c>
      <c r="AU24" s="225" t="str">
        <f t="shared" si="13"/>
        <v>Aslp_DUVP_</v>
      </c>
      <c r="AV24" s="225">
        <f t="shared" si="17"/>
        <v>20</v>
      </c>
      <c r="AW24" s="225" t="b">
        <f t="shared" si="18"/>
        <v>0</v>
      </c>
      <c r="AX24" s="225" t="str">
        <f t="shared" si="14"/>
        <v>DAKB00100-W021E06LT_</v>
      </c>
      <c r="AY24" s="225" t="str">
        <f t="shared" si="15"/>
        <v>DAKB00100_W021E06LT_</v>
      </c>
      <c r="AZ24" s="664" t="str">
        <f t="shared" si="16"/>
        <v/>
      </c>
    </row>
    <row r="25" spans="1:52" s="225" customFormat="1" ht="37.5" customHeight="1" thickBot="1">
      <c r="A25" s="690" t="s">
        <v>930</v>
      </c>
      <c r="B25" s="691" t="s">
        <v>683</v>
      </c>
      <c r="C25" s="692" t="s">
        <v>952</v>
      </c>
      <c r="D25" s="690" t="s">
        <v>942</v>
      </c>
      <c r="E25" s="281" t="str">
        <f t="shared" si="2"/>
        <v>10S4P</v>
      </c>
      <c r="F25" s="690" t="s">
        <v>939</v>
      </c>
      <c r="G25" s="749" t="s">
        <v>685</v>
      </c>
      <c r="H25" s="750">
        <v>4</v>
      </c>
      <c r="I25" s="751" t="s">
        <v>116</v>
      </c>
      <c r="J25" s="683"/>
      <c r="K25" s="683" t="s">
        <v>116</v>
      </c>
      <c r="L25" s="683"/>
      <c r="M25" s="683"/>
      <c r="N25" s="752"/>
      <c r="O25" s="683"/>
      <c r="P25" s="683" t="s">
        <v>116</v>
      </c>
      <c r="Q25" s="683"/>
      <c r="R25" s="683"/>
      <c r="S25" s="683"/>
      <c r="T25" s="683"/>
      <c r="U25" s="683"/>
      <c r="V25" s="683"/>
      <c r="W25" s="683" t="s">
        <v>116</v>
      </c>
      <c r="X25" s="683"/>
      <c r="Y25" s="683"/>
      <c r="Z25" s="753"/>
      <c r="AA25" s="858"/>
      <c r="AB25" s="858"/>
      <c r="AC25" s="727" t="s">
        <v>1239</v>
      </c>
      <c r="AD25" s="284" t="str">
        <f t="shared" si="3"/>
        <v>Ares_TB300_36100_D_10S4P4LEDLowDrv_SDI26FM_SW1_Aslp_DUVP_</v>
      </c>
      <c r="AJ25" s="225">
        <f t="shared" si="19"/>
        <v>3</v>
      </c>
      <c r="AK25" s="225">
        <f t="shared" si="20"/>
        <v>9</v>
      </c>
      <c r="AL25" s="225">
        <f t="shared" si="0"/>
        <v>36</v>
      </c>
      <c r="AM25" s="225">
        <f t="shared" si="1"/>
        <v>10</v>
      </c>
      <c r="AN25" s="225">
        <f t="shared" si="21"/>
        <v>26</v>
      </c>
      <c r="AO25" s="225">
        <f t="shared" si="22"/>
        <v>10</v>
      </c>
      <c r="AP25" s="225">
        <f t="shared" si="23"/>
        <v>4</v>
      </c>
      <c r="AQ25" s="225" t="str">
        <f t="shared" si="24"/>
        <v>ok</v>
      </c>
      <c r="AR25" s="225" t="str">
        <f t="shared" si="10"/>
        <v>10S4P</v>
      </c>
      <c r="AS25" s="225" t="str">
        <f t="shared" si="11"/>
        <v>4LEDLowDrv_SDI26FM_</v>
      </c>
      <c r="AT25" s="225" t="str">
        <f t="shared" si="12"/>
        <v>SW1_</v>
      </c>
      <c r="AU25" s="225" t="str">
        <f t="shared" si="13"/>
        <v>Aslp_DUVP_</v>
      </c>
      <c r="AV25" s="225">
        <f t="shared" si="17"/>
        <v>20</v>
      </c>
      <c r="AW25" s="225" t="b">
        <f t="shared" si="18"/>
        <v>0</v>
      </c>
      <c r="AX25" s="225" t="str">
        <f t="shared" si="14"/>
        <v>DAKB00100-W021E15LT_</v>
      </c>
      <c r="AY25" s="225" t="str">
        <f t="shared" si="15"/>
        <v>DAKB00100_W021E15LT_</v>
      </c>
      <c r="AZ25" s="664" t="str">
        <f t="shared" si="16"/>
        <v/>
      </c>
    </row>
    <row r="26" spans="1:52" s="286" customFormat="1" ht="38.25" customHeight="1" thickTop="1">
      <c r="A26" s="693" t="s">
        <v>956</v>
      </c>
      <c r="B26" s="694" t="s">
        <v>1090</v>
      </c>
      <c r="C26" s="695" t="s">
        <v>949</v>
      </c>
      <c r="D26" s="693" t="s">
        <v>1089</v>
      </c>
      <c r="E26" s="282" t="str">
        <f t="shared" si="2"/>
        <v>13S4P</v>
      </c>
      <c r="F26" s="761" t="s">
        <v>950</v>
      </c>
      <c r="G26" s="755" t="s">
        <v>685</v>
      </c>
      <c r="H26" s="756">
        <v>4</v>
      </c>
      <c r="I26" s="757" t="s">
        <v>116</v>
      </c>
      <c r="J26" s="684"/>
      <c r="K26" s="684" t="s">
        <v>116</v>
      </c>
      <c r="L26" s="762"/>
      <c r="M26" s="684"/>
      <c r="N26" s="758"/>
      <c r="O26" s="684"/>
      <c r="P26" s="684" t="s">
        <v>116</v>
      </c>
      <c r="Q26" s="762"/>
      <c r="R26" s="684"/>
      <c r="S26" s="684"/>
      <c r="T26" s="684"/>
      <c r="U26" s="684"/>
      <c r="V26" s="684"/>
      <c r="W26" s="684" t="s">
        <v>116</v>
      </c>
      <c r="X26" s="684"/>
      <c r="Y26" s="684"/>
      <c r="Z26" s="763">
        <v>167</v>
      </c>
      <c r="AA26" s="763"/>
      <c r="AB26" s="763"/>
      <c r="AC26" s="760"/>
      <c r="AD26" s="285" t="str">
        <f t="shared" si="3"/>
        <v>Ares_TB300_48100_N_13S4P4LEDLowDrv_SDI26FM_SW1_Aslp_DUVP_167R_</v>
      </c>
      <c r="AJ26" s="286">
        <f t="shared" si="19"/>
        <v>3</v>
      </c>
      <c r="AK26" s="286">
        <f t="shared" si="20"/>
        <v>9</v>
      </c>
      <c r="AL26" s="286">
        <f t="shared" si="0"/>
        <v>48</v>
      </c>
      <c r="AM26" s="286">
        <f t="shared" si="1"/>
        <v>10</v>
      </c>
      <c r="AN26" s="286">
        <f t="shared" si="21"/>
        <v>26</v>
      </c>
      <c r="AO26" s="286">
        <f t="shared" si="22"/>
        <v>13</v>
      </c>
      <c r="AP26" s="286">
        <f t="shared" si="23"/>
        <v>4</v>
      </c>
      <c r="AQ26" s="286" t="str">
        <f t="shared" si="24"/>
        <v>ok</v>
      </c>
      <c r="AR26" s="286" t="str">
        <f t="shared" si="10"/>
        <v>13S4P</v>
      </c>
      <c r="AS26" s="225" t="str">
        <f t="shared" si="11"/>
        <v>4LEDLowDrv_SDI26FM_</v>
      </c>
      <c r="AT26" s="225" t="str">
        <f t="shared" si="12"/>
        <v>SW1_</v>
      </c>
      <c r="AU26" s="225" t="str">
        <f t="shared" si="13"/>
        <v>Aslp_DUVP_</v>
      </c>
      <c r="AV26" s="286" t="e">
        <f t="shared" si="17"/>
        <v>#VALUE!</v>
      </c>
      <c r="AW26" s="286" t="b">
        <f t="shared" si="18"/>
        <v>0</v>
      </c>
      <c r="AX26" s="286" t="str">
        <f t="shared" si="14"/>
        <v>DAKB00100-W021E26LT_</v>
      </c>
      <c r="AY26" s="286" t="str">
        <f t="shared" si="15"/>
        <v>DAKB00100_W021E26LT_</v>
      </c>
      <c r="AZ26" s="664" t="str">
        <f t="shared" si="16"/>
        <v>167R_</v>
      </c>
    </row>
    <row r="27" spans="1:52" s="416" customFormat="1" ht="38.25" customHeight="1">
      <c r="A27" s="687" t="s">
        <v>1416</v>
      </c>
      <c r="B27" s="688"/>
      <c r="C27" s="689" t="s">
        <v>1237</v>
      </c>
      <c r="D27" s="687" t="s">
        <v>742</v>
      </c>
      <c r="E27" s="414" t="str">
        <f t="shared" ref="E27" si="25">AR27</f>
        <v>7S4P</v>
      </c>
      <c r="F27" s="687" t="s">
        <v>939</v>
      </c>
      <c r="G27" s="741" t="s">
        <v>116</v>
      </c>
      <c r="H27" s="742">
        <v>4</v>
      </c>
      <c r="I27" s="743" t="s">
        <v>116</v>
      </c>
      <c r="J27" s="677"/>
      <c r="K27" s="743" t="s">
        <v>116</v>
      </c>
      <c r="L27" s="743"/>
      <c r="M27" s="764"/>
      <c r="N27" s="744"/>
      <c r="O27" s="677"/>
      <c r="P27" s="743" t="s">
        <v>116</v>
      </c>
      <c r="Q27" s="743"/>
      <c r="R27" s="677"/>
      <c r="S27" s="677"/>
      <c r="T27" s="764"/>
      <c r="U27" s="677"/>
      <c r="V27" s="677"/>
      <c r="W27" s="743" t="s">
        <v>116</v>
      </c>
      <c r="X27" s="764"/>
      <c r="Y27" s="677"/>
      <c r="Z27" s="746">
        <v>200</v>
      </c>
      <c r="AA27" s="746"/>
      <c r="AB27" s="746"/>
      <c r="AC27" s="747" t="s">
        <v>1240</v>
      </c>
      <c r="AD27" s="415" t="str">
        <f t="shared" si="3"/>
        <v>Ares115_26100_D_7S4P4LEDLowDrv_SDI26FM_SW1_Aslp_DUVP_200R_</v>
      </c>
      <c r="AJ27" s="416">
        <f t="shared" ref="AJ27" si="26">FIND("V",UPPER(TRIM(D27)))</f>
        <v>3</v>
      </c>
      <c r="AK27" s="416">
        <f t="shared" ref="AK27" si="27">FIND("AH",UPPER(TRIM(D27)))</f>
        <v>9</v>
      </c>
      <c r="AL27" s="416">
        <f t="shared" ref="AL27" si="28">VALUE(MID(TRIM(D27),1,AJ27-1))</f>
        <v>26</v>
      </c>
      <c r="AM27" s="416">
        <f t="shared" ref="AM27" si="29">VALUE(MID(TRIM(D27),AJ27+2,(AK27) -(AJ27+2) ))</f>
        <v>10</v>
      </c>
      <c r="AN27" s="416">
        <f t="shared" ref="AN27" si="30">VALUE(MID(TRIM(F27),4,2))</f>
        <v>26</v>
      </c>
      <c r="AO27" s="416">
        <f t="shared" ref="AO27" si="31">ROUNDDOWN(AL27/3.5,0)</f>
        <v>7</v>
      </c>
      <c r="AP27" s="416">
        <f t="shared" ref="AP27" si="32">ROUNDUP(AM27*10/AN27,0)</f>
        <v>4</v>
      </c>
      <c r="AQ27" s="416" t="str">
        <f t="shared" ref="AQ27" si="33">IF(OR(ISERROR(AO27),ISERROR(AP27)),"error","ok")</f>
        <v>ok</v>
      </c>
      <c r="AR27" s="416" t="str">
        <f t="shared" ref="AR27" si="34">IF(AQ27="ok", TEXT(AO27,0)&amp;"S"&amp; TEXT(AP27,0)&amp;"P","_")</f>
        <v>7S4P</v>
      </c>
      <c r="AS27" s="416" t="str">
        <f t="shared" si="11"/>
        <v>4LEDLowDrv_SDI26FM_</v>
      </c>
      <c r="AT27" s="416" t="str">
        <f t="shared" si="12"/>
        <v>SW1_</v>
      </c>
      <c r="AU27" s="225" t="str">
        <f t="shared" si="13"/>
        <v>Aslp_DUVP_</v>
      </c>
      <c r="AV27" s="416" t="e">
        <f t="shared" si="17"/>
        <v>#VALUE!</v>
      </c>
      <c r="AW27" s="416" t="b">
        <f t="shared" si="18"/>
        <v>0</v>
      </c>
      <c r="AX27" s="416" t="str">
        <f t="shared" si="14"/>
        <v>DAKB00100-W021E25LT_</v>
      </c>
      <c r="AY27" s="416" t="str">
        <f t="shared" si="15"/>
        <v>DAKB00100_W021E25LT_</v>
      </c>
      <c r="AZ27" s="665" t="str">
        <f t="shared" si="16"/>
        <v>200R_</v>
      </c>
    </row>
    <row r="28" spans="1:52" s="225" customFormat="1" ht="38.25" customHeight="1">
      <c r="A28" s="696" t="s">
        <v>1109</v>
      </c>
      <c r="B28" s="697"/>
      <c r="C28" s="698" t="s">
        <v>962</v>
      </c>
      <c r="D28" s="696" t="s">
        <v>951</v>
      </c>
      <c r="E28" s="280" t="str">
        <f t="shared" ref="E28:E30" si="35">AR28</f>
        <v>7S6P</v>
      </c>
      <c r="F28" s="696" t="s">
        <v>950</v>
      </c>
      <c r="G28" s="719" t="s">
        <v>116</v>
      </c>
      <c r="H28" s="720">
        <v>4</v>
      </c>
      <c r="I28" s="721" t="s">
        <v>116</v>
      </c>
      <c r="J28" s="668"/>
      <c r="K28" s="721" t="s">
        <v>116</v>
      </c>
      <c r="L28" s="721"/>
      <c r="M28" s="725"/>
      <c r="N28" s="722"/>
      <c r="O28" s="668"/>
      <c r="P28" s="721" t="s">
        <v>116</v>
      </c>
      <c r="Q28" s="721"/>
      <c r="R28" s="668"/>
      <c r="S28" s="668"/>
      <c r="T28" s="725"/>
      <c r="U28" s="668"/>
      <c r="V28" s="668"/>
      <c r="W28" s="721" t="s">
        <v>116</v>
      </c>
      <c r="X28" s="725"/>
      <c r="Y28" s="668"/>
      <c r="Z28" s="726">
        <v>200</v>
      </c>
      <c r="AA28" s="726"/>
      <c r="AB28" s="726"/>
      <c r="AC28" s="727"/>
      <c r="AD28" s="284" t="str">
        <f t="shared" si="3"/>
        <v>Ares115_26150_D_7S6P4LEDLowDrv_SDI26FM_SW1_Aslp_DUVP_200R_</v>
      </c>
      <c r="AJ28" s="225">
        <f t="shared" ref="AJ28:AJ30" si="36">FIND("V",UPPER(TRIM(D28)))</f>
        <v>3</v>
      </c>
      <c r="AK28" s="225">
        <f t="shared" ref="AK28:AK30" si="37">FIND("AH",UPPER(TRIM(D28)))</f>
        <v>9</v>
      </c>
      <c r="AL28" s="225">
        <f t="shared" ref="AL28:AL30" si="38">VALUE(MID(TRIM(D28),1,AJ28-1))</f>
        <v>26</v>
      </c>
      <c r="AM28" s="225">
        <f t="shared" ref="AM28:AM30" si="39">VALUE(MID(TRIM(D28),AJ28+2,(AK28) -(AJ28+2) ))</f>
        <v>15.5</v>
      </c>
      <c r="AN28" s="225">
        <f t="shared" ref="AN28:AN30" si="40">VALUE(MID(TRIM(F28),4,2))</f>
        <v>26</v>
      </c>
      <c r="AO28" s="225">
        <f t="shared" ref="AO28:AO30" si="41">ROUNDDOWN(AL28/3.5,0)</f>
        <v>7</v>
      </c>
      <c r="AP28" s="225">
        <f t="shared" ref="AP28:AP30" si="42">ROUNDUP(AM28*10/AN28,0)</f>
        <v>6</v>
      </c>
      <c r="AQ28" s="225" t="str">
        <f t="shared" ref="AQ28:AQ30" si="43">IF(OR(ISERROR(AO28),ISERROR(AP28)),"error","ok")</f>
        <v>ok</v>
      </c>
      <c r="AR28" s="225" t="str">
        <f t="shared" ref="AR28:AR30" si="44">IF(AQ28="ok", TEXT(AO28,0)&amp;"S"&amp; TEXT(AP28,0)&amp;"P","_")</f>
        <v>7S6P</v>
      </c>
      <c r="AS28" s="225" t="str">
        <f t="shared" si="11"/>
        <v>4LEDLowDrv_SDI26FM_</v>
      </c>
      <c r="AT28" s="225" t="str">
        <f t="shared" si="12"/>
        <v>SW1_</v>
      </c>
      <c r="AU28" s="225" t="str">
        <f t="shared" si="13"/>
        <v>Aslp_DUVP_</v>
      </c>
      <c r="AV28" s="225" t="e">
        <f t="shared" ref="AV28:AV30" si="45">FIND("
",C28)</f>
        <v>#VALUE!</v>
      </c>
      <c r="AW28" s="225" t="b">
        <f t="shared" ref="AW28:AW30" si="46">IF(ISBLANK(C28),TRUE,(TRIM(C28)=""))</f>
        <v>0</v>
      </c>
      <c r="AX28" s="225" t="str">
        <f t="shared" ref="AX28:AX30" si="47">IF(AW28=TRUE,"",IF(NOT(ISERROR(AV28)),TRIM(MID(C28,1,AV28-1))&amp;"_",TRIM(C28)&amp;"_"))</f>
        <v>DAKB00155-W021E01LT_</v>
      </c>
      <c r="AY28" s="225" t="str">
        <f t="shared" ref="AY28:AY30" si="48">SUBSTITUTE(AX28,"-","_")</f>
        <v>DAKB00155_W021E01LT_</v>
      </c>
      <c r="AZ28" s="664" t="str">
        <f t="shared" si="16"/>
        <v>200R_</v>
      </c>
    </row>
    <row r="29" spans="1:52" s="225" customFormat="1" ht="38.25" customHeight="1">
      <c r="A29" s="696" t="s">
        <v>2046</v>
      </c>
      <c r="B29" s="697" t="s">
        <v>1106</v>
      </c>
      <c r="C29" s="699" t="s">
        <v>961</v>
      </c>
      <c r="D29" s="696" t="s">
        <v>960</v>
      </c>
      <c r="E29" s="280" t="str">
        <f t="shared" si="35"/>
        <v>10S5P</v>
      </c>
      <c r="F29" s="696" t="s">
        <v>950</v>
      </c>
      <c r="G29" s="719" t="s">
        <v>116</v>
      </c>
      <c r="H29" s="720">
        <v>3</v>
      </c>
      <c r="I29" s="721"/>
      <c r="J29" s="668"/>
      <c r="K29" s="721" t="s">
        <v>116</v>
      </c>
      <c r="L29" s="721"/>
      <c r="M29" s="725"/>
      <c r="N29" s="722"/>
      <c r="O29" s="668"/>
      <c r="P29" s="721" t="s">
        <v>116</v>
      </c>
      <c r="Q29" s="721"/>
      <c r="R29" s="668"/>
      <c r="S29" s="668"/>
      <c r="T29" s="725"/>
      <c r="U29" s="668"/>
      <c r="V29" s="668"/>
      <c r="W29" s="668" t="s">
        <v>116</v>
      </c>
      <c r="X29" s="668"/>
      <c r="Y29" s="668"/>
      <c r="Z29" s="726">
        <v>200</v>
      </c>
      <c r="AA29" s="726"/>
      <c r="AB29" s="726"/>
      <c r="AC29" s="727"/>
      <c r="AD29" s="284" t="str">
        <f t="shared" si="3"/>
        <v>Pan_B285_36130_Y_10S5P3LED_SDI26FM_SW1_Aslp_DUVP_200R_</v>
      </c>
      <c r="AJ29" s="225">
        <f t="shared" si="36"/>
        <v>3</v>
      </c>
      <c r="AK29" s="225">
        <f t="shared" si="37"/>
        <v>9</v>
      </c>
      <c r="AL29" s="225">
        <f t="shared" si="38"/>
        <v>36</v>
      </c>
      <c r="AM29" s="225">
        <f t="shared" si="39"/>
        <v>13</v>
      </c>
      <c r="AN29" s="225">
        <f t="shared" si="40"/>
        <v>26</v>
      </c>
      <c r="AO29" s="225">
        <f t="shared" si="41"/>
        <v>10</v>
      </c>
      <c r="AP29" s="225">
        <f t="shared" si="42"/>
        <v>5</v>
      </c>
      <c r="AQ29" s="225" t="str">
        <f t="shared" si="43"/>
        <v>ok</v>
      </c>
      <c r="AR29" s="225" t="str">
        <f t="shared" si="44"/>
        <v>10S5P</v>
      </c>
      <c r="AS29" s="225" t="str">
        <f t="shared" si="11"/>
        <v>3LED_SDI26FM_</v>
      </c>
      <c r="AT29" s="225" t="str">
        <f t="shared" si="12"/>
        <v>SW1_</v>
      </c>
      <c r="AU29" s="225" t="str">
        <f t="shared" si="13"/>
        <v>Aslp_DUVP_</v>
      </c>
      <c r="AV29" s="225">
        <f t="shared" si="45"/>
        <v>20</v>
      </c>
      <c r="AW29" s="225" t="b">
        <f t="shared" si="46"/>
        <v>0</v>
      </c>
      <c r="AX29" s="225" t="str">
        <f t="shared" si="47"/>
        <v>DAKB00130-W021E05LT_</v>
      </c>
      <c r="AY29" s="225" t="str">
        <f t="shared" si="48"/>
        <v>DAKB00130_W021E05LT_</v>
      </c>
      <c r="AZ29" s="664" t="str">
        <f t="shared" si="16"/>
        <v>200R_</v>
      </c>
    </row>
    <row r="30" spans="1:52" s="225" customFormat="1" ht="38.25" customHeight="1">
      <c r="A30" s="696" t="s">
        <v>1014</v>
      </c>
      <c r="B30" s="697" t="s">
        <v>1009</v>
      </c>
      <c r="C30" s="698" t="s">
        <v>1008</v>
      </c>
      <c r="D30" s="696" t="s">
        <v>1010</v>
      </c>
      <c r="E30" s="280" t="str">
        <f t="shared" si="35"/>
        <v>7S4P</v>
      </c>
      <c r="F30" s="696" t="s">
        <v>950</v>
      </c>
      <c r="G30" s="719" t="s">
        <v>116</v>
      </c>
      <c r="H30" s="765" t="s">
        <v>1012</v>
      </c>
      <c r="I30" s="721"/>
      <c r="J30" s="668"/>
      <c r="K30" s="766" t="s">
        <v>1011</v>
      </c>
      <c r="L30" s="766"/>
      <c r="M30" s="725"/>
      <c r="N30" s="722"/>
      <c r="O30" s="668"/>
      <c r="P30" s="767"/>
      <c r="Q30" s="767"/>
      <c r="R30" s="668"/>
      <c r="S30" s="668"/>
      <c r="T30" s="725"/>
      <c r="U30" s="668"/>
      <c r="V30" s="668"/>
      <c r="W30" s="668" t="s">
        <v>116</v>
      </c>
      <c r="X30" s="668"/>
      <c r="Y30" s="668"/>
      <c r="Z30" s="726">
        <v>200</v>
      </c>
      <c r="AA30" s="726"/>
      <c r="AB30" s="726"/>
      <c r="AC30" s="768" t="s">
        <v>1013</v>
      </c>
      <c r="AD30" s="284" t="str">
        <f t="shared" si="3"/>
        <v>PanBH350_26100_N_7S4PN3LED_SDI26FM_SW1_DUVP_200R_</v>
      </c>
      <c r="AJ30" s="225">
        <f t="shared" si="36"/>
        <v>3</v>
      </c>
      <c r="AK30" s="225">
        <f t="shared" si="37"/>
        <v>9</v>
      </c>
      <c r="AL30" s="225">
        <f t="shared" si="38"/>
        <v>26</v>
      </c>
      <c r="AM30" s="225">
        <f t="shared" si="39"/>
        <v>10</v>
      </c>
      <c r="AN30" s="225">
        <f t="shared" si="40"/>
        <v>26</v>
      </c>
      <c r="AO30" s="225">
        <f t="shared" si="41"/>
        <v>7</v>
      </c>
      <c r="AP30" s="225">
        <f t="shared" si="42"/>
        <v>4</v>
      </c>
      <c r="AQ30" s="225" t="str">
        <f t="shared" si="43"/>
        <v>ok</v>
      </c>
      <c r="AR30" s="225" t="str">
        <f t="shared" si="44"/>
        <v>7S4P</v>
      </c>
      <c r="AS30" s="225" t="str">
        <f t="shared" si="11"/>
        <v>N3LED_SDI26FM_</v>
      </c>
      <c r="AT30" s="225" t="str">
        <f t="shared" si="12"/>
        <v>SW1_</v>
      </c>
      <c r="AU30" s="225" t="str">
        <f t="shared" si="13"/>
        <v>DUVP_</v>
      </c>
      <c r="AV30" s="225" t="e">
        <f t="shared" si="45"/>
        <v>#VALUE!</v>
      </c>
      <c r="AW30" s="225" t="b">
        <f t="shared" si="46"/>
        <v>0</v>
      </c>
      <c r="AX30" s="225" t="str">
        <f t="shared" si="47"/>
        <v>DAKB00100-W021E27LT_</v>
      </c>
      <c r="AY30" s="225" t="str">
        <f t="shared" si="48"/>
        <v>DAKB00100_W021E27LT_</v>
      </c>
      <c r="AZ30" s="664" t="str">
        <f t="shared" si="16"/>
        <v>200R_</v>
      </c>
    </row>
    <row r="31" spans="1:52" s="225" customFormat="1" ht="38.25" customHeight="1">
      <c r="A31" s="696" t="s">
        <v>1070</v>
      </c>
      <c r="B31" s="700" t="s">
        <v>1219</v>
      </c>
      <c r="C31" s="698" t="s">
        <v>1073</v>
      </c>
      <c r="D31" s="696" t="s">
        <v>1075</v>
      </c>
      <c r="E31" s="280" t="str">
        <f t="shared" ref="E31:E38" si="49">AR31</f>
        <v>10S7P</v>
      </c>
      <c r="F31" s="696" t="s">
        <v>950</v>
      </c>
      <c r="G31" s="719" t="s">
        <v>116</v>
      </c>
      <c r="H31" s="720">
        <v>5</v>
      </c>
      <c r="I31" s="721" t="s">
        <v>116</v>
      </c>
      <c r="J31" s="668"/>
      <c r="K31" s="721" t="s">
        <v>116</v>
      </c>
      <c r="L31" s="721"/>
      <c r="M31" s="725"/>
      <c r="N31" s="722"/>
      <c r="O31" s="668"/>
      <c r="P31" s="721" t="s">
        <v>116</v>
      </c>
      <c r="Q31" s="721"/>
      <c r="R31" s="668"/>
      <c r="S31" s="668"/>
      <c r="T31" s="725"/>
      <c r="U31" s="668"/>
      <c r="V31" s="668"/>
      <c r="W31" s="721" t="s">
        <v>116</v>
      </c>
      <c r="X31" s="725"/>
      <c r="Y31" s="668"/>
      <c r="Z31" s="726">
        <v>200</v>
      </c>
      <c r="AA31" s="726"/>
      <c r="AB31" s="726"/>
      <c r="AC31" s="727"/>
      <c r="AD31" s="284" t="str">
        <f t="shared" ref="AD31:AD38" si="50">A31&amp;"_"&amp;E31&amp;AS31&amp;AT31&amp;AU31&amp;AZ31</f>
        <v>Pan_LT360_36182_D_10S7P5LEDLowDrv_SDI26FM_SW1_Aslp_DUVP_200R_</v>
      </c>
      <c r="AJ31" s="225">
        <f t="shared" ref="AJ31:AJ38" si="51">FIND("V",UPPER(TRIM(D31)))</f>
        <v>3</v>
      </c>
      <c r="AK31" s="225">
        <f t="shared" ref="AK31:AK38" si="52">FIND("AH",UPPER(TRIM(D31)))</f>
        <v>9</v>
      </c>
      <c r="AL31" s="225">
        <f t="shared" ref="AL31:AL38" si="53">VALUE(MID(TRIM(D31),1,AJ31-1))</f>
        <v>36</v>
      </c>
      <c r="AM31" s="225">
        <f t="shared" ref="AM31:AM38" si="54">VALUE(MID(TRIM(D31),AJ31+2,(AK31) -(AJ31+2) ))</f>
        <v>18.2</v>
      </c>
      <c r="AN31" s="225">
        <f t="shared" ref="AN31:AN38" si="55">VALUE(MID(TRIM(F31),4,2))</f>
        <v>26</v>
      </c>
      <c r="AO31" s="225">
        <f t="shared" ref="AO31:AO38" si="56">ROUNDDOWN(AL31/3.5,0)</f>
        <v>10</v>
      </c>
      <c r="AP31" s="225">
        <f t="shared" ref="AP31:AP38" si="57">ROUNDUP(AM31*10/AN31,0)</f>
        <v>7</v>
      </c>
      <c r="AQ31" s="225" t="str">
        <f t="shared" ref="AQ31:AQ38" si="58">IF(OR(ISERROR(AO31),ISERROR(AP31)),"error","ok")</f>
        <v>ok</v>
      </c>
      <c r="AR31" s="225" t="str">
        <f t="shared" ref="AR31:AR38" si="59">IF(AQ31="ok", TEXT(AO31,0)&amp;"S"&amp; TEXT(AP31,0)&amp;"P","_")</f>
        <v>10S7P</v>
      </c>
      <c r="AS31" s="225" t="str">
        <f t="shared" si="11"/>
        <v>5LEDLowDrv_SDI26FM_</v>
      </c>
      <c r="AT31" s="225" t="str">
        <f t="shared" si="12"/>
        <v>SW1_</v>
      </c>
      <c r="AU31" s="225" t="str">
        <f t="shared" si="13"/>
        <v>Aslp_DUVP_</v>
      </c>
      <c r="AV31" s="225">
        <f t="shared" ref="AV31:AV38" si="60">FIND("
",C31)</f>
        <v>20</v>
      </c>
      <c r="AW31" s="225" t="b">
        <f t="shared" ref="AW31:AW38" si="61">IF(ISBLANK(C31),TRUE,(TRIM(C31)=""))</f>
        <v>0</v>
      </c>
      <c r="AX31" s="225" t="str">
        <f t="shared" ref="AX31:AX38" si="62">IF(AW31=TRUE,"",IF(NOT(ISERROR(AV31)),TRIM(MID(C31,1,AV31-1))&amp;"_",TRIM(C31)&amp;"_"))</f>
        <v>DAKB00182-W021E01LT_</v>
      </c>
      <c r="AY31" s="225" t="str">
        <f t="shared" ref="AY31:AY38" si="63">SUBSTITUTE(AX31,"-","_")</f>
        <v>DAKB00182_W021E01LT_</v>
      </c>
      <c r="AZ31" s="664" t="str">
        <f t="shared" si="16"/>
        <v>200R_</v>
      </c>
    </row>
    <row r="32" spans="1:52" s="225" customFormat="1" ht="38.25" customHeight="1">
      <c r="A32" s="696" t="s">
        <v>1206</v>
      </c>
      <c r="B32" s="700" t="s">
        <v>1084</v>
      </c>
      <c r="C32" s="698" t="s">
        <v>1208</v>
      </c>
      <c r="D32" s="696" t="s">
        <v>1086</v>
      </c>
      <c r="E32" s="280" t="str">
        <f t="shared" ref="E32:E37" si="64">AR32</f>
        <v>13S5P</v>
      </c>
      <c r="F32" s="696" t="s">
        <v>939</v>
      </c>
      <c r="G32" s="719" t="s">
        <v>116</v>
      </c>
      <c r="H32" s="720">
        <v>3</v>
      </c>
      <c r="I32" s="721"/>
      <c r="J32" s="668"/>
      <c r="K32" s="721" t="s">
        <v>116</v>
      </c>
      <c r="L32" s="721"/>
      <c r="M32" s="725"/>
      <c r="N32" s="722"/>
      <c r="O32" s="668"/>
      <c r="P32" s="721" t="s">
        <v>116</v>
      </c>
      <c r="Q32" s="721"/>
      <c r="R32" s="668"/>
      <c r="S32" s="668"/>
      <c r="T32" s="725"/>
      <c r="U32" s="668"/>
      <c r="V32" s="668"/>
      <c r="W32" s="721" t="s">
        <v>116</v>
      </c>
      <c r="X32" s="725"/>
      <c r="Y32" s="668"/>
      <c r="Z32" s="726">
        <v>200</v>
      </c>
      <c r="AA32" s="726"/>
      <c r="AB32" s="726"/>
      <c r="AC32" s="727"/>
      <c r="AD32" s="284" t="str">
        <f t="shared" ref="AD32:AD37" si="65">A32&amp;"_"&amp;E32&amp;AS32&amp;AT32&amp;AU32&amp;AZ32</f>
        <v>Pan_B320_48130_Y_13S5P3LED_SDI26FM_SW1_Aslp_DUVP_200R_</v>
      </c>
      <c r="AJ32" s="225">
        <f t="shared" ref="AJ32:AJ37" si="66">FIND("V",UPPER(TRIM(D32)))</f>
        <v>3</v>
      </c>
      <c r="AK32" s="225">
        <f t="shared" ref="AK32:AK37" si="67">FIND("AH",UPPER(TRIM(D32)))</f>
        <v>9</v>
      </c>
      <c r="AL32" s="225">
        <f t="shared" ref="AL32:AL37" si="68">VALUE(MID(TRIM(D32),1,AJ32-1))</f>
        <v>48</v>
      </c>
      <c r="AM32" s="225">
        <f t="shared" ref="AM32:AM37" si="69">VALUE(MID(TRIM(D32),AJ32+2,(AK32) -(AJ32+2) ))</f>
        <v>13</v>
      </c>
      <c r="AN32" s="225">
        <f t="shared" ref="AN32:AN37" si="70">VALUE(MID(TRIM(F32),4,2))</f>
        <v>26</v>
      </c>
      <c r="AO32" s="225">
        <f t="shared" ref="AO32:AO37" si="71">ROUNDDOWN(AL32/3.5,0)</f>
        <v>13</v>
      </c>
      <c r="AP32" s="225">
        <f t="shared" ref="AP32:AP37" si="72">ROUNDUP(AM32*10/AN32,0)</f>
        <v>5</v>
      </c>
      <c r="AQ32" s="225" t="str">
        <f t="shared" ref="AQ32:AQ37" si="73">IF(OR(ISERROR(AO32),ISERROR(AP32)),"error","ok")</f>
        <v>ok</v>
      </c>
      <c r="AR32" s="225" t="str">
        <f t="shared" ref="AR32:AR37" si="74">IF(AQ32="ok", TEXT(AO32,0)&amp;"S"&amp; TEXT(AP32,0)&amp;"P","_")</f>
        <v>13S5P</v>
      </c>
      <c r="AS32" s="225" t="str">
        <f t="shared" si="11"/>
        <v>3LED_SDI26FM_</v>
      </c>
      <c r="AT32" s="225" t="str">
        <f t="shared" si="12"/>
        <v>SW1_</v>
      </c>
      <c r="AU32" s="225" t="str">
        <f t="shared" si="13"/>
        <v>Aslp_DUVP_</v>
      </c>
      <c r="AV32" s="225">
        <f t="shared" ref="AV32:AV37" si="75">FIND("
",C32)</f>
        <v>20</v>
      </c>
      <c r="AW32" s="225" t="b">
        <f t="shared" ref="AW32:AW37" si="76">IF(ISBLANK(C32),TRUE,(TRIM(C32)=""))</f>
        <v>0</v>
      </c>
      <c r="AX32" s="225" t="str">
        <f t="shared" ref="AX32:AX37" si="77">IF(AW32=TRUE,"",IF(NOT(ISERROR(AV32)),TRIM(MID(C32,1,AV32-1))&amp;"_",TRIM(C32)&amp;"_"))</f>
        <v>DAKB00130-W021E06LT_</v>
      </c>
      <c r="AY32" s="225" t="str">
        <f t="shared" ref="AY32:AY37" si="78">SUBSTITUTE(AX32,"-","_")</f>
        <v>DAKB00130_W021E06LT_</v>
      </c>
      <c r="AZ32" s="664" t="str">
        <f t="shared" si="16"/>
        <v>200R_</v>
      </c>
    </row>
    <row r="33" spans="1:52" s="225" customFormat="1" ht="38.25" customHeight="1">
      <c r="A33" s="696" t="s">
        <v>1079</v>
      </c>
      <c r="B33" s="700" t="s">
        <v>1084</v>
      </c>
      <c r="C33" s="698" t="s">
        <v>1082</v>
      </c>
      <c r="D33" s="696" t="s">
        <v>1088</v>
      </c>
      <c r="E33" s="280" t="str">
        <f t="shared" si="64"/>
        <v>13S4P</v>
      </c>
      <c r="F33" s="696" t="s">
        <v>939</v>
      </c>
      <c r="G33" s="719" t="s">
        <v>116</v>
      </c>
      <c r="H33" s="720">
        <v>3</v>
      </c>
      <c r="I33" s="721"/>
      <c r="J33" s="668"/>
      <c r="K33" s="721" t="s">
        <v>116</v>
      </c>
      <c r="L33" s="721"/>
      <c r="M33" s="725"/>
      <c r="N33" s="722"/>
      <c r="O33" s="668"/>
      <c r="P33" s="721" t="s">
        <v>116</v>
      </c>
      <c r="Q33" s="721"/>
      <c r="R33" s="668"/>
      <c r="S33" s="668"/>
      <c r="T33" s="725"/>
      <c r="U33" s="668"/>
      <c r="V33" s="668"/>
      <c r="W33" s="721" t="s">
        <v>116</v>
      </c>
      <c r="X33" s="725"/>
      <c r="Y33" s="668"/>
      <c r="Z33" s="726">
        <v>200</v>
      </c>
      <c r="AA33" s="726"/>
      <c r="AB33" s="726"/>
      <c r="AC33" s="727"/>
      <c r="AD33" s="284" t="str">
        <f t="shared" si="65"/>
        <v>Pan_B320_48100_Y_13S4P3LED_SDI26FM_SW1_Aslp_DUVP_200R_</v>
      </c>
      <c r="AJ33" s="225">
        <f t="shared" si="66"/>
        <v>3</v>
      </c>
      <c r="AK33" s="225">
        <f t="shared" si="67"/>
        <v>9</v>
      </c>
      <c r="AL33" s="225">
        <f t="shared" si="68"/>
        <v>48</v>
      </c>
      <c r="AM33" s="225">
        <f t="shared" si="69"/>
        <v>10</v>
      </c>
      <c r="AN33" s="225">
        <f t="shared" si="70"/>
        <v>26</v>
      </c>
      <c r="AO33" s="225">
        <f t="shared" si="71"/>
        <v>13</v>
      </c>
      <c r="AP33" s="225">
        <f t="shared" si="72"/>
        <v>4</v>
      </c>
      <c r="AQ33" s="225" t="str">
        <f t="shared" si="73"/>
        <v>ok</v>
      </c>
      <c r="AR33" s="225" t="str">
        <f t="shared" si="74"/>
        <v>13S4P</v>
      </c>
      <c r="AS33" s="225" t="str">
        <f t="shared" si="11"/>
        <v>3LED_SDI26FM_</v>
      </c>
      <c r="AT33" s="225" t="str">
        <f t="shared" si="12"/>
        <v>SW1_</v>
      </c>
      <c r="AU33" s="225" t="str">
        <f t="shared" si="13"/>
        <v>Aslp_DUVP_</v>
      </c>
      <c r="AV33" s="225">
        <f t="shared" si="75"/>
        <v>20</v>
      </c>
      <c r="AW33" s="225" t="b">
        <f t="shared" si="76"/>
        <v>0</v>
      </c>
      <c r="AX33" s="225" t="str">
        <f t="shared" si="77"/>
        <v>DAKB00100-W021E28LT_</v>
      </c>
      <c r="AY33" s="225" t="str">
        <f t="shared" si="78"/>
        <v>DAKB00100_W021E28LT_</v>
      </c>
      <c r="AZ33" s="664" t="str">
        <f t="shared" si="16"/>
        <v>200R_</v>
      </c>
    </row>
    <row r="34" spans="1:52" s="225" customFormat="1" ht="56.25">
      <c r="A34" s="696" t="s">
        <v>1245</v>
      </c>
      <c r="B34" s="697" t="s">
        <v>1107</v>
      </c>
      <c r="C34" s="698" t="s">
        <v>938</v>
      </c>
      <c r="D34" s="696" t="s">
        <v>932</v>
      </c>
      <c r="E34" s="280" t="str">
        <f t="shared" si="64"/>
        <v>10S4P</v>
      </c>
      <c r="F34" s="696" t="s">
        <v>939</v>
      </c>
      <c r="G34" s="719" t="s">
        <v>116</v>
      </c>
      <c r="H34" s="720">
        <v>3</v>
      </c>
      <c r="I34" s="721"/>
      <c r="J34" s="668"/>
      <c r="K34" s="668" t="s">
        <v>116</v>
      </c>
      <c r="L34" s="769"/>
      <c r="M34" s="668"/>
      <c r="N34" s="722"/>
      <c r="O34" s="668"/>
      <c r="P34" s="668" t="s">
        <v>116</v>
      </c>
      <c r="Q34" s="767"/>
      <c r="R34" s="668"/>
      <c r="S34" s="668"/>
      <c r="T34" s="725"/>
      <c r="U34" s="668"/>
      <c r="V34" s="668"/>
      <c r="W34" s="668" t="s">
        <v>116</v>
      </c>
      <c r="X34" s="668"/>
      <c r="Y34" s="668"/>
      <c r="Z34" s="726">
        <v>200</v>
      </c>
      <c r="AA34" s="726"/>
      <c r="AB34" s="726"/>
      <c r="AC34" s="727"/>
      <c r="AD34" s="284" t="str">
        <f t="shared" si="65"/>
        <v>Pan_B285_36100_Y_10S4P3LED_SDI26FM_SW1_Aslp_DUVP_200R_</v>
      </c>
      <c r="AJ34" s="225">
        <f t="shared" si="66"/>
        <v>3</v>
      </c>
      <c r="AK34" s="225">
        <f t="shared" si="67"/>
        <v>9</v>
      </c>
      <c r="AL34" s="225">
        <f t="shared" si="68"/>
        <v>36</v>
      </c>
      <c r="AM34" s="225">
        <f t="shared" si="69"/>
        <v>10</v>
      </c>
      <c r="AN34" s="225">
        <f t="shared" si="70"/>
        <v>26</v>
      </c>
      <c r="AO34" s="225">
        <f t="shared" si="71"/>
        <v>10</v>
      </c>
      <c r="AP34" s="225">
        <f t="shared" si="72"/>
        <v>4</v>
      </c>
      <c r="AQ34" s="225" t="str">
        <f t="shared" si="73"/>
        <v>ok</v>
      </c>
      <c r="AR34" s="225" t="str">
        <f t="shared" si="74"/>
        <v>10S4P</v>
      </c>
      <c r="AS34" s="225" t="str">
        <f t="shared" si="11"/>
        <v>3LED_SDI26FM_</v>
      </c>
      <c r="AT34" s="225" t="str">
        <f t="shared" si="12"/>
        <v>SW1_</v>
      </c>
      <c r="AU34" s="225" t="str">
        <f t="shared" si="13"/>
        <v>Aslp_DUVP_</v>
      </c>
      <c r="AV34" s="225">
        <f t="shared" si="75"/>
        <v>20</v>
      </c>
      <c r="AW34" s="225" t="b">
        <f t="shared" si="76"/>
        <v>0</v>
      </c>
      <c r="AX34" s="225" t="str">
        <f t="shared" si="77"/>
        <v>DAKB00100-W021E12LT_</v>
      </c>
      <c r="AY34" s="225" t="str">
        <f t="shared" si="78"/>
        <v>DAKB00100_W021E12LT_</v>
      </c>
      <c r="AZ34" s="664" t="str">
        <f t="shared" si="16"/>
        <v>200R_</v>
      </c>
    </row>
    <row r="35" spans="1:52" s="225" customFormat="1" ht="37.5">
      <c r="A35" s="701" t="s">
        <v>1204</v>
      </c>
      <c r="B35" s="697" t="s">
        <v>1213</v>
      </c>
      <c r="C35" s="698" t="s">
        <v>1210</v>
      </c>
      <c r="D35" s="696" t="s">
        <v>1100</v>
      </c>
      <c r="E35" s="280" t="str">
        <f t="shared" si="64"/>
        <v>13S4P</v>
      </c>
      <c r="F35" s="696" t="s">
        <v>939</v>
      </c>
      <c r="G35" s="719" t="s">
        <v>116</v>
      </c>
      <c r="H35" s="720">
        <v>3</v>
      </c>
      <c r="I35" s="721"/>
      <c r="J35" s="668"/>
      <c r="K35" s="668" t="s">
        <v>116</v>
      </c>
      <c r="L35" s="668"/>
      <c r="M35" s="668"/>
      <c r="N35" s="722"/>
      <c r="O35" s="668"/>
      <c r="P35" s="668" t="s">
        <v>116</v>
      </c>
      <c r="Q35" s="767"/>
      <c r="R35" s="668"/>
      <c r="S35" s="668"/>
      <c r="T35" s="725"/>
      <c r="U35" s="668"/>
      <c r="V35" s="668"/>
      <c r="W35" s="668" t="s">
        <v>116</v>
      </c>
      <c r="X35" s="668"/>
      <c r="Y35" s="668"/>
      <c r="Z35" s="726">
        <v>200</v>
      </c>
      <c r="AA35" s="726"/>
      <c r="AB35" s="726"/>
      <c r="AC35" s="727"/>
      <c r="AD35" s="284" t="str">
        <f t="shared" si="65"/>
        <v>Pan_B285_48100_Y_13S4P3LED_SDI26FM_SW1_Aslp_DUVP_200R_</v>
      </c>
      <c r="AJ35" s="225">
        <f t="shared" si="66"/>
        <v>3</v>
      </c>
      <c r="AK35" s="225">
        <f t="shared" si="67"/>
        <v>9</v>
      </c>
      <c r="AL35" s="225">
        <f t="shared" si="68"/>
        <v>48</v>
      </c>
      <c r="AM35" s="225">
        <f t="shared" si="69"/>
        <v>10</v>
      </c>
      <c r="AN35" s="225">
        <f t="shared" si="70"/>
        <v>26</v>
      </c>
      <c r="AO35" s="225">
        <f t="shared" si="71"/>
        <v>13</v>
      </c>
      <c r="AP35" s="225">
        <f t="shared" si="72"/>
        <v>4</v>
      </c>
      <c r="AQ35" s="225" t="str">
        <f t="shared" si="73"/>
        <v>ok</v>
      </c>
      <c r="AR35" s="225" t="str">
        <f t="shared" si="74"/>
        <v>13S4P</v>
      </c>
      <c r="AS35" s="225" t="str">
        <f t="shared" si="11"/>
        <v>3LED_SDI26FM_</v>
      </c>
      <c r="AT35" s="225" t="str">
        <f t="shared" si="12"/>
        <v>SW1_</v>
      </c>
      <c r="AU35" s="225" t="str">
        <f t="shared" si="13"/>
        <v>Aslp_DUVP_</v>
      </c>
      <c r="AV35" s="225" t="e">
        <f t="shared" si="75"/>
        <v>#VALUE!</v>
      </c>
      <c r="AW35" s="225" t="b">
        <f t="shared" si="76"/>
        <v>0</v>
      </c>
      <c r="AX35" s="225" t="str">
        <f t="shared" si="77"/>
        <v>DAKB00100-W021E13LT_</v>
      </c>
      <c r="AY35" s="225" t="str">
        <f t="shared" si="78"/>
        <v>DAKB00100_W021E13LT_</v>
      </c>
      <c r="AZ35" s="664" t="str">
        <f t="shared" si="16"/>
        <v>200R_</v>
      </c>
    </row>
    <row r="36" spans="1:52" s="225" customFormat="1" ht="37.5">
      <c r="A36" s="701" t="s">
        <v>732</v>
      </c>
      <c r="B36" s="697" t="s">
        <v>1107</v>
      </c>
      <c r="C36" s="698" t="s">
        <v>1099</v>
      </c>
      <c r="D36" s="696" t="s">
        <v>1101</v>
      </c>
      <c r="E36" s="280" t="str">
        <f t="shared" si="64"/>
        <v>13S5P</v>
      </c>
      <c r="F36" s="696" t="s">
        <v>939</v>
      </c>
      <c r="G36" s="719" t="s">
        <v>116</v>
      </c>
      <c r="H36" s="720">
        <v>3</v>
      </c>
      <c r="I36" s="721"/>
      <c r="J36" s="668"/>
      <c r="K36" s="668" t="s">
        <v>116</v>
      </c>
      <c r="L36" s="668"/>
      <c r="M36" s="668"/>
      <c r="N36" s="722"/>
      <c r="O36" s="668"/>
      <c r="P36" s="668" t="s">
        <v>116</v>
      </c>
      <c r="Q36" s="767"/>
      <c r="R36" s="668"/>
      <c r="S36" s="668"/>
      <c r="T36" s="725"/>
      <c r="U36" s="668"/>
      <c r="V36" s="668"/>
      <c r="W36" s="668" t="s">
        <v>116</v>
      </c>
      <c r="X36" s="668"/>
      <c r="Y36" s="668"/>
      <c r="Z36" s="726">
        <v>200</v>
      </c>
      <c r="AA36" s="726"/>
      <c r="AB36" s="726"/>
      <c r="AC36" s="727"/>
      <c r="AD36" s="284" t="str">
        <f t="shared" si="65"/>
        <v>Pan_B285_48130_Y_13S5P3LED_SDI26FM_SW1_Aslp_DUVP_200R_</v>
      </c>
      <c r="AJ36" s="225">
        <f t="shared" si="66"/>
        <v>3</v>
      </c>
      <c r="AK36" s="225">
        <f t="shared" si="67"/>
        <v>9</v>
      </c>
      <c r="AL36" s="225">
        <f t="shared" si="68"/>
        <v>48</v>
      </c>
      <c r="AM36" s="225">
        <f t="shared" si="69"/>
        <v>13</v>
      </c>
      <c r="AN36" s="225">
        <f t="shared" si="70"/>
        <v>26</v>
      </c>
      <c r="AO36" s="225">
        <f t="shared" si="71"/>
        <v>13</v>
      </c>
      <c r="AP36" s="225">
        <f t="shared" si="72"/>
        <v>5</v>
      </c>
      <c r="AQ36" s="225" t="str">
        <f t="shared" si="73"/>
        <v>ok</v>
      </c>
      <c r="AR36" s="225" t="str">
        <f t="shared" si="74"/>
        <v>13S5P</v>
      </c>
      <c r="AS36" s="225" t="str">
        <f t="shared" si="11"/>
        <v>3LED_SDI26FM_</v>
      </c>
      <c r="AT36" s="225" t="str">
        <f t="shared" si="12"/>
        <v>SW1_</v>
      </c>
      <c r="AU36" s="225" t="str">
        <f t="shared" si="13"/>
        <v>Aslp_DUVP_</v>
      </c>
      <c r="AV36" s="225" t="e">
        <f t="shared" si="75"/>
        <v>#VALUE!</v>
      </c>
      <c r="AW36" s="225" t="b">
        <f t="shared" si="76"/>
        <v>0</v>
      </c>
      <c r="AX36" s="225" t="str">
        <f t="shared" si="77"/>
        <v>DAKB00130-W021E04LT_</v>
      </c>
      <c r="AY36" s="225" t="str">
        <f t="shared" si="78"/>
        <v>DAKB00130_W021E04LT_</v>
      </c>
      <c r="AZ36" s="664" t="str">
        <f t="shared" si="16"/>
        <v>200R_</v>
      </c>
    </row>
    <row r="37" spans="1:52" s="225" customFormat="1" ht="38.25" thickBot="1">
      <c r="A37" s="690" t="s">
        <v>1112</v>
      </c>
      <c r="B37" s="691"/>
      <c r="C37" s="692" t="s">
        <v>1110</v>
      </c>
      <c r="D37" s="690" t="s">
        <v>1111</v>
      </c>
      <c r="E37" s="281" t="str">
        <f t="shared" si="64"/>
        <v>10S4P</v>
      </c>
      <c r="F37" s="690" t="s">
        <v>939</v>
      </c>
      <c r="G37" s="749" t="s">
        <v>116</v>
      </c>
      <c r="H37" s="750">
        <v>4</v>
      </c>
      <c r="I37" s="751" t="s">
        <v>116</v>
      </c>
      <c r="J37" s="683"/>
      <c r="K37" s="751" t="s">
        <v>116</v>
      </c>
      <c r="L37" s="770"/>
      <c r="M37" s="683"/>
      <c r="N37" s="752"/>
      <c r="O37" s="683"/>
      <c r="P37" s="751" t="s">
        <v>116</v>
      </c>
      <c r="Q37" s="771"/>
      <c r="R37" s="683"/>
      <c r="S37" s="683"/>
      <c r="T37" s="772"/>
      <c r="U37" s="683"/>
      <c r="V37" s="683"/>
      <c r="W37" s="751" t="s">
        <v>116</v>
      </c>
      <c r="X37" s="683"/>
      <c r="Y37" s="770"/>
      <c r="Z37" s="753">
        <v>200</v>
      </c>
      <c r="AA37" s="858"/>
      <c r="AB37" s="858"/>
      <c r="AC37" s="727"/>
      <c r="AD37" s="284" t="str">
        <f t="shared" si="65"/>
        <v>Ares115_36100_D_10S4P4LEDLowDrv_SDI26FM_SW1_Aslp_DUVP_200R_</v>
      </c>
      <c r="AJ37" s="225">
        <f t="shared" si="66"/>
        <v>3</v>
      </c>
      <c r="AK37" s="225">
        <f t="shared" si="67"/>
        <v>9</v>
      </c>
      <c r="AL37" s="225">
        <f t="shared" si="68"/>
        <v>36</v>
      </c>
      <c r="AM37" s="225">
        <f t="shared" si="69"/>
        <v>10</v>
      </c>
      <c r="AN37" s="225">
        <f t="shared" si="70"/>
        <v>26</v>
      </c>
      <c r="AO37" s="225">
        <f t="shared" si="71"/>
        <v>10</v>
      </c>
      <c r="AP37" s="225">
        <f t="shared" si="72"/>
        <v>4</v>
      </c>
      <c r="AQ37" s="225" t="str">
        <f t="shared" si="73"/>
        <v>ok</v>
      </c>
      <c r="AR37" s="225" t="str">
        <f t="shared" si="74"/>
        <v>10S4P</v>
      </c>
      <c r="AS37" s="225" t="str">
        <f t="shared" si="11"/>
        <v>4LEDLowDrv_SDI26FM_</v>
      </c>
      <c r="AT37" s="225" t="str">
        <f t="shared" si="12"/>
        <v>SW1_</v>
      </c>
      <c r="AU37" s="225" t="str">
        <f t="shared" si="13"/>
        <v>Aslp_DUVP_</v>
      </c>
      <c r="AV37" s="225" t="e">
        <f t="shared" si="75"/>
        <v>#VALUE!</v>
      </c>
      <c r="AW37" s="225" t="b">
        <f t="shared" si="76"/>
        <v>0</v>
      </c>
      <c r="AX37" s="225" t="str">
        <f t="shared" si="77"/>
        <v>DAKB00100-W021E31LT_</v>
      </c>
      <c r="AY37" s="225" t="str">
        <f t="shared" si="78"/>
        <v>DAKB00100_W021E31LT_</v>
      </c>
      <c r="AZ37" s="664" t="str">
        <f t="shared" si="16"/>
        <v>200R_</v>
      </c>
    </row>
    <row r="38" spans="1:52" s="286" customFormat="1" ht="38.25" thickTop="1">
      <c r="A38" s="684" t="s">
        <v>1166</v>
      </c>
      <c r="B38" s="685"/>
      <c r="C38" s="686" t="s">
        <v>1164</v>
      </c>
      <c r="D38" s="684" t="s">
        <v>1165</v>
      </c>
      <c r="E38" s="282" t="str">
        <f t="shared" si="49"/>
        <v>13S5P</v>
      </c>
      <c r="F38" s="761" t="s">
        <v>950</v>
      </c>
      <c r="G38" s="755" t="s">
        <v>116</v>
      </c>
      <c r="H38" s="756">
        <v>5</v>
      </c>
      <c r="I38" s="773" t="s">
        <v>116</v>
      </c>
      <c r="J38" s="684"/>
      <c r="K38" s="757" t="s">
        <v>116</v>
      </c>
      <c r="L38" s="774"/>
      <c r="M38" s="684"/>
      <c r="N38" s="757" t="s">
        <v>116</v>
      </c>
      <c r="O38" s="684"/>
      <c r="P38" s="757" t="s">
        <v>116</v>
      </c>
      <c r="Q38" s="775" t="s">
        <v>116</v>
      </c>
      <c r="R38" s="684"/>
      <c r="S38" s="684"/>
      <c r="T38" s="757" t="s">
        <v>116</v>
      </c>
      <c r="U38" s="684"/>
      <c r="V38" s="776" t="s">
        <v>1202</v>
      </c>
      <c r="W38" s="757" t="s">
        <v>116</v>
      </c>
      <c r="X38" s="684"/>
      <c r="Y38" s="684"/>
      <c r="Z38" s="759">
        <v>200</v>
      </c>
      <c r="AA38" s="759"/>
      <c r="AB38" s="759"/>
      <c r="AC38" s="777" t="s">
        <v>1233</v>
      </c>
      <c r="AD38" s="285" t="str">
        <f t="shared" si="50"/>
        <v>Ares_NHT350_48130_D_13S5P5LEDLowDrv_SDI26FM_SW1_SW2_Aslp_Wup_Blight_CC_DUVP_200R_</v>
      </c>
      <c r="AJ38" s="286">
        <f t="shared" si="51"/>
        <v>3</v>
      </c>
      <c r="AK38" s="286">
        <f t="shared" si="52"/>
        <v>9</v>
      </c>
      <c r="AL38" s="286">
        <f t="shared" si="53"/>
        <v>48</v>
      </c>
      <c r="AM38" s="286">
        <f t="shared" si="54"/>
        <v>13</v>
      </c>
      <c r="AN38" s="286">
        <f t="shared" si="55"/>
        <v>26</v>
      </c>
      <c r="AO38" s="286">
        <f t="shared" si="56"/>
        <v>13</v>
      </c>
      <c r="AP38" s="286">
        <f t="shared" si="57"/>
        <v>5</v>
      </c>
      <c r="AQ38" s="286" t="str">
        <f t="shared" si="58"/>
        <v>ok</v>
      </c>
      <c r="AR38" s="286" t="str">
        <f t="shared" si="59"/>
        <v>13S5P</v>
      </c>
      <c r="AS38" s="286" t="str">
        <f t="shared" si="11"/>
        <v>5LEDLowDrv_SDI26FM_</v>
      </c>
      <c r="AT38" s="225" t="str">
        <f t="shared" si="12"/>
        <v>SW1_SW2_</v>
      </c>
      <c r="AU38" s="225" t="str">
        <f t="shared" si="13"/>
        <v>Aslp_Wup_Blight_CC_DUVP_</v>
      </c>
      <c r="AV38" s="286" t="e">
        <f t="shared" si="60"/>
        <v>#VALUE!</v>
      </c>
      <c r="AW38" s="286" t="b">
        <f t="shared" si="61"/>
        <v>0</v>
      </c>
      <c r="AX38" s="286" t="str">
        <f t="shared" si="62"/>
        <v>DAKB00130-W021E08LT_</v>
      </c>
      <c r="AY38" s="286" t="str">
        <f t="shared" si="63"/>
        <v>DAKB00130_W021E08LT_</v>
      </c>
      <c r="AZ38" s="664" t="str">
        <f t="shared" si="16"/>
        <v>200R_</v>
      </c>
    </row>
    <row r="39" spans="1:52" s="225" customFormat="1" ht="39" customHeight="1">
      <c r="A39" s="668" t="s">
        <v>1194</v>
      </c>
      <c r="B39" s="669"/>
      <c r="C39" s="670" t="s">
        <v>1198</v>
      </c>
      <c r="D39" s="668" t="s">
        <v>1165</v>
      </c>
      <c r="E39" s="280" t="str">
        <f t="shared" ref="E39:E67" si="79">AR39</f>
        <v>13S5P</v>
      </c>
      <c r="F39" s="696" t="s">
        <v>939</v>
      </c>
      <c r="G39" s="719" t="s">
        <v>116</v>
      </c>
      <c r="H39" s="720">
        <v>4</v>
      </c>
      <c r="I39" s="721" t="s">
        <v>116</v>
      </c>
      <c r="J39" s="668"/>
      <c r="K39" s="736" t="s">
        <v>116</v>
      </c>
      <c r="L39" s="737"/>
      <c r="M39" s="668"/>
      <c r="N39" s="722"/>
      <c r="O39" s="668"/>
      <c r="P39" s="721" t="s">
        <v>116</v>
      </c>
      <c r="Q39" s="721" t="s">
        <v>1201</v>
      </c>
      <c r="R39" s="668"/>
      <c r="S39" s="668"/>
      <c r="T39" s="725"/>
      <c r="U39" s="668"/>
      <c r="V39" s="721" t="s">
        <v>116</v>
      </c>
      <c r="W39" s="736" t="s">
        <v>116</v>
      </c>
      <c r="X39" s="737"/>
      <c r="Y39" s="737"/>
      <c r="Z39" s="778">
        <v>167</v>
      </c>
      <c r="AA39" s="778"/>
      <c r="AB39" s="778"/>
      <c r="AC39" s="727"/>
      <c r="AD39" s="284" t="str">
        <f t="shared" ref="AD39:AD67" si="80">A39&amp;"_"&amp;E39&amp;AS39&amp;AT39&amp;AU39&amp;AZ39</f>
        <v>Ares_TB350_48130_N_13S5P4LEDLowDrv_SDI26FM_SW1_Aslp_Wup_CC_DUVP_167R_</v>
      </c>
      <c r="AJ39" s="225">
        <f t="shared" ref="AJ39:AJ67" si="81">FIND("V",UPPER(TRIM(D39)))</f>
        <v>3</v>
      </c>
      <c r="AK39" s="225">
        <f t="shared" ref="AK39:AK67" si="82">FIND("AH",UPPER(TRIM(D39)))</f>
        <v>9</v>
      </c>
      <c r="AL39" s="225">
        <f t="shared" ref="AL39:AL67" si="83">VALUE(MID(TRIM(D39),1,AJ39-1))</f>
        <v>48</v>
      </c>
      <c r="AM39" s="225">
        <f t="shared" ref="AM39:AM67" si="84">VALUE(MID(TRIM(D39),AJ39+2,(AK39) -(AJ39+2) ))</f>
        <v>13</v>
      </c>
      <c r="AN39" s="225">
        <f t="shared" ref="AN39:AN67" si="85">VALUE(MID(TRIM(F39),4,2))</f>
        <v>26</v>
      </c>
      <c r="AO39" s="225">
        <f t="shared" ref="AO39:AO67" si="86">ROUNDDOWN(AL39/3.5,0)</f>
        <v>13</v>
      </c>
      <c r="AP39" s="225">
        <f t="shared" ref="AP39:AP67" si="87">ROUNDUP(AM39*10/AN39,0)</f>
        <v>5</v>
      </c>
      <c r="AQ39" s="225" t="str">
        <f t="shared" ref="AQ39:AQ67" si="88">IF(OR(ISERROR(AO39),ISERROR(AP39)),"error","ok")</f>
        <v>ok</v>
      </c>
      <c r="AR39" s="225" t="str">
        <f t="shared" ref="AR39:AR67" si="89">IF(AQ39="ok", TEXT(AO39,0)&amp;"S"&amp; TEXT(AP39,0)&amp;"P","_")</f>
        <v>13S5P</v>
      </c>
      <c r="AS39" s="225" t="str">
        <f t="shared" ref="AS39:AS67" si="90">IF(ISBLANK(H39),"",H39&amp;$H$2&amp;IF(UPPER(TRIM(I39))="V",$I$2,"")&amp;"_"&amp;F39&amp;"_")</f>
        <v>4LEDLowDrv_SDI26FM_</v>
      </c>
      <c r="AT39" s="225" t="str">
        <f t="shared" si="12"/>
        <v>SW1_</v>
      </c>
      <c r="AU39" s="225" t="str">
        <f t="shared" si="13"/>
        <v>Aslp_Wup_CC_DUVP_</v>
      </c>
      <c r="AV39" s="225" t="e">
        <f t="shared" ref="AV39:AV67" si="91">FIND("
",C39)</f>
        <v>#VALUE!</v>
      </c>
      <c r="AW39" s="225" t="b">
        <f t="shared" ref="AW39:AW67" si="92">IF(ISBLANK(C39),TRUE,(TRIM(C39)=""))</f>
        <v>0</v>
      </c>
      <c r="AX39" s="225" t="str">
        <f t="shared" ref="AX39:AX67" si="93">IF(AW39=TRUE,"",IF(NOT(ISERROR(AV39)),TRIM(MID(C39,1,AV39-1))&amp;"_",TRIM(C39)&amp;"_"))</f>
        <v>DAKB00130-W021E10LT_</v>
      </c>
      <c r="AY39" s="225" t="str">
        <f t="shared" ref="AY39:AY67" si="94">SUBSTITUTE(AX39,"-","_")</f>
        <v>DAKB00130_W021E10LT_</v>
      </c>
      <c r="AZ39" s="664" t="str">
        <f t="shared" si="16"/>
        <v>167R_</v>
      </c>
    </row>
    <row r="40" spans="1:52" s="225" customFormat="1" ht="37.5">
      <c r="A40" s="668" t="s">
        <v>1195</v>
      </c>
      <c r="B40" s="669"/>
      <c r="C40" s="670" t="s">
        <v>1196</v>
      </c>
      <c r="D40" s="668" t="s">
        <v>1197</v>
      </c>
      <c r="E40" s="280" t="str">
        <f t="shared" ref="E40:E43" si="95">AR40</f>
        <v>10S4P</v>
      </c>
      <c r="F40" s="696" t="s">
        <v>939</v>
      </c>
      <c r="G40" s="719" t="s">
        <v>116</v>
      </c>
      <c r="H40" s="720">
        <v>4</v>
      </c>
      <c r="I40" s="779"/>
      <c r="J40" s="668"/>
      <c r="K40" s="736" t="s">
        <v>116</v>
      </c>
      <c r="L40" s="737"/>
      <c r="M40" s="668"/>
      <c r="N40" s="722"/>
      <c r="O40" s="668"/>
      <c r="P40" s="721" t="s">
        <v>116</v>
      </c>
      <c r="Q40" s="721" t="s">
        <v>116</v>
      </c>
      <c r="R40" s="668"/>
      <c r="S40" s="668"/>
      <c r="T40" s="725"/>
      <c r="U40" s="668"/>
      <c r="V40" s="721" t="s">
        <v>116</v>
      </c>
      <c r="W40" s="736" t="s">
        <v>116</v>
      </c>
      <c r="X40" s="737"/>
      <c r="Y40" s="737"/>
      <c r="Z40" s="726">
        <v>200</v>
      </c>
      <c r="AA40" s="726"/>
      <c r="AB40" s="726"/>
      <c r="AC40" s="727" t="s">
        <v>1234</v>
      </c>
      <c r="AD40" s="284" t="str">
        <f t="shared" ref="AD40:AD43" si="96">A40&amp;"_"&amp;E40&amp;AS40&amp;AT40&amp;AU40&amp;AZ40</f>
        <v>Demeter_36100_N_10S4P4LED_SDI26FM_SW1_Aslp_Wup_CC_DUVP_200R_</v>
      </c>
      <c r="AJ40" s="225">
        <f t="shared" ref="AJ40:AJ43" si="97">FIND("V",UPPER(TRIM(D40)))</f>
        <v>3</v>
      </c>
      <c r="AK40" s="225">
        <f t="shared" ref="AK40:AK43" si="98">FIND("AH",UPPER(TRIM(D40)))</f>
        <v>9</v>
      </c>
      <c r="AL40" s="225">
        <f t="shared" ref="AL40:AL43" si="99">VALUE(MID(TRIM(D40),1,AJ40-1))</f>
        <v>36</v>
      </c>
      <c r="AM40" s="225">
        <f t="shared" ref="AM40:AM43" si="100">VALUE(MID(TRIM(D40),AJ40+2,(AK40) -(AJ40+2) ))</f>
        <v>10</v>
      </c>
      <c r="AN40" s="225">
        <f t="shared" ref="AN40:AN43" si="101">VALUE(MID(TRIM(F40),4,2))</f>
        <v>26</v>
      </c>
      <c r="AO40" s="225">
        <f t="shared" ref="AO40:AO43" si="102">ROUNDDOWN(AL40/3.5,0)</f>
        <v>10</v>
      </c>
      <c r="AP40" s="225">
        <f t="shared" ref="AP40:AP43" si="103">ROUNDUP(AM40*10/AN40,0)</f>
        <v>4</v>
      </c>
      <c r="AQ40" s="225" t="str">
        <f t="shared" ref="AQ40:AQ43" si="104">IF(OR(ISERROR(AO40),ISERROR(AP40)),"error","ok")</f>
        <v>ok</v>
      </c>
      <c r="AR40" s="225" t="str">
        <f t="shared" ref="AR40:AR43" si="105">IF(AQ40="ok", TEXT(AO40,0)&amp;"S"&amp; TEXT(AP40,0)&amp;"P","_")</f>
        <v>10S4P</v>
      </c>
      <c r="AS40" s="225" t="str">
        <f t="shared" ref="AS40:AS43" si="106">IF(ISBLANK(H40),"",H40&amp;$H$2&amp;IF(UPPER(TRIM(I40))="V",$I$2,"")&amp;"_"&amp;F40&amp;"_")</f>
        <v>4LED_SDI26FM_</v>
      </c>
      <c r="AT40" s="225" t="str">
        <f t="shared" si="12"/>
        <v>SW1_</v>
      </c>
      <c r="AU40" s="225" t="str">
        <f t="shared" si="13"/>
        <v>Aslp_Wup_CC_DUVP_</v>
      </c>
      <c r="AV40" s="225" t="e">
        <f t="shared" ref="AV40:AV43" si="107">FIND("
",C40)</f>
        <v>#VALUE!</v>
      </c>
      <c r="AW40" s="225" t="b">
        <f t="shared" ref="AW40:AW43" si="108">IF(ISBLANK(C40),TRUE,(TRIM(C40)=""))</f>
        <v>0</v>
      </c>
      <c r="AX40" s="225" t="str">
        <f t="shared" ref="AX40:AX43" si="109">IF(AW40=TRUE,"",IF(NOT(ISERROR(AV40)),TRIM(MID(C40,1,AV40-1))&amp;"_",TRIM(C40)&amp;"_"))</f>
        <v>DAKB00100-W021E32LT_</v>
      </c>
      <c r="AY40" s="225" t="str">
        <f t="shared" ref="AY40:AY43" si="110">SUBSTITUTE(AX40,"-","_")</f>
        <v>DAKB00100_W021E32LT_</v>
      </c>
      <c r="AZ40" s="664" t="str">
        <f t="shared" si="16"/>
        <v>200R_</v>
      </c>
    </row>
    <row r="41" spans="1:52" s="225" customFormat="1" ht="37.5">
      <c r="A41" s="668" t="s">
        <v>1199</v>
      </c>
      <c r="B41" s="669"/>
      <c r="C41" s="670" t="s">
        <v>1200</v>
      </c>
      <c r="D41" s="668" t="s">
        <v>1203</v>
      </c>
      <c r="E41" s="280" t="str">
        <f t="shared" si="95"/>
        <v>13S5P</v>
      </c>
      <c r="F41" s="696" t="s">
        <v>939</v>
      </c>
      <c r="G41" s="719" t="s">
        <v>116</v>
      </c>
      <c r="H41" s="720">
        <v>0</v>
      </c>
      <c r="I41" s="721"/>
      <c r="J41" s="668"/>
      <c r="K41" s="722"/>
      <c r="L41" s="736" t="s">
        <v>116</v>
      </c>
      <c r="M41" s="668"/>
      <c r="N41" s="722"/>
      <c r="O41" s="668"/>
      <c r="P41" s="721" t="s">
        <v>116</v>
      </c>
      <c r="Q41" s="721" t="s">
        <v>116</v>
      </c>
      <c r="R41" s="668"/>
      <c r="S41" s="668"/>
      <c r="T41" s="725"/>
      <c r="U41" s="668"/>
      <c r="V41" s="721" t="s">
        <v>116</v>
      </c>
      <c r="W41" s="736" t="s">
        <v>116</v>
      </c>
      <c r="X41" s="737"/>
      <c r="Y41" s="737"/>
      <c r="Z41" s="726">
        <v>200</v>
      </c>
      <c r="AA41" s="726"/>
      <c r="AB41" s="726"/>
      <c r="AC41" s="727" t="s">
        <v>1234</v>
      </c>
      <c r="AD41" s="284" t="str">
        <f t="shared" si="96"/>
        <v>Pan_THY3_48130_Y_13S5P0LED_SDI26FM_MSW1_Aslp_Wup_CC_DUVP_200R_</v>
      </c>
      <c r="AJ41" s="225">
        <f t="shared" si="97"/>
        <v>3</v>
      </c>
      <c r="AK41" s="225">
        <f t="shared" si="98"/>
        <v>9</v>
      </c>
      <c r="AL41" s="225">
        <f t="shared" si="99"/>
        <v>48</v>
      </c>
      <c r="AM41" s="225">
        <f t="shared" si="100"/>
        <v>13</v>
      </c>
      <c r="AN41" s="225">
        <f t="shared" si="101"/>
        <v>26</v>
      </c>
      <c r="AO41" s="225">
        <f t="shared" si="102"/>
        <v>13</v>
      </c>
      <c r="AP41" s="225">
        <f t="shared" si="103"/>
        <v>5</v>
      </c>
      <c r="AQ41" s="225" t="str">
        <f t="shared" si="104"/>
        <v>ok</v>
      </c>
      <c r="AR41" s="225" t="str">
        <f t="shared" si="105"/>
        <v>13S5P</v>
      </c>
      <c r="AS41" s="225" t="str">
        <f t="shared" si="106"/>
        <v>0LED_SDI26FM_</v>
      </c>
      <c r="AT41" s="225" t="str">
        <f t="shared" si="12"/>
        <v>MSW1_</v>
      </c>
      <c r="AU41" s="225" t="str">
        <f t="shared" si="13"/>
        <v>Aslp_Wup_CC_DUVP_</v>
      </c>
      <c r="AV41" s="225" t="e">
        <f t="shared" si="107"/>
        <v>#VALUE!</v>
      </c>
      <c r="AW41" s="225" t="b">
        <f t="shared" si="108"/>
        <v>0</v>
      </c>
      <c r="AX41" s="225" t="str">
        <f t="shared" si="109"/>
        <v>DAKB00130-W021E09LT_</v>
      </c>
      <c r="AY41" s="225" t="str">
        <f t="shared" si="110"/>
        <v>DAKB00130_W021E09LT_</v>
      </c>
      <c r="AZ41" s="664" t="str">
        <f t="shared" si="16"/>
        <v>200R_</v>
      </c>
    </row>
    <row r="42" spans="1:52" s="225" customFormat="1" ht="37.5">
      <c r="A42" s="668" t="s">
        <v>1205</v>
      </c>
      <c r="B42" s="669" t="s">
        <v>1214</v>
      </c>
      <c r="C42" s="670" t="s">
        <v>1211</v>
      </c>
      <c r="D42" s="668" t="s">
        <v>1212</v>
      </c>
      <c r="E42" s="280" t="str">
        <f t="shared" si="95"/>
        <v>13S4P</v>
      </c>
      <c r="F42" s="696" t="s">
        <v>939</v>
      </c>
      <c r="G42" s="719" t="s">
        <v>116</v>
      </c>
      <c r="H42" s="720">
        <v>3</v>
      </c>
      <c r="I42" s="721"/>
      <c r="J42" s="668"/>
      <c r="K42" s="736" t="s">
        <v>116</v>
      </c>
      <c r="L42" s="737"/>
      <c r="M42" s="668"/>
      <c r="N42" s="722"/>
      <c r="O42" s="668"/>
      <c r="P42" s="721" t="s">
        <v>116</v>
      </c>
      <c r="Q42" s="721" t="s">
        <v>116</v>
      </c>
      <c r="R42" s="668"/>
      <c r="S42" s="668"/>
      <c r="T42" s="725"/>
      <c r="U42" s="668"/>
      <c r="V42" s="721" t="s">
        <v>116</v>
      </c>
      <c r="W42" s="736" t="s">
        <v>116</v>
      </c>
      <c r="X42" s="737"/>
      <c r="Y42" s="737"/>
      <c r="Z42" s="726">
        <v>200</v>
      </c>
      <c r="AA42" s="726"/>
      <c r="AB42" s="726"/>
      <c r="AC42" s="727" t="s">
        <v>1234</v>
      </c>
      <c r="AD42" s="284" t="str">
        <f t="shared" si="96"/>
        <v>Pan_B285_48100_Y_13S4P3LED_SDI26FM_SW1_Aslp_Wup_CC_DUVP_200R_</v>
      </c>
      <c r="AJ42" s="225">
        <f t="shared" si="97"/>
        <v>3</v>
      </c>
      <c r="AK42" s="225">
        <f t="shared" si="98"/>
        <v>9</v>
      </c>
      <c r="AL42" s="225">
        <f t="shared" si="99"/>
        <v>48</v>
      </c>
      <c r="AM42" s="225">
        <f t="shared" si="100"/>
        <v>10</v>
      </c>
      <c r="AN42" s="225">
        <f t="shared" si="101"/>
        <v>26</v>
      </c>
      <c r="AO42" s="225">
        <f t="shared" si="102"/>
        <v>13</v>
      </c>
      <c r="AP42" s="225">
        <f t="shared" si="103"/>
        <v>4</v>
      </c>
      <c r="AQ42" s="225" t="str">
        <f t="shared" si="104"/>
        <v>ok</v>
      </c>
      <c r="AR42" s="225" t="str">
        <f t="shared" si="105"/>
        <v>13S4P</v>
      </c>
      <c r="AS42" s="225" t="str">
        <f t="shared" si="106"/>
        <v>3LED_SDI26FM_</v>
      </c>
      <c r="AT42" s="225" t="str">
        <f t="shared" si="12"/>
        <v>SW1_</v>
      </c>
      <c r="AU42" s="225" t="str">
        <f t="shared" si="13"/>
        <v>Aslp_Wup_CC_DUVP_</v>
      </c>
      <c r="AV42" s="225" t="e">
        <f t="shared" si="107"/>
        <v>#VALUE!</v>
      </c>
      <c r="AW42" s="225" t="b">
        <f t="shared" si="108"/>
        <v>0</v>
      </c>
      <c r="AX42" s="225" t="str">
        <f t="shared" si="109"/>
        <v>DAKB00100-W021E13LT_</v>
      </c>
      <c r="AY42" s="225" t="str">
        <f t="shared" si="110"/>
        <v>DAKB00100_W021E13LT_</v>
      </c>
      <c r="AZ42" s="664" t="str">
        <f t="shared" si="16"/>
        <v>200R_</v>
      </c>
    </row>
    <row r="43" spans="1:52" s="225" customFormat="1" ht="38.25" customHeight="1">
      <c r="A43" s="668" t="s">
        <v>1207</v>
      </c>
      <c r="B43" s="678" t="s">
        <v>1215</v>
      </c>
      <c r="C43" s="670" t="s">
        <v>1209</v>
      </c>
      <c r="D43" s="668" t="s">
        <v>1203</v>
      </c>
      <c r="E43" s="280" t="str">
        <f t="shared" si="95"/>
        <v>13S5P</v>
      </c>
      <c r="F43" s="696" t="s">
        <v>939</v>
      </c>
      <c r="G43" s="719" t="s">
        <v>116</v>
      </c>
      <c r="H43" s="720">
        <v>3</v>
      </c>
      <c r="I43" s="721"/>
      <c r="J43" s="668"/>
      <c r="K43" s="736" t="s">
        <v>116</v>
      </c>
      <c r="L43" s="737"/>
      <c r="M43" s="668"/>
      <c r="N43" s="722"/>
      <c r="O43" s="668"/>
      <c r="P43" s="721" t="s">
        <v>116</v>
      </c>
      <c r="Q43" s="721" t="s">
        <v>116</v>
      </c>
      <c r="R43" s="668"/>
      <c r="S43" s="668"/>
      <c r="T43" s="725"/>
      <c r="U43" s="668"/>
      <c r="V43" s="721" t="s">
        <v>116</v>
      </c>
      <c r="W43" s="736" t="s">
        <v>116</v>
      </c>
      <c r="X43" s="737"/>
      <c r="Y43" s="737"/>
      <c r="Z43" s="726">
        <v>200</v>
      </c>
      <c r="AA43" s="726"/>
      <c r="AB43" s="726"/>
      <c r="AC43" s="727" t="s">
        <v>1234</v>
      </c>
      <c r="AD43" s="284" t="str">
        <f t="shared" si="96"/>
        <v>Pan_B320_48130_Y_13S5P3LED_SDI26FM_SW1_Aslp_Wup_CC_DUVP_200R_</v>
      </c>
      <c r="AJ43" s="225">
        <f t="shared" si="97"/>
        <v>3</v>
      </c>
      <c r="AK43" s="225">
        <f t="shared" si="98"/>
        <v>9</v>
      </c>
      <c r="AL43" s="225">
        <f t="shared" si="99"/>
        <v>48</v>
      </c>
      <c r="AM43" s="225">
        <f t="shared" si="100"/>
        <v>13</v>
      </c>
      <c r="AN43" s="225">
        <f t="shared" si="101"/>
        <v>26</v>
      </c>
      <c r="AO43" s="225">
        <f t="shared" si="102"/>
        <v>13</v>
      </c>
      <c r="AP43" s="225">
        <f t="shared" si="103"/>
        <v>5</v>
      </c>
      <c r="AQ43" s="225" t="str">
        <f t="shared" si="104"/>
        <v>ok</v>
      </c>
      <c r="AR43" s="225" t="str">
        <f t="shared" si="105"/>
        <v>13S5P</v>
      </c>
      <c r="AS43" s="225" t="str">
        <f t="shared" si="106"/>
        <v>3LED_SDI26FM_</v>
      </c>
      <c r="AT43" s="225" t="str">
        <f t="shared" si="12"/>
        <v>SW1_</v>
      </c>
      <c r="AU43" s="225" t="str">
        <f t="shared" si="13"/>
        <v>Aslp_Wup_CC_DUVP_</v>
      </c>
      <c r="AV43" s="225">
        <f t="shared" si="107"/>
        <v>20</v>
      </c>
      <c r="AW43" s="225" t="b">
        <f t="shared" si="108"/>
        <v>0</v>
      </c>
      <c r="AX43" s="225" t="str">
        <f t="shared" si="109"/>
        <v>DAKB00130-W021E06LT_</v>
      </c>
      <c r="AY43" s="225" t="str">
        <f t="shared" si="110"/>
        <v>DAKB00130_W021E06LT_</v>
      </c>
      <c r="AZ43" s="664" t="str">
        <f t="shared" si="16"/>
        <v>200R_</v>
      </c>
    </row>
    <row r="44" spans="1:52" s="225" customFormat="1" ht="37.5">
      <c r="A44" s="668" t="s">
        <v>1428</v>
      </c>
      <c r="B44" s="669"/>
      <c r="C44" s="670" t="s">
        <v>1226</v>
      </c>
      <c r="D44" s="668" t="s">
        <v>1218</v>
      </c>
      <c r="E44" s="280" t="str">
        <f t="shared" si="79"/>
        <v>10S4P</v>
      </c>
      <c r="F44" s="696" t="s">
        <v>939</v>
      </c>
      <c r="G44" s="719" t="s">
        <v>116</v>
      </c>
      <c r="H44" s="720">
        <v>5</v>
      </c>
      <c r="I44" s="736" t="s">
        <v>116</v>
      </c>
      <c r="J44" s="668"/>
      <c r="K44" s="736" t="s">
        <v>116</v>
      </c>
      <c r="L44" s="668"/>
      <c r="M44" s="668"/>
      <c r="N44" s="722"/>
      <c r="O44" s="668"/>
      <c r="P44" s="736" t="s">
        <v>116</v>
      </c>
      <c r="Q44" s="721" t="s">
        <v>116</v>
      </c>
      <c r="R44" s="668"/>
      <c r="S44" s="668"/>
      <c r="T44" s="725"/>
      <c r="U44" s="668"/>
      <c r="V44" s="736" t="s">
        <v>116</v>
      </c>
      <c r="W44" s="736" t="s">
        <v>116</v>
      </c>
      <c r="X44" s="737"/>
      <c r="Y44" s="737"/>
      <c r="Z44" s="726">
        <v>200</v>
      </c>
      <c r="AA44" s="726"/>
      <c r="AB44" s="726"/>
      <c r="AC44" s="727" t="s">
        <v>1235</v>
      </c>
      <c r="AD44" s="284" t="str">
        <f t="shared" si="80"/>
        <v>Pan_BJX325_36100_D_10S4P5LEDLowDrv_SDI26FM_SW1_Aslp_Wup_CC_DUVP_200R_</v>
      </c>
      <c r="AJ44" s="225">
        <f t="shared" si="81"/>
        <v>3</v>
      </c>
      <c r="AK44" s="225">
        <f t="shared" si="82"/>
        <v>9</v>
      </c>
      <c r="AL44" s="225">
        <f t="shared" si="83"/>
        <v>36</v>
      </c>
      <c r="AM44" s="225">
        <f t="shared" si="84"/>
        <v>10</v>
      </c>
      <c r="AN44" s="225">
        <f t="shared" si="85"/>
        <v>26</v>
      </c>
      <c r="AO44" s="225">
        <f t="shared" si="86"/>
        <v>10</v>
      </c>
      <c r="AP44" s="225">
        <f t="shared" si="87"/>
        <v>4</v>
      </c>
      <c r="AQ44" s="225" t="str">
        <f t="shared" si="88"/>
        <v>ok</v>
      </c>
      <c r="AR44" s="225" t="str">
        <f t="shared" si="89"/>
        <v>10S4P</v>
      </c>
      <c r="AS44" s="225" t="str">
        <f t="shared" si="90"/>
        <v>5LEDLowDrv_SDI26FM_</v>
      </c>
      <c r="AT44" s="225" t="str">
        <f t="shared" si="12"/>
        <v>SW1_</v>
      </c>
      <c r="AU44" s="225" t="str">
        <f t="shared" si="13"/>
        <v>Aslp_Wup_CC_DUVP_</v>
      </c>
      <c r="AV44" s="225" t="e">
        <f t="shared" si="91"/>
        <v>#VALUE!</v>
      </c>
      <c r="AW44" s="225" t="b">
        <f t="shared" si="92"/>
        <v>0</v>
      </c>
      <c r="AX44" s="225" t="str">
        <f t="shared" si="93"/>
        <v>DAKB00100-W021E33LT_</v>
      </c>
      <c r="AY44" s="225" t="str">
        <f t="shared" si="94"/>
        <v>DAKB00100_W021E33LT_</v>
      </c>
      <c r="AZ44" s="664" t="str">
        <f t="shared" si="16"/>
        <v>200R_</v>
      </c>
    </row>
    <row r="45" spans="1:52" s="225" customFormat="1" ht="38.25" customHeight="1">
      <c r="A45" s="668" t="s">
        <v>1220</v>
      </c>
      <c r="B45" s="678" t="s">
        <v>1219</v>
      </c>
      <c r="C45" s="670" t="s">
        <v>1227</v>
      </c>
      <c r="D45" s="668" t="s">
        <v>1221</v>
      </c>
      <c r="E45" s="280" t="str">
        <f t="shared" si="79"/>
        <v>10S7P</v>
      </c>
      <c r="F45" s="696" t="s">
        <v>939</v>
      </c>
      <c r="G45" s="719" t="s">
        <v>116</v>
      </c>
      <c r="H45" s="720">
        <v>5</v>
      </c>
      <c r="I45" s="736" t="s">
        <v>116</v>
      </c>
      <c r="J45" s="668"/>
      <c r="K45" s="736" t="s">
        <v>116</v>
      </c>
      <c r="L45" s="668"/>
      <c r="M45" s="668"/>
      <c r="N45" s="722"/>
      <c r="O45" s="668"/>
      <c r="P45" s="736" t="s">
        <v>116</v>
      </c>
      <c r="Q45" s="721" t="s">
        <v>116</v>
      </c>
      <c r="R45" s="668"/>
      <c r="S45" s="668"/>
      <c r="T45" s="725"/>
      <c r="U45" s="668"/>
      <c r="V45" s="721" t="s">
        <v>116</v>
      </c>
      <c r="W45" s="736" t="s">
        <v>116</v>
      </c>
      <c r="X45" s="737"/>
      <c r="Y45" s="737"/>
      <c r="Z45" s="726">
        <v>200</v>
      </c>
      <c r="AA45" s="726"/>
      <c r="AB45" s="726"/>
      <c r="AC45" s="727" t="s">
        <v>1231</v>
      </c>
      <c r="AD45" s="284" t="str">
        <f t="shared" si="80"/>
        <v>Pan_BLT360_36182_DU_10S7P5LEDLowDrv_SDI26FM_SW1_Aslp_Wup_CC_DUVP_200R_</v>
      </c>
      <c r="AJ45" s="225">
        <f t="shared" si="81"/>
        <v>3</v>
      </c>
      <c r="AK45" s="225">
        <f t="shared" si="82"/>
        <v>9</v>
      </c>
      <c r="AL45" s="225">
        <f t="shared" si="83"/>
        <v>36</v>
      </c>
      <c r="AM45" s="225">
        <f t="shared" si="84"/>
        <v>18.2</v>
      </c>
      <c r="AN45" s="225">
        <f t="shared" si="85"/>
        <v>26</v>
      </c>
      <c r="AO45" s="225">
        <f t="shared" si="86"/>
        <v>10</v>
      </c>
      <c r="AP45" s="225">
        <f t="shared" si="87"/>
        <v>7</v>
      </c>
      <c r="AQ45" s="225" t="str">
        <f t="shared" si="88"/>
        <v>ok</v>
      </c>
      <c r="AR45" s="225" t="str">
        <f t="shared" si="89"/>
        <v>10S7P</v>
      </c>
      <c r="AS45" s="225" t="str">
        <f t="shared" si="90"/>
        <v>5LEDLowDrv_SDI26FM_</v>
      </c>
      <c r="AT45" s="225" t="str">
        <f t="shared" si="12"/>
        <v>SW1_</v>
      </c>
      <c r="AU45" s="225" t="str">
        <f t="shared" si="13"/>
        <v>Aslp_Wup_CC_DUVP_</v>
      </c>
      <c r="AV45" s="225">
        <f t="shared" si="91"/>
        <v>20</v>
      </c>
      <c r="AW45" s="225" t="b">
        <f t="shared" si="92"/>
        <v>0</v>
      </c>
      <c r="AX45" s="225" t="str">
        <f t="shared" si="93"/>
        <v>DAKB00182-W021E03LT_</v>
      </c>
      <c r="AY45" s="225" t="str">
        <f t="shared" si="94"/>
        <v>DAKB00182_W021E03LT_</v>
      </c>
      <c r="AZ45" s="664" t="str">
        <f t="shared" si="16"/>
        <v>200R_</v>
      </c>
    </row>
    <row r="46" spans="1:52" s="225" customFormat="1" ht="38.25" customHeight="1">
      <c r="A46" s="668" t="s">
        <v>1222</v>
      </c>
      <c r="B46" s="678" t="s">
        <v>1223</v>
      </c>
      <c r="C46" s="670" t="s">
        <v>1228</v>
      </c>
      <c r="D46" s="668" t="s">
        <v>1224</v>
      </c>
      <c r="E46" s="280" t="str">
        <f t="shared" ref="E46:E47" si="111">AR46</f>
        <v>7S4P</v>
      </c>
      <c r="F46" s="696" t="s">
        <v>939</v>
      </c>
      <c r="G46" s="719" t="s">
        <v>116</v>
      </c>
      <c r="H46" s="720">
        <v>4</v>
      </c>
      <c r="I46" s="780" t="s">
        <v>1397</v>
      </c>
      <c r="J46" s="668"/>
      <c r="K46" s="736" t="s">
        <v>116</v>
      </c>
      <c r="L46" s="668"/>
      <c r="M46" s="668"/>
      <c r="N46" s="722"/>
      <c r="O46" s="668"/>
      <c r="P46" s="736" t="s">
        <v>116</v>
      </c>
      <c r="Q46" s="721" t="s">
        <v>116</v>
      </c>
      <c r="R46" s="668"/>
      <c r="S46" s="668"/>
      <c r="T46" s="725"/>
      <c r="U46" s="668"/>
      <c r="V46" s="736" t="s">
        <v>116</v>
      </c>
      <c r="W46" s="736" t="s">
        <v>116</v>
      </c>
      <c r="X46" s="737"/>
      <c r="Y46" s="737"/>
      <c r="Z46" s="726">
        <v>200</v>
      </c>
      <c r="AA46" s="726"/>
      <c r="AB46" s="726"/>
      <c r="AC46" s="768" t="s">
        <v>1230</v>
      </c>
      <c r="AD46" s="284" t="str">
        <f t="shared" ref="AD46" si="112">A46&amp;"_"&amp;E46&amp;AS46&amp;AT46&amp;AU46&amp;AZ46</f>
        <v>Pan_BBL260_26100_Y_7S4P4LEDLowDrv_SDI26FM_SW1_Aslp_Wup_CC_DUVP_200R_</v>
      </c>
      <c r="AJ46" s="225">
        <f t="shared" ref="AJ46" si="113">FIND("V",UPPER(TRIM(D46)))</f>
        <v>3</v>
      </c>
      <c r="AK46" s="225">
        <f t="shared" ref="AK46" si="114">FIND("AH",UPPER(TRIM(D46)))</f>
        <v>9</v>
      </c>
      <c r="AL46" s="225">
        <f t="shared" ref="AL46" si="115">VALUE(MID(TRIM(D46),1,AJ46-1))</f>
        <v>26</v>
      </c>
      <c r="AM46" s="225">
        <f t="shared" ref="AM46" si="116">VALUE(MID(TRIM(D46),AJ46+2,(AK46) -(AJ46+2) ))</f>
        <v>10</v>
      </c>
      <c r="AN46" s="225">
        <f t="shared" ref="AN46" si="117">VALUE(MID(TRIM(F46),4,2))</f>
        <v>26</v>
      </c>
      <c r="AO46" s="225">
        <f t="shared" ref="AO46" si="118">ROUNDDOWN(AL46/3.5,0)</f>
        <v>7</v>
      </c>
      <c r="AP46" s="225">
        <f t="shared" ref="AP46" si="119">ROUNDUP(AM46*10/AN46,0)</f>
        <v>4</v>
      </c>
      <c r="AQ46" s="225" t="str">
        <f t="shared" ref="AQ46" si="120">IF(OR(ISERROR(AO46),ISERROR(AP46)),"error","ok")</f>
        <v>ok</v>
      </c>
      <c r="AR46" s="225" t="str">
        <f t="shared" ref="AR46" si="121">IF(AQ46="ok", TEXT(AO46,0)&amp;"S"&amp; TEXT(AP46,0)&amp;"P","_")</f>
        <v>7S4P</v>
      </c>
      <c r="AS46" s="225" t="str">
        <f t="shared" ref="AS46" si="122">IF(ISBLANK(H46),"",H46&amp;$H$2&amp;IF(UPPER(TRIM(I46))="V",$I$2,"")&amp;"_"&amp;F46&amp;"_")</f>
        <v>4LEDLowDrv_SDI26FM_</v>
      </c>
      <c r="AT46" s="225" t="str">
        <f t="shared" ref="AT46" si="123">IF(UPPER(TRIM(J46))="V",$J$2&amp;"_","")&amp;IF(UPPER(TRIM(K46))="V",$K$2&amp;"_","")&amp;IF(UPPER(TRIM(L46))="V",$L$2&amp;"_","")&amp;IF(UPPER(TRIM(M46))="V",$M$2&amp;"_","")&amp;IF(UPPER(TRIM(N46))="V",$N$2&amp;"_","")&amp;IF(UPPER(TRIM(O46))="V",$O$2&amp;"_","")</f>
        <v>SW1_</v>
      </c>
      <c r="AU46" s="225" t="str">
        <f t="shared" si="13"/>
        <v>Aslp_Wup_CC_DUVP_</v>
      </c>
      <c r="AV46" s="225">
        <f t="shared" ref="AV46" si="124">FIND("
",C46)</f>
        <v>20</v>
      </c>
      <c r="AW46" s="225" t="b">
        <f t="shared" ref="AW46" si="125">IF(ISBLANK(C46),TRUE,(TRIM(C46)=""))</f>
        <v>0</v>
      </c>
      <c r="AX46" s="225" t="str">
        <f t="shared" ref="AX46" si="126">IF(AW46=TRUE,"",IF(NOT(ISERROR(AV46)),TRIM(MID(C46,1,AV46-1))&amp;"_",TRIM(C46)&amp;"_"))</f>
        <v>DAKB00100-W021E30LT_</v>
      </c>
      <c r="AY46" s="225" t="str">
        <f t="shared" ref="AY46" si="127">SUBSTITUTE(AX46,"-","_")</f>
        <v>DAKB00100_W021E30LT_</v>
      </c>
      <c r="AZ46" s="664" t="str">
        <f t="shared" si="16"/>
        <v>200R_</v>
      </c>
    </row>
    <row r="47" spans="1:52" s="225" customFormat="1" ht="38.25" customHeight="1">
      <c r="A47" s="668" t="s">
        <v>1225</v>
      </c>
      <c r="B47" s="678" t="s">
        <v>1219</v>
      </c>
      <c r="C47" s="670" t="s">
        <v>1229</v>
      </c>
      <c r="D47" s="668" t="s">
        <v>1075</v>
      </c>
      <c r="E47" s="280" t="str">
        <f t="shared" si="111"/>
        <v>10S7P</v>
      </c>
      <c r="F47" s="696" t="s">
        <v>939</v>
      </c>
      <c r="G47" s="719" t="s">
        <v>116</v>
      </c>
      <c r="H47" s="720">
        <v>5</v>
      </c>
      <c r="I47" s="736" t="s">
        <v>116</v>
      </c>
      <c r="J47" s="668"/>
      <c r="K47" s="736" t="s">
        <v>116</v>
      </c>
      <c r="L47" s="668"/>
      <c r="M47" s="668"/>
      <c r="N47" s="722"/>
      <c r="O47" s="668"/>
      <c r="P47" s="736" t="s">
        <v>116</v>
      </c>
      <c r="Q47" s="721" t="s">
        <v>116</v>
      </c>
      <c r="R47" s="668"/>
      <c r="S47" s="668"/>
      <c r="T47" s="725"/>
      <c r="U47" s="668"/>
      <c r="V47" s="721" t="s">
        <v>116</v>
      </c>
      <c r="W47" s="736" t="s">
        <v>116</v>
      </c>
      <c r="X47" s="737"/>
      <c r="Y47" s="737"/>
      <c r="Z47" s="726">
        <v>200</v>
      </c>
      <c r="AA47" s="726"/>
      <c r="AB47" s="726"/>
      <c r="AC47" s="727" t="s">
        <v>1232</v>
      </c>
      <c r="AD47" s="284" t="str">
        <f t="shared" ref="AD47" si="128">A47&amp;"_"&amp;E47&amp;AS47&amp;AT47&amp;AU47&amp;AZ47</f>
        <v>Pan_BLT360_36182_D_10S7P5LEDLowDrv_SDI26FM_SW1_Aslp_Wup_CC_DUVP_200R_</v>
      </c>
      <c r="AJ47" s="225">
        <f t="shared" ref="AJ47" si="129">FIND("V",UPPER(TRIM(D47)))</f>
        <v>3</v>
      </c>
      <c r="AK47" s="225">
        <f t="shared" ref="AK47" si="130">FIND("AH",UPPER(TRIM(D47)))</f>
        <v>9</v>
      </c>
      <c r="AL47" s="225">
        <f t="shared" ref="AL47" si="131">VALUE(MID(TRIM(D47),1,AJ47-1))</f>
        <v>36</v>
      </c>
      <c r="AM47" s="225">
        <f t="shared" ref="AM47" si="132">VALUE(MID(TRIM(D47),AJ47+2,(AK47) -(AJ47+2) ))</f>
        <v>18.2</v>
      </c>
      <c r="AN47" s="225">
        <f t="shared" ref="AN47" si="133">VALUE(MID(TRIM(F47),4,2))</f>
        <v>26</v>
      </c>
      <c r="AO47" s="225">
        <f t="shared" ref="AO47" si="134">ROUNDDOWN(AL47/3.5,0)</f>
        <v>10</v>
      </c>
      <c r="AP47" s="225">
        <f t="shared" ref="AP47" si="135">ROUNDUP(AM47*10/AN47,0)</f>
        <v>7</v>
      </c>
      <c r="AQ47" s="225" t="str">
        <f t="shared" ref="AQ47" si="136">IF(OR(ISERROR(AO47),ISERROR(AP47)),"error","ok")</f>
        <v>ok</v>
      </c>
      <c r="AR47" s="225" t="str">
        <f t="shared" ref="AR47" si="137">IF(AQ47="ok", TEXT(AO47,0)&amp;"S"&amp; TEXT(AP47,0)&amp;"P","_")</f>
        <v>10S7P</v>
      </c>
      <c r="AS47" s="225" t="str">
        <f t="shared" ref="AS47" si="138">IF(ISBLANK(H47),"",H47&amp;$H$2&amp;IF(UPPER(TRIM(I47))="V",$I$2,"")&amp;"_"&amp;F47&amp;"_")</f>
        <v>5LEDLowDrv_SDI26FM_</v>
      </c>
      <c r="AT47" s="225" t="str">
        <f t="shared" ref="AT47" si="139">IF(UPPER(TRIM(J47))="V",$J$2&amp;"_","")&amp;IF(UPPER(TRIM(K47))="V",$K$2&amp;"_","")&amp;IF(UPPER(TRIM(L47))="V",$L$2&amp;"_","")&amp;IF(UPPER(TRIM(M47))="V",$M$2&amp;"_","")&amp;IF(UPPER(TRIM(N47))="V",$N$2&amp;"_","")&amp;IF(UPPER(TRIM(O47))="V",$O$2&amp;"_","")</f>
        <v>SW1_</v>
      </c>
      <c r="AU47" s="225" t="str">
        <f t="shared" si="13"/>
        <v>Aslp_Wup_CC_DUVP_</v>
      </c>
      <c r="AV47" s="225">
        <f t="shared" ref="AV47" si="140">FIND("
",C47)</f>
        <v>20</v>
      </c>
      <c r="AW47" s="225" t="b">
        <f t="shared" ref="AW47" si="141">IF(ISBLANK(C47),TRUE,(TRIM(C47)=""))</f>
        <v>0</v>
      </c>
      <c r="AX47" s="225" t="str">
        <f t="shared" ref="AX47" si="142">IF(AW47=TRUE,"",IF(NOT(ISERROR(AV47)),TRIM(MID(C47,1,AV47-1))&amp;"_",TRIM(C47)&amp;"_"))</f>
        <v>DAKB00182-W021E01LT_</v>
      </c>
      <c r="AY47" s="225" t="str">
        <f t="shared" ref="AY47" si="143">SUBSTITUTE(AX47,"-","_")</f>
        <v>DAKB00182_W021E01LT_</v>
      </c>
      <c r="AZ47" s="664" t="str">
        <f t="shared" si="16"/>
        <v>200R_</v>
      </c>
    </row>
    <row r="48" spans="1:52" s="225" customFormat="1" ht="37.5" customHeight="1">
      <c r="A48" s="668" t="s">
        <v>1241</v>
      </c>
      <c r="B48" s="678" t="s">
        <v>1243</v>
      </c>
      <c r="C48" s="670"/>
      <c r="D48" s="668" t="s">
        <v>1242</v>
      </c>
      <c r="E48" s="280" t="str">
        <f t="shared" ref="E48" si="144">AR48</f>
        <v>10S5P</v>
      </c>
      <c r="F48" s="696" t="s">
        <v>939</v>
      </c>
      <c r="G48" s="719" t="s">
        <v>116</v>
      </c>
      <c r="H48" s="720">
        <v>4</v>
      </c>
      <c r="I48" s="736" t="s">
        <v>116</v>
      </c>
      <c r="J48" s="668"/>
      <c r="K48" s="736" t="s">
        <v>116</v>
      </c>
      <c r="L48" s="721"/>
      <c r="M48" s="725"/>
      <c r="N48" s="722"/>
      <c r="O48" s="668"/>
      <c r="P48" s="736" t="s">
        <v>116</v>
      </c>
      <c r="Q48" s="721" t="s">
        <v>116</v>
      </c>
      <c r="R48" s="668"/>
      <c r="S48" s="668"/>
      <c r="T48" s="725"/>
      <c r="U48" s="668"/>
      <c r="V48" s="721" t="s">
        <v>116</v>
      </c>
      <c r="W48" s="736" t="s">
        <v>116</v>
      </c>
      <c r="X48" s="737"/>
      <c r="Y48" s="737"/>
      <c r="Z48" s="726">
        <v>200</v>
      </c>
      <c r="AA48" s="726"/>
      <c r="AB48" s="726"/>
      <c r="AC48" s="727"/>
      <c r="AD48" s="284" t="str">
        <f t="shared" ref="AD48" si="145">A48&amp;"_"&amp;E48&amp;AS48&amp;AT48&amp;AU48&amp;AZ48</f>
        <v>Ares_SSHB_36130_D_10S5P4LEDLowDrv_SDI26FM_SW1_Aslp_Wup_CC_DUVP_200R_</v>
      </c>
      <c r="AJ48" s="225">
        <f t="shared" ref="AJ48" si="146">FIND("V",UPPER(TRIM(D48)))</f>
        <v>3</v>
      </c>
      <c r="AK48" s="225">
        <f t="shared" ref="AK48" si="147">FIND("AH",UPPER(TRIM(D48)))</f>
        <v>9</v>
      </c>
      <c r="AL48" s="225">
        <f t="shared" ref="AL48" si="148">VALUE(MID(TRIM(D48),1,AJ48-1))</f>
        <v>36</v>
      </c>
      <c r="AM48" s="225">
        <f t="shared" ref="AM48" si="149">VALUE(MID(TRIM(D48),AJ48+2,(AK48) -(AJ48+2) ))</f>
        <v>13</v>
      </c>
      <c r="AN48" s="225">
        <f t="shared" ref="AN48" si="150">VALUE(MID(TRIM(F48),4,2))</f>
        <v>26</v>
      </c>
      <c r="AO48" s="225">
        <f t="shared" ref="AO48" si="151">ROUNDDOWN(AL48/3.5,0)</f>
        <v>10</v>
      </c>
      <c r="AP48" s="225">
        <f t="shared" ref="AP48" si="152">ROUNDUP(AM48*10/AN48,0)</f>
        <v>5</v>
      </c>
      <c r="AQ48" s="225" t="str">
        <f t="shared" ref="AQ48" si="153">IF(OR(ISERROR(AO48),ISERROR(AP48)),"error","ok")</f>
        <v>ok</v>
      </c>
      <c r="AR48" s="225" t="str">
        <f t="shared" ref="AR48" si="154">IF(AQ48="ok", TEXT(AO48,0)&amp;"S"&amp; TEXT(AP48,0)&amp;"P","_")</f>
        <v>10S5P</v>
      </c>
      <c r="AS48" s="225" t="str">
        <f t="shared" ref="AS48" si="155">IF(ISBLANK(H48),"",H48&amp;$H$2&amp;IF(UPPER(TRIM(I48))="V",$I$2,"")&amp;"_"&amp;F48&amp;"_")</f>
        <v>4LEDLowDrv_SDI26FM_</v>
      </c>
      <c r="AT48" s="225" t="str">
        <f t="shared" ref="AT48" si="156">IF(UPPER(TRIM(J48))="V",$J$2&amp;"_","")&amp;IF(UPPER(TRIM(K48))="V",$K$2&amp;"_","")&amp;IF(UPPER(TRIM(L48))="V",$L$2&amp;"_","")&amp;IF(UPPER(TRIM(M48))="V",$M$2&amp;"_","")&amp;IF(UPPER(TRIM(N48))="V",$N$2&amp;"_","")&amp;IF(UPPER(TRIM(O48))="V",$O$2&amp;"_","")</f>
        <v>SW1_</v>
      </c>
      <c r="AU48" s="225" t="str">
        <f t="shared" si="13"/>
        <v>Aslp_Wup_CC_DUVP_</v>
      </c>
      <c r="AV48" s="225" t="e">
        <f t="shared" ref="AV48" si="157">FIND("
",C48)</f>
        <v>#VALUE!</v>
      </c>
      <c r="AW48" s="225" t="b">
        <f t="shared" ref="AW48" si="158">IF(ISBLANK(C48),TRUE,(TRIM(C48)=""))</f>
        <v>1</v>
      </c>
      <c r="AX48" s="225" t="str">
        <f t="shared" ref="AX48" si="159">IF(AW48=TRUE,"",IF(NOT(ISERROR(AV48)),TRIM(MID(C48,1,AV48-1))&amp;"_",TRIM(C48)&amp;"_"))</f>
        <v/>
      </c>
      <c r="AY48" s="225" t="str">
        <f t="shared" ref="AY48" si="160">SUBSTITUTE(AX48,"-","_")</f>
        <v/>
      </c>
      <c r="AZ48" s="664" t="str">
        <f t="shared" si="16"/>
        <v>200R_</v>
      </c>
    </row>
    <row r="49" spans="1:52" s="225" customFormat="1" ht="38.25" customHeight="1">
      <c r="A49" s="668" t="s">
        <v>1244</v>
      </c>
      <c r="B49" s="669" t="s">
        <v>1337</v>
      </c>
      <c r="C49" s="670"/>
      <c r="D49" s="668" t="s">
        <v>1246</v>
      </c>
      <c r="E49" s="280" t="str">
        <f t="shared" ref="E49:E52" si="161">AR49</f>
        <v>10S4P</v>
      </c>
      <c r="F49" s="696" t="s">
        <v>939</v>
      </c>
      <c r="G49" s="719" t="s">
        <v>116</v>
      </c>
      <c r="H49" s="765">
        <v>3</v>
      </c>
      <c r="I49" s="721"/>
      <c r="J49" s="668"/>
      <c r="K49" s="780" t="s">
        <v>116</v>
      </c>
      <c r="L49" s="668"/>
      <c r="M49" s="668"/>
      <c r="N49" s="722"/>
      <c r="O49" s="668"/>
      <c r="P49" s="736" t="s">
        <v>116</v>
      </c>
      <c r="Q49" s="721" t="s">
        <v>116</v>
      </c>
      <c r="R49" s="668"/>
      <c r="S49" s="668"/>
      <c r="T49" s="725"/>
      <c r="U49" s="668"/>
      <c r="V49" s="721"/>
      <c r="W49" s="736" t="s">
        <v>116</v>
      </c>
      <c r="X49" s="737"/>
      <c r="Y49" s="737"/>
      <c r="Z49" s="726">
        <v>200</v>
      </c>
      <c r="AA49" s="726"/>
      <c r="AB49" s="726"/>
      <c r="AC49" s="768" t="s">
        <v>1338</v>
      </c>
      <c r="AD49" s="284" t="str">
        <f t="shared" ref="AD49:AD52" si="162">A49&amp;"_"&amp;E49&amp;AS49&amp;AT49&amp;AU49&amp;AZ49</f>
        <v>Pan_BJX296_36100_Y_10S4P3LED_SDI26FM_SW1_Aslp_Wup_DUVP_200R_</v>
      </c>
      <c r="AJ49" s="225">
        <f t="shared" ref="AJ49:AJ52" si="163">FIND("V",UPPER(TRIM(D49)))</f>
        <v>3</v>
      </c>
      <c r="AK49" s="225">
        <f t="shared" ref="AK49:AK52" si="164">FIND("AH",UPPER(TRIM(D49)))</f>
        <v>9</v>
      </c>
      <c r="AL49" s="225">
        <f t="shared" ref="AL49:AL52" si="165">VALUE(MID(TRIM(D49),1,AJ49-1))</f>
        <v>36</v>
      </c>
      <c r="AM49" s="225">
        <f t="shared" ref="AM49:AM52" si="166">VALUE(MID(TRIM(D49),AJ49+2,(AK49) -(AJ49+2) ))</f>
        <v>10</v>
      </c>
      <c r="AN49" s="225">
        <f t="shared" ref="AN49:AN52" si="167">VALUE(MID(TRIM(F49),4,2))</f>
        <v>26</v>
      </c>
      <c r="AO49" s="225">
        <f t="shared" ref="AO49:AO52" si="168">ROUNDDOWN(AL49/3.5,0)</f>
        <v>10</v>
      </c>
      <c r="AP49" s="225">
        <f t="shared" ref="AP49:AP52" si="169">ROUNDUP(AM49*10/AN49,0)</f>
        <v>4</v>
      </c>
      <c r="AQ49" s="225" t="str">
        <f t="shared" ref="AQ49:AQ52" si="170">IF(OR(ISERROR(AO49),ISERROR(AP49)),"error","ok")</f>
        <v>ok</v>
      </c>
      <c r="AR49" s="225" t="str">
        <f t="shared" ref="AR49:AR52" si="171">IF(AQ49="ok", TEXT(AO49,0)&amp;"S"&amp; TEXT(AP49,0)&amp;"P","_")</f>
        <v>10S4P</v>
      </c>
      <c r="AS49" s="225" t="str">
        <f t="shared" ref="AS49:AS52" si="172">IF(ISBLANK(H49),"",H49&amp;$H$2&amp;IF(UPPER(TRIM(I49))="V",$I$2,"")&amp;"_"&amp;F49&amp;"_")</f>
        <v>3LED_SDI26FM_</v>
      </c>
      <c r="AT49" s="225" t="str">
        <f t="shared" ref="AT49:AT52" si="173">IF(UPPER(TRIM(J49))="V",$J$2&amp;"_","")&amp;IF(UPPER(TRIM(K49))="V",$K$2&amp;"_","")&amp;IF(UPPER(TRIM(L49))="V",$L$2&amp;"_","")&amp;IF(UPPER(TRIM(M49))="V",$M$2&amp;"_","")&amp;IF(UPPER(TRIM(N49))="V",$N$2&amp;"_","")&amp;IF(UPPER(TRIM(O49))="V",$O$2&amp;"_","")</f>
        <v>SW1_</v>
      </c>
      <c r="AU49" s="225" t="str">
        <f t="shared" si="13"/>
        <v>Aslp_Wup_DUVP_</v>
      </c>
      <c r="AV49" s="225" t="e">
        <f t="shared" ref="AV49:AV52" si="174">FIND("
",C49)</f>
        <v>#VALUE!</v>
      </c>
      <c r="AW49" s="225" t="b">
        <f t="shared" ref="AW49:AW52" si="175">IF(ISBLANK(C49),TRUE,(TRIM(C49)=""))</f>
        <v>1</v>
      </c>
      <c r="AX49" s="225" t="str">
        <f t="shared" ref="AX49:AX52" si="176">IF(AW49=TRUE,"",IF(NOT(ISERROR(AV49)),TRIM(MID(C49,1,AV49-1))&amp;"_",TRIM(C49)&amp;"_"))</f>
        <v/>
      </c>
      <c r="AY49" s="225" t="str">
        <f t="shared" ref="AY49:AY52" si="177">SUBSTITUTE(AX49,"-","_")</f>
        <v/>
      </c>
      <c r="AZ49" s="664" t="str">
        <f t="shared" si="16"/>
        <v>200R_</v>
      </c>
    </row>
    <row r="50" spans="1:52" s="225" customFormat="1" ht="39" customHeight="1">
      <c r="A50" s="668" t="s">
        <v>1247</v>
      </c>
      <c r="B50" s="669"/>
      <c r="C50" s="670"/>
      <c r="D50" s="668" t="s">
        <v>1248</v>
      </c>
      <c r="E50" s="280" t="str">
        <f t="shared" si="161"/>
        <v>10S6P</v>
      </c>
      <c r="F50" s="696" t="s">
        <v>939</v>
      </c>
      <c r="G50" s="719" t="s">
        <v>116</v>
      </c>
      <c r="H50" s="720">
        <v>5</v>
      </c>
      <c r="I50" s="736" t="s">
        <v>116</v>
      </c>
      <c r="J50" s="668"/>
      <c r="K50" s="736" t="s">
        <v>116</v>
      </c>
      <c r="L50" s="668"/>
      <c r="M50" s="668"/>
      <c r="N50" s="722"/>
      <c r="O50" s="668"/>
      <c r="P50" s="736" t="s">
        <v>116</v>
      </c>
      <c r="Q50" s="721" t="s">
        <v>116</v>
      </c>
      <c r="R50" s="668"/>
      <c r="S50" s="668"/>
      <c r="T50" s="725"/>
      <c r="U50" s="668"/>
      <c r="V50" s="721" t="s">
        <v>116</v>
      </c>
      <c r="W50" s="736" t="s">
        <v>116</v>
      </c>
      <c r="X50" s="737"/>
      <c r="Y50" s="737"/>
      <c r="Z50" s="726">
        <v>200</v>
      </c>
      <c r="AA50" s="726"/>
      <c r="AB50" s="726"/>
      <c r="AC50" s="727" t="s">
        <v>1339</v>
      </c>
      <c r="AD50" s="284" t="str">
        <f t="shared" si="162"/>
        <v>Pan_BLT360_36156_D_10S6P5LEDLowDrv_SDI26FM_SW1_Aslp_Wup_CC_DUVP_200R_</v>
      </c>
      <c r="AJ50" s="225">
        <f t="shared" si="163"/>
        <v>3</v>
      </c>
      <c r="AK50" s="225">
        <f t="shared" si="164"/>
        <v>9</v>
      </c>
      <c r="AL50" s="225">
        <f t="shared" si="165"/>
        <v>36</v>
      </c>
      <c r="AM50" s="225">
        <f t="shared" si="166"/>
        <v>15.6</v>
      </c>
      <c r="AN50" s="225">
        <f t="shared" si="167"/>
        <v>26</v>
      </c>
      <c r="AO50" s="225">
        <f t="shared" si="168"/>
        <v>10</v>
      </c>
      <c r="AP50" s="225">
        <f t="shared" si="169"/>
        <v>6</v>
      </c>
      <c r="AQ50" s="225" t="str">
        <f t="shared" si="170"/>
        <v>ok</v>
      </c>
      <c r="AR50" s="225" t="str">
        <f t="shared" si="171"/>
        <v>10S6P</v>
      </c>
      <c r="AS50" s="225" t="str">
        <f t="shared" si="172"/>
        <v>5LEDLowDrv_SDI26FM_</v>
      </c>
      <c r="AT50" s="225" t="str">
        <f t="shared" si="173"/>
        <v>SW1_</v>
      </c>
      <c r="AU50" s="225" t="str">
        <f t="shared" si="13"/>
        <v>Aslp_Wup_CC_DUVP_</v>
      </c>
      <c r="AV50" s="225" t="e">
        <f t="shared" si="174"/>
        <v>#VALUE!</v>
      </c>
      <c r="AW50" s="225" t="b">
        <f t="shared" si="175"/>
        <v>1</v>
      </c>
      <c r="AX50" s="225" t="str">
        <f t="shared" si="176"/>
        <v/>
      </c>
      <c r="AY50" s="225" t="str">
        <f t="shared" si="177"/>
        <v/>
      </c>
      <c r="AZ50" s="664" t="str">
        <f t="shared" si="16"/>
        <v>200R_</v>
      </c>
    </row>
    <row r="51" spans="1:52" s="225" customFormat="1" ht="39" customHeight="1">
      <c r="A51" s="668" t="s">
        <v>1340</v>
      </c>
      <c r="B51" s="678" t="s">
        <v>1341</v>
      </c>
      <c r="C51" s="670"/>
      <c r="D51" s="668" t="s">
        <v>1342</v>
      </c>
      <c r="E51" s="280" t="str">
        <f t="shared" si="161"/>
        <v>13S5P</v>
      </c>
      <c r="F51" s="696" t="s">
        <v>939</v>
      </c>
      <c r="G51" s="719" t="s">
        <v>116</v>
      </c>
      <c r="H51" s="720">
        <v>3</v>
      </c>
      <c r="I51" s="780" t="s">
        <v>1350</v>
      </c>
      <c r="J51" s="668"/>
      <c r="K51" s="736" t="s">
        <v>116</v>
      </c>
      <c r="L51" s="668"/>
      <c r="M51" s="668"/>
      <c r="N51" s="722"/>
      <c r="O51" s="668"/>
      <c r="P51" s="736" t="s">
        <v>116</v>
      </c>
      <c r="Q51" s="721" t="s">
        <v>116</v>
      </c>
      <c r="R51" s="668"/>
      <c r="S51" s="668"/>
      <c r="T51" s="725"/>
      <c r="U51" s="668"/>
      <c r="V51" s="721" t="s">
        <v>116</v>
      </c>
      <c r="W51" s="736" t="s">
        <v>116</v>
      </c>
      <c r="X51" s="737"/>
      <c r="Y51" s="737"/>
      <c r="Z51" s="778">
        <v>167</v>
      </c>
      <c r="AA51" s="778"/>
      <c r="AB51" s="778"/>
      <c r="AC51" s="727" t="s">
        <v>1351</v>
      </c>
      <c r="AD51" s="284" t="str">
        <f t="shared" si="162"/>
        <v>Demeter_B350_48130_N_13S5P3LEDLowDrv_SDI26FM_SW1_Aslp_Wup_CC_DUVP_167R_</v>
      </c>
      <c r="AJ51" s="225">
        <f t="shared" si="163"/>
        <v>3</v>
      </c>
      <c r="AK51" s="225">
        <f t="shared" si="164"/>
        <v>9</v>
      </c>
      <c r="AL51" s="225">
        <f t="shared" si="165"/>
        <v>48</v>
      </c>
      <c r="AM51" s="225">
        <f t="shared" si="166"/>
        <v>13</v>
      </c>
      <c r="AN51" s="225">
        <f t="shared" si="167"/>
        <v>26</v>
      </c>
      <c r="AO51" s="225">
        <f t="shared" si="168"/>
        <v>13</v>
      </c>
      <c r="AP51" s="225">
        <f t="shared" si="169"/>
        <v>5</v>
      </c>
      <c r="AQ51" s="225" t="str">
        <f t="shared" si="170"/>
        <v>ok</v>
      </c>
      <c r="AR51" s="225" t="str">
        <f t="shared" si="171"/>
        <v>13S5P</v>
      </c>
      <c r="AS51" s="225" t="str">
        <f t="shared" si="172"/>
        <v>3LEDLowDrv_SDI26FM_</v>
      </c>
      <c r="AT51" s="225" t="str">
        <f t="shared" si="173"/>
        <v>SW1_</v>
      </c>
      <c r="AU51" s="225" t="str">
        <f t="shared" si="13"/>
        <v>Aslp_Wup_CC_DUVP_</v>
      </c>
      <c r="AV51" s="225" t="e">
        <f t="shared" si="174"/>
        <v>#VALUE!</v>
      </c>
      <c r="AW51" s="225" t="b">
        <f t="shared" si="175"/>
        <v>1</v>
      </c>
      <c r="AX51" s="225" t="str">
        <f t="shared" si="176"/>
        <v/>
      </c>
      <c r="AY51" s="225" t="str">
        <f t="shared" si="177"/>
        <v/>
      </c>
      <c r="AZ51" s="664" t="str">
        <f t="shared" si="16"/>
        <v>167R_</v>
      </c>
    </row>
    <row r="52" spans="1:52" s="225" customFormat="1" ht="39" customHeight="1">
      <c r="A52" s="668" t="s">
        <v>1345</v>
      </c>
      <c r="B52" s="669"/>
      <c r="C52" s="670"/>
      <c r="D52" s="668" t="s">
        <v>1346</v>
      </c>
      <c r="E52" s="280" t="str">
        <f t="shared" si="161"/>
        <v>10S4P</v>
      </c>
      <c r="F52" s="781" t="s">
        <v>1347</v>
      </c>
      <c r="G52" s="719" t="s">
        <v>116</v>
      </c>
      <c r="H52" s="720">
        <v>3</v>
      </c>
      <c r="I52" s="721"/>
      <c r="J52" s="668"/>
      <c r="K52" s="736" t="s">
        <v>1348</v>
      </c>
      <c r="L52" s="668"/>
      <c r="M52" s="668"/>
      <c r="N52" s="722"/>
      <c r="O52" s="668"/>
      <c r="P52" s="736" t="s">
        <v>116</v>
      </c>
      <c r="Q52" s="721" t="s">
        <v>1348</v>
      </c>
      <c r="R52" s="668"/>
      <c r="S52" s="668"/>
      <c r="T52" s="725"/>
      <c r="U52" s="668"/>
      <c r="V52" s="721" t="s">
        <v>116</v>
      </c>
      <c r="W52" s="736" t="s">
        <v>1348</v>
      </c>
      <c r="X52" s="737"/>
      <c r="Y52" s="737"/>
      <c r="Z52" s="726">
        <v>200</v>
      </c>
      <c r="AA52" s="726"/>
      <c r="AB52" s="726"/>
      <c r="AC52" s="727" t="s">
        <v>1349</v>
      </c>
      <c r="AD52" s="284" t="str">
        <f t="shared" si="162"/>
        <v>Demeter_B_PLUS_36100_10S4P3LED_SDI26H_SW1_Aslp_Wup_CC_DUVP_200R_</v>
      </c>
      <c r="AJ52" s="225">
        <f t="shared" si="163"/>
        <v>3</v>
      </c>
      <c r="AK52" s="225">
        <f t="shared" si="164"/>
        <v>9</v>
      </c>
      <c r="AL52" s="225">
        <f t="shared" si="165"/>
        <v>36</v>
      </c>
      <c r="AM52" s="225">
        <f t="shared" si="166"/>
        <v>10</v>
      </c>
      <c r="AN52" s="225">
        <f t="shared" si="167"/>
        <v>26</v>
      </c>
      <c r="AO52" s="225">
        <f t="shared" si="168"/>
        <v>10</v>
      </c>
      <c r="AP52" s="225">
        <f t="shared" si="169"/>
        <v>4</v>
      </c>
      <c r="AQ52" s="225" t="str">
        <f t="shared" si="170"/>
        <v>ok</v>
      </c>
      <c r="AR52" s="225" t="str">
        <f t="shared" si="171"/>
        <v>10S4P</v>
      </c>
      <c r="AS52" s="225" t="str">
        <f t="shared" si="172"/>
        <v>3LED_SDI26H_</v>
      </c>
      <c r="AT52" s="225" t="str">
        <f t="shared" si="173"/>
        <v>SW1_</v>
      </c>
      <c r="AU52" s="225" t="str">
        <f t="shared" si="13"/>
        <v>Aslp_Wup_CC_DUVP_</v>
      </c>
      <c r="AV52" s="225" t="e">
        <f t="shared" si="174"/>
        <v>#VALUE!</v>
      </c>
      <c r="AW52" s="225" t="b">
        <f t="shared" si="175"/>
        <v>1</v>
      </c>
      <c r="AX52" s="225" t="str">
        <f t="shared" si="176"/>
        <v/>
      </c>
      <c r="AY52" s="225" t="str">
        <f t="shared" si="177"/>
        <v/>
      </c>
      <c r="AZ52" s="664" t="str">
        <f t="shared" si="16"/>
        <v>200R_</v>
      </c>
    </row>
    <row r="53" spans="1:52" s="225" customFormat="1" ht="39" customHeight="1">
      <c r="A53" s="668" t="s">
        <v>1359</v>
      </c>
      <c r="B53" s="678" t="s">
        <v>1361</v>
      </c>
      <c r="C53" s="670"/>
      <c r="D53" s="668" t="s">
        <v>1344</v>
      </c>
      <c r="E53" s="280" t="str">
        <f t="shared" ref="E53:E54" si="178">AR53</f>
        <v>10S4P</v>
      </c>
      <c r="F53" s="696" t="s">
        <v>939</v>
      </c>
      <c r="G53" s="719" t="s">
        <v>116</v>
      </c>
      <c r="H53" s="720">
        <v>5</v>
      </c>
      <c r="I53" s="736" t="s">
        <v>116</v>
      </c>
      <c r="J53" s="668"/>
      <c r="K53" s="736" t="s">
        <v>116</v>
      </c>
      <c r="L53" s="668"/>
      <c r="M53" s="668"/>
      <c r="N53" s="722"/>
      <c r="O53" s="668"/>
      <c r="P53" s="736" t="s">
        <v>116</v>
      </c>
      <c r="Q53" s="721" t="s">
        <v>116</v>
      </c>
      <c r="R53" s="668"/>
      <c r="S53" s="668"/>
      <c r="T53" s="725"/>
      <c r="U53" s="668"/>
      <c r="V53" s="721" t="s">
        <v>116</v>
      </c>
      <c r="W53" s="736" t="s">
        <v>116</v>
      </c>
      <c r="X53" s="737"/>
      <c r="Y53" s="737"/>
      <c r="Z53" s="726">
        <v>200</v>
      </c>
      <c r="AA53" s="726"/>
      <c r="AB53" s="726"/>
      <c r="AC53" s="727"/>
      <c r="AD53" s="284" t="str">
        <f t="shared" ref="AD53:AD54" si="179">A53&amp;"_"&amp;E53&amp;AS53&amp;AT53&amp;AU53&amp;AZ53</f>
        <v>Pan_BLT330_36104_DU_10S4P5LEDLowDrv_SDI26FM_SW1_Aslp_Wup_CC_DUVP_200R_</v>
      </c>
      <c r="AJ53" s="225">
        <f t="shared" ref="AJ53:AJ54" si="180">FIND("V",UPPER(TRIM(D53)))</f>
        <v>3</v>
      </c>
      <c r="AK53" s="225">
        <f t="shared" ref="AK53:AK54" si="181">FIND("AH",UPPER(TRIM(D53)))</f>
        <v>9</v>
      </c>
      <c r="AL53" s="225">
        <f t="shared" ref="AL53:AL54" si="182">VALUE(MID(TRIM(D53),1,AJ53-1))</f>
        <v>36</v>
      </c>
      <c r="AM53" s="225">
        <f t="shared" ref="AM53:AM54" si="183">VALUE(MID(TRIM(D53),AJ53+2,(AK53) -(AJ53+2) ))</f>
        <v>10.4</v>
      </c>
      <c r="AN53" s="225">
        <f t="shared" ref="AN53:AN54" si="184">VALUE(MID(TRIM(F53),4,2))</f>
        <v>26</v>
      </c>
      <c r="AO53" s="225">
        <f t="shared" ref="AO53:AO54" si="185">ROUNDDOWN(AL53/3.5,0)</f>
        <v>10</v>
      </c>
      <c r="AP53" s="225">
        <f t="shared" ref="AP53:AP54" si="186">ROUNDUP(AM53*10/AN53,0)</f>
        <v>4</v>
      </c>
      <c r="AQ53" s="225" t="str">
        <f t="shared" ref="AQ53:AQ54" si="187">IF(OR(ISERROR(AO53),ISERROR(AP53)),"error","ok")</f>
        <v>ok</v>
      </c>
      <c r="AR53" s="225" t="str">
        <f t="shared" ref="AR53:AR54" si="188">IF(AQ53="ok", TEXT(AO53,0)&amp;"S"&amp; TEXT(AP53,0)&amp;"P","_")</f>
        <v>10S4P</v>
      </c>
      <c r="AS53" s="225" t="str">
        <f t="shared" ref="AS53:AS54" si="189">IF(ISBLANK(H53),"",H53&amp;$H$2&amp;IF(UPPER(TRIM(I53))="V",$I$2,"")&amp;"_"&amp;F53&amp;"_")</f>
        <v>5LEDLowDrv_SDI26FM_</v>
      </c>
      <c r="AT53" s="225" t="str">
        <f t="shared" ref="AT53:AT54" si="190">IF(UPPER(TRIM(J53))="V",$J$2&amp;"_","")&amp;IF(UPPER(TRIM(K53))="V",$K$2&amp;"_","")&amp;IF(UPPER(TRIM(L53))="V",$L$2&amp;"_","")&amp;IF(UPPER(TRIM(M53))="V",$M$2&amp;"_","")&amp;IF(UPPER(TRIM(N53))="V",$N$2&amp;"_","")&amp;IF(UPPER(TRIM(O53))="V",$O$2&amp;"_","")</f>
        <v>SW1_</v>
      </c>
      <c r="AU53" s="225" t="str">
        <f t="shared" si="13"/>
        <v>Aslp_Wup_CC_DUVP_</v>
      </c>
      <c r="AV53" s="225" t="e">
        <f t="shared" ref="AV53:AV54" si="191">FIND("
",C53)</f>
        <v>#VALUE!</v>
      </c>
      <c r="AW53" s="225" t="b">
        <f t="shared" ref="AW53:AW54" si="192">IF(ISBLANK(C53),TRUE,(TRIM(C53)=""))</f>
        <v>1</v>
      </c>
      <c r="AX53" s="225" t="str">
        <f t="shared" ref="AX53:AX54" si="193">IF(AW53=TRUE,"",IF(NOT(ISERROR(AV53)),TRIM(MID(C53,1,AV53-1))&amp;"_",TRIM(C53)&amp;"_"))</f>
        <v/>
      </c>
      <c r="AY53" s="225" t="str">
        <f t="shared" ref="AY53:AY54" si="194">SUBSTITUTE(AX53,"-","_")</f>
        <v/>
      </c>
      <c r="AZ53" s="664" t="str">
        <f t="shared" si="16"/>
        <v>200R_</v>
      </c>
    </row>
    <row r="54" spans="1:52" s="225" customFormat="1" ht="39" customHeight="1">
      <c r="A54" s="668" t="s">
        <v>1353</v>
      </c>
      <c r="B54" s="678" t="s">
        <v>1362</v>
      </c>
      <c r="C54" s="670"/>
      <c r="D54" s="668" t="s">
        <v>1352</v>
      </c>
      <c r="E54" s="280" t="str">
        <f t="shared" si="178"/>
        <v>10S4P</v>
      </c>
      <c r="F54" s="696" t="s">
        <v>939</v>
      </c>
      <c r="G54" s="719" t="s">
        <v>116</v>
      </c>
      <c r="H54" s="720">
        <v>4</v>
      </c>
      <c r="I54" s="736" t="s">
        <v>116</v>
      </c>
      <c r="J54" s="668"/>
      <c r="K54" s="736" t="s">
        <v>116</v>
      </c>
      <c r="L54" s="668"/>
      <c r="M54" s="668"/>
      <c r="N54" s="722"/>
      <c r="O54" s="668"/>
      <c r="P54" s="736" t="s">
        <v>116</v>
      </c>
      <c r="Q54" s="721" t="s">
        <v>116</v>
      </c>
      <c r="R54" s="668"/>
      <c r="S54" s="668"/>
      <c r="T54" s="725"/>
      <c r="U54" s="668"/>
      <c r="V54" s="721" t="s">
        <v>116</v>
      </c>
      <c r="W54" s="736" t="s">
        <v>116</v>
      </c>
      <c r="X54" s="737"/>
      <c r="Y54" s="737"/>
      <c r="Z54" s="726">
        <v>200</v>
      </c>
      <c r="AA54" s="726"/>
      <c r="AB54" s="726"/>
      <c r="AC54" s="727" t="s">
        <v>1357</v>
      </c>
      <c r="AD54" s="284" t="str">
        <f t="shared" si="179"/>
        <v>Ares_LT1_36100_D_10S4P4LEDLowDrv_SDI26FM_SW1_Aslp_Wup_CC_DUVP_200R_</v>
      </c>
      <c r="AJ54" s="225">
        <f t="shared" si="180"/>
        <v>3</v>
      </c>
      <c r="AK54" s="225">
        <f t="shared" si="181"/>
        <v>9</v>
      </c>
      <c r="AL54" s="225">
        <f t="shared" si="182"/>
        <v>36</v>
      </c>
      <c r="AM54" s="225">
        <f t="shared" si="183"/>
        <v>10</v>
      </c>
      <c r="AN54" s="225">
        <f t="shared" si="184"/>
        <v>26</v>
      </c>
      <c r="AO54" s="225">
        <f t="shared" si="185"/>
        <v>10</v>
      </c>
      <c r="AP54" s="225">
        <f t="shared" si="186"/>
        <v>4</v>
      </c>
      <c r="AQ54" s="225" t="str">
        <f t="shared" si="187"/>
        <v>ok</v>
      </c>
      <c r="AR54" s="225" t="str">
        <f t="shared" si="188"/>
        <v>10S4P</v>
      </c>
      <c r="AS54" s="225" t="str">
        <f t="shared" si="189"/>
        <v>4LEDLowDrv_SDI26FM_</v>
      </c>
      <c r="AT54" s="225" t="str">
        <f t="shared" si="190"/>
        <v>SW1_</v>
      </c>
      <c r="AU54" s="225" t="str">
        <f t="shared" si="13"/>
        <v>Aslp_Wup_CC_DUVP_</v>
      </c>
      <c r="AV54" s="225" t="e">
        <f t="shared" si="191"/>
        <v>#VALUE!</v>
      </c>
      <c r="AW54" s="225" t="b">
        <f t="shared" si="192"/>
        <v>1</v>
      </c>
      <c r="AX54" s="225" t="str">
        <f t="shared" si="193"/>
        <v/>
      </c>
      <c r="AY54" s="225" t="str">
        <f t="shared" si="194"/>
        <v/>
      </c>
      <c r="AZ54" s="664" t="str">
        <f t="shared" si="16"/>
        <v>200R_</v>
      </c>
    </row>
    <row r="55" spans="1:52" s="437" customFormat="1" ht="38.25" customHeight="1">
      <c r="A55" s="702" t="s">
        <v>1369</v>
      </c>
      <c r="B55" s="703" t="s">
        <v>1372</v>
      </c>
      <c r="C55" s="704" t="s">
        <v>1373</v>
      </c>
      <c r="D55" s="702" t="s">
        <v>1374</v>
      </c>
      <c r="E55" s="435" t="str">
        <f t="shared" ref="E55" si="195">AR55</f>
        <v>10S2P</v>
      </c>
      <c r="F55" s="782" t="s">
        <v>1375</v>
      </c>
      <c r="G55" s="783" t="s">
        <v>1376</v>
      </c>
      <c r="H55" s="784" t="s">
        <v>1377</v>
      </c>
      <c r="I55" s="785"/>
      <c r="J55" s="702"/>
      <c r="K55" s="785" t="s">
        <v>1376</v>
      </c>
      <c r="L55" s="702"/>
      <c r="M55" s="702"/>
      <c r="N55" s="786"/>
      <c r="O55" s="702"/>
      <c r="P55" s="785" t="s">
        <v>1376</v>
      </c>
      <c r="Q55" s="787" t="s">
        <v>1376</v>
      </c>
      <c r="R55" s="702"/>
      <c r="S55" s="702"/>
      <c r="T55" s="788"/>
      <c r="U55" s="702"/>
      <c r="V55" s="787" t="s">
        <v>1376</v>
      </c>
      <c r="W55" s="785" t="s">
        <v>1376</v>
      </c>
      <c r="X55" s="789"/>
      <c r="Y55" s="789"/>
      <c r="Z55" s="790">
        <v>200</v>
      </c>
      <c r="AA55" s="790"/>
      <c r="AB55" s="790"/>
      <c r="AC55" s="791" t="s">
        <v>1378</v>
      </c>
      <c r="AD55" s="436" t="str">
        <f t="shared" ref="AD55" si="196">A55&amp;"_"&amp;E55&amp;AS55&amp;AT55&amp;AU55&amp;AZ55</f>
        <v>Pan_YD310_36050_D_10S2PN3LED_SDI26FM_SW1_Aslp_Wup_CC_DUVP_200R_</v>
      </c>
      <c r="AJ55" s="437">
        <f t="shared" ref="AJ55" si="197">FIND("V",UPPER(TRIM(D55)))</f>
        <v>3</v>
      </c>
      <c r="AK55" s="437">
        <f t="shared" ref="AK55" si="198">FIND("AH",UPPER(TRIM(D55)))</f>
        <v>8</v>
      </c>
      <c r="AL55" s="437">
        <f t="shared" ref="AL55" si="199">VALUE(MID(TRIM(D55),1,AJ55-1))</f>
        <v>36</v>
      </c>
      <c r="AM55" s="437">
        <f t="shared" ref="AM55" si="200">VALUE(MID(TRIM(D55),AJ55+2,(AK55) -(AJ55+2) ))</f>
        <v>5</v>
      </c>
      <c r="AN55" s="437">
        <f t="shared" ref="AN55" si="201">VALUE(MID(TRIM(F55),4,2))</f>
        <v>26</v>
      </c>
      <c r="AO55" s="437">
        <f t="shared" ref="AO55" si="202">ROUNDDOWN(AL55/3.5,0)</f>
        <v>10</v>
      </c>
      <c r="AP55" s="437">
        <f t="shared" ref="AP55" si="203">ROUNDUP(AM55*10/AN55,0)</f>
        <v>2</v>
      </c>
      <c r="AQ55" s="437" t="str">
        <f t="shared" ref="AQ55" si="204">IF(OR(ISERROR(AO55),ISERROR(AP55)),"error","ok")</f>
        <v>ok</v>
      </c>
      <c r="AR55" s="437" t="str">
        <f t="shared" ref="AR55" si="205">IF(AQ55="ok", TEXT(AO55,0)&amp;"S"&amp; TEXT(AP55,0)&amp;"P","_")</f>
        <v>10S2P</v>
      </c>
      <c r="AS55" s="437" t="str">
        <f t="shared" ref="AS55" si="206">IF(ISBLANK(H55),"",H55&amp;$H$2&amp;IF(UPPER(TRIM(I55))="V",$I$2,"")&amp;"_"&amp;F55&amp;"_")</f>
        <v>N3LED_SDI26FM_</v>
      </c>
      <c r="AT55" s="437" t="str">
        <f t="shared" ref="AT55" si="207">IF(UPPER(TRIM(J55))="V",$J$2&amp;"_","")&amp;IF(UPPER(TRIM(K55))="V",$K$2&amp;"_","")&amp;IF(UPPER(TRIM(L55))="V",$L$2&amp;"_","")&amp;IF(UPPER(TRIM(M55))="V",$M$2&amp;"_","")&amp;IF(UPPER(TRIM(N55))="V",$N$2&amp;"_","")&amp;IF(UPPER(TRIM(O55))="V",$O$2&amp;"_","")</f>
        <v>SW1_</v>
      </c>
      <c r="AU55" s="225" t="str">
        <f t="shared" si="13"/>
        <v>Aslp_Wup_CC_DUVP_</v>
      </c>
      <c r="AV55" s="437" t="e">
        <f t="shared" ref="AV55" si="208">FIND("
",C55)</f>
        <v>#VALUE!</v>
      </c>
      <c r="AW55" s="437" t="b">
        <f t="shared" ref="AW55" si="209">IF(ISBLANK(C55),TRUE,(TRIM(C55)=""))</f>
        <v>0</v>
      </c>
      <c r="AX55" s="437" t="str">
        <f t="shared" ref="AX55" si="210">IF(AW55=TRUE,"",IF(NOT(ISERROR(AV55)),TRIM(MID(C55,1,AV55-1))&amp;"_",TRIM(C55)&amp;"_"))</f>
        <v>改成 Pan_BYD310_36052_D_</v>
      </c>
      <c r="AY55" s="437" t="str">
        <f t="shared" ref="AY55" si="211">SUBSTITUTE(AX55,"-","_")</f>
        <v>改成 Pan_BYD310_36052_D_</v>
      </c>
      <c r="AZ55" s="664" t="str">
        <f t="shared" si="16"/>
        <v>200R_</v>
      </c>
    </row>
    <row r="56" spans="1:52" s="225" customFormat="1" ht="39" customHeight="1">
      <c r="A56" s="668" t="s">
        <v>1354</v>
      </c>
      <c r="B56" s="678" t="s">
        <v>1355</v>
      </c>
      <c r="C56" s="670"/>
      <c r="D56" s="668" t="s">
        <v>1356</v>
      </c>
      <c r="E56" s="280" t="str">
        <f t="shared" ref="E56:E57" si="212">AR56</f>
        <v>10S4P</v>
      </c>
      <c r="F56" s="696" t="s">
        <v>939</v>
      </c>
      <c r="G56" s="719" t="s">
        <v>116</v>
      </c>
      <c r="H56" s="720">
        <v>4</v>
      </c>
      <c r="I56" s="736" t="s">
        <v>116</v>
      </c>
      <c r="J56" s="668"/>
      <c r="K56" s="736" t="s">
        <v>116</v>
      </c>
      <c r="L56" s="668"/>
      <c r="M56" s="668"/>
      <c r="N56" s="722"/>
      <c r="O56" s="668"/>
      <c r="P56" s="736" t="s">
        <v>116</v>
      </c>
      <c r="Q56" s="721" t="s">
        <v>116</v>
      </c>
      <c r="R56" s="668"/>
      <c r="S56" s="668"/>
      <c r="T56" s="725"/>
      <c r="U56" s="668"/>
      <c r="V56" s="721" t="s">
        <v>116</v>
      </c>
      <c r="W56" s="736" t="s">
        <v>116</v>
      </c>
      <c r="X56" s="737"/>
      <c r="Y56" s="737"/>
      <c r="Z56" s="726">
        <v>200</v>
      </c>
      <c r="AA56" s="726"/>
      <c r="AB56" s="726"/>
      <c r="AC56" s="727" t="s">
        <v>1358</v>
      </c>
      <c r="AD56" s="284" t="str">
        <f t="shared" ref="AD56:AD57" si="213">A56&amp;"_"&amp;E56&amp;AS56&amp;AT56&amp;AU56&amp;AZ56</f>
        <v>Ares115_36100_D_10S4P4LEDLowDrv_SDI26FM_SW1_Aslp_Wup_CC_DUVP_200R_</v>
      </c>
      <c r="AJ56" s="225">
        <f t="shared" ref="AJ56:AJ57" si="214">FIND("V",UPPER(TRIM(D56)))</f>
        <v>3</v>
      </c>
      <c r="AK56" s="225">
        <f t="shared" ref="AK56:AK57" si="215">FIND("AH",UPPER(TRIM(D56)))</f>
        <v>9</v>
      </c>
      <c r="AL56" s="225">
        <f t="shared" ref="AL56:AL57" si="216">VALUE(MID(TRIM(D56),1,AJ56-1))</f>
        <v>36</v>
      </c>
      <c r="AM56" s="225">
        <f t="shared" ref="AM56:AM57" si="217">VALUE(MID(TRIM(D56),AJ56+2,(AK56) -(AJ56+2) ))</f>
        <v>10</v>
      </c>
      <c r="AN56" s="225">
        <f t="shared" ref="AN56:AN57" si="218">VALUE(MID(TRIM(F56),4,2))</f>
        <v>26</v>
      </c>
      <c r="AO56" s="225">
        <f t="shared" ref="AO56:AO57" si="219">ROUNDDOWN(AL56/3.5,0)</f>
        <v>10</v>
      </c>
      <c r="AP56" s="225">
        <f t="shared" ref="AP56:AP57" si="220">ROUNDUP(AM56*10/AN56,0)</f>
        <v>4</v>
      </c>
      <c r="AQ56" s="225" t="str">
        <f t="shared" ref="AQ56:AQ57" si="221">IF(OR(ISERROR(AO56),ISERROR(AP56)),"error","ok")</f>
        <v>ok</v>
      </c>
      <c r="AR56" s="225" t="str">
        <f t="shared" ref="AR56:AR57" si="222">IF(AQ56="ok", TEXT(AO56,0)&amp;"S"&amp; TEXT(AP56,0)&amp;"P","_")</f>
        <v>10S4P</v>
      </c>
      <c r="AS56" s="225" t="str">
        <f t="shared" ref="AS56:AS57" si="223">IF(ISBLANK(H56),"",H56&amp;$H$2&amp;IF(UPPER(TRIM(I56))="V",$I$2,"")&amp;"_"&amp;F56&amp;"_")</f>
        <v>4LEDLowDrv_SDI26FM_</v>
      </c>
      <c r="AT56" s="225" t="str">
        <f t="shared" ref="AT56:AT57" si="224">IF(UPPER(TRIM(J56))="V",$J$2&amp;"_","")&amp;IF(UPPER(TRIM(K56))="V",$K$2&amp;"_","")&amp;IF(UPPER(TRIM(L56))="V",$L$2&amp;"_","")&amp;IF(UPPER(TRIM(M56))="V",$M$2&amp;"_","")&amp;IF(UPPER(TRIM(N56))="V",$N$2&amp;"_","")&amp;IF(UPPER(TRIM(O56))="V",$O$2&amp;"_","")</f>
        <v>SW1_</v>
      </c>
      <c r="AU56" s="225" t="str">
        <f t="shared" si="13"/>
        <v>Aslp_Wup_CC_DUVP_</v>
      </c>
      <c r="AV56" s="225" t="e">
        <f t="shared" ref="AV56:AV57" si="225">FIND("
",C56)</f>
        <v>#VALUE!</v>
      </c>
      <c r="AW56" s="225" t="b">
        <f t="shared" ref="AW56:AW57" si="226">IF(ISBLANK(C56),TRUE,(TRIM(C56)=""))</f>
        <v>1</v>
      </c>
      <c r="AX56" s="225" t="str">
        <f t="shared" ref="AX56:AX57" si="227">IF(AW56=TRUE,"",IF(NOT(ISERROR(AV56)),TRIM(MID(C56,1,AV56-1))&amp;"_",TRIM(C56)&amp;"_"))</f>
        <v/>
      </c>
      <c r="AY56" s="225" t="str">
        <f t="shared" ref="AY56:AY57" si="228">SUBSTITUTE(AX56,"-","_")</f>
        <v/>
      </c>
      <c r="AZ56" s="664" t="str">
        <f t="shared" si="16"/>
        <v>200R_</v>
      </c>
    </row>
    <row r="57" spans="1:52" s="225" customFormat="1" ht="39" customHeight="1">
      <c r="A57" s="668" t="s">
        <v>1360</v>
      </c>
      <c r="B57" s="678" t="s">
        <v>1383</v>
      </c>
      <c r="C57" s="670"/>
      <c r="D57" s="668" t="s">
        <v>1344</v>
      </c>
      <c r="E57" s="280" t="str">
        <f t="shared" si="212"/>
        <v>10S4P</v>
      </c>
      <c r="F57" s="696" t="s">
        <v>939</v>
      </c>
      <c r="G57" s="719" t="s">
        <v>116</v>
      </c>
      <c r="H57" s="720">
        <v>5</v>
      </c>
      <c r="I57" s="736" t="s">
        <v>116</v>
      </c>
      <c r="J57" s="668"/>
      <c r="K57" s="736" t="s">
        <v>116</v>
      </c>
      <c r="L57" s="668"/>
      <c r="M57" s="668"/>
      <c r="N57" s="722"/>
      <c r="O57" s="668"/>
      <c r="P57" s="736" t="s">
        <v>116</v>
      </c>
      <c r="Q57" s="721" t="s">
        <v>116</v>
      </c>
      <c r="R57" s="668"/>
      <c r="S57" s="668"/>
      <c r="T57" s="725"/>
      <c r="U57" s="668"/>
      <c r="V57" s="721" t="s">
        <v>116</v>
      </c>
      <c r="W57" s="736" t="s">
        <v>116</v>
      </c>
      <c r="X57" s="737"/>
      <c r="Y57" s="737"/>
      <c r="Z57" s="726">
        <v>200</v>
      </c>
      <c r="AA57" s="726"/>
      <c r="AB57" s="726"/>
      <c r="AC57" s="727" t="s">
        <v>1594</v>
      </c>
      <c r="AD57" s="284" t="str">
        <f t="shared" si="213"/>
        <v>Pan_BLT330_36104_D_10S4P5LEDLowDrv_SDI26FM_SW1_Aslp_Wup_CC_DUVP_200R_</v>
      </c>
      <c r="AJ57" s="225">
        <f t="shared" si="214"/>
        <v>3</v>
      </c>
      <c r="AK57" s="225">
        <f t="shared" si="215"/>
        <v>9</v>
      </c>
      <c r="AL57" s="225">
        <f t="shared" si="216"/>
        <v>36</v>
      </c>
      <c r="AM57" s="225">
        <f t="shared" si="217"/>
        <v>10.4</v>
      </c>
      <c r="AN57" s="225">
        <f t="shared" si="218"/>
        <v>26</v>
      </c>
      <c r="AO57" s="225">
        <f t="shared" si="219"/>
        <v>10</v>
      </c>
      <c r="AP57" s="225">
        <f t="shared" si="220"/>
        <v>4</v>
      </c>
      <c r="AQ57" s="225" t="str">
        <f t="shared" si="221"/>
        <v>ok</v>
      </c>
      <c r="AR57" s="225" t="str">
        <f t="shared" si="222"/>
        <v>10S4P</v>
      </c>
      <c r="AS57" s="225" t="str">
        <f t="shared" si="223"/>
        <v>5LEDLowDrv_SDI26FM_</v>
      </c>
      <c r="AT57" s="225" t="str">
        <f t="shared" si="224"/>
        <v>SW1_</v>
      </c>
      <c r="AU57" s="225" t="str">
        <f t="shared" si="13"/>
        <v>Aslp_Wup_CC_DUVP_</v>
      </c>
      <c r="AV57" s="225" t="e">
        <f t="shared" si="225"/>
        <v>#VALUE!</v>
      </c>
      <c r="AW57" s="225" t="b">
        <f t="shared" si="226"/>
        <v>1</v>
      </c>
      <c r="AX57" s="225" t="str">
        <f t="shared" si="227"/>
        <v/>
      </c>
      <c r="AY57" s="225" t="str">
        <f t="shared" si="228"/>
        <v/>
      </c>
      <c r="AZ57" s="664" t="str">
        <f t="shared" si="16"/>
        <v>200R_</v>
      </c>
    </row>
    <row r="58" spans="1:52" s="225" customFormat="1" ht="39" customHeight="1">
      <c r="A58" s="705" t="s">
        <v>695</v>
      </c>
      <c r="B58" s="706" t="s">
        <v>1364</v>
      </c>
      <c r="C58" s="707"/>
      <c r="D58" s="705" t="s">
        <v>738</v>
      </c>
      <c r="E58" s="280" t="str">
        <f t="shared" ref="E58" si="229">AR58</f>
        <v>10S4P</v>
      </c>
      <c r="F58" s="718" t="s">
        <v>715</v>
      </c>
      <c r="G58" s="719" t="s">
        <v>116</v>
      </c>
      <c r="H58" s="705">
        <v>5</v>
      </c>
      <c r="I58" s="792"/>
      <c r="J58" s="705"/>
      <c r="K58" s="792" t="s">
        <v>116</v>
      </c>
      <c r="L58" s="705"/>
      <c r="M58" s="705"/>
      <c r="N58" s="793"/>
      <c r="O58" s="705"/>
      <c r="P58" s="792" t="s">
        <v>116</v>
      </c>
      <c r="Q58" s="794" t="s">
        <v>116</v>
      </c>
      <c r="R58" s="705"/>
      <c r="S58" s="705"/>
      <c r="T58" s="795"/>
      <c r="U58" s="705"/>
      <c r="V58" s="794" t="s">
        <v>116</v>
      </c>
      <c r="W58" s="792" t="s">
        <v>116</v>
      </c>
      <c r="X58" s="705"/>
      <c r="Y58" s="705"/>
      <c r="Z58" s="726">
        <v>200</v>
      </c>
      <c r="AA58" s="726"/>
      <c r="AB58" s="726"/>
      <c r="AC58" s="768" t="s">
        <v>1366</v>
      </c>
      <c r="AD58" s="284" t="str">
        <f t="shared" ref="AD58" si="230">A58&amp;"_"&amp;E58&amp;AS58&amp;AT58&amp;AU58&amp;AZ58</f>
        <v>Aurola_36100_N_10S4P5LED_SDI26H_SW1_Aslp_Wup_CC_DUVP_200R_</v>
      </c>
      <c r="AJ58" s="225">
        <f t="shared" ref="AJ58" si="231">FIND("V",UPPER(TRIM(D58)))</f>
        <v>3</v>
      </c>
      <c r="AK58" s="225">
        <f t="shared" ref="AK58" si="232">FIND("AH",UPPER(TRIM(D58)))</f>
        <v>9</v>
      </c>
      <c r="AL58" s="225">
        <f t="shared" ref="AL58" si="233">VALUE(MID(TRIM(D58),1,AJ58-1))</f>
        <v>36</v>
      </c>
      <c r="AM58" s="225">
        <f t="shared" ref="AM58" si="234">VALUE(MID(TRIM(D58),AJ58+2,(AK58) -(AJ58+2) ))</f>
        <v>10</v>
      </c>
      <c r="AN58" s="225">
        <f t="shared" ref="AN58" si="235">VALUE(MID(TRIM(F58),4,2))</f>
        <v>26</v>
      </c>
      <c r="AO58" s="225">
        <f t="shared" ref="AO58" si="236">ROUNDDOWN(AL58/3.5,0)</f>
        <v>10</v>
      </c>
      <c r="AP58" s="225">
        <f t="shared" ref="AP58" si="237">ROUNDUP(AM58*10/AN58,0)</f>
        <v>4</v>
      </c>
      <c r="AQ58" s="225" t="str">
        <f t="shared" ref="AQ58" si="238">IF(OR(ISERROR(AO58),ISERROR(AP58)),"error","ok")</f>
        <v>ok</v>
      </c>
      <c r="AR58" s="225" t="str">
        <f t="shared" ref="AR58" si="239">IF(AQ58="ok", TEXT(AO58,0)&amp;"S"&amp; TEXT(AP58,0)&amp;"P","_")</f>
        <v>10S4P</v>
      </c>
      <c r="AS58" s="225" t="str">
        <f t="shared" ref="AS58" si="240">IF(ISBLANK(H58),"",H58&amp;$H$2&amp;IF(UPPER(TRIM(I58))="V",$I$2,"")&amp;"_"&amp;F58&amp;"_")</f>
        <v>5LED_SDI26H_</v>
      </c>
      <c r="AT58" s="225" t="str">
        <f t="shared" ref="AT58" si="241">IF(UPPER(TRIM(J58))="V",$J$2&amp;"_","")&amp;IF(UPPER(TRIM(K58))="V",$K$2&amp;"_","")&amp;IF(UPPER(TRIM(L58))="V",$L$2&amp;"_","")&amp;IF(UPPER(TRIM(M58))="V",$M$2&amp;"_","")&amp;IF(UPPER(TRIM(N58))="V",$N$2&amp;"_","")&amp;IF(UPPER(TRIM(O58))="V",$O$2&amp;"_","")</f>
        <v>SW1_</v>
      </c>
      <c r="AU58" s="225" t="str">
        <f t="shared" si="13"/>
        <v>Aslp_Wup_CC_DUVP_</v>
      </c>
      <c r="AV58" s="225" t="e">
        <f t="shared" ref="AV58" si="242">FIND("
",C58)</f>
        <v>#VALUE!</v>
      </c>
      <c r="AW58" s="225" t="b">
        <f t="shared" ref="AW58" si="243">IF(ISBLANK(C58),TRUE,(TRIM(C58)=""))</f>
        <v>1</v>
      </c>
      <c r="AX58" s="225" t="str">
        <f t="shared" ref="AX58" si="244">IF(AW58=TRUE,"",IF(NOT(ISERROR(AV58)),TRIM(MID(C58,1,AV58-1))&amp;"_",TRIM(C58)&amp;"_"))</f>
        <v/>
      </c>
      <c r="AY58" s="225" t="str">
        <f t="shared" ref="AY58" si="245">SUBSTITUTE(AX58,"-","_")</f>
        <v/>
      </c>
      <c r="AZ58" s="664" t="str">
        <f t="shared" si="16"/>
        <v>200R_</v>
      </c>
    </row>
    <row r="59" spans="1:52" s="225" customFormat="1" ht="39" customHeight="1">
      <c r="A59" s="668" t="s">
        <v>1370</v>
      </c>
      <c r="B59" s="678" t="s">
        <v>1367</v>
      </c>
      <c r="C59" s="670"/>
      <c r="D59" s="668" t="s">
        <v>1368</v>
      </c>
      <c r="E59" s="280" t="str">
        <f t="shared" ref="E59" si="246">AR59</f>
        <v>10S2P</v>
      </c>
      <c r="F59" s="696" t="s">
        <v>939</v>
      </c>
      <c r="G59" s="719" t="s">
        <v>116</v>
      </c>
      <c r="H59" s="765" t="s">
        <v>1012</v>
      </c>
      <c r="I59" s="736"/>
      <c r="J59" s="668"/>
      <c r="K59" s="780" t="s">
        <v>116</v>
      </c>
      <c r="L59" s="668"/>
      <c r="M59" s="668"/>
      <c r="N59" s="722"/>
      <c r="O59" s="668"/>
      <c r="P59" s="736" t="s">
        <v>116</v>
      </c>
      <c r="Q59" s="721" t="s">
        <v>116</v>
      </c>
      <c r="R59" s="668"/>
      <c r="S59" s="668"/>
      <c r="T59" s="725"/>
      <c r="U59" s="668"/>
      <c r="V59" s="721" t="s">
        <v>116</v>
      </c>
      <c r="W59" s="736" t="s">
        <v>116</v>
      </c>
      <c r="X59" s="737"/>
      <c r="Y59" s="737"/>
      <c r="Z59" s="726">
        <v>200</v>
      </c>
      <c r="AA59" s="726"/>
      <c r="AB59" s="726"/>
      <c r="AC59" s="768" t="s">
        <v>1419</v>
      </c>
      <c r="AD59" s="284" t="str">
        <f t="shared" ref="AD59" si="247">A59&amp;"_"&amp;E59&amp;AS59&amp;AT59&amp;AU59&amp;AZ59</f>
        <v>Pan_BTL305_36052_D_10S2PN3LED_SDI26FM_SW1_Aslp_Wup_CC_DUVP_200R_</v>
      </c>
      <c r="AJ59" s="225">
        <f t="shared" ref="AJ59" si="248">FIND("V",UPPER(TRIM(D59)))</f>
        <v>3</v>
      </c>
      <c r="AK59" s="225">
        <f t="shared" ref="AK59" si="249">FIND("AH",UPPER(TRIM(D59)))</f>
        <v>8</v>
      </c>
      <c r="AL59" s="225">
        <f t="shared" ref="AL59" si="250">VALUE(MID(TRIM(D59),1,AJ59-1))</f>
        <v>36</v>
      </c>
      <c r="AM59" s="225">
        <f t="shared" ref="AM59" si="251">VALUE(MID(TRIM(D59),AJ59+2,(AK59) -(AJ59+2) ))</f>
        <v>5.2</v>
      </c>
      <c r="AN59" s="225">
        <f t="shared" ref="AN59" si="252">VALUE(MID(TRIM(F59),4,2))</f>
        <v>26</v>
      </c>
      <c r="AO59" s="225">
        <f t="shared" ref="AO59" si="253">ROUNDDOWN(AL59/3.5,0)</f>
        <v>10</v>
      </c>
      <c r="AP59" s="225">
        <f t="shared" ref="AP59" si="254">ROUNDUP(AM59*10/AN59,0)</f>
        <v>2</v>
      </c>
      <c r="AQ59" s="225" t="str">
        <f t="shared" ref="AQ59" si="255">IF(OR(ISERROR(AO59),ISERROR(AP59)),"error","ok")</f>
        <v>ok</v>
      </c>
      <c r="AR59" s="225" t="str">
        <f t="shared" ref="AR59" si="256">IF(AQ59="ok", TEXT(AO59,0)&amp;"S"&amp; TEXT(AP59,0)&amp;"P","_")</f>
        <v>10S2P</v>
      </c>
      <c r="AS59" s="225" t="str">
        <f t="shared" ref="AS59" si="257">IF(ISBLANK(H59),"",H59&amp;$H$2&amp;IF(UPPER(TRIM(I59))="V",$I$2,"")&amp;"_"&amp;F59&amp;"_")</f>
        <v>N3LED_SDI26FM_</v>
      </c>
      <c r="AT59" s="225" t="str">
        <f t="shared" ref="AT59" si="258">IF(UPPER(TRIM(J59))="V",$J$2&amp;"_","")&amp;IF(UPPER(TRIM(K59))="V",$K$2&amp;"_","")&amp;IF(UPPER(TRIM(L59))="V",$L$2&amp;"_","")&amp;IF(UPPER(TRIM(M59))="V",$M$2&amp;"_","")&amp;IF(UPPER(TRIM(N59))="V",$N$2&amp;"_","")&amp;IF(UPPER(TRIM(O59))="V",$O$2&amp;"_","")</f>
        <v>SW1_</v>
      </c>
      <c r="AU59" s="225" t="str">
        <f t="shared" si="13"/>
        <v>Aslp_Wup_CC_DUVP_</v>
      </c>
      <c r="AV59" s="225" t="e">
        <f t="shared" ref="AV59" si="259">FIND("
",C59)</f>
        <v>#VALUE!</v>
      </c>
      <c r="AW59" s="225" t="b">
        <f t="shared" ref="AW59" si="260">IF(ISBLANK(C59),TRUE,(TRIM(C59)=""))</f>
        <v>1</v>
      </c>
      <c r="AX59" s="225" t="str">
        <f t="shared" ref="AX59" si="261">IF(AW59=TRUE,"",IF(NOT(ISERROR(AV59)),TRIM(MID(C59,1,AV59-1))&amp;"_",TRIM(C59)&amp;"_"))</f>
        <v/>
      </c>
      <c r="AY59" s="225" t="str">
        <f t="shared" ref="AY59" si="262">SUBSTITUTE(AX59,"-","_")</f>
        <v/>
      </c>
      <c r="AZ59" s="664" t="str">
        <f t="shared" si="16"/>
        <v>200R_</v>
      </c>
    </row>
    <row r="60" spans="1:52" s="225" customFormat="1" ht="38.25" customHeight="1">
      <c r="A60" s="668" t="s">
        <v>1371</v>
      </c>
      <c r="B60" s="678" t="s">
        <v>1407</v>
      </c>
      <c r="C60" s="670"/>
      <c r="D60" s="668" t="s">
        <v>1368</v>
      </c>
      <c r="E60" s="280" t="str">
        <f t="shared" ref="E60" si="263">AR60</f>
        <v>10S2P</v>
      </c>
      <c r="F60" s="696" t="s">
        <v>939</v>
      </c>
      <c r="G60" s="719" t="s">
        <v>116</v>
      </c>
      <c r="H60" s="765" t="s">
        <v>1012</v>
      </c>
      <c r="I60" s="736"/>
      <c r="J60" s="668"/>
      <c r="K60" s="780" t="s">
        <v>116</v>
      </c>
      <c r="L60" s="668"/>
      <c r="M60" s="668"/>
      <c r="N60" s="722"/>
      <c r="O60" s="668"/>
      <c r="P60" s="736" t="s">
        <v>116</v>
      </c>
      <c r="Q60" s="721" t="s">
        <v>116</v>
      </c>
      <c r="R60" s="668"/>
      <c r="S60" s="668"/>
      <c r="T60" s="725"/>
      <c r="U60" s="668"/>
      <c r="V60" s="721" t="s">
        <v>116</v>
      </c>
      <c r="W60" s="736" t="s">
        <v>116</v>
      </c>
      <c r="X60" s="737"/>
      <c r="Y60" s="736"/>
      <c r="Z60" s="726">
        <v>200</v>
      </c>
      <c r="AA60" s="726"/>
      <c r="AB60" s="726"/>
      <c r="AC60" s="768" t="s">
        <v>1013</v>
      </c>
      <c r="AD60" s="284" t="str">
        <f t="shared" ref="AD60" si="264">A60&amp;"_"&amp;E60&amp;AS60&amp;AT60&amp;AU60&amp;AZ60</f>
        <v>Pan_BYD310_36052_D_10S2PN3LED_SDI26FM_SW1_Aslp_Wup_CC_DUVP_200R_</v>
      </c>
      <c r="AJ60" s="225">
        <f t="shared" ref="AJ60" si="265">FIND("V",UPPER(TRIM(D60)))</f>
        <v>3</v>
      </c>
      <c r="AK60" s="225">
        <f t="shared" ref="AK60" si="266">FIND("AH",UPPER(TRIM(D60)))</f>
        <v>8</v>
      </c>
      <c r="AL60" s="225">
        <f t="shared" ref="AL60" si="267">VALUE(MID(TRIM(D60),1,AJ60-1))</f>
        <v>36</v>
      </c>
      <c r="AM60" s="225">
        <f t="shared" ref="AM60" si="268">VALUE(MID(TRIM(D60),AJ60+2,(AK60) -(AJ60+2) ))</f>
        <v>5.2</v>
      </c>
      <c r="AN60" s="225">
        <f t="shared" ref="AN60" si="269">VALUE(MID(TRIM(F60),4,2))</f>
        <v>26</v>
      </c>
      <c r="AO60" s="225">
        <f t="shared" ref="AO60" si="270">ROUNDDOWN(AL60/3.5,0)</f>
        <v>10</v>
      </c>
      <c r="AP60" s="225">
        <f t="shared" ref="AP60" si="271">ROUNDUP(AM60*10/AN60,0)</f>
        <v>2</v>
      </c>
      <c r="AQ60" s="225" t="str">
        <f t="shared" ref="AQ60" si="272">IF(OR(ISERROR(AO60),ISERROR(AP60)),"error","ok")</f>
        <v>ok</v>
      </c>
      <c r="AR60" s="225" t="str">
        <f t="shared" ref="AR60" si="273">IF(AQ60="ok", TEXT(AO60,0)&amp;"S"&amp; TEXT(AP60,0)&amp;"P","_")</f>
        <v>10S2P</v>
      </c>
      <c r="AS60" s="225" t="str">
        <f t="shared" ref="AS60" si="274">IF(ISBLANK(H60),"",H60&amp;$H$2&amp;IF(UPPER(TRIM(I60))="V",$I$2,"")&amp;"_"&amp;F60&amp;"_")</f>
        <v>N3LED_SDI26FM_</v>
      </c>
      <c r="AT60" s="225" t="str">
        <f t="shared" ref="AT60" si="275">IF(UPPER(TRIM(J60))="V",$J$2&amp;"_","")&amp;IF(UPPER(TRIM(K60))="V",$K$2&amp;"_","")&amp;IF(UPPER(TRIM(L60))="V",$L$2&amp;"_","")&amp;IF(UPPER(TRIM(M60))="V",$M$2&amp;"_","")&amp;IF(UPPER(TRIM(N60))="V",$N$2&amp;"_","")&amp;IF(UPPER(TRIM(O60))="V",$O$2&amp;"_","")</f>
        <v>SW1_</v>
      </c>
      <c r="AU60" s="225" t="str">
        <f t="shared" si="13"/>
        <v>Aslp_Wup_CC_DUVP_</v>
      </c>
      <c r="AV60" s="225" t="e">
        <f t="shared" ref="AV60" si="276">FIND("
",C60)</f>
        <v>#VALUE!</v>
      </c>
      <c r="AW60" s="225" t="b">
        <f t="shared" ref="AW60" si="277">IF(ISBLANK(C60),TRUE,(TRIM(C60)=""))</f>
        <v>1</v>
      </c>
      <c r="AX60" s="225" t="str">
        <f t="shared" ref="AX60" si="278">IF(AW60=TRUE,"",IF(NOT(ISERROR(AV60)),TRIM(MID(C60,1,AV60-1))&amp;"_",TRIM(C60)&amp;"_"))</f>
        <v/>
      </c>
      <c r="AY60" s="225" t="str">
        <f t="shared" ref="AY60" si="279">SUBSTITUTE(AX60,"-","_")</f>
        <v/>
      </c>
      <c r="AZ60" s="664" t="str">
        <f t="shared" si="16"/>
        <v>200R_</v>
      </c>
    </row>
    <row r="61" spans="1:52" s="225" customFormat="1" ht="39" customHeight="1">
      <c r="A61" s="708" t="s">
        <v>1382</v>
      </c>
      <c r="B61" s="678" t="s">
        <v>1384</v>
      </c>
      <c r="C61" s="679"/>
      <c r="D61" s="668" t="s">
        <v>1385</v>
      </c>
      <c r="E61" s="280" t="str">
        <f t="shared" ref="E61" si="280">AR61</f>
        <v>8S3P</v>
      </c>
      <c r="F61" s="696" t="s">
        <v>939</v>
      </c>
      <c r="G61" s="719" t="s">
        <v>116</v>
      </c>
      <c r="H61" s="765" t="s">
        <v>1012</v>
      </c>
      <c r="I61" s="721"/>
      <c r="J61" s="668"/>
      <c r="K61" s="780" t="s">
        <v>116</v>
      </c>
      <c r="L61" s="668"/>
      <c r="M61" s="668"/>
      <c r="N61" s="722"/>
      <c r="O61" s="668"/>
      <c r="P61" s="736" t="s">
        <v>116</v>
      </c>
      <c r="Q61" s="721" t="s">
        <v>116</v>
      </c>
      <c r="R61" s="668"/>
      <c r="S61" s="668"/>
      <c r="T61" s="725"/>
      <c r="U61" s="668"/>
      <c r="V61" s="721" t="s">
        <v>116</v>
      </c>
      <c r="W61" s="736" t="s">
        <v>116</v>
      </c>
      <c r="X61" s="736" t="s">
        <v>116</v>
      </c>
      <c r="Y61" s="736"/>
      <c r="Z61" s="726">
        <v>200</v>
      </c>
      <c r="AA61" s="726"/>
      <c r="AB61" s="726"/>
      <c r="AC61" s="768" t="s">
        <v>1412</v>
      </c>
      <c r="AD61" s="284" t="str">
        <f t="shared" ref="AD61" si="281">A61&amp;"_"&amp;E61&amp;AS61&amp;AT61&amp;AU61&amp;AZ61</f>
        <v>Pan_LT470_29078_8S3PN3LED_SDI26FM_SW1_Aslp_Wup_CC_DUVP_DL_200R_</v>
      </c>
      <c r="AJ61" s="225">
        <f t="shared" ref="AJ61" si="282">FIND("V",UPPER(TRIM(D61)))</f>
        <v>3</v>
      </c>
      <c r="AK61" s="225">
        <f t="shared" ref="AK61" si="283">FIND("AH",UPPER(TRIM(D61)))</f>
        <v>8</v>
      </c>
      <c r="AL61" s="225">
        <f t="shared" ref="AL61" si="284">VALUE(MID(TRIM(D61),1,AJ61-1))</f>
        <v>29</v>
      </c>
      <c r="AM61" s="225">
        <f t="shared" ref="AM61" si="285">VALUE(MID(TRIM(D61),AJ61+2,(AK61) -(AJ61+2) ))</f>
        <v>7.8</v>
      </c>
      <c r="AN61" s="225">
        <f t="shared" ref="AN61" si="286">VALUE(MID(TRIM(F61),4,2))</f>
        <v>26</v>
      </c>
      <c r="AO61" s="225">
        <f t="shared" ref="AO61" si="287">ROUNDDOWN(AL61/3.5,0)</f>
        <v>8</v>
      </c>
      <c r="AP61" s="225">
        <f t="shared" ref="AP61" si="288">ROUNDUP(AM61*10/AN61,0)</f>
        <v>3</v>
      </c>
      <c r="AQ61" s="225" t="str">
        <f t="shared" ref="AQ61" si="289">IF(OR(ISERROR(AO61),ISERROR(AP61)),"error","ok")</f>
        <v>ok</v>
      </c>
      <c r="AR61" s="225" t="str">
        <f t="shared" ref="AR61" si="290">IF(AQ61="ok", TEXT(AO61,0)&amp;"S"&amp; TEXT(AP61,0)&amp;"P","_")</f>
        <v>8S3P</v>
      </c>
      <c r="AS61" s="225" t="str">
        <f t="shared" ref="AS61" si="291">IF(ISBLANK(H61),"",H61&amp;$H$2&amp;IF(UPPER(TRIM(I61))="V",$I$2,"")&amp;"_"&amp;F61&amp;"_")</f>
        <v>N3LED_SDI26FM_</v>
      </c>
      <c r="AT61" s="225" t="str">
        <f t="shared" ref="AT61" si="292">IF(UPPER(TRIM(J61))="V",$J$2&amp;"_","")&amp;IF(UPPER(TRIM(K61))="V",$K$2&amp;"_","")&amp;IF(UPPER(TRIM(L61))="V",$L$2&amp;"_","")&amp;IF(UPPER(TRIM(M61))="V",$M$2&amp;"_","")&amp;IF(UPPER(TRIM(N61))="V",$N$2&amp;"_","")&amp;IF(UPPER(TRIM(O61))="V",$O$2&amp;"_","")</f>
        <v>SW1_</v>
      </c>
      <c r="AU61" s="225" t="str">
        <f t="shared" si="13"/>
        <v>Aslp_Wup_CC_DUVP_</v>
      </c>
      <c r="AV61" s="225" t="e">
        <f t="shared" ref="AV61" si="293">FIND("
",C61)</f>
        <v>#VALUE!</v>
      </c>
      <c r="AW61" s="225" t="b">
        <f t="shared" ref="AW61" si="294">IF(ISBLANK(C61),TRUE,(TRIM(C61)=""))</f>
        <v>1</v>
      </c>
      <c r="AX61" s="225" t="str">
        <f t="shared" ref="AX61" si="295">IF(AW61=TRUE,"",IF(NOT(ISERROR(AV61)),TRIM(MID(C61,1,AV61-1))&amp;"_",TRIM(C61)&amp;"_"))</f>
        <v/>
      </c>
      <c r="AY61" s="225" t="str">
        <f t="shared" ref="AY61" si="296">SUBSTITUTE(AX61,"-","_")</f>
        <v/>
      </c>
      <c r="AZ61" s="664" t="str">
        <f t="shared" si="16"/>
        <v>DL_200R_</v>
      </c>
    </row>
    <row r="62" spans="1:52" s="225" customFormat="1" ht="39.75" customHeight="1">
      <c r="A62" s="709" t="s">
        <v>1398</v>
      </c>
      <c r="B62" s="678" t="s">
        <v>1399</v>
      </c>
      <c r="C62" s="679" t="s">
        <v>1401</v>
      </c>
      <c r="D62" s="668" t="s">
        <v>1400</v>
      </c>
      <c r="E62" s="280" t="str">
        <f t="shared" ref="E62" si="297">AR62</f>
        <v>13S5P</v>
      </c>
      <c r="F62" s="696" t="s">
        <v>939</v>
      </c>
      <c r="G62" s="719" t="s">
        <v>116</v>
      </c>
      <c r="H62" s="720"/>
      <c r="I62" s="721"/>
      <c r="J62" s="668"/>
      <c r="K62" s="668"/>
      <c r="L62" s="668"/>
      <c r="M62" s="668"/>
      <c r="N62" s="722"/>
      <c r="O62" s="668"/>
      <c r="P62" s="767"/>
      <c r="Q62" s="767"/>
      <c r="R62" s="668"/>
      <c r="S62" s="668"/>
      <c r="T62" s="725"/>
      <c r="U62" s="668"/>
      <c r="V62" s="668"/>
      <c r="W62" s="668"/>
      <c r="X62" s="668"/>
      <c r="Y62" s="668"/>
      <c r="Z62" s="726"/>
      <c r="AA62" s="726"/>
      <c r="AB62" s="726"/>
      <c r="AC62" s="727"/>
      <c r="AD62" s="284" t="str">
        <f t="shared" ref="AD62" si="298">A62&amp;"_"&amp;E62&amp;AS62&amp;AT62&amp;AU62&amp;AZ62</f>
        <v>Pan_BLY460_48130_D_13S5P</v>
      </c>
      <c r="AJ62" s="225">
        <f t="shared" ref="AJ62" si="299">FIND("V",UPPER(TRIM(D62)))</f>
        <v>3</v>
      </c>
      <c r="AK62" s="225">
        <f t="shared" ref="AK62" si="300">FIND("AH",UPPER(TRIM(D62)))</f>
        <v>9</v>
      </c>
      <c r="AL62" s="225">
        <f t="shared" ref="AL62" si="301">VALUE(MID(TRIM(D62),1,AJ62-1))</f>
        <v>48</v>
      </c>
      <c r="AM62" s="225">
        <f t="shared" ref="AM62" si="302">VALUE(MID(TRIM(D62),AJ62+2,(AK62) -(AJ62+2) ))</f>
        <v>13</v>
      </c>
      <c r="AN62" s="225">
        <f t="shared" ref="AN62" si="303">VALUE(MID(TRIM(F62),4,2))</f>
        <v>26</v>
      </c>
      <c r="AO62" s="225">
        <f t="shared" ref="AO62" si="304">ROUNDDOWN(AL62/3.5,0)</f>
        <v>13</v>
      </c>
      <c r="AP62" s="225">
        <f t="shared" ref="AP62" si="305">ROUNDUP(AM62*10/AN62,0)</f>
        <v>5</v>
      </c>
      <c r="AQ62" s="225" t="str">
        <f t="shared" ref="AQ62" si="306">IF(OR(ISERROR(AO62),ISERROR(AP62)),"error","ok")</f>
        <v>ok</v>
      </c>
      <c r="AR62" s="225" t="str">
        <f t="shared" ref="AR62" si="307">IF(AQ62="ok", TEXT(AO62,0)&amp;"S"&amp; TEXT(AP62,0)&amp;"P","_")</f>
        <v>13S5P</v>
      </c>
      <c r="AS62" s="225" t="str">
        <f t="shared" ref="AS62" si="308">IF(ISBLANK(H62),"",H62&amp;$H$2&amp;IF(UPPER(TRIM(I62))="V",$I$2,"")&amp;"_"&amp;F62&amp;"_")</f>
        <v/>
      </c>
      <c r="AT62" s="225" t="str">
        <f t="shared" ref="AT62" si="309">IF(UPPER(TRIM(J62))="V",$J$2&amp;"_","")&amp;IF(UPPER(TRIM(K62))="V",$K$2&amp;"_","")&amp;IF(UPPER(TRIM(L62))="V",$L$2&amp;"_","")&amp;IF(UPPER(TRIM(M62))="V",$M$2&amp;"_","")&amp;IF(UPPER(TRIM(N62))="V",$N$2&amp;"_","")&amp;IF(UPPER(TRIM(O62))="V",$O$2&amp;"_","")</f>
        <v/>
      </c>
      <c r="AU62" s="225" t="str">
        <f t="shared" si="13"/>
        <v/>
      </c>
      <c r="AV62" s="225" t="e">
        <f t="shared" ref="AV62" si="310">FIND("
",C62)</f>
        <v>#VALUE!</v>
      </c>
      <c r="AW62" s="225" t="b">
        <f t="shared" ref="AW62" si="311">IF(ISBLANK(C62),TRUE,(TRIM(C62)=""))</f>
        <v>0</v>
      </c>
      <c r="AX62" s="225" t="str">
        <f t="shared" ref="AX62" si="312">IF(AW62=TRUE,"",IF(NOT(ISERROR(AV62)),TRIM(MID(C62,1,AV62-1))&amp;"_",TRIM(C62)&amp;"_"))</f>
        <v>未出_</v>
      </c>
      <c r="AY62" s="225" t="str">
        <f t="shared" ref="AY62" si="313">SUBSTITUTE(AX62,"-","_")</f>
        <v>未出_</v>
      </c>
      <c r="AZ62" s="664" t="str">
        <f t="shared" si="16"/>
        <v/>
      </c>
    </row>
    <row r="63" spans="1:52" s="225" customFormat="1" ht="39.75" customHeight="1">
      <c r="A63" s="668" t="s">
        <v>1403</v>
      </c>
      <c r="B63" s="669"/>
      <c r="C63" s="670"/>
      <c r="D63" s="668" t="s">
        <v>1402</v>
      </c>
      <c r="E63" s="280" t="str">
        <f t="shared" ref="E63" si="314">AR63</f>
        <v>5S1P</v>
      </c>
      <c r="F63" s="696" t="s">
        <v>939</v>
      </c>
      <c r="G63" s="719" t="s">
        <v>116</v>
      </c>
      <c r="H63" s="720">
        <v>4</v>
      </c>
      <c r="I63" s="721"/>
      <c r="J63" s="668"/>
      <c r="K63" s="736" t="s">
        <v>116</v>
      </c>
      <c r="L63" s="668"/>
      <c r="M63" s="668"/>
      <c r="N63" s="722"/>
      <c r="O63" s="668"/>
      <c r="P63" s="736" t="s">
        <v>116</v>
      </c>
      <c r="Q63" s="721" t="s">
        <v>116</v>
      </c>
      <c r="R63" s="668"/>
      <c r="S63" s="668"/>
      <c r="T63" s="725"/>
      <c r="U63" s="668"/>
      <c r="V63" s="736"/>
      <c r="W63" s="736" t="s">
        <v>116</v>
      </c>
      <c r="X63" s="668"/>
      <c r="Y63" s="668"/>
      <c r="Z63" s="726">
        <v>200</v>
      </c>
      <c r="AA63" s="726"/>
      <c r="AB63" s="726"/>
      <c r="AC63" s="727"/>
      <c r="AD63" s="284" t="str">
        <f t="shared" ref="AD63" si="315">A63&amp;"_"&amp;E63&amp;AS63&amp;AT63&amp;AU63&amp;AZ63</f>
        <v>WirelessChg_19026_5S1P4LED_SDI26FM_SW1_Aslp_Wup_DUVP_200R_</v>
      </c>
      <c r="AJ63" s="225">
        <f t="shared" ref="AJ63" si="316">FIND("V",UPPER(TRIM(D63)))</f>
        <v>3</v>
      </c>
      <c r="AK63" s="225">
        <f t="shared" ref="AK63" si="317">FIND("AH",UPPER(TRIM(D63)))</f>
        <v>8</v>
      </c>
      <c r="AL63" s="225">
        <f t="shared" ref="AL63" si="318">VALUE(MID(TRIM(D63),1,AJ63-1))</f>
        <v>19</v>
      </c>
      <c r="AM63" s="225">
        <f t="shared" ref="AM63" si="319">VALUE(MID(TRIM(D63),AJ63+2,(AK63) -(AJ63+2) ))</f>
        <v>2.6</v>
      </c>
      <c r="AN63" s="225">
        <f t="shared" ref="AN63" si="320">VALUE(MID(TRIM(F63),4,2))</f>
        <v>26</v>
      </c>
      <c r="AO63" s="225">
        <f t="shared" ref="AO63" si="321">ROUNDDOWN(AL63/3.5,0)</f>
        <v>5</v>
      </c>
      <c r="AP63" s="225">
        <f t="shared" ref="AP63" si="322">ROUNDUP(AM63*10/AN63,0)</f>
        <v>1</v>
      </c>
      <c r="AQ63" s="225" t="str">
        <f t="shared" ref="AQ63" si="323">IF(OR(ISERROR(AO63),ISERROR(AP63)),"error","ok")</f>
        <v>ok</v>
      </c>
      <c r="AR63" s="225" t="str">
        <f t="shared" ref="AR63" si="324">IF(AQ63="ok", TEXT(AO63,0)&amp;"S"&amp; TEXT(AP63,0)&amp;"P","_")</f>
        <v>5S1P</v>
      </c>
      <c r="AS63" s="225" t="str">
        <f t="shared" ref="AS63" si="325">IF(ISBLANK(H63),"",H63&amp;$H$2&amp;IF(UPPER(TRIM(I63))="V",$I$2,"")&amp;"_"&amp;F63&amp;"_")</f>
        <v>4LED_SDI26FM_</v>
      </c>
      <c r="AT63" s="225" t="str">
        <f t="shared" ref="AT63" si="326">IF(UPPER(TRIM(J63))="V",$J$2&amp;"_","")&amp;IF(UPPER(TRIM(K63))="V",$K$2&amp;"_","")&amp;IF(UPPER(TRIM(L63))="V",$L$2&amp;"_","")&amp;IF(UPPER(TRIM(M63))="V",$M$2&amp;"_","")&amp;IF(UPPER(TRIM(N63))="V",$N$2&amp;"_","")&amp;IF(UPPER(TRIM(O63))="V",$O$2&amp;"_","")</f>
        <v>SW1_</v>
      </c>
      <c r="AU63" s="225" t="str">
        <f t="shared" si="13"/>
        <v>Aslp_Wup_DUVP_</v>
      </c>
      <c r="AV63" s="225" t="e">
        <f t="shared" ref="AV63" si="327">FIND("
",C63)</f>
        <v>#VALUE!</v>
      </c>
      <c r="AW63" s="225" t="b">
        <f t="shared" ref="AW63" si="328">IF(ISBLANK(C63),TRUE,(TRIM(C63)=""))</f>
        <v>1</v>
      </c>
      <c r="AX63" s="225" t="str">
        <f t="shared" ref="AX63" si="329">IF(AW63=TRUE,"",IF(NOT(ISERROR(AV63)),TRIM(MID(C63,1,AV63-1))&amp;"_",TRIM(C63)&amp;"_"))</f>
        <v/>
      </c>
      <c r="AY63" s="225" t="str">
        <f t="shared" ref="AY63" si="330">SUBSTITUTE(AX63,"-","_")</f>
        <v/>
      </c>
      <c r="AZ63" s="664" t="str">
        <f t="shared" si="16"/>
        <v>200R_</v>
      </c>
    </row>
    <row r="64" spans="1:52" s="225" customFormat="1" ht="39.75" customHeight="1">
      <c r="A64" s="668" t="s">
        <v>1405</v>
      </c>
      <c r="B64" s="678" t="s">
        <v>1409</v>
      </c>
      <c r="C64" s="670"/>
      <c r="D64" s="668" t="s">
        <v>1404</v>
      </c>
      <c r="E64" s="280" t="str">
        <f t="shared" ref="E64" si="331">AR64</f>
        <v>10S4P</v>
      </c>
      <c r="F64" s="696" t="s">
        <v>939</v>
      </c>
      <c r="G64" s="719" t="s">
        <v>116</v>
      </c>
      <c r="H64" s="765" t="s">
        <v>1012</v>
      </c>
      <c r="I64" s="721"/>
      <c r="J64" s="668"/>
      <c r="K64" s="780" t="s">
        <v>116</v>
      </c>
      <c r="L64" s="668"/>
      <c r="M64" s="668"/>
      <c r="N64" s="722"/>
      <c r="O64" s="668"/>
      <c r="P64" s="736" t="s">
        <v>116</v>
      </c>
      <c r="Q64" s="721" t="s">
        <v>116</v>
      </c>
      <c r="R64" s="668"/>
      <c r="S64" s="668"/>
      <c r="T64" s="725"/>
      <c r="U64" s="668"/>
      <c r="V64" s="721" t="s">
        <v>116</v>
      </c>
      <c r="W64" s="736" t="s">
        <v>116</v>
      </c>
      <c r="X64" s="737"/>
      <c r="Y64" s="736"/>
      <c r="Z64" s="726">
        <v>200</v>
      </c>
      <c r="AA64" s="726"/>
      <c r="AB64" s="726"/>
      <c r="AC64" s="768" t="s">
        <v>1411</v>
      </c>
      <c r="AD64" s="284" t="str">
        <f t="shared" ref="AD64" si="332">A64&amp;"_"&amp;E64&amp;AS64&amp;AT64&amp;AU64&amp;AZ64</f>
        <v>Pan_BSMI345_36100_D_10S4PN3LED_SDI26FM_SW1_Aslp_Wup_CC_DUVP_200R_</v>
      </c>
      <c r="AJ64" s="225">
        <f t="shared" ref="AJ64" si="333">FIND("V",UPPER(TRIM(D64)))</f>
        <v>3</v>
      </c>
      <c r="AK64" s="225">
        <f t="shared" ref="AK64" si="334">FIND("AH",UPPER(TRIM(D64)))</f>
        <v>9</v>
      </c>
      <c r="AL64" s="225">
        <f t="shared" ref="AL64" si="335">VALUE(MID(TRIM(D64),1,AJ64-1))</f>
        <v>36</v>
      </c>
      <c r="AM64" s="225">
        <f t="shared" ref="AM64" si="336">VALUE(MID(TRIM(D64),AJ64+2,(AK64) -(AJ64+2) ))</f>
        <v>10</v>
      </c>
      <c r="AN64" s="225">
        <f t="shared" ref="AN64" si="337">VALUE(MID(TRIM(F64),4,2))</f>
        <v>26</v>
      </c>
      <c r="AO64" s="225">
        <f t="shared" ref="AO64" si="338">ROUNDDOWN(AL64/3.5,0)</f>
        <v>10</v>
      </c>
      <c r="AP64" s="225">
        <f t="shared" ref="AP64" si="339">ROUNDUP(AM64*10/AN64,0)</f>
        <v>4</v>
      </c>
      <c r="AQ64" s="225" t="str">
        <f t="shared" ref="AQ64" si="340">IF(OR(ISERROR(AO64),ISERROR(AP64)),"error","ok")</f>
        <v>ok</v>
      </c>
      <c r="AR64" s="225" t="str">
        <f t="shared" ref="AR64" si="341">IF(AQ64="ok", TEXT(AO64,0)&amp;"S"&amp; TEXT(AP64,0)&amp;"P","_")</f>
        <v>10S4P</v>
      </c>
      <c r="AS64" s="225" t="str">
        <f t="shared" ref="AS64" si="342">IF(ISBLANK(H64),"",H64&amp;$H$2&amp;IF(UPPER(TRIM(I64))="V",$I$2,"")&amp;"_"&amp;F64&amp;"_")</f>
        <v>N3LED_SDI26FM_</v>
      </c>
      <c r="AT64" s="225" t="str">
        <f t="shared" ref="AT64" si="343">IF(UPPER(TRIM(J64))="V",$J$2&amp;"_","")&amp;IF(UPPER(TRIM(K64))="V",$K$2&amp;"_","")&amp;IF(UPPER(TRIM(L64))="V",$L$2&amp;"_","")&amp;IF(UPPER(TRIM(M64))="V",$M$2&amp;"_","")&amp;IF(UPPER(TRIM(N64))="V",$N$2&amp;"_","")&amp;IF(UPPER(TRIM(O64))="V",$O$2&amp;"_","")</f>
        <v>SW1_</v>
      </c>
      <c r="AU64" s="225" t="str">
        <f t="shared" si="13"/>
        <v>Aslp_Wup_CC_DUVP_</v>
      </c>
      <c r="AV64" s="225" t="e">
        <f t="shared" ref="AV64" si="344">FIND("
",C64)</f>
        <v>#VALUE!</v>
      </c>
      <c r="AW64" s="225" t="b">
        <f t="shared" ref="AW64" si="345">IF(ISBLANK(C64),TRUE,(TRIM(C64)=""))</f>
        <v>1</v>
      </c>
      <c r="AX64" s="225" t="str">
        <f t="shared" ref="AX64" si="346">IF(AW64=TRUE,"",IF(NOT(ISERROR(AV64)),TRIM(MID(C64,1,AV64-1))&amp;"_",TRIM(C64)&amp;"_"))</f>
        <v/>
      </c>
      <c r="AY64" s="225" t="str">
        <f t="shared" ref="AY64" si="347">SUBSTITUTE(AX64,"-","_")</f>
        <v/>
      </c>
      <c r="AZ64" s="664" t="str">
        <f t="shared" si="16"/>
        <v>200R_</v>
      </c>
    </row>
    <row r="65" spans="1:52" s="225" customFormat="1" ht="39.75" customHeight="1">
      <c r="A65" s="668" t="s">
        <v>1406</v>
      </c>
      <c r="B65" s="678" t="s">
        <v>1408</v>
      </c>
      <c r="C65" s="670"/>
      <c r="D65" s="668" t="s">
        <v>1410</v>
      </c>
      <c r="E65" s="280" t="str">
        <f t="shared" ref="E65" si="348">AR65</f>
        <v>13S5P</v>
      </c>
      <c r="F65" s="696" t="s">
        <v>939</v>
      </c>
      <c r="G65" s="719" t="s">
        <v>116</v>
      </c>
      <c r="H65" s="765" t="s">
        <v>1012</v>
      </c>
      <c r="I65" s="721"/>
      <c r="J65" s="668" t="s">
        <v>116</v>
      </c>
      <c r="K65" s="780" t="s">
        <v>116</v>
      </c>
      <c r="L65" s="668"/>
      <c r="M65" s="668"/>
      <c r="N65" s="722"/>
      <c r="O65" s="668"/>
      <c r="P65" s="736" t="s">
        <v>116</v>
      </c>
      <c r="Q65" s="721" t="s">
        <v>116</v>
      </c>
      <c r="R65" s="668"/>
      <c r="S65" s="668"/>
      <c r="T65" s="725"/>
      <c r="U65" s="668"/>
      <c r="V65" s="721" t="s">
        <v>116</v>
      </c>
      <c r="W65" s="736" t="s">
        <v>116</v>
      </c>
      <c r="X65" s="737"/>
      <c r="Y65" s="736"/>
      <c r="Z65" s="726">
        <v>200</v>
      </c>
      <c r="AA65" s="726"/>
      <c r="AB65" s="726"/>
      <c r="AC65" s="768" t="s">
        <v>1413</v>
      </c>
      <c r="AD65" s="284" t="str">
        <f t="shared" ref="AD65" si="349">A65&amp;"_"&amp;E65&amp;AS65&amp;AT65&amp;AU65&amp;AZ65</f>
        <v>Pan_TYD1_48130_N_13S5PN3LED_SDI26FM_COM_SW1_Aslp_Wup_CC_DUVP_200R_</v>
      </c>
      <c r="AJ65" s="225">
        <f t="shared" ref="AJ65" si="350">FIND("V",UPPER(TRIM(D65)))</f>
        <v>3</v>
      </c>
      <c r="AK65" s="225">
        <f t="shared" ref="AK65" si="351">FIND("AH",UPPER(TRIM(D65)))</f>
        <v>9</v>
      </c>
      <c r="AL65" s="225">
        <f t="shared" ref="AL65" si="352">VALUE(MID(TRIM(D65),1,AJ65-1))</f>
        <v>48</v>
      </c>
      <c r="AM65" s="225">
        <f t="shared" ref="AM65" si="353">VALUE(MID(TRIM(D65),AJ65+2,(AK65) -(AJ65+2) ))</f>
        <v>13</v>
      </c>
      <c r="AN65" s="225">
        <f t="shared" ref="AN65" si="354">VALUE(MID(TRIM(F65),4,2))</f>
        <v>26</v>
      </c>
      <c r="AO65" s="225">
        <f t="shared" ref="AO65" si="355">ROUNDDOWN(AL65/3.5,0)</f>
        <v>13</v>
      </c>
      <c r="AP65" s="225">
        <f t="shared" ref="AP65" si="356">ROUNDUP(AM65*10/AN65,0)</f>
        <v>5</v>
      </c>
      <c r="AQ65" s="225" t="str">
        <f t="shared" ref="AQ65" si="357">IF(OR(ISERROR(AO65),ISERROR(AP65)),"error","ok")</f>
        <v>ok</v>
      </c>
      <c r="AR65" s="225" t="str">
        <f t="shared" ref="AR65" si="358">IF(AQ65="ok", TEXT(AO65,0)&amp;"S"&amp; TEXT(AP65,0)&amp;"P","_")</f>
        <v>13S5P</v>
      </c>
      <c r="AS65" s="225" t="str">
        <f t="shared" ref="AS65" si="359">IF(ISBLANK(H65),"",H65&amp;$H$2&amp;IF(UPPER(TRIM(I65))="V",$I$2,"")&amp;"_"&amp;F65&amp;"_")</f>
        <v>N3LED_SDI26FM_</v>
      </c>
      <c r="AT65" s="225" t="str">
        <f t="shared" ref="AT65" si="360">IF(UPPER(TRIM(J65))="V",$J$2&amp;"_","")&amp;IF(UPPER(TRIM(K65))="V",$K$2&amp;"_","")&amp;IF(UPPER(TRIM(L65))="V",$L$2&amp;"_","")&amp;IF(UPPER(TRIM(M65))="V",$M$2&amp;"_","")&amp;IF(UPPER(TRIM(N65))="V",$N$2&amp;"_","")&amp;IF(UPPER(TRIM(O65))="V",$O$2&amp;"_","")</f>
        <v>COM_SW1_</v>
      </c>
      <c r="AU65" s="225" t="str">
        <f t="shared" si="13"/>
        <v>Aslp_Wup_CC_DUVP_</v>
      </c>
      <c r="AV65" s="225" t="e">
        <f t="shared" ref="AV65" si="361">FIND("
",C65)</f>
        <v>#VALUE!</v>
      </c>
      <c r="AW65" s="225" t="b">
        <f t="shared" ref="AW65" si="362">IF(ISBLANK(C65),TRUE,(TRIM(C65)=""))</f>
        <v>1</v>
      </c>
      <c r="AX65" s="225" t="str">
        <f t="shared" ref="AX65" si="363">IF(AW65=TRUE,"",IF(NOT(ISERROR(AV65)),TRIM(MID(C65,1,AV65-1))&amp;"_",TRIM(C65)&amp;"_"))</f>
        <v/>
      </c>
      <c r="AY65" s="225" t="str">
        <f t="shared" ref="AY65" si="364">SUBSTITUTE(AX65,"-","_")</f>
        <v/>
      </c>
      <c r="AZ65" s="664" t="str">
        <f t="shared" si="16"/>
        <v>200R_</v>
      </c>
    </row>
    <row r="66" spans="1:52" s="225" customFormat="1" ht="39.75" customHeight="1">
      <c r="A66" s="668" t="s">
        <v>1414</v>
      </c>
      <c r="B66" s="669"/>
      <c r="C66" s="670" t="s">
        <v>1415</v>
      </c>
      <c r="D66" s="668" t="s">
        <v>1417</v>
      </c>
      <c r="E66" s="280" t="str">
        <f t="shared" si="79"/>
        <v>7S4P</v>
      </c>
      <c r="F66" s="696" t="s">
        <v>939</v>
      </c>
      <c r="G66" s="719" t="s">
        <v>116</v>
      </c>
      <c r="H66" s="720">
        <v>4</v>
      </c>
      <c r="I66" s="668" t="s">
        <v>116</v>
      </c>
      <c r="J66" s="668"/>
      <c r="K66" s="668" t="s">
        <v>116</v>
      </c>
      <c r="L66" s="668"/>
      <c r="M66" s="668"/>
      <c r="N66" s="722"/>
      <c r="O66" s="668"/>
      <c r="P66" s="668" t="s">
        <v>116</v>
      </c>
      <c r="Q66" s="668" t="s">
        <v>116</v>
      </c>
      <c r="R66" s="668"/>
      <c r="S66" s="668"/>
      <c r="T66" s="725"/>
      <c r="U66" s="668"/>
      <c r="V66" s="668" t="s">
        <v>116</v>
      </c>
      <c r="W66" s="668" t="s">
        <v>116</v>
      </c>
      <c r="X66" s="668"/>
      <c r="Y66" s="668"/>
      <c r="Z66" s="726">
        <v>200</v>
      </c>
      <c r="AA66" s="726"/>
      <c r="AB66" s="726"/>
      <c r="AC66" s="768" t="s">
        <v>1418</v>
      </c>
      <c r="AD66" s="284" t="str">
        <f t="shared" si="80"/>
        <v>Ares115_26100_D_7S4P4LEDLowDrv_SDI26FM_SW1_Aslp_Wup_CC_DUVP_200R_</v>
      </c>
      <c r="AJ66" s="225">
        <f t="shared" si="81"/>
        <v>3</v>
      </c>
      <c r="AK66" s="225">
        <f t="shared" si="82"/>
        <v>9</v>
      </c>
      <c r="AL66" s="225">
        <f t="shared" si="83"/>
        <v>26</v>
      </c>
      <c r="AM66" s="225">
        <f t="shared" si="84"/>
        <v>10</v>
      </c>
      <c r="AN66" s="225">
        <f t="shared" si="85"/>
        <v>26</v>
      </c>
      <c r="AO66" s="225">
        <f t="shared" si="86"/>
        <v>7</v>
      </c>
      <c r="AP66" s="225">
        <f t="shared" si="87"/>
        <v>4</v>
      </c>
      <c r="AQ66" s="225" t="str">
        <f t="shared" si="88"/>
        <v>ok</v>
      </c>
      <c r="AR66" s="225" t="str">
        <f t="shared" si="89"/>
        <v>7S4P</v>
      </c>
      <c r="AS66" s="225" t="str">
        <f t="shared" si="90"/>
        <v>4LEDLowDrv_SDI26FM_</v>
      </c>
      <c r="AT66" s="225" t="str">
        <f t="shared" si="12"/>
        <v>SW1_</v>
      </c>
      <c r="AU66" s="225" t="str">
        <f t="shared" si="13"/>
        <v>Aslp_Wup_CC_DUVP_</v>
      </c>
      <c r="AV66" s="225" t="e">
        <f t="shared" si="91"/>
        <v>#VALUE!</v>
      </c>
      <c r="AW66" s="225" t="b">
        <f t="shared" si="92"/>
        <v>0</v>
      </c>
      <c r="AX66" s="225" t="str">
        <f t="shared" si="93"/>
        <v>DAKB00100-W021E25LT_</v>
      </c>
      <c r="AY66" s="225" t="str">
        <f t="shared" si="94"/>
        <v>DAKB00100_W021E25LT_</v>
      </c>
      <c r="AZ66" s="664" t="str">
        <f t="shared" si="16"/>
        <v>200R_</v>
      </c>
    </row>
    <row r="67" spans="1:52" s="225" customFormat="1" ht="39.75" customHeight="1">
      <c r="A67" s="668" t="s">
        <v>693</v>
      </c>
      <c r="B67" s="669" t="s">
        <v>707</v>
      </c>
      <c r="C67" s="670"/>
      <c r="D67" s="668" t="s">
        <v>739</v>
      </c>
      <c r="E67" s="280" t="str">
        <f t="shared" si="79"/>
        <v>10S3P</v>
      </c>
      <c r="F67" s="696" t="s">
        <v>1420</v>
      </c>
      <c r="G67" s="719" t="s">
        <v>116</v>
      </c>
      <c r="H67" s="720">
        <v>4</v>
      </c>
      <c r="I67" s="721"/>
      <c r="J67" s="668" t="s">
        <v>116</v>
      </c>
      <c r="K67" s="668" t="s">
        <v>116</v>
      </c>
      <c r="L67" s="668"/>
      <c r="M67" s="668"/>
      <c r="N67" s="722"/>
      <c r="O67" s="668"/>
      <c r="P67" s="668" t="s">
        <v>116</v>
      </c>
      <c r="Q67" s="668" t="s">
        <v>116</v>
      </c>
      <c r="R67" s="668"/>
      <c r="S67" s="668"/>
      <c r="T67" s="725"/>
      <c r="U67" s="668"/>
      <c r="V67" s="668" t="s">
        <v>116</v>
      </c>
      <c r="W67" s="668" t="s">
        <v>116</v>
      </c>
      <c r="X67" s="668"/>
      <c r="Y67" s="668"/>
      <c r="Z67" s="726">
        <v>200</v>
      </c>
      <c r="AA67" s="726"/>
      <c r="AB67" s="726"/>
      <c r="AC67" s="768" t="s">
        <v>1421</v>
      </c>
      <c r="AD67" s="284" t="str">
        <f t="shared" si="80"/>
        <v>Eos_36076_N_10S3P4LED_SDI26H_COM_SW1_Aslp_Wup_CC_DUVP_200R_</v>
      </c>
      <c r="AJ67" s="225">
        <f t="shared" si="81"/>
        <v>3</v>
      </c>
      <c r="AK67" s="225">
        <f t="shared" si="82"/>
        <v>8</v>
      </c>
      <c r="AL67" s="225">
        <f t="shared" si="83"/>
        <v>36</v>
      </c>
      <c r="AM67" s="225">
        <f t="shared" si="84"/>
        <v>7.6</v>
      </c>
      <c r="AN67" s="225">
        <f t="shared" si="85"/>
        <v>26</v>
      </c>
      <c r="AO67" s="225">
        <f t="shared" si="86"/>
        <v>10</v>
      </c>
      <c r="AP67" s="225">
        <f t="shared" si="87"/>
        <v>3</v>
      </c>
      <c r="AQ67" s="225" t="str">
        <f t="shared" si="88"/>
        <v>ok</v>
      </c>
      <c r="AR67" s="225" t="str">
        <f t="shared" si="89"/>
        <v>10S3P</v>
      </c>
      <c r="AS67" s="225" t="str">
        <f t="shared" si="90"/>
        <v>4LED_SDI26H_</v>
      </c>
      <c r="AT67" s="225" t="str">
        <f t="shared" ref="AT67" si="365">IF(UPPER(TRIM(J67))="V",$J$2&amp;"_","")&amp;IF(UPPER(TRIM(K67))="V",$K$2&amp;"_","")&amp;IF(UPPER(TRIM(L67))="V",$L$2&amp;"_","")&amp;IF(UPPER(TRIM(M67))="V",$M$2&amp;"_","")&amp;IF(UPPER(TRIM(N67))="V",$N$2&amp;"_","")&amp;IF(UPPER(TRIM(O67))="V",$O$2&amp;"_","")</f>
        <v>COM_SW1_</v>
      </c>
      <c r="AU67" s="225" t="str">
        <f t="shared" si="13"/>
        <v>Aslp_Wup_CC_DUVP_</v>
      </c>
      <c r="AV67" s="225" t="e">
        <f t="shared" si="91"/>
        <v>#VALUE!</v>
      </c>
      <c r="AW67" s="225" t="b">
        <f t="shared" si="92"/>
        <v>1</v>
      </c>
      <c r="AX67" s="225" t="str">
        <f t="shared" si="93"/>
        <v/>
      </c>
      <c r="AY67" s="225" t="str">
        <f t="shared" si="94"/>
        <v/>
      </c>
      <c r="AZ67" s="664" t="str">
        <f t="shared" ref="AZ67" si="366">IF(UPPER(TRIM(X67))="V",$X$2&amp;"_","")&amp;IF(UPPER(TRIM(Y67))="V",$Y$2&amp;"_","")&amp;IF(ISBLANK(Z67),"",Z67&amp;$Z$2&amp;"_")</f>
        <v>200R_</v>
      </c>
    </row>
    <row r="68" spans="1:52" s="225" customFormat="1" ht="39.75" customHeight="1">
      <c r="A68" s="668" t="s">
        <v>1423</v>
      </c>
      <c r="B68" s="678" t="s">
        <v>1424</v>
      </c>
      <c r="C68" s="670" t="s">
        <v>1425</v>
      </c>
      <c r="D68" s="668" t="s">
        <v>1422</v>
      </c>
      <c r="E68" s="280" t="str">
        <f t="shared" ref="E68" si="367">AR68</f>
        <v>7S4P</v>
      </c>
      <c r="F68" s="696" t="s">
        <v>939</v>
      </c>
      <c r="G68" s="719" t="s">
        <v>116</v>
      </c>
      <c r="H68" s="765" t="s">
        <v>1427</v>
      </c>
      <c r="I68" s="780" t="s">
        <v>116</v>
      </c>
      <c r="J68" s="668"/>
      <c r="K68" s="780" t="s">
        <v>116</v>
      </c>
      <c r="L68" s="668"/>
      <c r="M68" s="668"/>
      <c r="N68" s="722"/>
      <c r="O68" s="668"/>
      <c r="P68" s="736" t="s">
        <v>116</v>
      </c>
      <c r="Q68" s="721" t="s">
        <v>116</v>
      </c>
      <c r="R68" s="668"/>
      <c r="S68" s="668"/>
      <c r="T68" s="725"/>
      <c r="U68" s="668"/>
      <c r="V68" s="721" t="s">
        <v>116</v>
      </c>
      <c r="W68" s="736" t="s">
        <v>116</v>
      </c>
      <c r="X68" s="737"/>
      <c r="Y68" s="736"/>
      <c r="Z68" s="726">
        <v>200</v>
      </c>
      <c r="AA68" s="726"/>
      <c r="AB68" s="726"/>
      <c r="AC68" s="796" t="s">
        <v>1426</v>
      </c>
      <c r="AD68" s="284" t="str">
        <f t="shared" ref="AD68" si="368">A68&amp;"_"&amp;E68&amp;AS68&amp;AT68&amp;AU68&amp;AZ68</f>
        <v>Pan_BG196_26100_7S4PN4LEDLowDrv_SDI26FM_SW1_Aslp_Wup_CC_DUVP_200R_</v>
      </c>
      <c r="AJ68" s="225">
        <f t="shared" ref="AJ68" si="369">FIND("V",UPPER(TRIM(D68)))</f>
        <v>3</v>
      </c>
      <c r="AK68" s="225">
        <f t="shared" ref="AK68" si="370">FIND("AH",UPPER(TRIM(D68)))</f>
        <v>7</v>
      </c>
      <c r="AL68" s="225">
        <f t="shared" ref="AL68" si="371">VALUE(MID(TRIM(D68),1,AJ68-1))</f>
        <v>26</v>
      </c>
      <c r="AM68" s="225">
        <f t="shared" ref="AM68" si="372">VALUE(MID(TRIM(D68),AJ68+2,(AK68) -(AJ68+2) ))</f>
        <v>10</v>
      </c>
      <c r="AN68" s="225">
        <f t="shared" ref="AN68" si="373">VALUE(MID(TRIM(F68),4,2))</f>
        <v>26</v>
      </c>
      <c r="AO68" s="225">
        <f t="shared" ref="AO68" si="374">ROUNDDOWN(AL68/3.5,0)</f>
        <v>7</v>
      </c>
      <c r="AP68" s="225">
        <f t="shared" ref="AP68" si="375">ROUNDUP(AM68*10/AN68,0)</f>
        <v>4</v>
      </c>
      <c r="AQ68" s="225" t="str">
        <f t="shared" ref="AQ68" si="376">IF(OR(ISERROR(AO68),ISERROR(AP68)),"error","ok")</f>
        <v>ok</v>
      </c>
      <c r="AR68" s="225" t="str">
        <f t="shared" ref="AR68" si="377">IF(AQ68="ok", TEXT(AO68,0)&amp;"S"&amp; TEXT(AP68,0)&amp;"P","_")</f>
        <v>7S4P</v>
      </c>
      <c r="AS68" s="225" t="str">
        <f t="shared" ref="AS68" si="378">IF(ISBLANK(H68),"",H68&amp;$H$2&amp;IF(UPPER(TRIM(I68))="V",$I$2,"")&amp;"_"&amp;F68&amp;"_")</f>
        <v>N4LEDLowDrv_SDI26FM_</v>
      </c>
      <c r="AT68" s="225" t="str">
        <f t="shared" ref="AT68" si="379">IF(UPPER(TRIM(J68))="V",$J$2&amp;"_","")&amp;IF(UPPER(TRIM(K68))="V",$K$2&amp;"_","")&amp;IF(UPPER(TRIM(L68))="V",$L$2&amp;"_","")&amp;IF(UPPER(TRIM(M68))="V",$M$2&amp;"_","")&amp;IF(UPPER(TRIM(N68))="V",$N$2&amp;"_","")&amp;IF(UPPER(TRIM(O68))="V",$O$2&amp;"_","")</f>
        <v>SW1_</v>
      </c>
      <c r="AU68" s="225" t="str">
        <f t="shared" si="13"/>
        <v>Aslp_Wup_CC_DUVP_</v>
      </c>
      <c r="AV68" s="225" t="e">
        <f t="shared" ref="AV68" si="380">FIND("
",C68)</f>
        <v>#VALUE!</v>
      </c>
      <c r="AW68" s="225" t="b">
        <f t="shared" ref="AW68" si="381">IF(ISBLANK(C68),TRUE,(TRIM(C68)=""))</f>
        <v>0</v>
      </c>
      <c r="AX68" s="225" t="str">
        <f t="shared" ref="AX68" si="382">IF(AW68=TRUE,"",IF(NOT(ISERROR(AV68)),TRIM(MID(C68,1,AV68-1))&amp;"_",TRIM(C68)&amp;"_"))</f>
        <v>only 85K_</v>
      </c>
      <c r="AY68" s="225" t="str">
        <f t="shared" ref="AY68" si="383">SUBSTITUTE(AX68,"-","_")</f>
        <v>only 85K_</v>
      </c>
      <c r="AZ68" s="664" t="str">
        <f t="shared" ref="AZ68" si="384">IF(UPPER(TRIM(X68))="V",$X$2&amp;"_","")&amp;IF(UPPER(TRIM(Y68))="V",$Y$2&amp;"_","")&amp;IF(ISBLANK(Z68),"",Z68&amp;$Z$2&amp;"_")</f>
        <v>200R_</v>
      </c>
    </row>
    <row r="69" spans="1:52" s="225" customFormat="1" ht="39.75" customHeight="1">
      <c r="A69" s="668" t="s">
        <v>1429</v>
      </c>
      <c r="B69" s="678" t="s">
        <v>1434</v>
      </c>
      <c r="C69" s="670"/>
      <c r="D69" s="668" t="s">
        <v>1430</v>
      </c>
      <c r="E69" s="280" t="str">
        <f t="shared" ref="E69" si="385">AR69</f>
        <v>10S4P</v>
      </c>
      <c r="F69" s="696" t="s">
        <v>939</v>
      </c>
      <c r="G69" s="719" t="s">
        <v>116</v>
      </c>
      <c r="H69" s="720">
        <v>5</v>
      </c>
      <c r="I69" s="736" t="s">
        <v>116</v>
      </c>
      <c r="J69" s="668"/>
      <c r="K69" s="736" t="s">
        <v>116</v>
      </c>
      <c r="L69" s="668"/>
      <c r="M69" s="668"/>
      <c r="N69" s="722"/>
      <c r="O69" s="668"/>
      <c r="P69" s="736" t="s">
        <v>116</v>
      </c>
      <c r="Q69" s="721" t="s">
        <v>116</v>
      </c>
      <c r="R69" s="668"/>
      <c r="S69" s="668"/>
      <c r="T69" s="725"/>
      <c r="U69" s="668"/>
      <c r="V69" s="736" t="s">
        <v>116</v>
      </c>
      <c r="W69" s="736" t="s">
        <v>116</v>
      </c>
      <c r="X69" s="737"/>
      <c r="Y69" s="737"/>
      <c r="Z69" s="726">
        <v>200</v>
      </c>
      <c r="AA69" s="726"/>
      <c r="AB69" s="726"/>
      <c r="AC69" s="727"/>
      <c r="AD69" s="284" t="str">
        <f t="shared" ref="AD69" si="386">A69&amp;"_"&amp;E69&amp;AS69&amp;AT69&amp;AU69&amp;AZ69</f>
        <v>Pan_BJX325_36100_Y_10S4P5LEDLowDrv_SDI26FM_SW1_Aslp_Wup_CC_DUVP_200R_</v>
      </c>
      <c r="AJ69" s="225">
        <f t="shared" ref="AJ69" si="387">FIND("V",UPPER(TRIM(D69)))</f>
        <v>3</v>
      </c>
      <c r="AK69" s="225">
        <f t="shared" ref="AK69" si="388">FIND("AH",UPPER(TRIM(D69)))</f>
        <v>9</v>
      </c>
      <c r="AL69" s="225">
        <f t="shared" ref="AL69" si="389">VALUE(MID(TRIM(D69),1,AJ69-1))</f>
        <v>36</v>
      </c>
      <c r="AM69" s="225">
        <f t="shared" ref="AM69" si="390">VALUE(MID(TRIM(D69),AJ69+2,(AK69) -(AJ69+2) ))</f>
        <v>10</v>
      </c>
      <c r="AN69" s="225">
        <f t="shared" ref="AN69" si="391">VALUE(MID(TRIM(F69),4,2))</f>
        <v>26</v>
      </c>
      <c r="AO69" s="225">
        <f t="shared" ref="AO69" si="392">ROUNDDOWN(AL69/3.5,0)</f>
        <v>10</v>
      </c>
      <c r="AP69" s="225">
        <f t="shared" ref="AP69" si="393">ROUNDUP(AM69*10/AN69,0)</f>
        <v>4</v>
      </c>
      <c r="AQ69" s="225" t="str">
        <f t="shared" ref="AQ69" si="394">IF(OR(ISERROR(AO69),ISERROR(AP69)),"error","ok")</f>
        <v>ok</v>
      </c>
      <c r="AR69" s="225" t="str">
        <f t="shared" ref="AR69" si="395">IF(AQ69="ok", TEXT(AO69,0)&amp;"S"&amp; TEXT(AP69,0)&amp;"P","_")</f>
        <v>10S4P</v>
      </c>
      <c r="AS69" s="225" t="str">
        <f t="shared" ref="AS69" si="396">IF(ISBLANK(H69),"",H69&amp;$H$2&amp;IF(UPPER(TRIM(I69))="V",$I$2,"")&amp;"_"&amp;F69&amp;"_")</f>
        <v>5LEDLowDrv_SDI26FM_</v>
      </c>
      <c r="AT69" s="225" t="str">
        <f t="shared" ref="AT69" si="397">IF(UPPER(TRIM(J69))="V",$J$2&amp;"_","")&amp;IF(UPPER(TRIM(K69))="V",$K$2&amp;"_","")&amp;IF(UPPER(TRIM(L69))="V",$L$2&amp;"_","")&amp;IF(UPPER(TRIM(M69))="V",$M$2&amp;"_","")&amp;IF(UPPER(TRIM(N69))="V",$N$2&amp;"_","")&amp;IF(UPPER(TRIM(O69))="V",$O$2&amp;"_","")</f>
        <v>SW1_</v>
      </c>
      <c r="AU69" s="225" t="str">
        <f t="shared" si="13"/>
        <v>Aslp_Wup_CC_DUVP_</v>
      </c>
      <c r="AV69" s="225" t="e">
        <f t="shared" ref="AV69" si="398">FIND("
",C69)</f>
        <v>#VALUE!</v>
      </c>
      <c r="AW69" s="225" t="b">
        <f t="shared" ref="AW69" si="399">IF(ISBLANK(C69),TRUE,(TRIM(C69)=""))</f>
        <v>1</v>
      </c>
      <c r="AX69" s="225" t="str">
        <f t="shared" ref="AX69" si="400">IF(AW69=TRUE,"",IF(NOT(ISERROR(AV69)),TRIM(MID(C69,1,AV69-1))&amp;"_",TRIM(C69)&amp;"_"))</f>
        <v/>
      </c>
      <c r="AY69" s="225" t="str">
        <f t="shared" ref="AY69" si="401">SUBSTITUTE(AX69,"-","_")</f>
        <v/>
      </c>
      <c r="AZ69" s="664" t="str">
        <f t="shared" ref="AZ69" si="402">IF(UPPER(TRIM(X69))="V",$X$2&amp;"_","")&amp;IF(UPPER(TRIM(Y69))="V",$Y$2&amp;"_","")&amp;IF(ISBLANK(Z69),"",Z69&amp;$Z$2&amp;"_")</f>
        <v>200R_</v>
      </c>
    </row>
    <row r="70" spans="1:52" s="225" customFormat="1" ht="39.75" customHeight="1">
      <c r="A70" s="668" t="s">
        <v>2017</v>
      </c>
      <c r="B70" s="678" t="s">
        <v>2021</v>
      </c>
      <c r="C70" s="670" t="s">
        <v>1433</v>
      </c>
      <c r="D70" s="668" t="s">
        <v>1432</v>
      </c>
      <c r="E70" s="280" t="str">
        <f t="shared" ref="E70" si="403">AR70</f>
        <v>10S4P</v>
      </c>
      <c r="F70" s="797" t="s">
        <v>1431</v>
      </c>
      <c r="G70" s="719" t="s">
        <v>116</v>
      </c>
      <c r="H70" s="765" t="s">
        <v>1427</v>
      </c>
      <c r="I70" s="780" t="s">
        <v>116</v>
      </c>
      <c r="J70" s="668"/>
      <c r="K70" s="780" t="s">
        <v>116</v>
      </c>
      <c r="L70" s="668"/>
      <c r="M70" s="668"/>
      <c r="N70" s="722"/>
      <c r="O70" s="668"/>
      <c r="P70" s="736" t="s">
        <v>116</v>
      </c>
      <c r="Q70" s="721" t="s">
        <v>116</v>
      </c>
      <c r="R70" s="668"/>
      <c r="S70" s="668"/>
      <c r="T70" s="725"/>
      <c r="U70" s="668"/>
      <c r="V70" s="721" t="s">
        <v>116</v>
      </c>
      <c r="W70" s="736" t="s">
        <v>116</v>
      </c>
      <c r="X70" s="737"/>
      <c r="Y70" s="736"/>
      <c r="Z70" s="726">
        <v>200</v>
      </c>
      <c r="AA70" s="726"/>
      <c r="AB70" s="726"/>
      <c r="AC70" s="768" t="s">
        <v>1581</v>
      </c>
      <c r="AD70" s="284" t="str">
        <f t="shared" ref="AD70" si="404">A70&amp;"_"&amp;E70&amp;AS70&amp;AT70&amp;AU70&amp;AZ70</f>
        <v>Pan_BTG1439_36088_N_10S4PN4LEDLowDrv_SDI22FM_SW1_Aslp_Wup_CC_DUVP_200R_</v>
      </c>
      <c r="AJ70" s="225">
        <f t="shared" ref="AJ70" si="405">FIND("V",UPPER(TRIM(D70)))</f>
        <v>3</v>
      </c>
      <c r="AK70" s="225">
        <f t="shared" ref="AK70" si="406">FIND("AH",UPPER(TRIM(D70)))</f>
        <v>8</v>
      </c>
      <c r="AL70" s="225">
        <f t="shared" ref="AL70" si="407">VALUE(MID(TRIM(D70),1,AJ70-1))</f>
        <v>36</v>
      </c>
      <c r="AM70" s="225">
        <f t="shared" ref="AM70" si="408">VALUE(MID(TRIM(D70),AJ70+2,(AK70) -(AJ70+2) ))</f>
        <v>8.8000000000000007</v>
      </c>
      <c r="AN70" s="225">
        <f t="shared" ref="AN70" si="409">VALUE(MID(TRIM(F70),4,2))</f>
        <v>22</v>
      </c>
      <c r="AO70" s="225">
        <f t="shared" ref="AO70" si="410">ROUNDDOWN(AL70/3.5,0)</f>
        <v>10</v>
      </c>
      <c r="AP70" s="225">
        <f t="shared" ref="AP70" si="411">ROUNDUP(AM70*10/AN70,0)</f>
        <v>4</v>
      </c>
      <c r="AQ70" s="225" t="str">
        <f t="shared" ref="AQ70" si="412">IF(OR(ISERROR(AO70),ISERROR(AP70)),"error","ok")</f>
        <v>ok</v>
      </c>
      <c r="AR70" s="225" t="str">
        <f t="shared" ref="AR70" si="413">IF(AQ70="ok", TEXT(AO70,0)&amp;"S"&amp; TEXT(AP70,0)&amp;"P","_")</f>
        <v>10S4P</v>
      </c>
      <c r="AS70" s="225" t="str">
        <f t="shared" ref="AS70" si="414">IF(ISBLANK(H70),"",H70&amp;$H$2&amp;IF(UPPER(TRIM(I70))="V",$I$2,"")&amp;"_"&amp;F70&amp;"_")</f>
        <v>N4LEDLowDrv_SDI22FM_</v>
      </c>
      <c r="AT70" s="225" t="str">
        <f t="shared" ref="AT70" si="415">IF(UPPER(TRIM(J70))="V",$J$2&amp;"_","")&amp;IF(UPPER(TRIM(K70))="V",$K$2&amp;"_","")&amp;IF(UPPER(TRIM(L70))="V",$L$2&amp;"_","")&amp;IF(UPPER(TRIM(M70))="V",$M$2&amp;"_","")&amp;IF(UPPER(TRIM(N70))="V",$N$2&amp;"_","")&amp;IF(UPPER(TRIM(O70))="V",$O$2&amp;"_","")</f>
        <v>SW1_</v>
      </c>
      <c r="AU70" s="225" t="str">
        <f t="shared" ref="AU70:AU141" si="416">IF(UPPER(TRIM(P70))="V",$P$2&amp;"_","")&amp;IF(UPPER(TRIM(Q70))="V",$Q$2&amp;"_","")&amp;IF(UPPER(TRIM(R70))="V",$R$2&amp;"_","")&amp;IF(UPPER(TRIM(S70))="V",$S$2&amp;"_","")&amp;IF(UPPER(TRIM(T70))="V",$T$2&amp;"_","")&amp;IF(UPPER(TRIM(U70))="V",$U$2&amp;"_","")&amp;IF(UPPER(TRIM(V70))="V",$V$2&amp;"_","")&amp;IF(UPPER(TRIM(W70))="V",$W$2&amp;"_","")</f>
        <v>Aslp_Wup_CC_DUVP_</v>
      </c>
      <c r="AV70" s="225" t="e">
        <f t="shared" ref="AV70" si="417">FIND("
",C70)</f>
        <v>#VALUE!</v>
      </c>
      <c r="AW70" s="225" t="b">
        <f t="shared" ref="AW70" si="418">IF(ISBLANK(C70),TRUE,(TRIM(C70)=""))</f>
        <v>0</v>
      </c>
      <c r="AX70" s="225" t="str">
        <f t="shared" ref="AX70" si="419">IF(AW70=TRUE,"",IF(NOT(ISERROR(AV70)),TRIM(MID(C70,1,AV70-1))&amp;"_",TRIM(C70)&amp;"_"))</f>
        <v>DAKB08800-W021E01LT_</v>
      </c>
      <c r="AY70" s="225" t="str">
        <f t="shared" ref="AY70" si="420">SUBSTITUTE(AX70,"-","_")</f>
        <v>DAKB08800_W021E01LT_</v>
      </c>
      <c r="AZ70" s="664" t="str">
        <f t="shared" ref="AZ70" si="421">IF(UPPER(TRIM(X70))="V",$X$2&amp;"_","")&amp;IF(UPPER(TRIM(Y70))="V",$Y$2&amp;"_","")&amp;IF(ISBLANK(Z70),"",Z70&amp;$Z$2&amp;"_")</f>
        <v>200R_</v>
      </c>
    </row>
    <row r="71" spans="1:52" s="225" customFormat="1" ht="39.75" customHeight="1">
      <c r="A71" s="668" t="s">
        <v>1583</v>
      </c>
      <c r="B71" s="678" t="s">
        <v>1580</v>
      </c>
      <c r="C71" s="670"/>
      <c r="D71" s="668" t="s">
        <v>1582</v>
      </c>
      <c r="E71" s="280" t="str">
        <f t="shared" ref="E71:E73" si="422">AR71</f>
        <v>10S3P</v>
      </c>
      <c r="F71" s="696" t="s">
        <v>939</v>
      </c>
      <c r="G71" s="719" t="s">
        <v>116</v>
      </c>
      <c r="H71" s="765" t="s">
        <v>1012</v>
      </c>
      <c r="I71" s="736"/>
      <c r="J71" s="668"/>
      <c r="K71" s="780" t="s">
        <v>116</v>
      </c>
      <c r="L71" s="668"/>
      <c r="M71" s="668"/>
      <c r="N71" s="722"/>
      <c r="O71" s="668"/>
      <c r="P71" s="736" t="s">
        <v>116</v>
      </c>
      <c r="Q71" s="721" t="s">
        <v>116</v>
      </c>
      <c r="R71" s="668"/>
      <c r="S71" s="668"/>
      <c r="T71" s="725"/>
      <c r="U71" s="668"/>
      <c r="V71" s="721" t="s">
        <v>116</v>
      </c>
      <c r="W71" s="736" t="s">
        <v>116</v>
      </c>
      <c r="X71" s="737"/>
      <c r="Y71" s="737"/>
      <c r="Z71" s="726">
        <v>200</v>
      </c>
      <c r="AA71" s="726"/>
      <c r="AB71" s="726"/>
      <c r="AC71" s="727"/>
      <c r="AD71" s="284" t="str">
        <f t="shared" ref="AD71" si="423">A71&amp;"_"&amp;E71&amp;AS71&amp;AT71&amp;AU71&amp;AZ71</f>
        <v>Pan_BTL305_36078_D_10S3PN3LED_SDI26FM_SW1_Aslp_Wup_CC_DUVP_200R_</v>
      </c>
      <c r="AJ71" s="225">
        <f t="shared" ref="AJ71" si="424">FIND("V",UPPER(TRIM(D71)))</f>
        <v>3</v>
      </c>
      <c r="AK71" s="225">
        <f t="shared" ref="AK71" si="425">FIND("AH",UPPER(TRIM(D71)))</f>
        <v>8</v>
      </c>
      <c r="AL71" s="225">
        <f t="shared" ref="AL71" si="426">VALUE(MID(TRIM(D71),1,AJ71-1))</f>
        <v>36</v>
      </c>
      <c r="AM71" s="225">
        <f t="shared" ref="AM71" si="427">VALUE(MID(TRIM(D71),AJ71+2,(AK71) -(AJ71+2) ))</f>
        <v>7.8</v>
      </c>
      <c r="AN71" s="225">
        <f t="shared" ref="AN71" si="428">VALUE(MID(TRIM(F71),4,2))</f>
        <v>26</v>
      </c>
      <c r="AO71" s="225">
        <f t="shared" ref="AO71" si="429">ROUNDDOWN(AL71/3.5,0)</f>
        <v>10</v>
      </c>
      <c r="AP71" s="225">
        <f t="shared" ref="AP71" si="430">ROUNDUP(AM71*10/AN71,0)</f>
        <v>3</v>
      </c>
      <c r="AQ71" s="225" t="str">
        <f t="shared" ref="AQ71" si="431">IF(OR(ISERROR(AO71),ISERROR(AP71)),"error","ok")</f>
        <v>ok</v>
      </c>
      <c r="AR71" s="225" t="str">
        <f t="shared" ref="AR71" si="432">IF(AQ71="ok", TEXT(AO71,0)&amp;"S"&amp; TEXT(AP71,0)&amp;"P","_")</f>
        <v>10S3P</v>
      </c>
      <c r="AS71" s="225" t="str">
        <f t="shared" ref="AS71" si="433">IF(ISBLANK(H71),"",H71&amp;$H$2&amp;IF(UPPER(TRIM(I71))="V",$I$2,"")&amp;"_"&amp;F71&amp;"_")</f>
        <v>N3LED_SDI26FM_</v>
      </c>
      <c r="AT71" s="225" t="str">
        <f t="shared" ref="AT71" si="434">IF(UPPER(TRIM(J71))="V",$J$2&amp;"_","")&amp;IF(UPPER(TRIM(K71))="V",$K$2&amp;"_","")&amp;IF(UPPER(TRIM(L71))="V",$L$2&amp;"_","")&amp;IF(UPPER(TRIM(M71))="V",$M$2&amp;"_","")&amp;IF(UPPER(TRIM(N71))="V",$N$2&amp;"_","")&amp;IF(UPPER(TRIM(O71))="V",$O$2&amp;"_","")</f>
        <v>SW1_</v>
      </c>
      <c r="AU71" s="225" t="str">
        <f t="shared" si="416"/>
        <v>Aslp_Wup_CC_DUVP_</v>
      </c>
      <c r="AV71" s="225" t="e">
        <f t="shared" ref="AV71" si="435">FIND("
",C71)</f>
        <v>#VALUE!</v>
      </c>
      <c r="AW71" s="225" t="b">
        <f t="shared" ref="AW71" si="436">IF(ISBLANK(C71),TRUE,(TRIM(C71)=""))</f>
        <v>1</v>
      </c>
      <c r="AX71" s="225" t="str">
        <f t="shared" ref="AX71" si="437">IF(AW71=TRUE,"",IF(NOT(ISERROR(AV71)),TRIM(MID(C71,1,AV71-1))&amp;"_",TRIM(C71)&amp;"_"))</f>
        <v/>
      </c>
      <c r="AY71" s="225" t="str">
        <f t="shared" ref="AY71" si="438">SUBSTITUTE(AX71,"-","_")</f>
        <v/>
      </c>
      <c r="AZ71" s="664" t="str">
        <f t="shared" ref="AZ71" si="439">IF(UPPER(TRIM(X71))="V",$X$2&amp;"_","")&amp;IF(UPPER(TRIM(Y71))="V",$Y$2&amp;"_","")&amp;IF(ISBLANK(Z71),"",Z71&amp;$Z$2&amp;"_")</f>
        <v>200R_</v>
      </c>
    </row>
    <row r="72" spans="1:52" s="225" customFormat="1" ht="39.75" customHeight="1">
      <c r="A72" s="710" t="s">
        <v>1588</v>
      </c>
      <c r="B72" s="711" t="s">
        <v>1589</v>
      </c>
      <c r="C72" s="712"/>
      <c r="D72" s="710" t="s">
        <v>1590</v>
      </c>
      <c r="E72" s="280" t="str">
        <f t="shared" si="422"/>
        <v>10S4P</v>
      </c>
      <c r="F72" s="696" t="s">
        <v>939</v>
      </c>
      <c r="G72" s="719" t="s">
        <v>116</v>
      </c>
      <c r="H72" s="765">
        <v>4</v>
      </c>
      <c r="I72" s="780" t="s">
        <v>685</v>
      </c>
      <c r="J72" s="728"/>
      <c r="K72" s="780" t="s">
        <v>685</v>
      </c>
      <c r="L72" s="728"/>
      <c r="M72" s="728"/>
      <c r="N72" s="798"/>
      <c r="O72" s="728"/>
      <c r="P72" s="780" t="s">
        <v>685</v>
      </c>
      <c r="Q72" s="766" t="s">
        <v>685</v>
      </c>
      <c r="R72" s="728"/>
      <c r="S72" s="728"/>
      <c r="T72" s="799"/>
      <c r="U72" s="728"/>
      <c r="V72" s="766" t="s">
        <v>685</v>
      </c>
      <c r="W72" s="780" t="s">
        <v>685</v>
      </c>
      <c r="X72" s="800"/>
      <c r="Y72" s="800"/>
      <c r="Z72" s="778">
        <v>143</v>
      </c>
      <c r="AA72" s="778"/>
      <c r="AB72" s="778"/>
      <c r="AC72" s="796" t="s">
        <v>1591</v>
      </c>
      <c r="AD72" s="284" t="str">
        <f t="shared" ref="AD72" si="440">A72&amp;"_"&amp;E72&amp;AS72&amp;AT72&amp;AU72&amp;AZ72</f>
        <v>Ares115_36100_D_10S4P4LEDLowDrv_SDI26FM_SW1_Aslp_Wup_CC_DUVP_143R_</v>
      </c>
      <c r="AJ72" s="225">
        <f t="shared" ref="AJ72" si="441">FIND("V",UPPER(TRIM(D72)))</f>
        <v>3</v>
      </c>
      <c r="AK72" s="225">
        <f t="shared" ref="AK72" si="442">FIND("AH",UPPER(TRIM(D72)))</f>
        <v>9</v>
      </c>
      <c r="AL72" s="225">
        <f t="shared" ref="AL72" si="443">VALUE(MID(TRIM(D72),1,AJ72-1))</f>
        <v>36</v>
      </c>
      <c r="AM72" s="225">
        <f t="shared" ref="AM72" si="444">VALUE(MID(TRIM(D72),AJ72+2,(AK72) -(AJ72+2) ))</f>
        <v>10</v>
      </c>
      <c r="AN72" s="225">
        <f t="shared" ref="AN72" si="445">VALUE(MID(TRIM(F72),4,2))</f>
        <v>26</v>
      </c>
      <c r="AO72" s="225">
        <f t="shared" ref="AO72" si="446">ROUNDDOWN(AL72/3.5,0)</f>
        <v>10</v>
      </c>
      <c r="AP72" s="225">
        <f t="shared" ref="AP72" si="447">ROUNDUP(AM72*10/AN72,0)</f>
        <v>4</v>
      </c>
      <c r="AQ72" s="225" t="str">
        <f t="shared" ref="AQ72" si="448">IF(OR(ISERROR(AO72),ISERROR(AP72)),"error","ok")</f>
        <v>ok</v>
      </c>
      <c r="AR72" s="225" t="str">
        <f t="shared" ref="AR72" si="449">IF(AQ72="ok", TEXT(AO72,0)&amp;"S"&amp; TEXT(AP72,0)&amp;"P","_")</f>
        <v>10S4P</v>
      </c>
      <c r="AS72" s="225" t="str">
        <f t="shared" ref="AS72" si="450">IF(ISBLANK(H72),"",H72&amp;$H$2&amp;IF(UPPER(TRIM(I72))="V",$I$2,"")&amp;"_"&amp;F72&amp;"_")</f>
        <v>4LEDLowDrv_SDI26FM_</v>
      </c>
      <c r="AT72" s="225" t="str">
        <f t="shared" ref="AT72" si="451">IF(UPPER(TRIM(J72))="V",$J$2&amp;"_","")&amp;IF(UPPER(TRIM(K72))="V",$K$2&amp;"_","")&amp;IF(UPPER(TRIM(L72))="V",$L$2&amp;"_","")&amp;IF(UPPER(TRIM(M72))="V",$M$2&amp;"_","")&amp;IF(UPPER(TRIM(N72))="V",$N$2&amp;"_","")&amp;IF(UPPER(TRIM(O72))="V",$O$2&amp;"_","")</f>
        <v>SW1_</v>
      </c>
      <c r="AU72" s="225" t="str">
        <f t="shared" si="416"/>
        <v>Aslp_Wup_CC_DUVP_</v>
      </c>
      <c r="AV72" s="225" t="e">
        <f t="shared" ref="AV72" si="452">FIND("
",C72)</f>
        <v>#VALUE!</v>
      </c>
      <c r="AW72" s="225" t="b">
        <f t="shared" ref="AW72" si="453">IF(ISBLANK(C72),TRUE,(TRIM(C72)=""))</f>
        <v>1</v>
      </c>
      <c r="AX72" s="225" t="str">
        <f t="shared" ref="AX72" si="454">IF(AW72=TRUE,"",IF(NOT(ISERROR(AV72)),TRIM(MID(C72,1,AV72-1))&amp;"_",TRIM(C72)&amp;"_"))</f>
        <v/>
      </c>
      <c r="AY72" s="225" t="str">
        <f t="shared" ref="AY72" si="455">SUBSTITUTE(AX72,"-","_")</f>
        <v/>
      </c>
      <c r="AZ72" s="664" t="str">
        <f t="shared" ref="AZ72" si="456">IF(UPPER(TRIM(X72))="V",$X$2&amp;"_","")&amp;IF(UPPER(TRIM(Y72))="V",$Y$2&amp;"_","")&amp;IF(ISBLANK(Z72),"",Z72&amp;$Z$2&amp;"_")</f>
        <v>143R_</v>
      </c>
    </row>
    <row r="73" spans="1:52" s="225" customFormat="1" ht="39.75" customHeight="1">
      <c r="A73" s="710" t="s">
        <v>1588</v>
      </c>
      <c r="B73" s="711" t="s">
        <v>1589</v>
      </c>
      <c r="C73" s="712"/>
      <c r="D73" s="710" t="s">
        <v>1590</v>
      </c>
      <c r="E73" s="280" t="str">
        <f t="shared" si="422"/>
        <v>10S4P</v>
      </c>
      <c r="F73" s="696" t="s">
        <v>939</v>
      </c>
      <c r="G73" s="719" t="s">
        <v>116</v>
      </c>
      <c r="H73" s="765">
        <v>4</v>
      </c>
      <c r="I73" s="780" t="s">
        <v>685</v>
      </c>
      <c r="J73" s="728"/>
      <c r="K73" s="780" t="s">
        <v>685</v>
      </c>
      <c r="L73" s="728"/>
      <c r="M73" s="728"/>
      <c r="N73" s="798"/>
      <c r="O73" s="728"/>
      <c r="P73" s="780" t="s">
        <v>685</v>
      </c>
      <c r="Q73" s="766" t="s">
        <v>685</v>
      </c>
      <c r="R73" s="728"/>
      <c r="S73" s="728"/>
      <c r="T73" s="799"/>
      <c r="U73" s="728"/>
      <c r="V73" s="766" t="s">
        <v>685</v>
      </c>
      <c r="W73" s="780" t="s">
        <v>685</v>
      </c>
      <c r="X73" s="800"/>
      <c r="Y73" s="800"/>
      <c r="Z73" s="778">
        <v>120</v>
      </c>
      <c r="AA73" s="778"/>
      <c r="AB73" s="778"/>
      <c r="AC73" s="801" t="s">
        <v>1916</v>
      </c>
      <c r="AD73" s="284" t="str">
        <f t="shared" ref="AD73" si="457">A73&amp;"_"&amp;E73&amp;AS73&amp;AT73&amp;AU73&amp;AZ73</f>
        <v>Ares115_36100_D_10S4P4LEDLowDrv_SDI26FM_SW1_Aslp_Wup_CC_DUVP_120R_</v>
      </c>
      <c r="AJ73" s="225">
        <f t="shared" ref="AJ73" si="458">FIND("V",UPPER(TRIM(D73)))</f>
        <v>3</v>
      </c>
      <c r="AK73" s="225">
        <f t="shared" ref="AK73" si="459">FIND("AH",UPPER(TRIM(D73)))</f>
        <v>9</v>
      </c>
      <c r="AL73" s="225">
        <f t="shared" ref="AL73" si="460">VALUE(MID(TRIM(D73),1,AJ73-1))</f>
        <v>36</v>
      </c>
      <c r="AM73" s="225">
        <f t="shared" ref="AM73" si="461">VALUE(MID(TRIM(D73),AJ73+2,(AK73) -(AJ73+2) ))</f>
        <v>10</v>
      </c>
      <c r="AN73" s="225">
        <f t="shared" ref="AN73" si="462">VALUE(MID(TRIM(F73),4,2))</f>
        <v>26</v>
      </c>
      <c r="AO73" s="225">
        <f t="shared" ref="AO73" si="463">ROUNDDOWN(AL73/3.5,0)</f>
        <v>10</v>
      </c>
      <c r="AP73" s="225">
        <f t="shared" ref="AP73" si="464">ROUNDUP(AM73*10/AN73,0)</f>
        <v>4</v>
      </c>
      <c r="AQ73" s="225" t="str">
        <f t="shared" ref="AQ73" si="465">IF(OR(ISERROR(AO73),ISERROR(AP73)),"error","ok")</f>
        <v>ok</v>
      </c>
      <c r="AR73" s="225" t="str">
        <f t="shared" ref="AR73" si="466">IF(AQ73="ok", TEXT(AO73,0)&amp;"S"&amp; TEXT(AP73,0)&amp;"P","_")</f>
        <v>10S4P</v>
      </c>
      <c r="AS73" s="225" t="str">
        <f t="shared" ref="AS73" si="467">IF(ISBLANK(H73),"",H73&amp;$H$2&amp;IF(UPPER(TRIM(I73))="V",$I$2,"")&amp;"_"&amp;F73&amp;"_")</f>
        <v>4LEDLowDrv_SDI26FM_</v>
      </c>
      <c r="AT73" s="225" t="str">
        <f t="shared" ref="AT73" si="468">IF(UPPER(TRIM(J73))="V",$J$2&amp;"_","")&amp;IF(UPPER(TRIM(K73))="V",$K$2&amp;"_","")&amp;IF(UPPER(TRIM(L73))="V",$L$2&amp;"_","")&amp;IF(UPPER(TRIM(M73))="V",$M$2&amp;"_","")&amp;IF(UPPER(TRIM(N73))="V",$N$2&amp;"_","")&amp;IF(UPPER(TRIM(O73))="V",$O$2&amp;"_","")</f>
        <v>SW1_</v>
      </c>
      <c r="AU73" s="225" t="str">
        <f t="shared" si="416"/>
        <v>Aslp_Wup_CC_DUVP_</v>
      </c>
      <c r="AV73" s="225" t="e">
        <f t="shared" ref="AV73" si="469">FIND("
",C73)</f>
        <v>#VALUE!</v>
      </c>
      <c r="AW73" s="225" t="b">
        <f t="shared" ref="AW73" si="470">IF(ISBLANK(C73),TRUE,(TRIM(C73)=""))</f>
        <v>1</v>
      </c>
      <c r="AX73" s="225" t="str">
        <f t="shared" ref="AX73" si="471">IF(AW73=TRUE,"",IF(NOT(ISERROR(AV73)),TRIM(MID(C73,1,AV73-1))&amp;"_",TRIM(C73)&amp;"_"))</f>
        <v/>
      </c>
      <c r="AY73" s="225" t="str">
        <f t="shared" ref="AY73" si="472">SUBSTITUTE(AX73,"-","_")</f>
        <v/>
      </c>
      <c r="AZ73" s="664" t="str">
        <f t="shared" ref="AZ73" si="473">IF(UPPER(TRIM(X73))="V",$X$2&amp;"_","")&amp;IF(UPPER(TRIM(Y73))="V",$Y$2&amp;"_","")&amp;IF(ISBLANK(Z73),"",Z73&amp;$Z$2&amp;"_")</f>
        <v>120R_</v>
      </c>
    </row>
    <row r="74" spans="1:52" s="225" customFormat="1" ht="39.75" customHeight="1" thickBot="1">
      <c r="A74" s="683" t="s">
        <v>1592</v>
      </c>
      <c r="B74" s="681" t="s">
        <v>1362</v>
      </c>
      <c r="C74" s="821"/>
      <c r="D74" s="683" t="s">
        <v>1593</v>
      </c>
      <c r="E74" s="281" t="str">
        <f t="shared" ref="E74" si="474">AR74</f>
        <v>10S4P</v>
      </c>
      <c r="F74" s="690" t="s">
        <v>939</v>
      </c>
      <c r="G74" s="749" t="s">
        <v>116</v>
      </c>
      <c r="H74" s="750">
        <v>5</v>
      </c>
      <c r="I74" s="822" t="s">
        <v>116</v>
      </c>
      <c r="J74" s="683"/>
      <c r="K74" s="822" t="s">
        <v>116</v>
      </c>
      <c r="L74" s="683"/>
      <c r="M74" s="683"/>
      <c r="N74" s="752"/>
      <c r="O74" s="683"/>
      <c r="P74" s="822" t="s">
        <v>116</v>
      </c>
      <c r="Q74" s="751" t="s">
        <v>116</v>
      </c>
      <c r="R74" s="683"/>
      <c r="S74" s="683"/>
      <c r="T74" s="772"/>
      <c r="U74" s="683"/>
      <c r="V74" s="751" t="s">
        <v>116</v>
      </c>
      <c r="W74" s="822" t="s">
        <v>116</v>
      </c>
      <c r="X74" s="823"/>
      <c r="Y74" s="823"/>
      <c r="Z74" s="753">
        <v>200</v>
      </c>
      <c r="AA74" s="858"/>
      <c r="AB74" s="858"/>
      <c r="AC74" s="727" t="s">
        <v>1595</v>
      </c>
      <c r="AD74" s="284" t="str">
        <f t="shared" ref="AD74" si="475">A74&amp;"_"&amp;E74&amp;AS74&amp;AT74&amp;AU74&amp;AZ74</f>
        <v>Pan_BLT300_36104_D_10S4P5LEDLowDrv_SDI26FM_SW1_Aslp_Wup_CC_DUVP_200R_</v>
      </c>
      <c r="AJ74" s="225">
        <f t="shared" ref="AJ74" si="476">FIND("V",UPPER(TRIM(D74)))</f>
        <v>3</v>
      </c>
      <c r="AK74" s="225">
        <f t="shared" ref="AK74" si="477">FIND("AH",UPPER(TRIM(D74)))</f>
        <v>9</v>
      </c>
      <c r="AL74" s="225">
        <f t="shared" ref="AL74" si="478">VALUE(MID(TRIM(D74),1,AJ74-1))</f>
        <v>36</v>
      </c>
      <c r="AM74" s="225">
        <f t="shared" ref="AM74" si="479">VALUE(MID(TRIM(D74),AJ74+2,(AK74) -(AJ74+2) ))</f>
        <v>10.4</v>
      </c>
      <c r="AN74" s="225">
        <f t="shared" ref="AN74" si="480">VALUE(MID(TRIM(F74),4,2))</f>
        <v>26</v>
      </c>
      <c r="AO74" s="225">
        <f t="shared" ref="AO74" si="481">ROUNDDOWN(AL74/3.5,0)</f>
        <v>10</v>
      </c>
      <c r="AP74" s="225">
        <f t="shared" ref="AP74" si="482">ROUNDUP(AM74*10/AN74,0)</f>
        <v>4</v>
      </c>
      <c r="AQ74" s="225" t="str">
        <f t="shared" ref="AQ74" si="483">IF(OR(ISERROR(AO74),ISERROR(AP74)),"error","ok")</f>
        <v>ok</v>
      </c>
      <c r="AR74" s="225" t="str">
        <f t="shared" ref="AR74" si="484">IF(AQ74="ok", TEXT(AO74,0)&amp;"S"&amp; TEXT(AP74,0)&amp;"P","_")</f>
        <v>10S4P</v>
      </c>
      <c r="AS74" s="225" t="str">
        <f t="shared" ref="AS74" si="485">IF(ISBLANK(H74),"",H74&amp;$H$2&amp;IF(UPPER(TRIM(I74))="V",$I$2,"")&amp;"_"&amp;F74&amp;"_")</f>
        <v>5LEDLowDrv_SDI26FM_</v>
      </c>
      <c r="AT74" s="225" t="str">
        <f t="shared" ref="AT74" si="486">IF(UPPER(TRIM(J74))="V",$J$2&amp;"_","")&amp;IF(UPPER(TRIM(K74))="V",$K$2&amp;"_","")&amp;IF(UPPER(TRIM(L74))="V",$L$2&amp;"_","")&amp;IF(UPPER(TRIM(M74))="V",$M$2&amp;"_","")&amp;IF(UPPER(TRIM(N74))="V",$N$2&amp;"_","")&amp;IF(UPPER(TRIM(O74))="V",$O$2&amp;"_","")</f>
        <v>SW1_</v>
      </c>
      <c r="AU74" s="225" t="str">
        <f t="shared" si="416"/>
        <v>Aslp_Wup_CC_DUVP_</v>
      </c>
      <c r="AV74" s="225" t="e">
        <f t="shared" ref="AV74" si="487">FIND("
",C74)</f>
        <v>#VALUE!</v>
      </c>
      <c r="AW74" s="225" t="b">
        <f t="shared" ref="AW74" si="488">IF(ISBLANK(C74),TRUE,(TRIM(C74)=""))</f>
        <v>1</v>
      </c>
      <c r="AX74" s="225" t="str">
        <f t="shared" ref="AX74" si="489">IF(AW74=TRUE,"",IF(NOT(ISERROR(AV74)),TRIM(MID(C74,1,AV74-1))&amp;"_",TRIM(C74)&amp;"_"))</f>
        <v/>
      </c>
      <c r="AY74" s="225" t="str">
        <f t="shared" ref="AY74" si="490">SUBSTITUTE(AX74,"-","_")</f>
        <v/>
      </c>
      <c r="AZ74" s="664" t="str">
        <f t="shared" ref="AZ74" si="491">IF(UPPER(TRIM(X74))="V",$X$2&amp;"_","")&amp;IF(UPPER(TRIM(Y74))="V",$Y$2&amp;"_","")&amp;IF(ISBLANK(Z74),"",Z74&amp;$Z$2&amp;"_")</f>
        <v>200R_</v>
      </c>
    </row>
    <row r="75" spans="1:52" s="286" customFormat="1" ht="39.75" customHeight="1" thickTop="1">
      <c r="A75" s="824" t="s">
        <v>1901</v>
      </c>
      <c r="B75" s="825" t="s">
        <v>1918</v>
      </c>
      <c r="C75" s="826"/>
      <c r="D75" s="824" t="s">
        <v>1902</v>
      </c>
      <c r="E75" s="282" t="str">
        <f t="shared" ref="E75" si="492">AR75</f>
        <v>10S4P</v>
      </c>
      <c r="F75" s="827" t="s">
        <v>1903</v>
      </c>
      <c r="G75" s="755" t="s">
        <v>116</v>
      </c>
      <c r="H75" s="828" t="s">
        <v>1904</v>
      </c>
      <c r="I75" s="829" t="s">
        <v>116</v>
      </c>
      <c r="J75" s="830"/>
      <c r="K75" s="829" t="s">
        <v>116</v>
      </c>
      <c r="L75" s="824"/>
      <c r="M75" s="824"/>
      <c r="N75" s="831"/>
      <c r="O75" s="824"/>
      <c r="P75" s="832" t="s">
        <v>116</v>
      </c>
      <c r="Q75" s="833" t="s">
        <v>116</v>
      </c>
      <c r="R75" s="824"/>
      <c r="S75" s="824"/>
      <c r="T75" s="834"/>
      <c r="U75" s="824"/>
      <c r="V75" s="833" t="s">
        <v>116</v>
      </c>
      <c r="W75" s="832" t="s">
        <v>116</v>
      </c>
      <c r="X75" s="824"/>
      <c r="Y75" s="824"/>
      <c r="Z75" s="835">
        <v>136</v>
      </c>
      <c r="AA75" s="835"/>
      <c r="AB75" s="835"/>
      <c r="AC75" s="777" t="s">
        <v>1917</v>
      </c>
      <c r="AD75" s="285" t="str">
        <f t="shared" ref="AD75" si="493">A75&amp;"_"&amp;E75&amp;AS75&amp;AT75&amp;AU75&amp;AZ75</f>
        <v>Pan_ST_36116_D_10S4PN5LEDLowDrv_SDI29E_SW1_Aslp_Wup_CC_DUVP_136R_</v>
      </c>
      <c r="AJ75" s="286">
        <f t="shared" ref="AJ75" si="494">FIND("V",UPPER(TRIM(D75)))</f>
        <v>3</v>
      </c>
      <c r="AK75" s="286">
        <f t="shared" ref="AK75" si="495">FIND("AH",UPPER(TRIM(D75)))</f>
        <v>9</v>
      </c>
      <c r="AL75" s="286">
        <f t="shared" ref="AL75" si="496">VALUE(MID(TRIM(D75),1,AJ75-1))</f>
        <v>36</v>
      </c>
      <c r="AM75" s="286">
        <f t="shared" ref="AM75" si="497">VALUE(MID(TRIM(D75),AJ75+2,(AK75) -(AJ75+2) ))</f>
        <v>11.6</v>
      </c>
      <c r="AN75" s="286">
        <f t="shared" ref="AN75" si="498">VALUE(MID(TRIM(F75),4,2))</f>
        <v>29</v>
      </c>
      <c r="AO75" s="286">
        <f t="shared" ref="AO75" si="499">ROUNDDOWN(AL75/3.5,0)</f>
        <v>10</v>
      </c>
      <c r="AP75" s="286">
        <f t="shared" ref="AP75" si="500">ROUNDUP(AM75*10/AN75,0)</f>
        <v>4</v>
      </c>
      <c r="AQ75" s="286" t="str">
        <f t="shared" ref="AQ75" si="501">IF(OR(ISERROR(AO75),ISERROR(AP75)),"error","ok")</f>
        <v>ok</v>
      </c>
      <c r="AR75" s="286" t="str">
        <f t="shared" ref="AR75" si="502">IF(AQ75="ok", TEXT(AO75,0)&amp;"S"&amp; TEXT(AP75,0)&amp;"P","_")</f>
        <v>10S4P</v>
      </c>
      <c r="AS75" s="286" t="str">
        <f t="shared" ref="AS75" si="503">IF(ISBLANK(H75),"",H75&amp;$H$2&amp;IF(UPPER(TRIM(I75))="V",$I$2,"")&amp;"_"&amp;F75&amp;"_")</f>
        <v>N5LEDLowDrv_SDI29E_</v>
      </c>
      <c r="AT75" s="286" t="str">
        <f t="shared" ref="AT75" si="504">IF(UPPER(TRIM(J75))="V",$J$2&amp;"_","")&amp;IF(UPPER(TRIM(K75))="V",$K$2&amp;"_","")&amp;IF(UPPER(TRIM(L75))="V",$L$2&amp;"_","")&amp;IF(UPPER(TRIM(M75))="V",$M$2&amp;"_","")&amp;IF(UPPER(TRIM(N75))="V",$N$2&amp;"_","")&amp;IF(UPPER(TRIM(O75))="V",$O$2&amp;"_","")</f>
        <v>SW1_</v>
      </c>
      <c r="AU75" s="286" t="str">
        <f t="shared" si="416"/>
        <v>Aslp_Wup_CC_DUVP_</v>
      </c>
      <c r="AV75" s="286" t="e">
        <f t="shared" ref="AV75" si="505">FIND("
",C75)</f>
        <v>#VALUE!</v>
      </c>
      <c r="AW75" s="286" t="b">
        <f t="shared" ref="AW75" si="506">IF(ISBLANK(C75),TRUE,(TRIM(C75)=""))</f>
        <v>1</v>
      </c>
      <c r="AX75" s="286" t="str">
        <f t="shared" ref="AX75" si="507">IF(AW75=TRUE,"",IF(NOT(ISERROR(AV75)),TRIM(MID(C75,1,AV75-1))&amp;"_",TRIM(C75)&amp;"_"))</f>
        <v/>
      </c>
      <c r="AY75" s="286" t="str">
        <f t="shared" ref="AY75" si="508">SUBSTITUTE(AX75,"-","_")</f>
        <v/>
      </c>
      <c r="AZ75" s="286" t="str">
        <f t="shared" ref="AZ75" si="509">IF(UPPER(TRIM(X75))="V",$X$2&amp;"_","")&amp;IF(UPPER(TRIM(Y75))="V",$Y$2&amp;"_","")&amp;IF(ISBLANK(Z75),"",Z75&amp;$Z$2&amp;"_")</f>
        <v>136R_</v>
      </c>
    </row>
    <row r="76" spans="1:52" s="225" customFormat="1" ht="39.75" customHeight="1">
      <c r="A76" s="713" t="s">
        <v>1225</v>
      </c>
      <c r="B76" s="714" t="s">
        <v>2061</v>
      </c>
      <c r="C76" s="715" t="s">
        <v>1073</v>
      </c>
      <c r="D76" s="713" t="s">
        <v>1075</v>
      </c>
      <c r="E76" s="280" t="str">
        <f t="shared" ref="E76:E80" si="510">AR76</f>
        <v>10S7P</v>
      </c>
      <c r="F76" s="696" t="s">
        <v>939</v>
      </c>
      <c r="G76" s="719" t="s">
        <v>116</v>
      </c>
      <c r="H76" s="720">
        <v>5</v>
      </c>
      <c r="I76" s="806" t="s">
        <v>116</v>
      </c>
      <c r="J76" s="713"/>
      <c r="K76" s="806" t="s">
        <v>116</v>
      </c>
      <c r="L76" s="713"/>
      <c r="M76" s="713"/>
      <c r="N76" s="805"/>
      <c r="O76" s="713"/>
      <c r="P76" s="806" t="s">
        <v>116</v>
      </c>
      <c r="Q76" s="807" t="s">
        <v>116</v>
      </c>
      <c r="R76" s="713"/>
      <c r="S76" s="713"/>
      <c r="T76" s="808"/>
      <c r="U76" s="713"/>
      <c r="V76" s="807" t="s">
        <v>116</v>
      </c>
      <c r="W76" s="806" t="s">
        <v>116</v>
      </c>
      <c r="X76" s="713"/>
      <c r="Y76" s="713"/>
      <c r="Z76" s="809">
        <v>136</v>
      </c>
      <c r="AA76" s="809"/>
      <c r="AB76" s="809"/>
      <c r="AC76" s="727" t="s">
        <v>1924</v>
      </c>
      <c r="AD76" s="284" t="str">
        <f t="shared" ref="AD76:AD80" si="511">A76&amp;"_"&amp;E76&amp;AS76&amp;AT76&amp;AU76&amp;AZ76</f>
        <v>Pan_BLT360_36182_D_10S7P5LEDLowDrv_SDI26FM_SW1_Aslp_Wup_CC_DUVP_136R_</v>
      </c>
      <c r="AJ76" s="225">
        <f t="shared" ref="AJ76:AJ80" si="512">FIND("V",UPPER(TRIM(D76)))</f>
        <v>3</v>
      </c>
      <c r="AK76" s="225">
        <f t="shared" ref="AK76:AK80" si="513">FIND("AH",UPPER(TRIM(D76)))</f>
        <v>9</v>
      </c>
      <c r="AL76" s="225">
        <f t="shared" ref="AL76:AL80" si="514">VALUE(MID(TRIM(D76),1,AJ76-1))</f>
        <v>36</v>
      </c>
      <c r="AM76" s="225">
        <f t="shared" ref="AM76:AM80" si="515">VALUE(MID(TRIM(D76),AJ76+2,(AK76) -(AJ76+2) ))</f>
        <v>18.2</v>
      </c>
      <c r="AN76" s="225">
        <f t="shared" ref="AN76:AN80" si="516">VALUE(MID(TRIM(F76),4,2))</f>
        <v>26</v>
      </c>
      <c r="AO76" s="225">
        <f t="shared" ref="AO76:AO80" si="517">ROUNDDOWN(AL76/3.5,0)</f>
        <v>10</v>
      </c>
      <c r="AP76" s="225">
        <f t="shared" ref="AP76:AP80" si="518">ROUNDUP(AM76*10/AN76,0)</f>
        <v>7</v>
      </c>
      <c r="AQ76" s="225" t="str">
        <f t="shared" ref="AQ76:AQ80" si="519">IF(OR(ISERROR(AO76),ISERROR(AP76)),"error","ok")</f>
        <v>ok</v>
      </c>
      <c r="AR76" s="225" t="str">
        <f t="shared" ref="AR76:AR80" si="520">IF(AQ76="ok", TEXT(AO76,0)&amp;"S"&amp; TEXT(AP76,0)&amp;"P","_")</f>
        <v>10S7P</v>
      </c>
      <c r="AS76" s="225" t="str">
        <f t="shared" ref="AS76:AS80" si="521">IF(ISBLANK(H76),"",H76&amp;$H$2&amp;IF(UPPER(TRIM(I76))="V",$I$2,"")&amp;"_"&amp;F76&amp;"_")</f>
        <v>5LEDLowDrv_SDI26FM_</v>
      </c>
      <c r="AT76" s="225" t="str">
        <f t="shared" ref="AT76:AT80" si="522">IF(UPPER(TRIM(J76))="V",$J$2&amp;"_","")&amp;IF(UPPER(TRIM(K76))="V",$K$2&amp;"_","")&amp;IF(UPPER(TRIM(L76))="V",$L$2&amp;"_","")&amp;IF(UPPER(TRIM(M76))="V",$M$2&amp;"_","")&amp;IF(UPPER(TRIM(N76))="V",$N$2&amp;"_","")&amp;IF(UPPER(TRIM(O76))="V",$O$2&amp;"_","")</f>
        <v>SW1_</v>
      </c>
      <c r="AU76" s="225" t="str">
        <f t="shared" si="416"/>
        <v>Aslp_Wup_CC_DUVP_</v>
      </c>
      <c r="AV76" s="225">
        <f t="shared" ref="AV76:AV80" si="523">FIND("
",C76)</f>
        <v>20</v>
      </c>
      <c r="AW76" s="225" t="b">
        <f t="shared" ref="AW76:AW80" si="524">IF(ISBLANK(C76),TRUE,(TRIM(C76)=""))</f>
        <v>0</v>
      </c>
      <c r="AX76" s="225" t="str">
        <f t="shared" ref="AX76:AX80" si="525">IF(AW76=TRUE,"",IF(NOT(ISERROR(AV76)),TRIM(MID(C76,1,AV76-1))&amp;"_",TRIM(C76)&amp;"_"))</f>
        <v>DAKB00182-W021E01LT_</v>
      </c>
      <c r="AY76" s="225" t="str">
        <f t="shared" ref="AY76:AY80" si="526">SUBSTITUTE(AX76,"-","_")</f>
        <v>DAKB00182_W021E01LT_</v>
      </c>
      <c r="AZ76" s="664" t="str">
        <f t="shared" ref="AZ76:AZ80" si="527">IF(UPPER(TRIM(X76))="V",$X$2&amp;"_","")&amp;IF(UPPER(TRIM(Y76))="V",$Y$2&amp;"_","")&amp;IF(ISBLANK(Z76),"",Z76&amp;$Z$2&amp;"_")</f>
        <v>136R_</v>
      </c>
    </row>
    <row r="77" spans="1:52" s="225" customFormat="1" ht="39" customHeight="1">
      <c r="A77" s="713" t="s">
        <v>1920</v>
      </c>
      <c r="B77" s="714" t="s">
        <v>1362</v>
      </c>
      <c r="C77" s="715"/>
      <c r="D77" s="713" t="s">
        <v>1923</v>
      </c>
      <c r="E77" s="280" t="str">
        <f t="shared" si="510"/>
        <v>10S6P</v>
      </c>
      <c r="F77" s="696" t="s">
        <v>939</v>
      </c>
      <c r="G77" s="719" t="s">
        <v>116</v>
      </c>
      <c r="H77" s="720">
        <v>5</v>
      </c>
      <c r="I77" s="806" t="s">
        <v>116</v>
      </c>
      <c r="J77" s="713"/>
      <c r="K77" s="806" t="s">
        <v>116</v>
      </c>
      <c r="L77" s="713"/>
      <c r="M77" s="713"/>
      <c r="N77" s="805"/>
      <c r="O77" s="713"/>
      <c r="P77" s="806" t="s">
        <v>116</v>
      </c>
      <c r="Q77" s="807" t="s">
        <v>116</v>
      </c>
      <c r="R77" s="713"/>
      <c r="S77" s="713"/>
      <c r="T77" s="808"/>
      <c r="U77" s="713"/>
      <c r="V77" s="807" t="s">
        <v>116</v>
      </c>
      <c r="W77" s="806" t="s">
        <v>116</v>
      </c>
      <c r="X77" s="713"/>
      <c r="Y77" s="713"/>
      <c r="Z77" s="809">
        <v>136</v>
      </c>
      <c r="AA77" s="809"/>
      <c r="AB77" s="809"/>
      <c r="AC77" s="727" t="s">
        <v>1942</v>
      </c>
      <c r="AD77" s="284" t="str">
        <f t="shared" si="511"/>
        <v>Pan_BLT330_36156_D_10S6P5LEDLowDrv_SDI26FM_SW1_Aslp_Wup_CC_DUVP_136R_</v>
      </c>
      <c r="AJ77" s="225">
        <f t="shared" si="512"/>
        <v>3</v>
      </c>
      <c r="AK77" s="225">
        <f t="shared" si="513"/>
        <v>9</v>
      </c>
      <c r="AL77" s="225">
        <f t="shared" si="514"/>
        <v>36</v>
      </c>
      <c r="AM77" s="225">
        <f t="shared" si="515"/>
        <v>15.6</v>
      </c>
      <c r="AN77" s="225">
        <f t="shared" si="516"/>
        <v>26</v>
      </c>
      <c r="AO77" s="225">
        <f t="shared" si="517"/>
        <v>10</v>
      </c>
      <c r="AP77" s="225">
        <f t="shared" si="518"/>
        <v>6</v>
      </c>
      <c r="AQ77" s="225" t="str">
        <f t="shared" si="519"/>
        <v>ok</v>
      </c>
      <c r="AR77" s="225" t="str">
        <f t="shared" si="520"/>
        <v>10S6P</v>
      </c>
      <c r="AS77" s="225" t="str">
        <f t="shared" si="521"/>
        <v>5LEDLowDrv_SDI26FM_</v>
      </c>
      <c r="AT77" s="225" t="str">
        <f t="shared" si="522"/>
        <v>SW1_</v>
      </c>
      <c r="AU77" s="225" t="str">
        <f t="shared" si="416"/>
        <v>Aslp_Wup_CC_DUVP_</v>
      </c>
      <c r="AV77" s="225" t="e">
        <f t="shared" si="523"/>
        <v>#VALUE!</v>
      </c>
      <c r="AW77" s="225" t="b">
        <f t="shared" si="524"/>
        <v>1</v>
      </c>
      <c r="AX77" s="225" t="str">
        <f t="shared" si="525"/>
        <v/>
      </c>
      <c r="AY77" s="225" t="str">
        <f t="shared" si="526"/>
        <v/>
      </c>
      <c r="AZ77" s="664" t="str">
        <f t="shared" si="527"/>
        <v>136R_</v>
      </c>
    </row>
    <row r="78" spans="1:52" s="225" customFormat="1" ht="39" customHeight="1">
      <c r="A78" s="713" t="s">
        <v>1956</v>
      </c>
      <c r="B78" s="716" t="s">
        <v>1921</v>
      </c>
      <c r="C78" s="715"/>
      <c r="D78" s="713" t="s">
        <v>1922</v>
      </c>
      <c r="E78" s="280" t="str">
        <f t="shared" si="510"/>
        <v>13S5P</v>
      </c>
      <c r="F78" s="696" t="s">
        <v>939</v>
      </c>
      <c r="G78" s="719" t="s">
        <v>116</v>
      </c>
      <c r="H78" s="720">
        <v>3</v>
      </c>
      <c r="I78" s="807"/>
      <c r="J78" s="713"/>
      <c r="K78" s="713" t="s">
        <v>116</v>
      </c>
      <c r="L78" s="713"/>
      <c r="M78" s="713"/>
      <c r="N78" s="805"/>
      <c r="O78" s="713"/>
      <c r="P78" s="713" t="s">
        <v>116</v>
      </c>
      <c r="Q78" s="807" t="s">
        <v>116</v>
      </c>
      <c r="R78" s="713"/>
      <c r="S78" s="713"/>
      <c r="T78" s="808"/>
      <c r="U78" s="713"/>
      <c r="V78" s="807" t="s">
        <v>116</v>
      </c>
      <c r="W78" s="713" t="s">
        <v>116</v>
      </c>
      <c r="X78" s="713"/>
      <c r="Y78" s="713"/>
      <c r="Z78" s="809">
        <v>136</v>
      </c>
      <c r="AA78" s="809"/>
      <c r="AB78" s="809"/>
      <c r="AC78" s="727" t="s">
        <v>1931</v>
      </c>
      <c r="AD78" s="284" t="str">
        <f t="shared" si="511"/>
        <v>Pan_B285_48130_Y_13S5P3LED_SDI26FM_SW1_Aslp_Wup_CC_DUVP_136R_</v>
      </c>
      <c r="AJ78" s="225">
        <f t="shared" si="512"/>
        <v>3</v>
      </c>
      <c r="AK78" s="225">
        <f t="shared" si="513"/>
        <v>9</v>
      </c>
      <c r="AL78" s="225">
        <f t="shared" si="514"/>
        <v>48</v>
      </c>
      <c r="AM78" s="225">
        <f t="shared" si="515"/>
        <v>13</v>
      </c>
      <c r="AN78" s="225">
        <f t="shared" si="516"/>
        <v>26</v>
      </c>
      <c r="AO78" s="225">
        <f t="shared" si="517"/>
        <v>13</v>
      </c>
      <c r="AP78" s="225">
        <f t="shared" si="518"/>
        <v>5</v>
      </c>
      <c r="AQ78" s="225" t="str">
        <f t="shared" si="519"/>
        <v>ok</v>
      </c>
      <c r="AR78" s="225" t="str">
        <f t="shared" si="520"/>
        <v>13S5P</v>
      </c>
      <c r="AS78" s="225" t="str">
        <f t="shared" si="521"/>
        <v>3LED_SDI26FM_</v>
      </c>
      <c r="AT78" s="225" t="str">
        <f t="shared" si="522"/>
        <v>SW1_</v>
      </c>
      <c r="AU78" s="225" t="str">
        <f t="shared" si="416"/>
        <v>Aslp_Wup_CC_DUVP_</v>
      </c>
      <c r="AV78" s="225" t="e">
        <f t="shared" si="523"/>
        <v>#VALUE!</v>
      </c>
      <c r="AW78" s="225" t="b">
        <f t="shared" si="524"/>
        <v>1</v>
      </c>
      <c r="AX78" s="225" t="str">
        <f t="shared" si="525"/>
        <v/>
      </c>
      <c r="AY78" s="225" t="str">
        <f t="shared" si="526"/>
        <v/>
      </c>
      <c r="AZ78" s="664" t="str">
        <f t="shared" si="527"/>
        <v>136R_</v>
      </c>
    </row>
    <row r="79" spans="1:52" s="225" customFormat="1" ht="39" customHeight="1">
      <c r="A79" s="713" t="s">
        <v>1925</v>
      </c>
      <c r="B79" s="714" t="s">
        <v>1928</v>
      </c>
      <c r="C79" s="715"/>
      <c r="D79" s="713" t="s">
        <v>1927</v>
      </c>
      <c r="E79" s="280" t="str">
        <f t="shared" si="510"/>
        <v>10S5P</v>
      </c>
      <c r="F79" s="696" t="s">
        <v>939</v>
      </c>
      <c r="G79" s="719" t="s">
        <v>116</v>
      </c>
      <c r="H79" s="765" t="s">
        <v>1904</v>
      </c>
      <c r="I79" s="803" t="s">
        <v>116</v>
      </c>
      <c r="J79" s="804"/>
      <c r="K79" s="803" t="s">
        <v>116</v>
      </c>
      <c r="L79" s="713"/>
      <c r="M79" s="713"/>
      <c r="N79" s="805"/>
      <c r="O79" s="713"/>
      <c r="P79" s="806" t="s">
        <v>116</v>
      </c>
      <c r="Q79" s="807" t="s">
        <v>116</v>
      </c>
      <c r="R79" s="713"/>
      <c r="S79" s="713"/>
      <c r="T79" s="808"/>
      <c r="U79" s="713"/>
      <c r="V79" s="807" t="s">
        <v>116</v>
      </c>
      <c r="W79" s="806" t="s">
        <v>116</v>
      </c>
      <c r="X79" s="713"/>
      <c r="Y79" s="713"/>
      <c r="Z79" s="809">
        <v>136</v>
      </c>
      <c r="AA79" s="809"/>
      <c r="AB79" s="809"/>
      <c r="AC79" s="836" t="s">
        <v>2080</v>
      </c>
      <c r="AD79" s="284" t="str">
        <f t="shared" si="511"/>
        <v>Ares_ST228_36130_Y_10S5PN5LEDLowDrv_SDI26FM_SW1_Aslp_Wup_CC_DUVP_136R_</v>
      </c>
      <c r="AJ79" s="225">
        <f t="shared" si="512"/>
        <v>3</v>
      </c>
      <c r="AK79" s="225">
        <f t="shared" si="513"/>
        <v>9</v>
      </c>
      <c r="AL79" s="225">
        <f t="shared" si="514"/>
        <v>36</v>
      </c>
      <c r="AM79" s="225">
        <f t="shared" si="515"/>
        <v>13</v>
      </c>
      <c r="AN79" s="225">
        <f t="shared" si="516"/>
        <v>26</v>
      </c>
      <c r="AO79" s="225">
        <f t="shared" si="517"/>
        <v>10</v>
      </c>
      <c r="AP79" s="225">
        <f t="shared" si="518"/>
        <v>5</v>
      </c>
      <c r="AQ79" s="225" t="str">
        <f t="shared" si="519"/>
        <v>ok</v>
      </c>
      <c r="AR79" s="225" t="str">
        <f t="shared" si="520"/>
        <v>10S5P</v>
      </c>
      <c r="AS79" s="225" t="str">
        <f t="shared" si="521"/>
        <v>N5LEDLowDrv_SDI26FM_</v>
      </c>
      <c r="AT79" s="225" t="str">
        <f t="shared" si="522"/>
        <v>SW1_</v>
      </c>
      <c r="AU79" s="225" t="str">
        <f t="shared" si="416"/>
        <v>Aslp_Wup_CC_DUVP_</v>
      </c>
      <c r="AV79" s="225" t="e">
        <f t="shared" si="523"/>
        <v>#VALUE!</v>
      </c>
      <c r="AW79" s="225" t="b">
        <f t="shared" si="524"/>
        <v>1</v>
      </c>
      <c r="AX79" s="225" t="str">
        <f t="shared" si="525"/>
        <v/>
      </c>
      <c r="AY79" s="225" t="str">
        <f t="shared" si="526"/>
        <v/>
      </c>
      <c r="AZ79" s="664" t="str">
        <f t="shared" si="527"/>
        <v>136R_</v>
      </c>
    </row>
    <row r="80" spans="1:52" s="225" customFormat="1" ht="39" customHeight="1">
      <c r="A80" s="713" t="s">
        <v>2012</v>
      </c>
      <c r="B80" s="714" t="s">
        <v>1928</v>
      </c>
      <c r="C80" s="715"/>
      <c r="D80" s="713" t="s">
        <v>2013</v>
      </c>
      <c r="E80" s="280" t="str">
        <f t="shared" si="510"/>
        <v>10S4P</v>
      </c>
      <c r="F80" s="696" t="s">
        <v>939</v>
      </c>
      <c r="G80" s="719" t="s">
        <v>116</v>
      </c>
      <c r="H80" s="765" t="s">
        <v>1904</v>
      </c>
      <c r="I80" s="803" t="s">
        <v>116</v>
      </c>
      <c r="J80" s="804"/>
      <c r="K80" s="803" t="s">
        <v>116</v>
      </c>
      <c r="L80" s="713"/>
      <c r="M80" s="713"/>
      <c r="N80" s="805"/>
      <c r="O80" s="713"/>
      <c r="P80" s="806" t="s">
        <v>116</v>
      </c>
      <c r="Q80" s="807" t="s">
        <v>116</v>
      </c>
      <c r="R80" s="713"/>
      <c r="S80" s="713"/>
      <c r="T80" s="808"/>
      <c r="U80" s="713"/>
      <c r="V80" s="807" t="s">
        <v>116</v>
      </c>
      <c r="W80" s="806" t="s">
        <v>116</v>
      </c>
      <c r="X80" s="713"/>
      <c r="Y80" s="713"/>
      <c r="Z80" s="809">
        <v>136</v>
      </c>
      <c r="AA80" s="809"/>
      <c r="AB80" s="809"/>
      <c r="AC80" s="727" t="s">
        <v>2014</v>
      </c>
      <c r="AD80" s="284" t="str">
        <f t="shared" si="511"/>
        <v>Ares_ST228_36104_Y_10S4PN5LEDLowDrv_SDI26FM_SW1_Aslp_Wup_CC_DUVP_136R_</v>
      </c>
      <c r="AJ80" s="225">
        <f t="shared" si="512"/>
        <v>3</v>
      </c>
      <c r="AK80" s="225">
        <f t="shared" si="513"/>
        <v>9</v>
      </c>
      <c r="AL80" s="225">
        <f t="shared" si="514"/>
        <v>36</v>
      </c>
      <c r="AM80" s="225">
        <f t="shared" si="515"/>
        <v>10.4</v>
      </c>
      <c r="AN80" s="225">
        <f t="shared" si="516"/>
        <v>26</v>
      </c>
      <c r="AO80" s="225">
        <f t="shared" si="517"/>
        <v>10</v>
      </c>
      <c r="AP80" s="225">
        <f t="shared" si="518"/>
        <v>4</v>
      </c>
      <c r="AQ80" s="225" t="str">
        <f t="shared" si="519"/>
        <v>ok</v>
      </c>
      <c r="AR80" s="225" t="str">
        <f t="shared" si="520"/>
        <v>10S4P</v>
      </c>
      <c r="AS80" s="225" t="str">
        <f t="shared" si="521"/>
        <v>N5LEDLowDrv_SDI26FM_</v>
      </c>
      <c r="AT80" s="225" t="str">
        <f t="shared" si="522"/>
        <v>SW1_</v>
      </c>
      <c r="AU80" s="225" t="str">
        <f t="shared" ref="AU80" si="528">IF(UPPER(TRIM(P80))="V",$P$2&amp;"_","")&amp;IF(UPPER(TRIM(Q80))="V",$Q$2&amp;"_","")&amp;IF(UPPER(TRIM(R80))="V",$R$2&amp;"_","")&amp;IF(UPPER(TRIM(S80))="V",$S$2&amp;"_","")&amp;IF(UPPER(TRIM(T80))="V",$T$2&amp;"_","")&amp;IF(UPPER(TRIM(U80))="V",$U$2&amp;"_","")&amp;IF(UPPER(TRIM(V80))="V",$V$2&amp;"_","")&amp;IF(UPPER(TRIM(W80))="V",$W$2&amp;"_","")</f>
        <v>Aslp_Wup_CC_DUVP_</v>
      </c>
      <c r="AV80" s="225" t="e">
        <f t="shared" si="523"/>
        <v>#VALUE!</v>
      </c>
      <c r="AW80" s="225" t="b">
        <f t="shared" si="524"/>
        <v>1</v>
      </c>
      <c r="AX80" s="225" t="str">
        <f t="shared" si="525"/>
        <v/>
      </c>
      <c r="AY80" s="225" t="str">
        <f t="shared" si="526"/>
        <v/>
      </c>
      <c r="AZ80" s="664" t="str">
        <f t="shared" si="527"/>
        <v>136R_</v>
      </c>
    </row>
    <row r="81" spans="1:52" s="225" customFormat="1" ht="39" customHeight="1">
      <c r="A81" s="713" t="s">
        <v>1930</v>
      </c>
      <c r="B81" s="716" t="s">
        <v>1929</v>
      </c>
      <c r="C81" s="715"/>
      <c r="D81" s="713" t="s">
        <v>932</v>
      </c>
      <c r="E81" s="280" t="str">
        <f t="shared" ref="E81:E86" si="529">AR81</f>
        <v>10S4P</v>
      </c>
      <c r="F81" s="696" t="s">
        <v>939</v>
      </c>
      <c r="G81" s="719" t="s">
        <v>116</v>
      </c>
      <c r="H81" s="720">
        <v>5</v>
      </c>
      <c r="I81" s="806" t="s">
        <v>116</v>
      </c>
      <c r="J81" s="713"/>
      <c r="K81" s="806" t="s">
        <v>116</v>
      </c>
      <c r="L81" s="713"/>
      <c r="M81" s="713" t="s">
        <v>116</v>
      </c>
      <c r="N81" s="806" t="s">
        <v>116</v>
      </c>
      <c r="O81" s="806"/>
      <c r="P81" s="806" t="s">
        <v>116</v>
      </c>
      <c r="Q81" s="807" t="s">
        <v>116</v>
      </c>
      <c r="R81" s="713"/>
      <c r="S81" s="713"/>
      <c r="T81" s="806" t="s">
        <v>116</v>
      </c>
      <c r="U81" s="713"/>
      <c r="V81" s="807" t="s">
        <v>116</v>
      </c>
      <c r="W81" s="806" t="s">
        <v>116</v>
      </c>
      <c r="X81" s="713"/>
      <c r="Y81" s="713"/>
      <c r="Z81" s="809">
        <v>136</v>
      </c>
      <c r="AA81" s="809"/>
      <c r="AB81" s="809"/>
      <c r="AC81" s="727" t="s">
        <v>1931</v>
      </c>
      <c r="AD81" s="284" t="str">
        <f t="shared" ref="AD81:AD86" si="530">A81&amp;"_"&amp;E81&amp;AS81&amp;AT81&amp;AU81&amp;AZ81</f>
        <v>Ares_HM_36100_DU_10S4P5LEDLowDrv_SDI26FM_SW1_NTC2_SW2_Aslp_Wup_Blight_CC_DUVP_136R_</v>
      </c>
      <c r="AJ81" s="225">
        <f t="shared" ref="AJ81:AJ86" si="531">FIND("V",UPPER(TRIM(D81)))</f>
        <v>3</v>
      </c>
      <c r="AK81" s="225">
        <f t="shared" ref="AK81:AK86" si="532">FIND("AH",UPPER(TRIM(D81)))</f>
        <v>9</v>
      </c>
      <c r="AL81" s="225">
        <f t="shared" ref="AL81:AL86" si="533">VALUE(MID(TRIM(D81),1,AJ81-1))</f>
        <v>36</v>
      </c>
      <c r="AM81" s="225">
        <f t="shared" ref="AM81:AM86" si="534">VALUE(MID(TRIM(D81),AJ81+2,(AK81) -(AJ81+2) ))</f>
        <v>10</v>
      </c>
      <c r="AN81" s="225">
        <f t="shared" ref="AN81:AN86" si="535">VALUE(MID(TRIM(F81),4,2))</f>
        <v>26</v>
      </c>
      <c r="AO81" s="225">
        <f t="shared" ref="AO81:AO86" si="536">ROUNDDOWN(AL81/3.5,0)</f>
        <v>10</v>
      </c>
      <c r="AP81" s="225">
        <f t="shared" ref="AP81:AP86" si="537">ROUNDUP(AM81*10/AN81,0)</f>
        <v>4</v>
      </c>
      <c r="AQ81" s="225" t="str">
        <f t="shared" ref="AQ81:AQ86" si="538">IF(OR(ISERROR(AO81),ISERROR(AP81)),"error","ok")</f>
        <v>ok</v>
      </c>
      <c r="AR81" s="225" t="str">
        <f t="shared" ref="AR81:AR86" si="539">IF(AQ81="ok", TEXT(AO81,0)&amp;"S"&amp; TEXT(AP81,0)&amp;"P","_")</f>
        <v>10S4P</v>
      </c>
      <c r="AS81" s="225" t="str">
        <f t="shared" ref="AS81:AS86" si="540">IF(ISBLANK(H81),"",H81&amp;$H$2&amp;IF(UPPER(TRIM(I81))="V",$I$2,"")&amp;"_"&amp;F81&amp;"_")</f>
        <v>5LEDLowDrv_SDI26FM_</v>
      </c>
      <c r="AT81" s="225" t="str">
        <f t="shared" ref="AT81:AT86" si="541">IF(UPPER(TRIM(J81))="V",$J$2&amp;"_","")&amp;IF(UPPER(TRIM(K81))="V",$K$2&amp;"_","")&amp;IF(UPPER(TRIM(L81))="V",$L$2&amp;"_","")&amp;IF(UPPER(TRIM(M81))="V",$M$2&amp;"_","")&amp;IF(UPPER(TRIM(N81))="V",$N$2&amp;"_","")&amp;IF(UPPER(TRIM(O81))="V",$O$2&amp;"_","")</f>
        <v>SW1_NTC2_SW2_</v>
      </c>
      <c r="AU81" s="225" t="str">
        <f t="shared" si="416"/>
        <v>Aslp_Wup_Blight_CC_DUVP_</v>
      </c>
      <c r="AV81" s="225" t="e">
        <f t="shared" ref="AV81:AV86" si="542">FIND("
",C81)</f>
        <v>#VALUE!</v>
      </c>
      <c r="AW81" s="225" t="b">
        <f t="shared" ref="AW81:AW86" si="543">IF(ISBLANK(C81),TRUE,(TRIM(C81)=""))</f>
        <v>1</v>
      </c>
      <c r="AX81" s="225" t="str">
        <f t="shared" ref="AX81:AX86" si="544">IF(AW81=TRUE,"",IF(NOT(ISERROR(AV81)),TRIM(MID(C81,1,AV81-1))&amp;"_",TRIM(C81)&amp;"_"))</f>
        <v/>
      </c>
      <c r="AY81" s="225" t="str">
        <f t="shared" ref="AY81:AY86" si="545">SUBSTITUTE(AX81,"-","_")</f>
        <v/>
      </c>
      <c r="AZ81" s="664" t="str">
        <f t="shared" ref="AZ81:AZ86" si="546">IF(UPPER(TRIM(X81))="V",$X$2&amp;"_","")&amp;IF(UPPER(TRIM(Y81))="V",$Y$2&amp;"_","")&amp;IF(ISBLANK(Z81),"",Z81&amp;$Z$2&amp;"_")</f>
        <v>136R_</v>
      </c>
    </row>
    <row r="82" spans="1:52" s="225" customFormat="1" ht="39" customHeight="1">
      <c r="A82" s="713" t="s">
        <v>1932</v>
      </c>
      <c r="B82" s="714" t="s">
        <v>1934</v>
      </c>
      <c r="C82" s="715"/>
      <c r="D82" s="713" t="s">
        <v>1933</v>
      </c>
      <c r="E82" s="280" t="str">
        <f t="shared" si="529"/>
        <v>10S4P</v>
      </c>
      <c r="F82" s="696" t="s">
        <v>939</v>
      </c>
      <c r="G82" s="719" t="s">
        <v>116</v>
      </c>
      <c r="H82" s="765" t="s">
        <v>1904</v>
      </c>
      <c r="I82" s="803" t="s">
        <v>116</v>
      </c>
      <c r="J82" s="804"/>
      <c r="K82" s="803" t="s">
        <v>116</v>
      </c>
      <c r="L82" s="713"/>
      <c r="M82" s="713"/>
      <c r="N82" s="805"/>
      <c r="O82" s="713"/>
      <c r="P82" s="806" t="s">
        <v>116</v>
      </c>
      <c r="Q82" s="807" t="s">
        <v>116</v>
      </c>
      <c r="R82" s="713"/>
      <c r="S82" s="713"/>
      <c r="T82" s="808"/>
      <c r="U82" s="713"/>
      <c r="V82" s="807" t="s">
        <v>116</v>
      </c>
      <c r="W82" s="806" t="s">
        <v>116</v>
      </c>
      <c r="X82" s="713"/>
      <c r="Y82" s="713"/>
      <c r="Z82" s="809">
        <v>136</v>
      </c>
      <c r="AA82" s="809"/>
      <c r="AB82" s="809"/>
      <c r="AC82" s="727" t="s">
        <v>1954</v>
      </c>
      <c r="AD82" s="284" t="str">
        <f t="shared" si="530"/>
        <v>Pan_SSS2_36104_D_10S4PN5LEDLowDrv_SDI26FM_SW1_Aslp_Wup_CC_DUVP_136R_</v>
      </c>
      <c r="AJ82" s="225">
        <f t="shared" si="531"/>
        <v>3</v>
      </c>
      <c r="AK82" s="225">
        <f t="shared" si="532"/>
        <v>9</v>
      </c>
      <c r="AL82" s="225">
        <f t="shared" si="533"/>
        <v>36</v>
      </c>
      <c r="AM82" s="225">
        <f t="shared" si="534"/>
        <v>10.4</v>
      </c>
      <c r="AN82" s="225">
        <f t="shared" si="535"/>
        <v>26</v>
      </c>
      <c r="AO82" s="225">
        <f t="shared" si="536"/>
        <v>10</v>
      </c>
      <c r="AP82" s="225">
        <f t="shared" si="537"/>
        <v>4</v>
      </c>
      <c r="AQ82" s="225" t="str">
        <f t="shared" si="538"/>
        <v>ok</v>
      </c>
      <c r="AR82" s="225" t="str">
        <f t="shared" si="539"/>
        <v>10S4P</v>
      </c>
      <c r="AS82" s="225" t="str">
        <f t="shared" si="540"/>
        <v>N5LEDLowDrv_SDI26FM_</v>
      </c>
      <c r="AT82" s="225" t="str">
        <f t="shared" si="541"/>
        <v>SW1_</v>
      </c>
      <c r="AU82" s="225" t="str">
        <f t="shared" si="416"/>
        <v>Aslp_Wup_CC_DUVP_</v>
      </c>
      <c r="AV82" s="225" t="e">
        <f t="shared" si="542"/>
        <v>#VALUE!</v>
      </c>
      <c r="AW82" s="225" t="b">
        <f t="shared" si="543"/>
        <v>1</v>
      </c>
      <c r="AX82" s="225" t="str">
        <f t="shared" si="544"/>
        <v/>
      </c>
      <c r="AY82" s="225" t="str">
        <f t="shared" si="545"/>
        <v/>
      </c>
      <c r="AZ82" s="664" t="str">
        <f t="shared" si="546"/>
        <v>136R_</v>
      </c>
    </row>
    <row r="83" spans="1:52" s="225" customFormat="1" ht="21">
      <c r="A83" s="713" t="s">
        <v>1955</v>
      </c>
      <c r="B83" s="714" t="s">
        <v>1935</v>
      </c>
      <c r="C83" s="715"/>
      <c r="D83" s="713" t="s">
        <v>1086</v>
      </c>
      <c r="E83" s="280" t="str">
        <f t="shared" si="529"/>
        <v>13S5P</v>
      </c>
      <c r="F83" s="696" t="s">
        <v>939</v>
      </c>
      <c r="G83" s="719" t="s">
        <v>116</v>
      </c>
      <c r="H83" s="765" t="s">
        <v>1012</v>
      </c>
      <c r="I83" s="807"/>
      <c r="J83" s="713"/>
      <c r="K83" s="804" t="s">
        <v>116</v>
      </c>
      <c r="L83" s="713"/>
      <c r="M83" s="713"/>
      <c r="N83" s="805"/>
      <c r="O83" s="713"/>
      <c r="P83" s="713" t="s">
        <v>116</v>
      </c>
      <c r="Q83" s="807" t="s">
        <v>116</v>
      </c>
      <c r="R83" s="713"/>
      <c r="S83" s="713"/>
      <c r="T83" s="808"/>
      <c r="U83" s="713"/>
      <c r="V83" s="807" t="s">
        <v>116</v>
      </c>
      <c r="W83" s="713" t="s">
        <v>116</v>
      </c>
      <c r="X83" s="713"/>
      <c r="Y83" s="713"/>
      <c r="Z83" s="809">
        <v>136</v>
      </c>
      <c r="AA83" s="809"/>
      <c r="AB83" s="809"/>
      <c r="AC83" s="727" t="s">
        <v>1957</v>
      </c>
      <c r="AD83" s="284" t="str">
        <f t="shared" si="530"/>
        <v>Pan_BLY285_48130_DU_13S5PN3LED_SDI26FM_SW1_Aslp_Wup_CC_DUVP_136R_</v>
      </c>
      <c r="AJ83" s="225">
        <f t="shared" si="531"/>
        <v>3</v>
      </c>
      <c r="AK83" s="225">
        <f t="shared" si="532"/>
        <v>9</v>
      </c>
      <c r="AL83" s="225">
        <f t="shared" si="533"/>
        <v>48</v>
      </c>
      <c r="AM83" s="225">
        <f t="shared" si="534"/>
        <v>13</v>
      </c>
      <c r="AN83" s="225">
        <f t="shared" si="535"/>
        <v>26</v>
      </c>
      <c r="AO83" s="225">
        <f t="shared" si="536"/>
        <v>13</v>
      </c>
      <c r="AP83" s="225">
        <f t="shared" si="537"/>
        <v>5</v>
      </c>
      <c r="AQ83" s="225" t="str">
        <f t="shared" si="538"/>
        <v>ok</v>
      </c>
      <c r="AR83" s="225" t="str">
        <f t="shared" si="539"/>
        <v>13S5P</v>
      </c>
      <c r="AS83" s="225" t="str">
        <f t="shared" si="540"/>
        <v>N3LED_SDI26FM_</v>
      </c>
      <c r="AT83" s="225" t="str">
        <f t="shared" si="541"/>
        <v>SW1_</v>
      </c>
      <c r="AU83" s="225" t="str">
        <f t="shared" si="416"/>
        <v>Aslp_Wup_CC_DUVP_</v>
      </c>
      <c r="AV83" s="225" t="e">
        <f t="shared" si="542"/>
        <v>#VALUE!</v>
      </c>
      <c r="AW83" s="225" t="b">
        <f t="shared" si="543"/>
        <v>1</v>
      </c>
      <c r="AX83" s="225" t="str">
        <f t="shared" si="544"/>
        <v/>
      </c>
      <c r="AY83" s="225" t="str">
        <f t="shared" si="545"/>
        <v/>
      </c>
      <c r="AZ83" s="664" t="str">
        <f t="shared" si="546"/>
        <v>136R_</v>
      </c>
    </row>
    <row r="84" spans="1:52" s="225" customFormat="1" ht="42.75">
      <c r="A84" s="713" t="s">
        <v>1941</v>
      </c>
      <c r="B84" s="716" t="s">
        <v>1936</v>
      </c>
      <c r="C84" s="715"/>
      <c r="D84" s="713" t="s">
        <v>1937</v>
      </c>
      <c r="E84" s="280" t="str">
        <f t="shared" si="529"/>
        <v>13S4P</v>
      </c>
      <c r="F84" s="696" t="s">
        <v>939</v>
      </c>
      <c r="G84" s="719" t="s">
        <v>116</v>
      </c>
      <c r="H84" s="765" t="s">
        <v>1939</v>
      </c>
      <c r="I84" s="807"/>
      <c r="J84" s="713"/>
      <c r="K84" s="804" t="s">
        <v>1938</v>
      </c>
      <c r="L84" s="713"/>
      <c r="M84" s="713"/>
      <c r="N84" s="805"/>
      <c r="O84" s="713"/>
      <c r="P84" s="713" t="s">
        <v>116</v>
      </c>
      <c r="Q84" s="807" t="s">
        <v>116</v>
      </c>
      <c r="R84" s="713"/>
      <c r="S84" s="713"/>
      <c r="T84" s="808"/>
      <c r="U84" s="713"/>
      <c r="V84" s="807" t="s">
        <v>116</v>
      </c>
      <c r="W84" s="713" t="s">
        <v>116</v>
      </c>
      <c r="X84" s="713"/>
      <c r="Y84" s="713"/>
      <c r="Z84" s="809">
        <v>136</v>
      </c>
      <c r="AA84" s="809"/>
      <c r="AB84" s="809"/>
      <c r="AC84" s="727" t="s">
        <v>1940</v>
      </c>
      <c r="AD84" s="284" t="str">
        <f t="shared" si="530"/>
        <v>Pan_BLY285_48100_D_13S4PN3LED_SDI26FM_SW1_Aslp_Wup_CC_DUVP_136R_</v>
      </c>
      <c r="AJ84" s="225">
        <f t="shared" si="531"/>
        <v>3</v>
      </c>
      <c r="AK84" s="225">
        <f t="shared" si="532"/>
        <v>9</v>
      </c>
      <c r="AL84" s="225">
        <f t="shared" si="533"/>
        <v>48</v>
      </c>
      <c r="AM84" s="225">
        <f t="shared" si="534"/>
        <v>10</v>
      </c>
      <c r="AN84" s="225">
        <f t="shared" si="535"/>
        <v>26</v>
      </c>
      <c r="AO84" s="225">
        <f t="shared" si="536"/>
        <v>13</v>
      </c>
      <c r="AP84" s="225">
        <f t="shared" si="537"/>
        <v>4</v>
      </c>
      <c r="AQ84" s="225" t="str">
        <f t="shared" si="538"/>
        <v>ok</v>
      </c>
      <c r="AR84" s="225" t="str">
        <f t="shared" si="539"/>
        <v>13S4P</v>
      </c>
      <c r="AS84" s="225" t="str">
        <f t="shared" si="540"/>
        <v>N3LED_SDI26FM_</v>
      </c>
      <c r="AT84" s="225" t="str">
        <f t="shared" si="541"/>
        <v>SW1_</v>
      </c>
      <c r="AU84" s="225" t="str">
        <f t="shared" si="416"/>
        <v>Aslp_Wup_CC_DUVP_</v>
      </c>
      <c r="AV84" s="225" t="e">
        <f t="shared" si="542"/>
        <v>#VALUE!</v>
      </c>
      <c r="AW84" s="225" t="b">
        <f t="shared" si="543"/>
        <v>1</v>
      </c>
      <c r="AX84" s="225" t="str">
        <f t="shared" si="544"/>
        <v/>
      </c>
      <c r="AY84" s="225" t="str">
        <f t="shared" si="545"/>
        <v/>
      </c>
      <c r="AZ84" s="664" t="str">
        <f t="shared" si="546"/>
        <v>136R_</v>
      </c>
    </row>
    <row r="85" spans="1:52" s="225" customFormat="1" ht="21">
      <c r="A85" s="713"/>
      <c r="B85" s="714" t="s">
        <v>1362</v>
      </c>
      <c r="C85" s="715"/>
      <c r="D85" s="713" t="s">
        <v>1248</v>
      </c>
      <c r="E85" s="280" t="str">
        <f t="shared" si="529"/>
        <v>10S6P</v>
      </c>
      <c r="F85" s="696" t="s">
        <v>939</v>
      </c>
      <c r="G85" s="719" t="s">
        <v>116</v>
      </c>
      <c r="H85" s="720">
        <v>5</v>
      </c>
      <c r="I85" s="806" t="s">
        <v>116</v>
      </c>
      <c r="J85" s="713"/>
      <c r="K85" s="806" t="s">
        <v>116</v>
      </c>
      <c r="L85" s="713"/>
      <c r="M85" s="713"/>
      <c r="N85" s="805"/>
      <c r="O85" s="713"/>
      <c r="P85" s="806" t="s">
        <v>116</v>
      </c>
      <c r="Q85" s="807" t="s">
        <v>116</v>
      </c>
      <c r="R85" s="713"/>
      <c r="S85" s="713"/>
      <c r="T85" s="808"/>
      <c r="U85" s="713"/>
      <c r="V85" s="807" t="s">
        <v>116</v>
      </c>
      <c r="W85" s="806" t="s">
        <v>116</v>
      </c>
      <c r="X85" s="713"/>
      <c r="Y85" s="713"/>
      <c r="Z85" s="809">
        <v>136</v>
      </c>
      <c r="AA85" s="809"/>
      <c r="AB85" s="809"/>
      <c r="AC85" s="727"/>
      <c r="AD85" s="284" t="str">
        <f t="shared" si="530"/>
        <v>_10S6P5LEDLowDrv_SDI26FM_SW1_Aslp_Wup_CC_DUVP_136R_</v>
      </c>
      <c r="AJ85" s="225">
        <f t="shared" si="531"/>
        <v>3</v>
      </c>
      <c r="AK85" s="225">
        <f t="shared" si="532"/>
        <v>9</v>
      </c>
      <c r="AL85" s="225">
        <f t="shared" si="533"/>
        <v>36</v>
      </c>
      <c r="AM85" s="225">
        <f t="shared" si="534"/>
        <v>15.6</v>
      </c>
      <c r="AN85" s="225">
        <f t="shared" si="535"/>
        <v>26</v>
      </c>
      <c r="AO85" s="225">
        <f t="shared" si="536"/>
        <v>10</v>
      </c>
      <c r="AP85" s="225">
        <f t="shared" si="537"/>
        <v>6</v>
      </c>
      <c r="AQ85" s="225" t="str">
        <f t="shared" si="538"/>
        <v>ok</v>
      </c>
      <c r="AR85" s="225" t="str">
        <f t="shared" si="539"/>
        <v>10S6P</v>
      </c>
      <c r="AS85" s="225" t="str">
        <f t="shared" si="540"/>
        <v>5LEDLowDrv_SDI26FM_</v>
      </c>
      <c r="AT85" s="225" t="str">
        <f t="shared" si="541"/>
        <v>SW1_</v>
      </c>
      <c r="AU85" s="225" t="str">
        <f t="shared" si="416"/>
        <v>Aslp_Wup_CC_DUVP_</v>
      </c>
      <c r="AV85" s="225" t="e">
        <f t="shared" si="542"/>
        <v>#VALUE!</v>
      </c>
      <c r="AW85" s="225" t="b">
        <f t="shared" si="543"/>
        <v>1</v>
      </c>
      <c r="AX85" s="225" t="str">
        <f t="shared" si="544"/>
        <v/>
      </c>
      <c r="AY85" s="225" t="str">
        <f t="shared" si="545"/>
        <v/>
      </c>
      <c r="AZ85" s="664" t="str">
        <f t="shared" si="546"/>
        <v>136R_</v>
      </c>
    </row>
    <row r="86" spans="1:52" s="225" customFormat="1" ht="21">
      <c r="A86" s="713" t="s">
        <v>1206</v>
      </c>
      <c r="B86" s="714" t="s">
        <v>1084</v>
      </c>
      <c r="C86" s="715"/>
      <c r="D86" s="713" t="s">
        <v>1086</v>
      </c>
      <c r="E86" s="280" t="str">
        <f t="shared" si="529"/>
        <v>13S5P</v>
      </c>
      <c r="F86" s="696" t="s">
        <v>939</v>
      </c>
      <c r="G86" s="719" t="s">
        <v>116</v>
      </c>
      <c r="H86" s="720">
        <v>3</v>
      </c>
      <c r="I86" s="807"/>
      <c r="J86" s="713"/>
      <c r="K86" s="806" t="s">
        <v>116</v>
      </c>
      <c r="L86" s="713"/>
      <c r="M86" s="713"/>
      <c r="N86" s="805"/>
      <c r="O86" s="713"/>
      <c r="P86" s="807" t="s">
        <v>116</v>
      </c>
      <c r="Q86" s="807" t="s">
        <v>116</v>
      </c>
      <c r="R86" s="713"/>
      <c r="S86" s="713"/>
      <c r="T86" s="808"/>
      <c r="U86" s="713"/>
      <c r="V86" s="807" t="s">
        <v>116</v>
      </c>
      <c r="W86" s="806" t="s">
        <v>116</v>
      </c>
      <c r="X86" s="713"/>
      <c r="Y86" s="713"/>
      <c r="Z86" s="809">
        <v>136</v>
      </c>
      <c r="AA86" s="809"/>
      <c r="AB86" s="809"/>
      <c r="AC86" s="727" t="s">
        <v>1942</v>
      </c>
      <c r="AD86" s="284" t="str">
        <f t="shared" si="530"/>
        <v>Pan_B320_48130_Y_13S5P3LED_SDI26FM_SW1_Aslp_Wup_CC_DUVP_136R_</v>
      </c>
      <c r="AJ86" s="225">
        <f t="shared" si="531"/>
        <v>3</v>
      </c>
      <c r="AK86" s="225">
        <f t="shared" si="532"/>
        <v>9</v>
      </c>
      <c r="AL86" s="225">
        <f t="shared" si="533"/>
        <v>48</v>
      </c>
      <c r="AM86" s="225">
        <f t="shared" si="534"/>
        <v>13</v>
      </c>
      <c r="AN86" s="225">
        <f t="shared" si="535"/>
        <v>26</v>
      </c>
      <c r="AO86" s="225">
        <f t="shared" si="536"/>
        <v>13</v>
      </c>
      <c r="AP86" s="225">
        <f t="shared" si="537"/>
        <v>5</v>
      </c>
      <c r="AQ86" s="225" t="str">
        <f t="shared" si="538"/>
        <v>ok</v>
      </c>
      <c r="AR86" s="225" t="str">
        <f t="shared" si="539"/>
        <v>13S5P</v>
      </c>
      <c r="AS86" s="225" t="str">
        <f t="shared" si="540"/>
        <v>3LED_SDI26FM_</v>
      </c>
      <c r="AT86" s="225" t="str">
        <f t="shared" si="541"/>
        <v>SW1_</v>
      </c>
      <c r="AU86" s="225" t="str">
        <f t="shared" si="416"/>
        <v>Aslp_Wup_CC_DUVP_</v>
      </c>
      <c r="AV86" s="225" t="e">
        <f t="shared" si="542"/>
        <v>#VALUE!</v>
      </c>
      <c r="AW86" s="225" t="b">
        <f t="shared" si="543"/>
        <v>1</v>
      </c>
      <c r="AX86" s="225" t="str">
        <f t="shared" si="544"/>
        <v/>
      </c>
      <c r="AY86" s="225" t="str">
        <f t="shared" si="545"/>
        <v/>
      </c>
      <c r="AZ86" s="664" t="str">
        <f t="shared" si="546"/>
        <v>136R_</v>
      </c>
    </row>
    <row r="87" spans="1:52" s="225" customFormat="1" ht="21">
      <c r="A87" s="713" t="s">
        <v>1943</v>
      </c>
      <c r="B87" s="714" t="s">
        <v>1948</v>
      </c>
      <c r="C87" s="715"/>
      <c r="D87" s="713" t="s">
        <v>1944</v>
      </c>
      <c r="E87" s="280" t="str">
        <f t="shared" ref="E87" si="547">AR87</f>
        <v>10S4P</v>
      </c>
      <c r="F87" s="797" t="s">
        <v>1431</v>
      </c>
      <c r="G87" s="719" t="s">
        <v>116</v>
      </c>
      <c r="H87" s="765" t="s">
        <v>1427</v>
      </c>
      <c r="I87" s="803" t="s">
        <v>116</v>
      </c>
      <c r="J87" s="713"/>
      <c r="K87" s="803" t="s">
        <v>116</v>
      </c>
      <c r="L87" s="713"/>
      <c r="M87" s="713"/>
      <c r="N87" s="805"/>
      <c r="O87" s="713"/>
      <c r="P87" s="806" t="s">
        <v>116</v>
      </c>
      <c r="Q87" s="807" t="s">
        <v>116</v>
      </c>
      <c r="R87" s="713"/>
      <c r="S87" s="713"/>
      <c r="T87" s="808"/>
      <c r="U87" s="713"/>
      <c r="V87" s="807" t="s">
        <v>116</v>
      </c>
      <c r="W87" s="806" t="s">
        <v>116</v>
      </c>
      <c r="X87" s="713"/>
      <c r="Y87" s="806"/>
      <c r="Z87" s="809">
        <v>136</v>
      </c>
      <c r="AA87" s="809"/>
      <c r="AB87" s="809"/>
      <c r="AC87" s="727" t="s">
        <v>1942</v>
      </c>
      <c r="AD87" s="284" t="str">
        <f t="shared" ref="AD87" si="548">A87&amp;"_"&amp;E87&amp;AS87&amp;AT87&amp;AU87&amp;AZ87</f>
        <v>Pan_BTG1645_36088_N_10S4PN4LEDLowDrv_SDI22FM_SW1_Aslp_Wup_CC_DUVP_136R_</v>
      </c>
      <c r="AJ87" s="225">
        <f t="shared" ref="AJ87" si="549">FIND("V",UPPER(TRIM(D87)))</f>
        <v>3</v>
      </c>
      <c r="AK87" s="225">
        <f t="shared" ref="AK87" si="550">FIND("AH",UPPER(TRIM(D87)))</f>
        <v>8</v>
      </c>
      <c r="AL87" s="225">
        <f t="shared" ref="AL87" si="551">VALUE(MID(TRIM(D87),1,AJ87-1))</f>
        <v>36</v>
      </c>
      <c r="AM87" s="225">
        <f t="shared" ref="AM87" si="552">VALUE(MID(TRIM(D87),AJ87+2,(AK87) -(AJ87+2) ))</f>
        <v>8.8000000000000007</v>
      </c>
      <c r="AN87" s="225">
        <f t="shared" ref="AN87" si="553">VALUE(MID(TRIM(F87),4,2))</f>
        <v>22</v>
      </c>
      <c r="AO87" s="225">
        <f t="shared" ref="AO87" si="554">ROUNDDOWN(AL87/3.5,0)</f>
        <v>10</v>
      </c>
      <c r="AP87" s="225">
        <f t="shared" ref="AP87" si="555">ROUNDUP(AM87*10/AN87,0)</f>
        <v>4</v>
      </c>
      <c r="AQ87" s="225" t="str">
        <f t="shared" ref="AQ87" si="556">IF(OR(ISERROR(AO87),ISERROR(AP87)),"error","ok")</f>
        <v>ok</v>
      </c>
      <c r="AR87" s="225" t="str">
        <f t="shared" ref="AR87" si="557">IF(AQ87="ok", TEXT(AO87,0)&amp;"S"&amp; TEXT(AP87,0)&amp;"P","_")</f>
        <v>10S4P</v>
      </c>
      <c r="AS87" s="225" t="str">
        <f t="shared" ref="AS87" si="558">IF(ISBLANK(H87),"",H87&amp;$H$2&amp;IF(UPPER(TRIM(I87))="V",$I$2,"")&amp;"_"&amp;F87&amp;"_")</f>
        <v>N4LEDLowDrv_SDI22FM_</v>
      </c>
      <c r="AT87" s="225" t="str">
        <f t="shared" ref="AT87" si="559">IF(UPPER(TRIM(J87))="V",$J$2&amp;"_","")&amp;IF(UPPER(TRIM(K87))="V",$K$2&amp;"_","")&amp;IF(UPPER(TRIM(L87))="V",$L$2&amp;"_","")&amp;IF(UPPER(TRIM(M87))="V",$M$2&amp;"_","")&amp;IF(UPPER(TRIM(N87))="V",$N$2&amp;"_","")&amp;IF(UPPER(TRIM(O87))="V",$O$2&amp;"_","")</f>
        <v>SW1_</v>
      </c>
      <c r="AU87" s="225" t="str">
        <f t="shared" si="416"/>
        <v>Aslp_Wup_CC_DUVP_</v>
      </c>
      <c r="AV87" s="225" t="e">
        <f t="shared" ref="AV87" si="560">FIND("
",C87)</f>
        <v>#VALUE!</v>
      </c>
      <c r="AW87" s="225" t="b">
        <f t="shared" ref="AW87" si="561">IF(ISBLANK(C87),TRUE,(TRIM(C87)=""))</f>
        <v>1</v>
      </c>
      <c r="AX87" s="225" t="str">
        <f t="shared" ref="AX87" si="562">IF(AW87=TRUE,"",IF(NOT(ISERROR(AV87)),TRIM(MID(C87,1,AV87-1))&amp;"_",TRIM(C87)&amp;"_"))</f>
        <v/>
      </c>
      <c r="AY87" s="225" t="str">
        <f t="shared" ref="AY87" si="563">SUBSTITUTE(AX87,"-","_")</f>
        <v/>
      </c>
      <c r="AZ87" s="664" t="str">
        <f t="shared" ref="AZ87" si="564">IF(UPPER(TRIM(X87))="V",$X$2&amp;"_","")&amp;IF(UPPER(TRIM(Y87))="V",$Y$2&amp;"_","")&amp;IF(ISBLANK(Z87),"",Z87&amp;$Z$2&amp;"_")</f>
        <v>136R_</v>
      </c>
    </row>
    <row r="88" spans="1:52" s="225" customFormat="1" ht="42">
      <c r="A88" s="717" t="s">
        <v>1950</v>
      </c>
      <c r="B88" s="714" t="s">
        <v>2028</v>
      </c>
      <c r="C88" s="715"/>
      <c r="D88" s="717" t="s">
        <v>1949</v>
      </c>
      <c r="E88" s="280" t="str">
        <f t="shared" ref="E88:E139" si="565">AR88</f>
        <v>10S3P</v>
      </c>
      <c r="F88" s="696" t="s">
        <v>939</v>
      </c>
      <c r="G88" s="719" t="s">
        <v>116</v>
      </c>
      <c r="H88" s="765" t="s">
        <v>1427</v>
      </c>
      <c r="I88" s="803" t="s">
        <v>116</v>
      </c>
      <c r="J88" s="713"/>
      <c r="K88" s="803" t="s">
        <v>116</v>
      </c>
      <c r="L88" s="713"/>
      <c r="M88" s="713"/>
      <c r="N88" s="805"/>
      <c r="O88" s="713"/>
      <c r="P88" s="806" t="s">
        <v>116</v>
      </c>
      <c r="Q88" s="807" t="s">
        <v>116</v>
      </c>
      <c r="R88" s="713"/>
      <c r="S88" s="713"/>
      <c r="T88" s="808"/>
      <c r="U88" s="713"/>
      <c r="V88" s="807" t="s">
        <v>116</v>
      </c>
      <c r="W88" s="806" t="s">
        <v>116</v>
      </c>
      <c r="X88" s="713"/>
      <c r="Y88" s="806"/>
      <c r="Z88" s="809">
        <v>136</v>
      </c>
      <c r="AA88" s="809"/>
      <c r="AB88" s="809"/>
      <c r="AC88" s="768" t="s">
        <v>1951</v>
      </c>
      <c r="AD88" s="284" t="str">
        <f t="shared" ref="AD88:AD139" si="566">A88&amp;"_"&amp;E88&amp;AS88&amp;AT88&amp;AU88&amp;AZ88</f>
        <v>Pan_BTG1412_36078_D_10S3PN4LEDLowDrv_SDI26FM_SW1_Aslp_Wup_CC_DUVP_136R_</v>
      </c>
      <c r="AJ88" s="225">
        <f t="shared" ref="AJ88:AJ139" si="567">FIND("V",UPPER(TRIM(D88)))</f>
        <v>3</v>
      </c>
      <c r="AK88" s="225">
        <f t="shared" ref="AK88:AK139" si="568">FIND("AH",UPPER(TRIM(D88)))</f>
        <v>8</v>
      </c>
      <c r="AL88" s="225">
        <f t="shared" ref="AL88:AL139" si="569">VALUE(MID(TRIM(D88),1,AJ88-1))</f>
        <v>36</v>
      </c>
      <c r="AM88" s="225">
        <f t="shared" ref="AM88:AM139" si="570">VALUE(MID(TRIM(D88),AJ88+2,(AK88) -(AJ88+2) ))</f>
        <v>7.8</v>
      </c>
      <c r="AN88" s="225">
        <f t="shared" ref="AN88:AN139" si="571">VALUE(MID(TRIM(F88),4,2))</f>
        <v>26</v>
      </c>
      <c r="AO88" s="225">
        <f t="shared" ref="AO88:AO139" si="572">ROUNDDOWN(AL88/3.5,0)</f>
        <v>10</v>
      </c>
      <c r="AP88" s="225">
        <f t="shared" ref="AP88:AP139" si="573">ROUNDUP(AM88*10/AN88,0)</f>
        <v>3</v>
      </c>
      <c r="AQ88" s="225" t="str">
        <f t="shared" ref="AQ88:AQ139" si="574">IF(OR(ISERROR(AO88),ISERROR(AP88)),"error","ok")</f>
        <v>ok</v>
      </c>
      <c r="AR88" s="225" t="str">
        <f t="shared" ref="AR88:AR139" si="575">IF(AQ88="ok", TEXT(AO88,0)&amp;"S"&amp; TEXT(AP88,0)&amp;"P","_")</f>
        <v>10S3P</v>
      </c>
      <c r="AS88" s="225" t="str">
        <f t="shared" ref="AS88:AS139" si="576">IF(ISBLANK(H88),"",H88&amp;$H$2&amp;IF(UPPER(TRIM(I88))="V",$I$2,"")&amp;"_"&amp;F88&amp;"_")</f>
        <v>N4LEDLowDrv_SDI26FM_</v>
      </c>
      <c r="AT88" s="225" t="str">
        <f t="shared" ref="AT88:AT139" si="577">IF(UPPER(TRIM(J88))="V",$J$2&amp;"_","")&amp;IF(UPPER(TRIM(K88))="V",$K$2&amp;"_","")&amp;IF(UPPER(TRIM(L88))="V",$L$2&amp;"_","")&amp;IF(UPPER(TRIM(M88))="V",$M$2&amp;"_","")&amp;IF(UPPER(TRIM(N88))="V",$N$2&amp;"_","")&amp;IF(UPPER(TRIM(O88))="V",$O$2&amp;"_","")</f>
        <v>SW1_</v>
      </c>
      <c r="AU88" s="225" t="str">
        <f t="shared" si="416"/>
        <v>Aslp_Wup_CC_DUVP_</v>
      </c>
      <c r="AV88" s="225" t="e">
        <f t="shared" ref="AV88:AV139" si="578">FIND("
",C88)</f>
        <v>#VALUE!</v>
      </c>
      <c r="AW88" s="225" t="b">
        <f t="shared" ref="AW88:AW139" si="579">IF(ISBLANK(C88),TRUE,(TRIM(C88)=""))</f>
        <v>1</v>
      </c>
      <c r="AX88" s="225" t="str">
        <f t="shared" ref="AX88:AX139" si="580">IF(AW88=TRUE,"",IF(NOT(ISERROR(AV88)),TRIM(MID(C88,1,AV88-1))&amp;"_",TRIM(C88)&amp;"_"))</f>
        <v/>
      </c>
      <c r="AY88" s="225" t="str">
        <f t="shared" ref="AY88:AY139" si="581">SUBSTITUTE(AX88,"-","_")</f>
        <v/>
      </c>
      <c r="AZ88" s="664" t="str">
        <f t="shared" ref="AZ88:AZ139" si="582">IF(UPPER(TRIM(X88))="V",$X$2&amp;"_","")&amp;IF(UPPER(TRIM(Y88))="V",$Y$2&amp;"_","")&amp;IF(ISBLANK(Z88),"",Z88&amp;$Z$2&amp;"_")</f>
        <v>136R_</v>
      </c>
    </row>
    <row r="89" spans="1:52" s="225" customFormat="1" ht="21">
      <c r="A89" s="713" t="s">
        <v>1945</v>
      </c>
      <c r="B89" s="714" t="s">
        <v>1946</v>
      </c>
      <c r="C89" s="715"/>
      <c r="D89" s="713" t="s">
        <v>1947</v>
      </c>
      <c r="E89" s="280" t="str">
        <f t="shared" si="565"/>
        <v>10S5P</v>
      </c>
      <c r="F89" s="696" t="s">
        <v>939</v>
      </c>
      <c r="G89" s="719" t="s">
        <v>116</v>
      </c>
      <c r="H89" s="720"/>
      <c r="I89" s="807"/>
      <c r="J89" s="713"/>
      <c r="K89" s="713"/>
      <c r="L89" s="713"/>
      <c r="M89" s="713"/>
      <c r="N89" s="805"/>
      <c r="O89" s="713"/>
      <c r="P89" s="810"/>
      <c r="Q89" s="810"/>
      <c r="R89" s="713"/>
      <c r="S89" s="713"/>
      <c r="T89" s="808"/>
      <c r="U89" s="713"/>
      <c r="V89" s="713"/>
      <c r="W89" s="713"/>
      <c r="X89" s="713"/>
      <c r="Y89" s="713"/>
      <c r="Z89" s="809">
        <v>136</v>
      </c>
      <c r="AA89" s="809"/>
      <c r="AB89" s="809"/>
      <c r="AC89" s="727"/>
      <c r="AD89" s="284" t="str">
        <f t="shared" si="566"/>
        <v>Pan_LN1_36130_DU_10S5P136R_</v>
      </c>
      <c r="AJ89" s="225">
        <f t="shared" si="567"/>
        <v>3</v>
      </c>
      <c r="AK89" s="225">
        <f t="shared" si="568"/>
        <v>9</v>
      </c>
      <c r="AL89" s="225">
        <f t="shared" si="569"/>
        <v>36</v>
      </c>
      <c r="AM89" s="225">
        <f t="shared" si="570"/>
        <v>13</v>
      </c>
      <c r="AN89" s="225">
        <f t="shared" si="571"/>
        <v>26</v>
      </c>
      <c r="AO89" s="225">
        <f t="shared" si="572"/>
        <v>10</v>
      </c>
      <c r="AP89" s="225">
        <f t="shared" si="573"/>
        <v>5</v>
      </c>
      <c r="AQ89" s="225" t="str">
        <f t="shared" si="574"/>
        <v>ok</v>
      </c>
      <c r="AR89" s="225" t="str">
        <f t="shared" si="575"/>
        <v>10S5P</v>
      </c>
      <c r="AS89" s="225" t="str">
        <f t="shared" si="576"/>
        <v/>
      </c>
      <c r="AT89" s="225" t="str">
        <f t="shared" si="577"/>
        <v/>
      </c>
      <c r="AU89" s="225" t="str">
        <f t="shared" si="416"/>
        <v/>
      </c>
      <c r="AV89" s="225" t="e">
        <f t="shared" si="578"/>
        <v>#VALUE!</v>
      </c>
      <c r="AW89" s="225" t="b">
        <f t="shared" si="579"/>
        <v>1</v>
      </c>
      <c r="AX89" s="225" t="str">
        <f t="shared" si="580"/>
        <v/>
      </c>
      <c r="AY89" s="225" t="str">
        <f t="shared" si="581"/>
        <v/>
      </c>
      <c r="AZ89" s="664" t="str">
        <f t="shared" si="582"/>
        <v>136R_</v>
      </c>
    </row>
    <row r="90" spans="1:52" s="225" customFormat="1" ht="42">
      <c r="A90" s="713" t="s">
        <v>1952</v>
      </c>
      <c r="B90" s="714" t="s">
        <v>1963</v>
      </c>
      <c r="C90" s="715"/>
      <c r="D90" s="713" t="s">
        <v>1953</v>
      </c>
      <c r="E90" s="280" t="str">
        <f t="shared" si="565"/>
        <v>10S4P</v>
      </c>
      <c r="F90" s="696" t="s">
        <v>939</v>
      </c>
      <c r="G90" s="719" t="s">
        <v>116</v>
      </c>
      <c r="H90" s="765" t="s">
        <v>1904</v>
      </c>
      <c r="I90" s="803" t="s">
        <v>116</v>
      </c>
      <c r="J90" s="804"/>
      <c r="K90" s="803" t="s">
        <v>116</v>
      </c>
      <c r="L90" s="713"/>
      <c r="M90" s="713"/>
      <c r="N90" s="805"/>
      <c r="O90" s="713"/>
      <c r="P90" s="806" t="s">
        <v>116</v>
      </c>
      <c r="Q90" s="807" t="s">
        <v>116</v>
      </c>
      <c r="R90" s="713"/>
      <c r="S90" s="713"/>
      <c r="T90" s="808"/>
      <c r="U90" s="713"/>
      <c r="V90" s="807" t="s">
        <v>116</v>
      </c>
      <c r="W90" s="806" t="s">
        <v>116</v>
      </c>
      <c r="X90" s="713"/>
      <c r="Y90" s="713"/>
      <c r="Z90" s="809">
        <v>136</v>
      </c>
      <c r="AA90" s="809"/>
      <c r="AB90" s="809"/>
      <c r="AC90" s="727" t="s">
        <v>1957</v>
      </c>
      <c r="AD90" s="284" t="str">
        <f t="shared" si="566"/>
        <v>Pan_BHY2_36104_D_10S4PN5LEDLowDrv_SDI26FM_SW1_Aslp_Wup_CC_DUVP_136R_</v>
      </c>
      <c r="AJ90" s="225">
        <f t="shared" si="567"/>
        <v>3</v>
      </c>
      <c r="AK90" s="225">
        <f t="shared" si="568"/>
        <v>9</v>
      </c>
      <c r="AL90" s="225">
        <f t="shared" si="569"/>
        <v>36</v>
      </c>
      <c r="AM90" s="225">
        <f t="shared" si="570"/>
        <v>10.4</v>
      </c>
      <c r="AN90" s="225">
        <f t="shared" si="571"/>
        <v>26</v>
      </c>
      <c r="AO90" s="225">
        <f t="shared" si="572"/>
        <v>10</v>
      </c>
      <c r="AP90" s="225">
        <f t="shared" si="573"/>
        <v>4</v>
      </c>
      <c r="AQ90" s="225" t="str">
        <f t="shared" si="574"/>
        <v>ok</v>
      </c>
      <c r="AR90" s="225" t="str">
        <f t="shared" si="575"/>
        <v>10S4P</v>
      </c>
      <c r="AS90" s="225" t="str">
        <f t="shared" si="576"/>
        <v>N5LEDLowDrv_SDI26FM_</v>
      </c>
      <c r="AT90" s="225" t="str">
        <f t="shared" si="577"/>
        <v>SW1_</v>
      </c>
      <c r="AU90" s="225" t="str">
        <f t="shared" si="416"/>
        <v>Aslp_Wup_CC_DUVP_</v>
      </c>
      <c r="AV90" s="225" t="e">
        <f t="shared" si="578"/>
        <v>#VALUE!</v>
      </c>
      <c r="AW90" s="225" t="b">
        <f t="shared" si="579"/>
        <v>1</v>
      </c>
      <c r="AX90" s="225" t="str">
        <f t="shared" si="580"/>
        <v/>
      </c>
      <c r="AY90" s="225" t="str">
        <f t="shared" si="581"/>
        <v/>
      </c>
      <c r="AZ90" s="664" t="str">
        <f t="shared" si="582"/>
        <v>136R_</v>
      </c>
    </row>
    <row r="91" spans="1:52" s="225" customFormat="1" ht="21">
      <c r="A91" s="804" t="s">
        <v>2025</v>
      </c>
      <c r="B91" s="714" t="s">
        <v>1962</v>
      </c>
      <c r="C91" s="715"/>
      <c r="D91" s="717" t="s">
        <v>1582</v>
      </c>
      <c r="E91" s="280" t="str">
        <f t="shared" si="565"/>
        <v>10S3P</v>
      </c>
      <c r="F91" s="696" t="s">
        <v>939</v>
      </c>
      <c r="G91" s="719" t="s">
        <v>116</v>
      </c>
      <c r="H91" s="765" t="s">
        <v>1427</v>
      </c>
      <c r="I91" s="803" t="s">
        <v>116</v>
      </c>
      <c r="J91" s="713"/>
      <c r="K91" s="803" t="s">
        <v>116</v>
      </c>
      <c r="L91" s="713"/>
      <c r="M91" s="713"/>
      <c r="N91" s="805"/>
      <c r="O91" s="713"/>
      <c r="P91" s="806" t="s">
        <v>116</v>
      </c>
      <c r="Q91" s="807" t="s">
        <v>116</v>
      </c>
      <c r="R91" s="713"/>
      <c r="S91" s="713"/>
      <c r="T91" s="808"/>
      <c r="U91" s="713"/>
      <c r="V91" s="807" t="s">
        <v>116</v>
      </c>
      <c r="W91" s="806" t="s">
        <v>116</v>
      </c>
      <c r="X91" s="713"/>
      <c r="Y91" s="806"/>
      <c r="Z91" s="809">
        <v>136</v>
      </c>
      <c r="AA91" s="809"/>
      <c r="AB91" s="809"/>
      <c r="AC91" s="727" t="s">
        <v>2027</v>
      </c>
      <c r="AD91" s="284" t="str">
        <f t="shared" si="566"/>
        <v>Pan_LT1_36078_D_10S3PN4LEDLowDrv_SDI26FM_SW1_Aslp_Wup_CC_DUVP_136R_</v>
      </c>
      <c r="AJ91" s="225">
        <f t="shared" si="567"/>
        <v>3</v>
      </c>
      <c r="AK91" s="225">
        <f t="shared" si="568"/>
        <v>8</v>
      </c>
      <c r="AL91" s="225">
        <f t="shared" si="569"/>
        <v>36</v>
      </c>
      <c r="AM91" s="225">
        <f t="shared" si="570"/>
        <v>7.8</v>
      </c>
      <c r="AN91" s="225">
        <f t="shared" si="571"/>
        <v>26</v>
      </c>
      <c r="AO91" s="225">
        <f t="shared" si="572"/>
        <v>10</v>
      </c>
      <c r="AP91" s="225">
        <f t="shared" si="573"/>
        <v>3</v>
      </c>
      <c r="AQ91" s="225" t="str">
        <f t="shared" si="574"/>
        <v>ok</v>
      </c>
      <c r="AR91" s="225" t="str">
        <f t="shared" si="575"/>
        <v>10S3P</v>
      </c>
      <c r="AS91" s="225" t="str">
        <f t="shared" si="576"/>
        <v>N4LEDLowDrv_SDI26FM_</v>
      </c>
      <c r="AT91" s="225" t="str">
        <f t="shared" si="577"/>
        <v>SW1_</v>
      </c>
      <c r="AU91" s="225" t="str">
        <f t="shared" si="416"/>
        <v>Aslp_Wup_CC_DUVP_</v>
      </c>
      <c r="AV91" s="225" t="e">
        <f t="shared" si="578"/>
        <v>#VALUE!</v>
      </c>
      <c r="AW91" s="225" t="b">
        <f t="shared" si="579"/>
        <v>1</v>
      </c>
      <c r="AX91" s="225" t="str">
        <f t="shared" si="580"/>
        <v/>
      </c>
      <c r="AY91" s="225" t="str">
        <f t="shared" si="581"/>
        <v/>
      </c>
      <c r="AZ91" s="664" t="str">
        <f t="shared" si="582"/>
        <v>136R_</v>
      </c>
    </row>
    <row r="92" spans="1:52" s="225" customFormat="1" ht="21">
      <c r="A92" s="713" t="s">
        <v>1958</v>
      </c>
      <c r="B92" s="714" t="s">
        <v>1974</v>
      </c>
      <c r="C92" s="715"/>
      <c r="D92" s="713" t="s">
        <v>1959</v>
      </c>
      <c r="E92" s="280" t="str">
        <f t="shared" ref="E92:E138" si="583">AR92</f>
        <v>13S5P</v>
      </c>
      <c r="F92" s="696" t="s">
        <v>939</v>
      </c>
      <c r="G92" s="719" t="s">
        <v>116</v>
      </c>
      <c r="H92" s="720">
        <v>3</v>
      </c>
      <c r="I92" s="807"/>
      <c r="J92" s="713"/>
      <c r="K92" s="806" t="s">
        <v>116</v>
      </c>
      <c r="L92" s="713"/>
      <c r="M92" s="713"/>
      <c r="N92" s="805"/>
      <c r="O92" s="713"/>
      <c r="P92" s="807" t="s">
        <v>116</v>
      </c>
      <c r="Q92" s="807" t="s">
        <v>116</v>
      </c>
      <c r="R92" s="713"/>
      <c r="S92" s="713"/>
      <c r="T92" s="808"/>
      <c r="U92" s="713"/>
      <c r="V92" s="807" t="s">
        <v>116</v>
      </c>
      <c r="W92" s="806" t="s">
        <v>116</v>
      </c>
      <c r="X92" s="713"/>
      <c r="Y92" s="713"/>
      <c r="Z92" s="809">
        <v>136</v>
      </c>
      <c r="AA92" s="809"/>
      <c r="AB92" s="809"/>
      <c r="AC92" s="727" t="s">
        <v>1960</v>
      </c>
      <c r="AD92" s="284" t="str">
        <f t="shared" ref="AD92:AD138" si="584">A92&amp;"_"&amp;E92&amp;AS92&amp;AT92&amp;AU92&amp;AZ92</f>
        <v>Pan_B285_48130_DU_13S5P3LED_SDI26FM_SW1_Aslp_Wup_CC_DUVP_136R_</v>
      </c>
      <c r="AJ92" s="225">
        <f t="shared" ref="AJ92:AJ138" si="585">FIND("V",UPPER(TRIM(D92)))</f>
        <v>3</v>
      </c>
      <c r="AK92" s="225">
        <f t="shared" ref="AK92:AK138" si="586">FIND("AH",UPPER(TRIM(D92)))</f>
        <v>9</v>
      </c>
      <c r="AL92" s="225">
        <f t="shared" ref="AL92:AL138" si="587">VALUE(MID(TRIM(D92),1,AJ92-1))</f>
        <v>48</v>
      </c>
      <c r="AM92" s="225">
        <f t="shared" ref="AM92:AM138" si="588">VALUE(MID(TRIM(D92),AJ92+2,(AK92) -(AJ92+2) ))</f>
        <v>13</v>
      </c>
      <c r="AN92" s="225">
        <f t="shared" ref="AN92:AN138" si="589">VALUE(MID(TRIM(F92),4,2))</f>
        <v>26</v>
      </c>
      <c r="AO92" s="225">
        <f t="shared" ref="AO92:AO138" si="590">ROUNDDOWN(AL92/3.5,0)</f>
        <v>13</v>
      </c>
      <c r="AP92" s="225">
        <f t="shared" ref="AP92:AP138" si="591">ROUNDUP(AM92*10/AN92,0)</f>
        <v>5</v>
      </c>
      <c r="AQ92" s="225" t="str">
        <f t="shared" ref="AQ92:AQ138" si="592">IF(OR(ISERROR(AO92),ISERROR(AP92)),"error","ok")</f>
        <v>ok</v>
      </c>
      <c r="AR92" s="225" t="str">
        <f t="shared" ref="AR92:AR138" si="593">IF(AQ92="ok", TEXT(AO92,0)&amp;"S"&amp; TEXT(AP92,0)&amp;"P","_")</f>
        <v>13S5P</v>
      </c>
      <c r="AS92" s="225" t="str">
        <f t="shared" ref="AS92:AS138" si="594">IF(ISBLANK(H92),"",H92&amp;$H$2&amp;IF(UPPER(TRIM(I92))="V",$I$2,"")&amp;"_"&amp;F92&amp;"_")</f>
        <v>3LED_SDI26FM_</v>
      </c>
      <c r="AT92" s="225" t="str">
        <f t="shared" ref="AT92:AT138" si="595">IF(UPPER(TRIM(J92))="V",$J$2&amp;"_","")&amp;IF(UPPER(TRIM(K92))="V",$K$2&amp;"_","")&amp;IF(UPPER(TRIM(L92))="V",$L$2&amp;"_","")&amp;IF(UPPER(TRIM(M92))="V",$M$2&amp;"_","")&amp;IF(UPPER(TRIM(N92))="V",$N$2&amp;"_","")&amp;IF(UPPER(TRIM(O92))="V",$O$2&amp;"_","")</f>
        <v>SW1_</v>
      </c>
      <c r="AU92" s="225" t="str">
        <f t="shared" si="416"/>
        <v>Aslp_Wup_CC_DUVP_</v>
      </c>
      <c r="AV92" s="225" t="e">
        <f t="shared" ref="AV92:AV138" si="596">FIND("
",C92)</f>
        <v>#VALUE!</v>
      </c>
      <c r="AW92" s="225" t="b">
        <f t="shared" ref="AW92:AW138" si="597">IF(ISBLANK(C92),TRUE,(TRIM(C92)=""))</f>
        <v>1</v>
      </c>
      <c r="AX92" s="225" t="str">
        <f t="shared" ref="AX92:AX138" si="598">IF(AW92=TRUE,"",IF(NOT(ISERROR(AV92)),TRIM(MID(C92,1,AV92-1))&amp;"_",TRIM(C92)&amp;"_"))</f>
        <v/>
      </c>
      <c r="AY92" s="225" t="str">
        <f t="shared" ref="AY92:AY138" si="599">SUBSTITUTE(AX92,"-","_")</f>
        <v/>
      </c>
      <c r="AZ92" s="664" t="str">
        <f t="shared" ref="AZ92:AZ138" si="600">IF(UPPER(TRIM(X92))="V",$X$2&amp;"_","")&amp;IF(UPPER(TRIM(Y92))="V",$Y$2&amp;"_","")&amp;IF(ISBLANK(Z92),"",Z92&amp;$Z$2&amp;"_")</f>
        <v>136R_</v>
      </c>
    </row>
    <row r="93" spans="1:52" s="225" customFormat="1" ht="21">
      <c r="A93" s="804" t="s">
        <v>2026</v>
      </c>
      <c r="B93" s="714" t="s">
        <v>1961</v>
      </c>
      <c r="C93" s="715"/>
      <c r="D93" s="717" t="s">
        <v>1582</v>
      </c>
      <c r="E93" s="280" t="str">
        <f t="shared" si="583"/>
        <v>10S3P</v>
      </c>
      <c r="F93" s="696" t="s">
        <v>939</v>
      </c>
      <c r="G93" s="719" t="s">
        <v>116</v>
      </c>
      <c r="H93" s="765" t="s">
        <v>1427</v>
      </c>
      <c r="I93" s="803" t="s">
        <v>116</v>
      </c>
      <c r="J93" s="713"/>
      <c r="K93" s="803" t="s">
        <v>116</v>
      </c>
      <c r="L93" s="713"/>
      <c r="M93" s="713"/>
      <c r="N93" s="805"/>
      <c r="O93" s="713"/>
      <c r="P93" s="806" t="s">
        <v>116</v>
      </c>
      <c r="Q93" s="807" t="s">
        <v>116</v>
      </c>
      <c r="R93" s="713"/>
      <c r="S93" s="713"/>
      <c r="T93" s="808"/>
      <c r="U93" s="713"/>
      <c r="V93" s="807" t="s">
        <v>116</v>
      </c>
      <c r="W93" s="806" t="s">
        <v>116</v>
      </c>
      <c r="X93" s="713"/>
      <c r="Y93" s="806"/>
      <c r="Z93" s="809">
        <v>136</v>
      </c>
      <c r="AA93" s="809"/>
      <c r="AB93" s="809"/>
      <c r="AC93" s="727" t="s">
        <v>2027</v>
      </c>
      <c r="AD93" s="284" t="str">
        <f t="shared" si="584"/>
        <v>Pan_LT2_36078_X_10S3PN4LEDLowDrv_SDI26FM_SW1_Aslp_Wup_CC_DUVP_136R_</v>
      </c>
      <c r="AJ93" s="225">
        <f t="shared" si="585"/>
        <v>3</v>
      </c>
      <c r="AK93" s="225">
        <f t="shared" si="586"/>
        <v>8</v>
      </c>
      <c r="AL93" s="225">
        <f t="shared" si="587"/>
        <v>36</v>
      </c>
      <c r="AM93" s="225">
        <f t="shared" si="588"/>
        <v>7.8</v>
      </c>
      <c r="AN93" s="225">
        <f t="shared" si="589"/>
        <v>26</v>
      </c>
      <c r="AO93" s="225">
        <f t="shared" si="590"/>
        <v>10</v>
      </c>
      <c r="AP93" s="225">
        <f t="shared" si="591"/>
        <v>3</v>
      </c>
      <c r="AQ93" s="225" t="str">
        <f t="shared" si="592"/>
        <v>ok</v>
      </c>
      <c r="AR93" s="225" t="str">
        <f t="shared" si="593"/>
        <v>10S3P</v>
      </c>
      <c r="AS93" s="225" t="str">
        <f t="shared" si="594"/>
        <v>N4LEDLowDrv_SDI26FM_</v>
      </c>
      <c r="AT93" s="225" t="str">
        <f t="shared" si="595"/>
        <v>SW1_</v>
      </c>
      <c r="AU93" s="225" t="str">
        <f t="shared" si="416"/>
        <v>Aslp_Wup_CC_DUVP_</v>
      </c>
      <c r="AV93" s="225" t="e">
        <f t="shared" si="596"/>
        <v>#VALUE!</v>
      </c>
      <c r="AW93" s="225" t="b">
        <f t="shared" si="597"/>
        <v>1</v>
      </c>
      <c r="AX93" s="225" t="str">
        <f t="shared" si="598"/>
        <v/>
      </c>
      <c r="AY93" s="225" t="str">
        <f t="shared" si="599"/>
        <v/>
      </c>
      <c r="AZ93" s="664" t="str">
        <f t="shared" si="600"/>
        <v>136R_</v>
      </c>
    </row>
    <row r="94" spans="1:52" s="225" customFormat="1" ht="21">
      <c r="A94" s="713" t="s">
        <v>1964</v>
      </c>
      <c r="B94" s="714" t="s">
        <v>1965</v>
      </c>
      <c r="C94" s="715"/>
      <c r="D94" s="713" t="s">
        <v>1967</v>
      </c>
      <c r="E94" s="280" t="str">
        <f t="shared" si="583"/>
        <v>13S3P</v>
      </c>
      <c r="F94" s="802" t="s">
        <v>1903</v>
      </c>
      <c r="G94" s="719" t="s">
        <v>116</v>
      </c>
      <c r="H94" s="720">
        <v>4</v>
      </c>
      <c r="I94" s="806" t="s">
        <v>116</v>
      </c>
      <c r="J94" s="713"/>
      <c r="K94" s="806" t="s">
        <v>116</v>
      </c>
      <c r="L94" s="713"/>
      <c r="M94" s="713"/>
      <c r="N94" s="805"/>
      <c r="O94" s="713"/>
      <c r="P94" s="806" t="s">
        <v>116</v>
      </c>
      <c r="Q94" s="807" t="s">
        <v>116</v>
      </c>
      <c r="R94" s="713"/>
      <c r="S94" s="713"/>
      <c r="T94" s="808"/>
      <c r="U94" s="713"/>
      <c r="V94" s="807" t="s">
        <v>116</v>
      </c>
      <c r="W94" s="806" t="s">
        <v>116</v>
      </c>
      <c r="X94" s="713"/>
      <c r="Y94" s="806"/>
      <c r="Z94" s="809">
        <v>136</v>
      </c>
      <c r="AA94" s="809"/>
      <c r="AB94" s="809"/>
      <c r="AC94" s="727" t="s">
        <v>2054</v>
      </c>
      <c r="AD94" s="284" t="str">
        <f t="shared" si="584"/>
        <v>Pan_RN1_48087_NU_13S3P4LEDLowDrv_SDI29E_SW1_Aslp_Wup_CC_DUVP_136R_</v>
      </c>
      <c r="AJ94" s="225">
        <f t="shared" si="585"/>
        <v>3</v>
      </c>
      <c r="AK94" s="225">
        <f t="shared" si="586"/>
        <v>8</v>
      </c>
      <c r="AL94" s="225">
        <f t="shared" si="587"/>
        <v>48</v>
      </c>
      <c r="AM94" s="225">
        <f t="shared" si="588"/>
        <v>8.6999999999999993</v>
      </c>
      <c r="AN94" s="225">
        <f t="shared" si="589"/>
        <v>29</v>
      </c>
      <c r="AO94" s="225">
        <f t="shared" si="590"/>
        <v>13</v>
      </c>
      <c r="AP94" s="225">
        <f t="shared" si="591"/>
        <v>3</v>
      </c>
      <c r="AQ94" s="225" t="str">
        <f t="shared" si="592"/>
        <v>ok</v>
      </c>
      <c r="AR94" s="225" t="str">
        <f t="shared" si="593"/>
        <v>13S3P</v>
      </c>
      <c r="AS94" s="225" t="str">
        <f t="shared" si="594"/>
        <v>4LEDLowDrv_SDI29E_</v>
      </c>
      <c r="AT94" s="225" t="str">
        <f t="shared" si="595"/>
        <v>SW1_</v>
      </c>
      <c r="AU94" s="225" t="str">
        <f t="shared" si="416"/>
        <v>Aslp_Wup_CC_DUVP_</v>
      </c>
      <c r="AV94" s="225" t="e">
        <f t="shared" si="596"/>
        <v>#VALUE!</v>
      </c>
      <c r="AW94" s="225" t="b">
        <f t="shared" si="597"/>
        <v>1</v>
      </c>
      <c r="AX94" s="225" t="str">
        <f t="shared" si="598"/>
        <v/>
      </c>
      <c r="AY94" s="225" t="str">
        <f t="shared" si="599"/>
        <v/>
      </c>
      <c r="AZ94" s="664" t="str">
        <f t="shared" si="600"/>
        <v>136R_</v>
      </c>
    </row>
    <row r="95" spans="1:52" s="225" customFormat="1" ht="21">
      <c r="A95" s="713" t="s">
        <v>1966</v>
      </c>
      <c r="B95" s="714" t="s">
        <v>1965</v>
      </c>
      <c r="C95" s="715"/>
      <c r="D95" s="713" t="s">
        <v>1968</v>
      </c>
      <c r="E95" s="280" t="str">
        <f t="shared" ref="E95:E103" si="601">AR95</f>
        <v>10S4P</v>
      </c>
      <c r="F95" s="802" t="s">
        <v>1903</v>
      </c>
      <c r="G95" s="719" t="s">
        <v>116</v>
      </c>
      <c r="H95" s="765" t="s">
        <v>1427</v>
      </c>
      <c r="I95" s="803" t="s">
        <v>116</v>
      </c>
      <c r="J95" s="713"/>
      <c r="K95" s="803" t="s">
        <v>116</v>
      </c>
      <c r="L95" s="713"/>
      <c r="M95" s="713"/>
      <c r="N95" s="805"/>
      <c r="O95" s="713"/>
      <c r="P95" s="806" t="s">
        <v>116</v>
      </c>
      <c r="Q95" s="807" t="s">
        <v>116</v>
      </c>
      <c r="R95" s="713"/>
      <c r="S95" s="713"/>
      <c r="T95" s="808"/>
      <c r="U95" s="713"/>
      <c r="V95" s="807" t="s">
        <v>116</v>
      </c>
      <c r="W95" s="806" t="s">
        <v>116</v>
      </c>
      <c r="X95" s="713"/>
      <c r="Y95" s="806"/>
      <c r="Z95" s="809">
        <v>136</v>
      </c>
      <c r="AA95" s="809"/>
      <c r="AB95" s="809"/>
      <c r="AC95" s="727" t="s">
        <v>1969</v>
      </c>
      <c r="AD95" s="284" t="str">
        <f t="shared" ref="AD95:AD103" si="602">A95&amp;"_"&amp;E95&amp;AS95&amp;AT95&amp;AU95&amp;AZ95</f>
        <v>Pan_RN1_36116_DU_10S4PN4LEDLowDrv_SDI29E_SW1_Aslp_Wup_CC_DUVP_136R_</v>
      </c>
      <c r="AJ95" s="225">
        <f t="shared" ref="AJ95:AJ103" si="603">FIND("V",UPPER(TRIM(D95)))</f>
        <v>3</v>
      </c>
      <c r="AK95" s="225">
        <f t="shared" ref="AK95:AK103" si="604">FIND("AH",UPPER(TRIM(D95)))</f>
        <v>9</v>
      </c>
      <c r="AL95" s="225">
        <f t="shared" ref="AL95:AL103" si="605">VALUE(MID(TRIM(D95),1,AJ95-1))</f>
        <v>36</v>
      </c>
      <c r="AM95" s="225">
        <f t="shared" ref="AM95:AM103" si="606">VALUE(MID(TRIM(D95),AJ95+2,(AK95) -(AJ95+2) ))</f>
        <v>11.6</v>
      </c>
      <c r="AN95" s="225">
        <f t="shared" ref="AN95:AN103" si="607">VALUE(MID(TRIM(F95),4,2))</f>
        <v>29</v>
      </c>
      <c r="AO95" s="225">
        <f t="shared" ref="AO95:AO103" si="608">ROUNDDOWN(AL95/3.5,0)</f>
        <v>10</v>
      </c>
      <c r="AP95" s="225">
        <f t="shared" ref="AP95:AP103" si="609">ROUNDUP(AM95*10/AN95,0)</f>
        <v>4</v>
      </c>
      <c r="AQ95" s="225" t="str">
        <f t="shared" ref="AQ95:AQ103" si="610">IF(OR(ISERROR(AO95),ISERROR(AP95)),"error","ok")</f>
        <v>ok</v>
      </c>
      <c r="AR95" s="225" t="str">
        <f t="shared" ref="AR95:AR103" si="611">IF(AQ95="ok", TEXT(AO95,0)&amp;"S"&amp; TEXT(AP95,0)&amp;"P","_")</f>
        <v>10S4P</v>
      </c>
      <c r="AS95" s="225" t="str">
        <f t="shared" ref="AS95:AS103" si="612">IF(ISBLANK(H95),"",H95&amp;$H$2&amp;IF(UPPER(TRIM(I95))="V",$I$2,"")&amp;"_"&amp;F95&amp;"_")</f>
        <v>N4LEDLowDrv_SDI29E_</v>
      </c>
      <c r="AT95" s="225" t="str">
        <f t="shared" ref="AT95:AT103" si="613">IF(UPPER(TRIM(J95))="V",$J$2&amp;"_","")&amp;IF(UPPER(TRIM(K95))="V",$K$2&amp;"_","")&amp;IF(UPPER(TRIM(L95))="V",$L$2&amp;"_","")&amp;IF(UPPER(TRIM(M95))="V",$M$2&amp;"_","")&amp;IF(UPPER(TRIM(N95))="V",$N$2&amp;"_","")&amp;IF(UPPER(TRIM(O95))="V",$O$2&amp;"_","")</f>
        <v>SW1_</v>
      </c>
      <c r="AU95" s="225" t="str">
        <f t="shared" si="416"/>
        <v>Aslp_Wup_CC_DUVP_</v>
      </c>
      <c r="AV95" s="225" t="e">
        <f t="shared" ref="AV95:AV103" si="614">FIND("
",C95)</f>
        <v>#VALUE!</v>
      </c>
      <c r="AW95" s="225" t="b">
        <f t="shared" ref="AW95:AW103" si="615">IF(ISBLANK(C95),TRUE,(TRIM(C95)=""))</f>
        <v>1</v>
      </c>
      <c r="AX95" s="225" t="str">
        <f t="shared" ref="AX95:AX103" si="616">IF(AW95=TRUE,"",IF(NOT(ISERROR(AV95)),TRIM(MID(C95,1,AV95-1))&amp;"_",TRIM(C95)&amp;"_"))</f>
        <v/>
      </c>
      <c r="AY95" s="225" t="str">
        <f t="shared" ref="AY95:AY103" si="617">SUBSTITUTE(AX95,"-","_")</f>
        <v/>
      </c>
      <c r="AZ95" s="664" t="str">
        <f t="shared" ref="AZ95:AZ103" si="618">IF(UPPER(TRIM(X95))="V",$X$2&amp;"_","")&amp;IF(UPPER(TRIM(Y95))="V",$Y$2&amp;"_","")&amp;IF(ISBLANK(Z95),"",Z95&amp;$Z$2&amp;"_")</f>
        <v>136R_</v>
      </c>
    </row>
    <row r="96" spans="1:52" s="225" customFormat="1" ht="21">
      <c r="A96" s="713" t="s">
        <v>1970</v>
      </c>
      <c r="B96" s="714" t="s">
        <v>1971</v>
      </c>
      <c r="C96" s="715"/>
      <c r="D96" s="713" t="s">
        <v>1973</v>
      </c>
      <c r="E96" s="280" t="str">
        <f t="shared" si="601"/>
        <v>10S3P</v>
      </c>
      <c r="F96" s="802" t="s">
        <v>1903</v>
      </c>
      <c r="G96" s="719" t="s">
        <v>116</v>
      </c>
      <c r="H96" s="765" t="s">
        <v>1427</v>
      </c>
      <c r="I96" s="803" t="s">
        <v>116</v>
      </c>
      <c r="J96" s="713"/>
      <c r="K96" s="803" t="s">
        <v>116</v>
      </c>
      <c r="L96" s="713"/>
      <c r="M96" s="713"/>
      <c r="N96" s="805"/>
      <c r="O96" s="713"/>
      <c r="P96" s="806" t="s">
        <v>116</v>
      </c>
      <c r="Q96" s="807" t="s">
        <v>116</v>
      </c>
      <c r="R96" s="713"/>
      <c r="S96" s="713"/>
      <c r="T96" s="808"/>
      <c r="U96" s="713"/>
      <c r="V96" s="807" t="s">
        <v>116</v>
      </c>
      <c r="W96" s="806" t="s">
        <v>116</v>
      </c>
      <c r="X96" s="713"/>
      <c r="Y96" s="806"/>
      <c r="Z96" s="809">
        <v>136</v>
      </c>
      <c r="AA96" s="809"/>
      <c r="AB96" s="809"/>
      <c r="AC96" s="727" t="s">
        <v>1969</v>
      </c>
      <c r="AD96" s="284" t="str">
        <f t="shared" si="602"/>
        <v>Pan_SL1_36087_D_10S3PN4LEDLowDrv_SDI29E_SW1_Aslp_Wup_CC_DUVP_136R_</v>
      </c>
      <c r="AJ96" s="225">
        <f t="shared" si="603"/>
        <v>3</v>
      </c>
      <c r="AK96" s="225">
        <f t="shared" si="604"/>
        <v>8</v>
      </c>
      <c r="AL96" s="225">
        <f t="shared" si="605"/>
        <v>36</v>
      </c>
      <c r="AM96" s="225">
        <f t="shared" si="606"/>
        <v>8.6999999999999993</v>
      </c>
      <c r="AN96" s="225">
        <f t="shared" si="607"/>
        <v>29</v>
      </c>
      <c r="AO96" s="225">
        <f t="shared" si="608"/>
        <v>10</v>
      </c>
      <c r="AP96" s="225">
        <f t="shared" si="609"/>
        <v>3</v>
      </c>
      <c r="AQ96" s="225" t="str">
        <f t="shared" si="610"/>
        <v>ok</v>
      </c>
      <c r="AR96" s="225" t="str">
        <f t="shared" si="611"/>
        <v>10S3P</v>
      </c>
      <c r="AS96" s="225" t="str">
        <f t="shared" si="612"/>
        <v>N4LEDLowDrv_SDI29E_</v>
      </c>
      <c r="AT96" s="225" t="str">
        <f t="shared" si="613"/>
        <v>SW1_</v>
      </c>
      <c r="AU96" s="225" t="str">
        <f t="shared" si="416"/>
        <v>Aslp_Wup_CC_DUVP_</v>
      </c>
      <c r="AV96" s="225" t="e">
        <f t="shared" si="614"/>
        <v>#VALUE!</v>
      </c>
      <c r="AW96" s="225" t="b">
        <f t="shared" si="615"/>
        <v>1</v>
      </c>
      <c r="AX96" s="225" t="str">
        <f t="shared" si="616"/>
        <v/>
      </c>
      <c r="AY96" s="225" t="str">
        <f t="shared" si="617"/>
        <v/>
      </c>
      <c r="AZ96" s="664" t="str">
        <f t="shared" si="618"/>
        <v>136R_</v>
      </c>
    </row>
    <row r="97" spans="1:52" s="225" customFormat="1" ht="21">
      <c r="A97" s="713" t="s">
        <v>1972</v>
      </c>
      <c r="B97" s="714" t="s">
        <v>1971</v>
      </c>
      <c r="C97" s="715"/>
      <c r="D97" s="713" t="s">
        <v>1968</v>
      </c>
      <c r="E97" s="280" t="str">
        <f t="shared" si="601"/>
        <v>10S4P</v>
      </c>
      <c r="F97" s="802" t="s">
        <v>1903</v>
      </c>
      <c r="G97" s="719" t="s">
        <v>116</v>
      </c>
      <c r="H97" s="765" t="s">
        <v>1427</v>
      </c>
      <c r="I97" s="803" t="s">
        <v>116</v>
      </c>
      <c r="J97" s="713"/>
      <c r="K97" s="803" t="s">
        <v>116</v>
      </c>
      <c r="L97" s="713"/>
      <c r="M97" s="713"/>
      <c r="N97" s="805"/>
      <c r="O97" s="713"/>
      <c r="P97" s="806" t="s">
        <v>116</v>
      </c>
      <c r="Q97" s="807" t="s">
        <v>116</v>
      </c>
      <c r="R97" s="713"/>
      <c r="S97" s="713"/>
      <c r="T97" s="808"/>
      <c r="U97" s="713"/>
      <c r="V97" s="807" t="s">
        <v>116</v>
      </c>
      <c r="W97" s="806" t="s">
        <v>116</v>
      </c>
      <c r="X97" s="713"/>
      <c r="Y97" s="806"/>
      <c r="Z97" s="809">
        <v>136</v>
      </c>
      <c r="AA97" s="809"/>
      <c r="AB97" s="809"/>
      <c r="AC97" s="727" t="s">
        <v>1969</v>
      </c>
      <c r="AD97" s="284" t="str">
        <f t="shared" si="602"/>
        <v>Pan_SL1_36116_D_10S4PN4LEDLowDrv_SDI29E_SW1_Aslp_Wup_CC_DUVP_136R_</v>
      </c>
      <c r="AJ97" s="225">
        <f t="shared" si="603"/>
        <v>3</v>
      </c>
      <c r="AK97" s="225">
        <f t="shared" si="604"/>
        <v>9</v>
      </c>
      <c r="AL97" s="225">
        <f t="shared" si="605"/>
        <v>36</v>
      </c>
      <c r="AM97" s="225">
        <f t="shared" si="606"/>
        <v>11.6</v>
      </c>
      <c r="AN97" s="225">
        <f t="shared" si="607"/>
        <v>29</v>
      </c>
      <c r="AO97" s="225">
        <f t="shared" si="608"/>
        <v>10</v>
      </c>
      <c r="AP97" s="225">
        <f t="shared" si="609"/>
        <v>4</v>
      </c>
      <c r="AQ97" s="225" t="str">
        <f t="shared" si="610"/>
        <v>ok</v>
      </c>
      <c r="AR97" s="225" t="str">
        <f t="shared" si="611"/>
        <v>10S4P</v>
      </c>
      <c r="AS97" s="225" t="str">
        <f t="shared" si="612"/>
        <v>N4LEDLowDrv_SDI29E_</v>
      </c>
      <c r="AT97" s="225" t="str">
        <f t="shared" si="613"/>
        <v>SW1_</v>
      </c>
      <c r="AU97" s="225" t="str">
        <f t="shared" si="416"/>
        <v>Aslp_Wup_CC_DUVP_</v>
      </c>
      <c r="AV97" s="225" t="e">
        <f t="shared" si="614"/>
        <v>#VALUE!</v>
      </c>
      <c r="AW97" s="225" t="b">
        <f t="shared" si="615"/>
        <v>1</v>
      </c>
      <c r="AX97" s="225" t="str">
        <f t="shared" si="616"/>
        <v/>
      </c>
      <c r="AY97" s="225" t="str">
        <f t="shared" si="617"/>
        <v/>
      </c>
      <c r="AZ97" s="664" t="str">
        <f t="shared" si="618"/>
        <v>136R_</v>
      </c>
    </row>
    <row r="98" spans="1:52" s="225" customFormat="1" ht="21">
      <c r="A98" s="713" t="s">
        <v>2015</v>
      </c>
      <c r="B98" s="716" t="s">
        <v>1355</v>
      </c>
      <c r="C98" s="715"/>
      <c r="D98" s="713" t="s">
        <v>1975</v>
      </c>
      <c r="E98" s="280" t="str">
        <f t="shared" si="601"/>
        <v>7S4P</v>
      </c>
      <c r="F98" s="696" t="s">
        <v>939</v>
      </c>
      <c r="G98" s="719" t="s">
        <v>116</v>
      </c>
      <c r="H98" s="720">
        <v>4</v>
      </c>
      <c r="I98" s="806" t="s">
        <v>116</v>
      </c>
      <c r="J98" s="713"/>
      <c r="K98" s="806" t="s">
        <v>116</v>
      </c>
      <c r="L98" s="713"/>
      <c r="M98" s="713"/>
      <c r="N98" s="805"/>
      <c r="O98" s="713"/>
      <c r="P98" s="806" t="s">
        <v>116</v>
      </c>
      <c r="Q98" s="807" t="s">
        <v>116</v>
      </c>
      <c r="R98" s="807" t="s">
        <v>116</v>
      </c>
      <c r="S98" s="713"/>
      <c r="T98" s="808"/>
      <c r="U98" s="713"/>
      <c r="V98" s="807" t="s">
        <v>116</v>
      </c>
      <c r="W98" s="806" t="s">
        <v>116</v>
      </c>
      <c r="X98" s="713"/>
      <c r="Y98" s="806"/>
      <c r="Z98" s="809">
        <v>136</v>
      </c>
      <c r="AA98" s="809"/>
      <c r="AB98" s="809"/>
      <c r="AC98" s="727" t="s">
        <v>2016</v>
      </c>
      <c r="AD98" s="284" t="str">
        <f t="shared" si="602"/>
        <v>Ares115_26100_D_7S4P4LEDLowDrv_SDI26FM_SW1_Aslp_Wup_Doff_CC_DUVP_136R_</v>
      </c>
      <c r="AJ98" s="225">
        <f t="shared" si="603"/>
        <v>3</v>
      </c>
      <c r="AK98" s="225">
        <f t="shared" si="604"/>
        <v>9</v>
      </c>
      <c r="AL98" s="225">
        <f t="shared" si="605"/>
        <v>26</v>
      </c>
      <c r="AM98" s="225">
        <f t="shared" si="606"/>
        <v>10</v>
      </c>
      <c r="AN98" s="225">
        <f t="shared" si="607"/>
        <v>26</v>
      </c>
      <c r="AO98" s="225">
        <f t="shared" si="608"/>
        <v>7</v>
      </c>
      <c r="AP98" s="225">
        <f t="shared" si="609"/>
        <v>4</v>
      </c>
      <c r="AQ98" s="225" t="str">
        <f t="shared" si="610"/>
        <v>ok</v>
      </c>
      <c r="AR98" s="225" t="str">
        <f t="shared" si="611"/>
        <v>7S4P</v>
      </c>
      <c r="AS98" s="225" t="str">
        <f t="shared" si="612"/>
        <v>4LEDLowDrv_SDI26FM_</v>
      </c>
      <c r="AT98" s="225" t="str">
        <f t="shared" si="613"/>
        <v>SW1_</v>
      </c>
      <c r="AU98" s="225" t="str">
        <f t="shared" si="416"/>
        <v>Aslp_Wup_Doff_CC_DUVP_</v>
      </c>
      <c r="AV98" s="225" t="e">
        <f t="shared" si="614"/>
        <v>#VALUE!</v>
      </c>
      <c r="AW98" s="225" t="b">
        <f t="shared" si="615"/>
        <v>1</v>
      </c>
      <c r="AX98" s="225" t="str">
        <f t="shared" si="616"/>
        <v/>
      </c>
      <c r="AY98" s="225" t="str">
        <f t="shared" si="617"/>
        <v/>
      </c>
      <c r="AZ98" s="664" t="str">
        <f t="shared" si="618"/>
        <v>136R_</v>
      </c>
    </row>
    <row r="99" spans="1:52" s="225" customFormat="1" ht="21">
      <c r="A99" s="813" t="s">
        <v>1977</v>
      </c>
      <c r="B99" s="819" t="s">
        <v>2032</v>
      </c>
      <c r="C99" s="814"/>
      <c r="D99" s="813" t="s">
        <v>1976</v>
      </c>
      <c r="E99" s="280" t="str">
        <f t="shared" si="601"/>
        <v>10S4P</v>
      </c>
      <c r="F99" s="696" t="s">
        <v>939</v>
      </c>
      <c r="G99" s="719" t="s">
        <v>116</v>
      </c>
      <c r="H99" s="720">
        <v>4</v>
      </c>
      <c r="I99" s="815" t="s">
        <v>116</v>
      </c>
      <c r="J99" s="813"/>
      <c r="K99" s="815" t="s">
        <v>116</v>
      </c>
      <c r="L99" s="813"/>
      <c r="M99" s="813"/>
      <c r="N99" s="816"/>
      <c r="O99" s="813"/>
      <c r="P99" s="815" t="s">
        <v>116</v>
      </c>
      <c r="Q99" s="817" t="s">
        <v>116</v>
      </c>
      <c r="R99" s="813"/>
      <c r="S99" s="813"/>
      <c r="T99" s="818"/>
      <c r="U99" s="813"/>
      <c r="V99" s="817" t="s">
        <v>116</v>
      </c>
      <c r="W99" s="815" t="s">
        <v>116</v>
      </c>
      <c r="X99" s="813"/>
      <c r="Y99" s="815"/>
      <c r="Z99" s="726">
        <v>200</v>
      </c>
      <c r="AA99" s="726"/>
      <c r="AB99" s="726"/>
      <c r="AC99" s="225" t="s">
        <v>2033</v>
      </c>
      <c r="AD99" s="284" t="str">
        <f t="shared" si="602"/>
        <v>Ares_LT1_36104_DU_10S4P4LEDLowDrv_SDI26FM_SW1_Aslp_Wup_CC_DUVP_200R_</v>
      </c>
      <c r="AJ99" s="225">
        <f t="shared" si="603"/>
        <v>3</v>
      </c>
      <c r="AK99" s="225">
        <f t="shared" si="604"/>
        <v>9</v>
      </c>
      <c r="AL99" s="225">
        <f t="shared" si="605"/>
        <v>36</v>
      </c>
      <c r="AM99" s="225">
        <f t="shared" si="606"/>
        <v>10.4</v>
      </c>
      <c r="AN99" s="225">
        <f t="shared" si="607"/>
        <v>26</v>
      </c>
      <c r="AO99" s="225">
        <f t="shared" si="608"/>
        <v>10</v>
      </c>
      <c r="AP99" s="225">
        <f t="shared" si="609"/>
        <v>4</v>
      </c>
      <c r="AQ99" s="225" t="str">
        <f t="shared" si="610"/>
        <v>ok</v>
      </c>
      <c r="AR99" s="225" t="str">
        <f t="shared" si="611"/>
        <v>10S4P</v>
      </c>
      <c r="AS99" s="225" t="str">
        <f t="shared" si="612"/>
        <v>4LEDLowDrv_SDI26FM_</v>
      </c>
      <c r="AT99" s="225" t="str">
        <f t="shared" si="613"/>
        <v>SW1_</v>
      </c>
      <c r="AU99" s="225" t="str">
        <f t="shared" si="416"/>
        <v>Aslp_Wup_CC_DUVP_</v>
      </c>
      <c r="AV99" s="225" t="e">
        <f t="shared" si="614"/>
        <v>#VALUE!</v>
      </c>
      <c r="AW99" s="225" t="b">
        <f t="shared" si="615"/>
        <v>1</v>
      </c>
      <c r="AX99" s="225" t="str">
        <f t="shared" si="616"/>
        <v/>
      </c>
      <c r="AY99" s="225" t="str">
        <f t="shared" si="617"/>
        <v/>
      </c>
      <c r="AZ99" s="664" t="str">
        <f t="shared" si="618"/>
        <v>200R_</v>
      </c>
    </row>
    <row r="100" spans="1:52" s="225" customFormat="1" ht="21">
      <c r="A100" s="713" t="s">
        <v>1977</v>
      </c>
      <c r="B100" s="714" t="s">
        <v>1361</v>
      </c>
      <c r="C100" s="715"/>
      <c r="D100" s="713" t="s">
        <v>1344</v>
      </c>
      <c r="E100" s="280" t="str">
        <f t="shared" ref="E100" si="619">AR100</f>
        <v>10S4P</v>
      </c>
      <c r="F100" s="696" t="s">
        <v>939</v>
      </c>
      <c r="G100" s="719" t="s">
        <v>116</v>
      </c>
      <c r="H100" s="720">
        <v>4</v>
      </c>
      <c r="I100" s="806" t="s">
        <v>116</v>
      </c>
      <c r="J100" s="713"/>
      <c r="K100" s="806" t="s">
        <v>116</v>
      </c>
      <c r="L100" s="713"/>
      <c r="M100" s="713"/>
      <c r="N100" s="805"/>
      <c r="O100" s="713"/>
      <c r="P100" s="806" t="s">
        <v>116</v>
      </c>
      <c r="Q100" s="807" t="s">
        <v>116</v>
      </c>
      <c r="R100" s="807"/>
      <c r="S100" s="713"/>
      <c r="T100" s="808"/>
      <c r="U100" s="713"/>
      <c r="V100" s="807" t="s">
        <v>116</v>
      </c>
      <c r="W100" s="806" t="s">
        <v>116</v>
      </c>
      <c r="X100" s="713"/>
      <c r="Y100" s="806"/>
      <c r="Z100" s="809">
        <v>136</v>
      </c>
      <c r="AA100" s="809"/>
      <c r="AB100" s="809"/>
      <c r="AC100" s="727" t="s">
        <v>1969</v>
      </c>
      <c r="AD100" s="284" t="str">
        <f t="shared" ref="AD100" si="620">A100&amp;"_"&amp;E100&amp;AS100&amp;AT100&amp;AU100&amp;AZ100</f>
        <v>Ares_LT1_36104_DU_10S4P4LEDLowDrv_SDI26FM_SW1_Aslp_Wup_CC_DUVP_136R_</v>
      </c>
      <c r="AJ100" s="225">
        <f t="shared" ref="AJ100" si="621">FIND("V",UPPER(TRIM(D100)))</f>
        <v>3</v>
      </c>
      <c r="AK100" s="225">
        <f t="shared" ref="AK100" si="622">FIND("AH",UPPER(TRIM(D100)))</f>
        <v>9</v>
      </c>
      <c r="AL100" s="225">
        <f t="shared" ref="AL100" si="623">VALUE(MID(TRIM(D100),1,AJ100-1))</f>
        <v>36</v>
      </c>
      <c r="AM100" s="225">
        <f t="shared" ref="AM100" si="624">VALUE(MID(TRIM(D100),AJ100+2,(AK100) -(AJ100+2) ))</f>
        <v>10.4</v>
      </c>
      <c r="AN100" s="225">
        <f t="shared" ref="AN100" si="625">VALUE(MID(TRIM(F100),4,2))</f>
        <v>26</v>
      </c>
      <c r="AO100" s="225">
        <f t="shared" ref="AO100" si="626">ROUNDDOWN(AL100/3.5,0)</f>
        <v>10</v>
      </c>
      <c r="AP100" s="225">
        <f t="shared" ref="AP100" si="627">ROUNDUP(AM100*10/AN100,0)</f>
        <v>4</v>
      </c>
      <c r="AQ100" s="225" t="str">
        <f t="shared" ref="AQ100" si="628">IF(OR(ISERROR(AO100),ISERROR(AP100)),"error","ok")</f>
        <v>ok</v>
      </c>
      <c r="AR100" s="225" t="str">
        <f t="shared" ref="AR100" si="629">IF(AQ100="ok", TEXT(AO100,0)&amp;"S"&amp; TEXT(AP100,0)&amp;"P","_")</f>
        <v>10S4P</v>
      </c>
      <c r="AS100" s="225" t="str">
        <f t="shared" ref="AS100" si="630">IF(ISBLANK(H100),"",H100&amp;$H$2&amp;IF(UPPER(TRIM(I100))="V",$I$2,"")&amp;"_"&amp;F100&amp;"_")</f>
        <v>4LEDLowDrv_SDI26FM_</v>
      </c>
      <c r="AT100" s="225" t="str">
        <f t="shared" ref="AT100" si="631">IF(UPPER(TRIM(J100))="V",$J$2&amp;"_","")&amp;IF(UPPER(TRIM(K100))="V",$K$2&amp;"_","")&amp;IF(UPPER(TRIM(L100))="V",$L$2&amp;"_","")&amp;IF(UPPER(TRIM(M100))="V",$M$2&amp;"_","")&amp;IF(UPPER(TRIM(N100))="V",$N$2&amp;"_","")&amp;IF(UPPER(TRIM(O100))="V",$O$2&amp;"_","")</f>
        <v>SW1_</v>
      </c>
      <c r="AU100" s="225" t="str">
        <f t="shared" ref="AU100" si="632">IF(UPPER(TRIM(P100))="V",$P$2&amp;"_","")&amp;IF(UPPER(TRIM(Q100))="V",$Q$2&amp;"_","")&amp;IF(UPPER(TRIM(R100))="V",$R$2&amp;"_","")&amp;IF(UPPER(TRIM(S100))="V",$S$2&amp;"_","")&amp;IF(UPPER(TRIM(T100))="V",$T$2&amp;"_","")&amp;IF(UPPER(TRIM(U100))="V",$U$2&amp;"_","")&amp;IF(UPPER(TRIM(V100))="V",$V$2&amp;"_","")&amp;IF(UPPER(TRIM(W100))="V",$W$2&amp;"_","")</f>
        <v>Aslp_Wup_CC_DUVP_</v>
      </c>
      <c r="AV100" s="225" t="e">
        <f t="shared" ref="AV100" si="633">FIND("
",C100)</f>
        <v>#VALUE!</v>
      </c>
      <c r="AW100" s="225" t="b">
        <f t="shared" ref="AW100" si="634">IF(ISBLANK(C100),TRUE,(TRIM(C100)=""))</f>
        <v>1</v>
      </c>
      <c r="AX100" s="225" t="str">
        <f t="shared" ref="AX100" si="635">IF(AW100=TRUE,"",IF(NOT(ISERROR(AV100)),TRIM(MID(C100,1,AV100-1))&amp;"_",TRIM(C100)&amp;"_"))</f>
        <v/>
      </c>
      <c r="AY100" s="225" t="str">
        <f t="shared" ref="AY100" si="636">SUBSTITUTE(AX100,"-","_")</f>
        <v/>
      </c>
      <c r="AZ100" s="664" t="str">
        <f t="shared" ref="AZ100" si="637">IF(UPPER(TRIM(X100))="V",$X$2&amp;"_","")&amp;IF(UPPER(TRIM(Y100))="V",$Y$2&amp;"_","")&amp;IF(ISBLANK(Z100),"",Z100&amp;$Z$2&amp;"_")</f>
        <v>136R_</v>
      </c>
    </row>
    <row r="101" spans="1:52" s="225" customFormat="1" ht="21">
      <c r="A101" s="713" t="s">
        <v>1354</v>
      </c>
      <c r="B101" s="716" t="s">
        <v>1355</v>
      </c>
      <c r="C101" s="715"/>
      <c r="D101" s="713" t="s">
        <v>932</v>
      </c>
      <c r="E101" s="280" t="str">
        <f t="shared" si="601"/>
        <v>10S4P</v>
      </c>
      <c r="F101" s="696" t="s">
        <v>939</v>
      </c>
      <c r="G101" s="719" t="s">
        <v>116</v>
      </c>
      <c r="H101" s="720">
        <v>4</v>
      </c>
      <c r="I101" s="806" t="s">
        <v>116</v>
      </c>
      <c r="J101" s="713"/>
      <c r="K101" s="806" t="s">
        <v>116</v>
      </c>
      <c r="L101" s="713"/>
      <c r="M101" s="713"/>
      <c r="N101" s="805"/>
      <c r="O101" s="713"/>
      <c r="P101" s="806" t="s">
        <v>116</v>
      </c>
      <c r="Q101" s="807" t="s">
        <v>116</v>
      </c>
      <c r="R101" s="807" t="s">
        <v>116</v>
      </c>
      <c r="S101" s="713"/>
      <c r="T101" s="808"/>
      <c r="U101" s="713"/>
      <c r="V101" s="807" t="s">
        <v>116</v>
      </c>
      <c r="W101" s="806" t="s">
        <v>116</v>
      </c>
      <c r="X101" s="713"/>
      <c r="Y101" s="806"/>
      <c r="Z101" s="809">
        <v>136</v>
      </c>
      <c r="AA101" s="809"/>
      <c r="AB101" s="809"/>
      <c r="AC101" s="727" t="s">
        <v>2016</v>
      </c>
      <c r="AD101" s="284" t="str">
        <f t="shared" si="602"/>
        <v>Ares115_36100_D_10S4P4LEDLowDrv_SDI26FM_SW1_Aslp_Wup_Doff_CC_DUVP_136R_</v>
      </c>
      <c r="AJ101" s="225">
        <f t="shared" si="603"/>
        <v>3</v>
      </c>
      <c r="AK101" s="225">
        <f t="shared" si="604"/>
        <v>9</v>
      </c>
      <c r="AL101" s="225">
        <f t="shared" si="605"/>
        <v>36</v>
      </c>
      <c r="AM101" s="225">
        <f t="shared" si="606"/>
        <v>10</v>
      </c>
      <c r="AN101" s="225">
        <f t="shared" si="607"/>
        <v>26</v>
      </c>
      <c r="AO101" s="225">
        <f t="shared" si="608"/>
        <v>10</v>
      </c>
      <c r="AP101" s="225">
        <f t="shared" si="609"/>
        <v>4</v>
      </c>
      <c r="AQ101" s="225" t="str">
        <f t="shared" si="610"/>
        <v>ok</v>
      </c>
      <c r="AR101" s="225" t="str">
        <f t="shared" si="611"/>
        <v>10S4P</v>
      </c>
      <c r="AS101" s="225" t="str">
        <f t="shared" si="612"/>
        <v>4LEDLowDrv_SDI26FM_</v>
      </c>
      <c r="AT101" s="225" t="str">
        <f t="shared" si="613"/>
        <v>SW1_</v>
      </c>
      <c r="AU101" s="225" t="str">
        <f t="shared" si="416"/>
        <v>Aslp_Wup_Doff_CC_DUVP_</v>
      </c>
      <c r="AV101" s="225" t="e">
        <f t="shared" si="614"/>
        <v>#VALUE!</v>
      </c>
      <c r="AW101" s="225" t="b">
        <f t="shared" si="615"/>
        <v>1</v>
      </c>
      <c r="AX101" s="225" t="str">
        <f t="shared" si="616"/>
        <v/>
      </c>
      <c r="AY101" s="225" t="str">
        <f t="shared" si="617"/>
        <v/>
      </c>
      <c r="AZ101" s="664" t="str">
        <f t="shared" si="618"/>
        <v>136R_</v>
      </c>
    </row>
    <row r="102" spans="1:52" s="225" customFormat="1" ht="21">
      <c r="A102" s="713" t="s">
        <v>1978</v>
      </c>
      <c r="B102" s="716"/>
      <c r="C102" s="715"/>
      <c r="D102" s="713" t="s">
        <v>1979</v>
      </c>
      <c r="E102" s="280" t="str">
        <f t="shared" si="601"/>
        <v>7S4P</v>
      </c>
      <c r="F102" s="797" t="s">
        <v>1431</v>
      </c>
      <c r="G102" s="719" t="s">
        <v>116</v>
      </c>
      <c r="H102" s="720">
        <v>3</v>
      </c>
      <c r="I102" s="807"/>
      <c r="J102" s="713"/>
      <c r="K102" s="806" t="s">
        <v>116</v>
      </c>
      <c r="L102" s="713"/>
      <c r="M102" s="713"/>
      <c r="N102" s="805"/>
      <c r="O102" s="713"/>
      <c r="P102" s="807" t="s">
        <v>116</v>
      </c>
      <c r="Q102" s="807" t="s">
        <v>116</v>
      </c>
      <c r="R102" s="713"/>
      <c r="S102" s="713"/>
      <c r="T102" s="808"/>
      <c r="U102" s="713"/>
      <c r="V102" s="807" t="s">
        <v>116</v>
      </c>
      <c r="W102" s="806" t="s">
        <v>116</v>
      </c>
      <c r="X102" s="713"/>
      <c r="Y102" s="713"/>
      <c r="Z102" s="809">
        <v>136</v>
      </c>
      <c r="AA102" s="809"/>
      <c r="AB102" s="809"/>
      <c r="AC102" s="727" t="s">
        <v>1989</v>
      </c>
      <c r="AD102" s="284" t="str">
        <f t="shared" si="602"/>
        <v>Pan_B285_26088_Y_7S4P3LED_SDI22FM_SW1_Aslp_Wup_CC_DUVP_136R_</v>
      </c>
      <c r="AJ102" s="225">
        <f t="shared" si="603"/>
        <v>3</v>
      </c>
      <c r="AK102" s="225">
        <f t="shared" si="604"/>
        <v>8</v>
      </c>
      <c r="AL102" s="225">
        <f t="shared" si="605"/>
        <v>26</v>
      </c>
      <c r="AM102" s="225">
        <f t="shared" si="606"/>
        <v>8.8000000000000007</v>
      </c>
      <c r="AN102" s="225">
        <f t="shared" si="607"/>
        <v>22</v>
      </c>
      <c r="AO102" s="225">
        <f t="shared" si="608"/>
        <v>7</v>
      </c>
      <c r="AP102" s="225">
        <f t="shared" si="609"/>
        <v>4</v>
      </c>
      <c r="AQ102" s="225" t="str">
        <f t="shared" si="610"/>
        <v>ok</v>
      </c>
      <c r="AR102" s="225" t="str">
        <f t="shared" si="611"/>
        <v>7S4P</v>
      </c>
      <c r="AS102" s="225" t="str">
        <f t="shared" si="612"/>
        <v>3LED_SDI22FM_</v>
      </c>
      <c r="AT102" s="225" t="str">
        <f t="shared" si="613"/>
        <v>SW1_</v>
      </c>
      <c r="AU102" s="225" t="str">
        <f t="shared" si="416"/>
        <v>Aslp_Wup_CC_DUVP_</v>
      </c>
      <c r="AV102" s="225" t="e">
        <f t="shared" si="614"/>
        <v>#VALUE!</v>
      </c>
      <c r="AW102" s="225" t="b">
        <f t="shared" si="615"/>
        <v>1</v>
      </c>
      <c r="AX102" s="225" t="str">
        <f t="shared" si="616"/>
        <v/>
      </c>
      <c r="AY102" s="225" t="str">
        <f t="shared" si="617"/>
        <v/>
      </c>
      <c r="AZ102" s="664" t="str">
        <f t="shared" si="618"/>
        <v>136R_</v>
      </c>
    </row>
    <row r="103" spans="1:52" s="225" customFormat="1" ht="21">
      <c r="A103" s="837" t="s">
        <v>1980</v>
      </c>
      <c r="B103" s="838" t="s">
        <v>2035</v>
      </c>
      <c r="C103" s="839"/>
      <c r="D103" s="837" t="s">
        <v>959</v>
      </c>
      <c r="E103" s="840" t="str">
        <f t="shared" si="601"/>
        <v>10S5P</v>
      </c>
      <c r="F103" s="841" t="s">
        <v>939</v>
      </c>
      <c r="G103" s="842" t="s">
        <v>116</v>
      </c>
      <c r="H103" s="843">
        <v>4</v>
      </c>
      <c r="I103" s="844" t="s">
        <v>116</v>
      </c>
      <c r="J103" s="837"/>
      <c r="K103" s="844" t="s">
        <v>116</v>
      </c>
      <c r="L103" s="837"/>
      <c r="M103" s="837"/>
      <c r="N103" s="845"/>
      <c r="O103" s="837"/>
      <c r="P103" s="844" t="s">
        <v>116</v>
      </c>
      <c r="Q103" s="846" t="s">
        <v>116</v>
      </c>
      <c r="R103" s="837"/>
      <c r="S103" s="837"/>
      <c r="T103" s="847"/>
      <c r="U103" s="837"/>
      <c r="V103" s="846" t="s">
        <v>116</v>
      </c>
      <c r="W103" s="844" t="s">
        <v>116</v>
      </c>
      <c r="X103" s="837"/>
      <c r="Y103" s="844"/>
      <c r="Z103" s="848">
        <v>136</v>
      </c>
      <c r="AA103" s="848"/>
      <c r="AB103" s="848"/>
      <c r="AC103" s="849" t="s">
        <v>1988</v>
      </c>
      <c r="AD103" s="284" t="str">
        <f t="shared" si="602"/>
        <v>Pan_RN1_36130_DU_10S5P4LEDLowDrv_SDI26FM_SW1_Aslp_Wup_CC_DUVP_136R_</v>
      </c>
      <c r="AJ103" s="225">
        <f t="shared" si="603"/>
        <v>3</v>
      </c>
      <c r="AK103" s="225">
        <f t="shared" si="604"/>
        <v>9</v>
      </c>
      <c r="AL103" s="225">
        <f t="shared" si="605"/>
        <v>36</v>
      </c>
      <c r="AM103" s="225">
        <f t="shared" si="606"/>
        <v>13</v>
      </c>
      <c r="AN103" s="225">
        <f t="shared" si="607"/>
        <v>26</v>
      </c>
      <c r="AO103" s="225">
        <f t="shared" si="608"/>
        <v>10</v>
      </c>
      <c r="AP103" s="225">
        <f t="shared" si="609"/>
        <v>5</v>
      </c>
      <c r="AQ103" s="225" t="str">
        <f t="shared" si="610"/>
        <v>ok</v>
      </c>
      <c r="AR103" s="225" t="str">
        <f t="shared" si="611"/>
        <v>10S5P</v>
      </c>
      <c r="AS103" s="225" t="str">
        <f t="shared" si="612"/>
        <v>4LEDLowDrv_SDI26FM_</v>
      </c>
      <c r="AT103" s="225" t="str">
        <f t="shared" si="613"/>
        <v>SW1_</v>
      </c>
      <c r="AU103" s="225" t="str">
        <f t="shared" si="416"/>
        <v>Aslp_Wup_CC_DUVP_</v>
      </c>
      <c r="AV103" s="225" t="e">
        <f t="shared" si="614"/>
        <v>#VALUE!</v>
      </c>
      <c r="AW103" s="225" t="b">
        <f t="shared" si="615"/>
        <v>1</v>
      </c>
      <c r="AX103" s="225" t="str">
        <f t="shared" si="616"/>
        <v/>
      </c>
      <c r="AY103" s="225" t="str">
        <f t="shared" si="617"/>
        <v/>
      </c>
      <c r="AZ103" s="664" t="str">
        <f t="shared" si="618"/>
        <v>136R_</v>
      </c>
    </row>
    <row r="104" spans="1:52" s="225" customFormat="1" ht="21">
      <c r="A104" s="713" t="s">
        <v>1987</v>
      </c>
      <c r="B104" s="716"/>
      <c r="C104" s="715"/>
      <c r="D104" s="713" t="s">
        <v>1981</v>
      </c>
      <c r="E104" s="280" t="str">
        <f t="shared" si="583"/>
        <v>10S7P</v>
      </c>
      <c r="F104" s="802" t="s">
        <v>1903</v>
      </c>
      <c r="G104" s="719" t="s">
        <v>116</v>
      </c>
      <c r="H104" s="720">
        <v>5</v>
      </c>
      <c r="I104" s="806" t="s">
        <v>116</v>
      </c>
      <c r="J104" s="713"/>
      <c r="K104" s="806" t="s">
        <v>116</v>
      </c>
      <c r="L104" s="713"/>
      <c r="M104" s="713"/>
      <c r="N104" s="806"/>
      <c r="O104" s="713"/>
      <c r="P104" s="806" t="s">
        <v>116</v>
      </c>
      <c r="Q104" s="807" t="s">
        <v>116</v>
      </c>
      <c r="R104" s="713"/>
      <c r="S104" s="713"/>
      <c r="T104" s="806"/>
      <c r="U104" s="713"/>
      <c r="V104" s="807" t="s">
        <v>116</v>
      </c>
      <c r="W104" s="806" t="s">
        <v>116</v>
      </c>
      <c r="X104" s="713"/>
      <c r="Y104" s="713"/>
      <c r="Z104" s="809">
        <v>136</v>
      </c>
      <c r="AA104" s="809"/>
      <c r="AB104" s="809"/>
      <c r="AC104" s="727" t="s">
        <v>1988</v>
      </c>
      <c r="AD104" s="284" t="str">
        <f t="shared" si="584"/>
        <v>Pan_BLT360_36203_D_10S7P5LEDLowDrv_SDI29E_SW1_Aslp_Wup_CC_DUVP_136R_</v>
      </c>
      <c r="AJ104" s="225">
        <f t="shared" si="585"/>
        <v>3</v>
      </c>
      <c r="AK104" s="225">
        <f t="shared" si="586"/>
        <v>9</v>
      </c>
      <c r="AL104" s="225">
        <f t="shared" si="587"/>
        <v>36</v>
      </c>
      <c r="AM104" s="225">
        <f t="shared" si="588"/>
        <v>20.3</v>
      </c>
      <c r="AN104" s="225">
        <f t="shared" si="589"/>
        <v>29</v>
      </c>
      <c r="AO104" s="225">
        <f t="shared" si="590"/>
        <v>10</v>
      </c>
      <c r="AP104" s="225">
        <f t="shared" si="591"/>
        <v>7</v>
      </c>
      <c r="AQ104" s="225" t="str">
        <f t="shared" si="592"/>
        <v>ok</v>
      </c>
      <c r="AR104" s="225" t="str">
        <f t="shared" si="593"/>
        <v>10S7P</v>
      </c>
      <c r="AS104" s="225" t="str">
        <f t="shared" si="594"/>
        <v>5LEDLowDrv_SDI29E_</v>
      </c>
      <c r="AT104" s="225" t="str">
        <f t="shared" si="595"/>
        <v>SW1_</v>
      </c>
      <c r="AU104" s="225" t="str">
        <f t="shared" si="416"/>
        <v>Aslp_Wup_CC_DUVP_</v>
      </c>
      <c r="AV104" s="225" t="e">
        <f t="shared" si="596"/>
        <v>#VALUE!</v>
      </c>
      <c r="AW104" s="225" t="b">
        <f t="shared" si="597"/>
        <v>1</v>
      </c>
      <c r="AX104" s="225" t="str">
        <f t="shared" si="598"/>
        <v/>
      </c>
      <c r="AY104" s="225" t="str">
        <f t="shared" si="599"/>
        <v/>
      </c>
      <c r="AZ104" s="664" t="str">
        <f t="shared" si="600"/>
        <v>136R_</v>
      </c>
    </row>
    <row r="105" spans="1:52" s="225" customFormat="1" ht="32.25">
      <c r="A105" s="713" t="s">
        <v>1990</v>
      </c>
      <c r="B105" s="714" t="s">
        <v>1992</v>
      </c>
      <c r="C105" s="715"/>
      <c r="D105" s="713" t="s">
        <v>1991</v>
      </c>
      <c r="E105" s="280" t="str">
        <f t="shared" si="583"/>
        <v>7S2P</v>
      </c>
      <c r="F105" s="696" t="s">
        <v>939</v>
      </c>
      <c r="G105" s="719" t="s">
        <v>116</v>
      </c>
      <c r="H105" s="720">
        <v>5</v>
      </c>
      <c r="I105" s="806" t="s">
        <v>116</v>
      </c>
      <c r="J105" s="713"/>
      <c r="K105" s="806" t="s">
        <v>116</v>
      </c>
      <c r="L105" s="713"/>
      <c r="M105" s="713"/>
      <c r="N105" s="806" t="s">
        <v>116</v>
      </c>
      <c r="O105" s="713"/>
      <c r="P105" s="806" t="s">
        <v>116</v>
      </c>
      <c r="Q105" s="807" t="s">
        <v>116</v>
      </c>
      <c r="R105" s="713"/>
      <c r="S105" s="713"/>
      <c r="T105" s="806" t="s">
        <v>116</v>
      </c>
      <c r="U105" s="713"/>
      <c r="V105" s="807" t="s">
        <v>116</v>
      </c>
      <c r="W105" s="806" t="s">
        <v>116</v>
      </c>
      <c r="X105" s="713"/>
      <c r="Y105" s="713"/>
      <c r="Z105" s="809">
        <v>136</v>
      </c>
      <c r="AA105" s="809"/>
      <c r="AB105" s="809"/>
      <c r="AC105" s="768" t="s">
        <v>1993</v>
      </c>
      <c r="AD105" s="284" t="str">
        <f t="shared" si="584"/>
        <v>Ares_LY1_26052_DU_7S2P5LEDLowDrv_SDI26FM_SW1_SW2_Aslp_Wup_Blight_CC_DUVP_136R_</v>
      </c>
      <c r="AJ105" s="225">
        <f t="shared" si="585"/>
        <v>3</v>
      </c>
      <c r="AK105" s="225">
        <f t="shared" si="586"/>
        <v>8</v>
      </c>
      <c r="AL105" s="225">
        <f t="shared" si="587"/>
        <v>26</v>
      </c>
      <c r="AM105" s="225">
        <f t="shared" si="588"/>
        <v>5.2</v>
      </c>
      <c r="AN105" s="225">
        <f t="shared" si="589"/>
        <v>26</v>
      </c>
      <c r="AO105" s="225">
        <f t="shared" si="590"/>
        <v>7</v>
      </c>
      <c r="AP105" s="225">
        <f t="shared" si="591"/>
        <v>2</v>
      </c>
      <c r="AQ105" s="225" t="str">
        <f t="shared" si="592"/>
        <v>ok</v>
      </c>
      <c r="AR105" s="225" t="str">
        <f t="shared" si="593"/>
        <v>7S2P</v>
      </c>
      <c r="AS105" s="225" t="str">
        <f t="shared" si="594"/>
        <v>5LEDLowDrv_SDI26FM_</v>
      </c>
      <c r="AT105" s="225" t="str">
        <f t="shared" si="595"/>
        <v>SW1_SW2_</v>
      </c>
      <c r="AU105" s="225" t="str">
        <f t="shared" si="416"/>
        <v>Aslp_Wup_Blight_CC_DUVP_</v>
      </c>
      <c r="AV105" s="225" t="e">
        <f t="shared" si="596"/>
        <v>#VALUE!</v>
      </c>
      <c r="AW105" s="225" t="b">
        <f t="shared" si="597"/>
        <v>1</v>
      </c>
      <c r="AX105" s="225" t="str">
        <f t="shared" si="598"/>
        <v/>
      </c>
      <c r="AY105" s="225" t="str">
        <f t="shared" si="599"/>
        <v/>
      </c>
      <c r="AZ105" s="664" t="str">
        <f t="shared" si="600"/>
        <v>136R_</v>
      </c>
    </row>
    <row r="106" spans="1:52" s="225" customFormat="1" ht="37.5">
      <c r="A106" s="713" t="s">
        <v>1994</v>
      </c>
      <c r="B106" s="714" t="s">
        <v>1362</v>
      </c>
      <c r="C106" s="715" t="s">
        <v>1999</v>
      </c>
      <c r="D106" s="713" t="s">
        <v>1248</v>
      </c>
      <c r="E106" s="280" t="str">
        <f t="shared" ref="E106:E121" si="638">AR106</f>
        <v>10S6P</v>
      </c>
      <c r="F106" s="696" t="s">
        <v>939</v>
      </c>
      <c r="G106" s="719" t="s">
        <v>116</v>
      </c>
      <c r="H106" s="720">
        <v>5</v>
      </c>
      <c r="I106" s="806" t="s">
        <v>116</v>
      </c>
      <c r="J106" s="713"/>
      <c r="K106" s="806" t="s">
        <v>116</v>
      </c>
      <c r="L106" s="713"/>
      <c r="M106" s="713"/>
      <c r="N106" s="805"/>
      <c r="O106" s="713"/>
      <c r="P106" s="806" t="s">
        <v>116</v>
      </c>
      <c r="Q106" s="807" t="s">
        <v>116</v>
      </c>
      <c r="R106" s="713"/>
      <c r="S106" s="713"/>
      <c r="T106" s="808"/>
      <c r="U106" s="713"/>
      <c r="V106" s="807" t="s">
        <v>116</v>
      </c>
      <c r="W106" s="806" t="s">
        <v>116</v>
      </c>
      <c r="X106" s="713"/>
      <c r="Y106" s="713"/>
      <c r="Z106" s="809">
        <v>136</v>
      </c>
      <c r="AA106" s="809"/>
      <c r="AB106" s="809"/>
      <c r="AC106" s="727" t="s">
        <v>2004</v>
      </c>
      <c r="AD106" s="284" t="str">
        <f t="shared" ref="AD106:AD121" si="639">A106&amp;"_"&amp;E106&amp;AS106&amp;AT106&amp;AU106&amp;AZ106</f>
        <v>Pan_BLT330_36156_DU_10S6P5LEDLowDrv_SDI26FM_SW1_Aslp_Wup_CC_DUVP_136R_</v>
      </c>
      <c r="AJ106" s="225">
        <f t="shared" ref="AJ106:AJ121" si="640">FIND("V",UPPER(TRIM(D106)))</f>
        <v>3</v>
      </c>
      <c r="AK106" s="225">
        <f t="shared" ref="AK106:AK121" si="641">FIND("AH",UPPER(TRIM(D106)))</f>
        <v>9</v>
      </c>
      <c r="AL106" s="225">
        <f t="shared" ref="AL106:AL121" si="642">VALUE(MID(TRIM(D106),1,AJ106-1))</f>
        <v>36</v>
      </c>
      <c r="AM106" s="225">
        <f t="shared" ref="AM106:AM121" si="643">VALUE(MID(TRIM(D106),AJ106+2,(AK106) -(AJ106+2) ))</f>
        <v>15.6</v>
      </c>
      <c r="AN106" s="225">
        <f t="shared" ref="AN106:AN121" si="644">VALUE(MID(TRIM(F106),4,2))</f>
        <v>26</v>
      </c>
      <c r="AO106" s="225">
        <f t="shared" ref="AO106:AO121" si="645">ROUNDDOWN(AL106/3.5,0)</f>
        <v>10</v>
      </c>
      <c r="AP106" s="225">
        <f t="shared" ref="AP106:AP121" si="646">ROUNDUP(AM106*10/AN106,0)</f>
        <v>6</v>
      </c>
      <c r="AQ106" s="225" t="str">
        <f t="shared" ref="AQ106:AQ121" si="647">IF(OR(ISERROR(AO106),ISERROR(AP106)),"error","ok")</f>
        <v>ok</v>
      </c>
      <c r="AR106" s="225" t="str">
        <f t="shared" ref="AR106:AR121" si="648">IF(AQ106="ok", TEXT(AO106,0)&amp;"S"&amp; TEXT(AP106,0)&amp;"P","_")</f>
        <v>10S6P</v>
      </c>
      <c r="AS106" s="225" t="str">
        <f t="shared" ref="AS106:AS121" si="649">IF(ISBLANK(H106),"",H106&amp;$H$2&amp;IF(UPPER(TRIM(I106))="V",$I$2,"")&amp;"_"&amp;F106&amp;"_")</f>
        <v>5LEDLowDrv_SDI26FM_</v>
      </c>
      <c r="AT106" s="225" t="str">
        <f t="shared" ref="AT106:AT121" si="650">IF(UPPER(TRIM(J106))="V",$J$2&amp;"_","")&amp;IF(UPPER(TRIM(K106))="V",$K$2&amp;"_","")&amp;IF(UPPER(TRIM(L106))="V",$L$2&amp;"_","")&amp;IF(UPPER(TRIM(M106))="V",$M$2&amp;"_","")&amp;IF(UPPER(TRIM(N106))="V",$N$2&amp;"_","")&amp;IF(UPPER(TRIM(O106))="V",$O$2&amp;"_","")</f>
        <v>SW1_</v>
      </c>
      <c r="AU106" s="225" t="str">
        <f t="shared" si="416"/>
        <v>Aslp_Wup_CC_DUVP_</v>
      </c>
      <c r="AV106" s="225" t="e">
        <f t="shared" ref="AV106:AV121" si="651">FIND("
",C106)</f>
        <v>#VALUE!</v>
      </c>
      <c r="AW106" s="225" t="b">
        <f t="shared" ref="AW106:AW121" si="652">IF(ISBLANK(C106),TRUE,(TRIM(C106)=""))</f>
        <v>0</v>
      </c>
      <c r="AX106" s="225" t="str">
        <f t="shared" ref="AX106:AX121" si="653">IF(AW106=TRUE,"",IF(NOT(ISERROR(AV106)),TRIM(MID(C106,1,AV106-1))&amp;"_",TRIM(C106)&amp;"_"))</f>
        <v>85KB0015K6-W021E02L_</v>
      </c>
      <c r="AY106" s="225" t="str">
        <f t="shared" ref="AY106:AY121" si="654">SUBSTITUTE(AX106,"-","_")</f>
        <v>85KB0015K6_W021E02L_</v>
      </c>
      <c r="AZ106" s="664" t="str">
        <f t="shared" ref="AZ106:AZ121" si="655">IF(UPPER(TRIM(X106))="V",$X$2&amp;"_","")&amp;IF(UPPER(TRIM(Y106))="V",$Y$2&amp;"_","")&amp;IF(ISBLANK(Z106),"",Z106&amp;$Z$2&amp;"_")</f>
        <v>136R_</v>
      </c>
    </row>
    <row r="107" spans="1:52" s="225" customFormat="1" ht="37.5">
      <c r="A107" s="713" t="s">
        <v>1995</v>
      </c>
      <c r="B107" s="714" t="s">
        <v>1362</v>
      </c>
      <c r="C107" s="715" t="s">
        <v>2000</v>
      </c>
      <c r="D107" s="713" t="s">
        <v>1248</v>
      </c>
      <c r="E107" s="280" t="str">
        <f t="shared" si="638"/>
        <v>10S6P</v>
      </c>
      <c r="F107" s="696" t="s">
        <v>939</v>
      </c>
      <c r="G107" s="719" t="s">
        <v>116</v>
      </c>
      <c r="H107" s="720">
        <v>5</v>
      </c>
      <c r="I107" s="806" t="s">
        <v>116</v>
      </c>
      <c r="J107" s="713"/>
      <c r="K107" s="806" t="s">
        <v>116</v>
      </c>
      <c r="L107" s="713"/>
      <c r="M107" s="713"/>
      <c r="N107" s="805"/>
      <c r="O107" s="713"/>
      <c r="P107" s="806" t="s">
        <v>116</v>
      </c>
      <c r="Q107" s="807" t="s">
        <v>116</v>
      </c>
      <c r="R107" s="713"/>
      <c r="S107" s="713"/>
      <c r="T107" s="808"/>
      <c r="U107" s="713"/>
      <c r="V107" s="807" t="s">
        <v>116</v>
      </c>
      <c r="W107" s="806" t="s">
        <v>116</v>
      </c>
      <c r="X107" s="713"/>
      <c r="Y107" s="713"/>
      <c r="Z107" s="809">
        <v>136</v>
      </c>
      <c r="AA107" s="809"/>
      <c r="AB107" s="809"/>
      <c r="AC107" s="727" t="s">
        <v>2004</v>
      </c>
      <c r="AD107" s="284" t="str">
        <f t="shared" si="639"/>
        <v>Pan_BLT360_36156_DU_10S6P5LEDLowDrv_SDI26FM_SW1_Aslp_Wup_CC_DUVP_136R_</v>
      </c>
      <c r="AJ107" s="225">
        <f t="shared" si="640"/>
        <v>3</v>
      </c>
      <c r="AK107" s="225">
        <f t="shared" si="641"/>
        <v>9</v>
      </c>
      <c r="AL107" s="225">
        <f t="shared" si="642"/>
        <v>36</v>
      </c>
      <c r="AM107" s="225">
        <f t="shared" si="643"/>
        <v>15.6</v>
      </c>
      <c r="AN107" s="225">
        <f t="shared" si="644"/>
        <v>26</v>
      </c>
      <c r="AO107" s="225">
        <f t="shared" si="645"/>
        <v>10</v>
      </c>
      <c r="AP107" s="225">
        <f t="shared" si="646"/>
        <v>6</v>
      </c>
      <c r="AQ107" s="225" t="str">
        <f t="shared" si="647"/>
        <v>ok</v>
      </c>
      <c r="AR107" s="225" t="str">
        <f t="shared" si="648"/>
        <v>10S6P</v>
      </c>
      <c r="AS107" s="225" t="str">
        <f t="shared" si="649"/>
        <v>5LEDLowDrv_SDI26FM_</v>
      </c>
      <c r="AT107" s="225" t="str">
        <f t="shared" si="650"/>
        <v>SW1_</v>
      </c>
      <c r="AU107" s="225" t="str">
        <f t="shared" si="416"/>
        <v>Aslp_Wup_CC_DUVP_</v>
      </c>
      <c r="AV107" s="225" t="e">
        <f t="shared" si="651"/>
        <v>#VALUE!</v>
      </c>
      <c r="AW107" s="225" t="b">
        <f t="shared" si="652"/>
        <v>0</v>
      </c>
      <c r="AX107" s="225" t="str">
        <f t="shared" si="653"/>
        <v>85KB0015K6-W021E03L_</v>
      </c>
      <c r="AY107" s="225" t="str">
        <f t="shared" si="654"/>
        <v>85KB0015K6_W021E03L_</v>
      </c>
      <c r="AZ107" s="664" t="str">
        <f t="shared" si="655"/>
        <v>136R_</v>
      </c>
    </row>
    <row r="108" spans="1:52" s="225" customFormat="1" ht="37.5">
      <c r="A108" s="713" t="s">
        <v>1996</v>
      </c>
      <c r="B108" s="714" t="s">
        <v>1362</v>
      </c>
      <c r="C108" s="715" t="s">
        <v>2001</v>
      </c>
      <c r="D108" s="713" t="s">
        <v>1344</v>
      </c>
      <c r="E108" s="280" t="str">
        <f t="shared" si="638"/>
        <v>10S4P</v>
      </c>
      <c r="F108" s="696" t="s">
        <v>939</v>
      </c>
      <c r="G108" s="719" t="s">
        <v>116</v>
      </c>
      <c r="H108" s="720">
        <v>5</v>
      </c>
      <c r="I108" s="806" t="s">
        <v>116</v>
      </c>
      <c r="J108" s="713"/>
      <c r="K108" s="806" t="s">
        <v>116</v>
      </c>
      <c r="L108" s="713"/>
      <c r="M108" s="713"/>
      <c r="N108" s="805"/>
      <c r="O108" s="713"/>
      <c r="P108" s="806" t="s">
        <v>116</v>
      </c>
      <c r="Q108" s="807" t="s">
        <v>116</v>
      </c>
      <c r="R108" s="713"/>
      <c r="S108" s="713"/>
      <c r="T108" s="808"/>
      <c r="U108" s="713"/>
      <c r="V108" s="807" t="s">
        <v>116</v>
      </c>
      <c r="W108" s="806" t="s">
        <v>116</v>
      </c>
      <c r="X108" s="713"/>
      <c r="Y108" s="713"/>
      <c r="Z108" s="809">
        <v>136</v>
      </c>
      <c r="AA108" s="809"/>
      <c r="AB108" s="809"/>
      <c r="AC108" s="727" t="s">
        <v>2004</v>
      </c>
      <c r="AD108" s="284" t="str">
        <f t="shared" si="639"/>
        <v>Pan_BLT300_36104_DU_10S4P5LEDLowDrv_SDI26FM_SW1_Aslp_Wup_CC_DUVP_136R_</v>
      </c>
      <c r="AJ108" s="225">
        <f t="shared" si="640"/>
        <v>3</v>
      </c>
      <c r="AK108" s="225">
        <f t="shared" si="641"/>
        <v>9</v>
      </c>
      <c r="AL108" s="225">
        <f t="shared" si="642"/>
        <v>36</v>
      </c>
      <c r="AM108" s="225">
        <f t="shared" si="643"/>
        <v>10.4</v>
      </c>
      <c r="AN108" s="225">
        <f t="shared" si="644"/>
        <v>26</v>
      </c>
      <c r="AO108" s="225">
        <f t="shared" si="645"/>
        <v>10</v>
      </c>
      <c r="AP108" s="225">
        <f t="shared" si="646"/>
        <v>4</v>
      </c>
      <c r="AQ108" s="225" t="str">
        <f t="shared" si="647"/>
        <v>ok</v>
      </c>
      <c r="AR108" s="225" t="str">
        <f t="shared" si="648"/>
        <v>10S4P</v>
      </c>
      <c r="AS108" s="225" t="str">
        <f t="shared" si="649"/>
        <v>5LEDLowDrv_SDI26FM_</v>
      </c>
      <c r="AT108" s="225" t="str">
        <f t="shared" si="650"/>
        <v>SW1_</v>
      </c>
      <c r="AU108" s="225" t="str">
        <f t="shared" si="416"/>
        <v>Aslp_Wup_CC_DUVP_</v>
      </c>
      <c r="AV108" s="225" t="e">
        <f t="shared" si="651"/>
        <v>#VALUE!</v>
      </c>
      <c r="AW108" s="225" t="b">
        <f t="shared" si="652"/>
        <v>0</v>
      </c>
      <c r="AX108" s="225" t="str">
        <f t="shared" si="653"/>
        <v>85KB0010K4-W021E12L_</v>
      </c>
      <c r="AY108" s="225" t="str">
        <f t="shared" si="654"/>
        <v>85KB0010K4_W021E12L_</v>
      </c>
      <c r="AZ108" s="664" t="str">
        <f t="shared" si="655"/>
        <v>136R_</v>
      </c>
    </row>
    <row r="109" spans="1:52" s="225" customFormat="1" ht="37.5">
      <c r="A109" s="713" t="s">
        <v>1997</v>
      </c>
      <c r="B109" s="714" t="s">
        <v>1362</v>
      </c>
      <c r="C109" s="715" t="s">
        <v>2002</v>
      </c>
      <c r="D109" s="713" t="s">
        <v>1344</v>
      </c>
      <c r="E109" s="280" t="str">
        <f t="shared" si="638"/>
        <v>10S4P</v>
      </c>
      <c r="F109" s="696" t="s">
        <v>939</v>
      </c>
      <c r="G109" s="719" t="s">
        <v>116</v>
      </c>
      <c r="H109" s="720">
        <v>5</v>
      </c>
      <c r="I109" s="806" t="s">
        <v>116</v>
      </c>
      <c r="J109" s="713"/>
      <c r="K109" s="806" t="s">
        <v>116</v>
      </c>
      <c r="L109" s="713"/>
      <c r="M109" s="713"/>
      <c r="N109" s="805"/>
      <c r="O109" s="713"/>
      <c r="P109" s="806" t="s">
        <v>116</v>
      </c>
      <c r="Q109" s="807" t="s">
        <v>116</v>
      </c>
      <c r="R109" s="713"/>
      <c r="S109" s="713"/>
      <c r="T109" s="808"/>
      <c r="U109" s="713"/>
      <c r="V109" s="807" t="s">
        <v>116</v>
      </c>
      <c r="W109" s="806" t="s">
        <v>116</v>
      </c>
      <c r="X109" s="713"/>
      <c r="Y109" s="713"/>
      <c r="Z109" s="809">
        <v>136</v>
      </c>
      <c r="AA109" s="809"/>
      <c r="AB109" s="809"/>
      <c r="AC109" s="727" t="s">
        <v>2004</v>
      </c>
      <c r="AD109" s="284" t="str">
        <f t="shared" si="639"/>
        <v>Pan_BLT330_36104_DU_10S4P5LEDLowDrv_SDI26FM_SW1_Aslp_Wup_CC_DUVP_136R_</v>
      </c>
      <c r="AJ109" s="225">
        <f t="shared" si="640"/>
        <v>3</v>
      </c>
      <c r="AK109" s="225">
        <f t="shared" si="641"/>
        <v>9</v>
      </c>
      <c r="AL109" s="225">
        <f t="shared" si="642"/>
        <v>36</v>
      </c>
      <c r="AM109" s="225">
        <f t="shared" si="643"/>
        <v>10.4</v>
      </c>
      <c r="AN109" s="225">
        <f t="shared" si="644"/>
        <v>26</v>
      </c>
      <c r="AO109" s="225">
        <f t="shared" si="645"/>
        <v>10</v>
      </c>
      <c r="AP109" s="225">
        <f t="shared" si="646"/>
        <v>4</v>
      </c>
      <c r="AQ109" s="225" t="str">
        <f t="shared" si="647"/>
        <v>ok</v>
      </c>
      <c r="AR109" s="225" t="str">
        <f t="shared" si="648"/>
        <v>10S4P</v>
      </c>
      <c r="AS109" s="225" t="str">
        <f t="shared" si="649"/>
        <v>5LEDLowDrv_SDI26FM_</v>
      </c>
      <c r="AT109" s="225" t="str">
        <f t="shared" si="650"/>
        <v>SW1_</v>
      </c>
      <c r="AU109" s="225" t="str">
        <f t="shared" si="416"/>
        <v>Aslp_Wup_CC_DUVP_</v>
      </c>
      <c r="AV109" s="225" t="e">
        <f t="shared" si="651"/>
        <v>#VALUE!</v>
      </c>
      <c r="AW109" s="225" t="b">
        <f t="shared" si="652"/>
        <v>0</v>
      </c>
      <c r="AX109" s="225" t="str">
        <f t="shared" si="653"/>
        <v>85KB0010K4-W021E11L_</v>
      </c>
      <c r="AY109" s="225" t="str">
        <f t="shared" si="654"/>
        <v>85KB0010K4_W021E11L_</v>
      </c>
      <c r="AZ109" s="664" t="str">
        <f t="shared" si="655"/>
        <v>136R_</v>
      </c>
    </row>
    <row r="110" spans="1:52" s="225" customFormat="1" ht="37.5">
      <c r="A110" s="713" t="s">
        <v>1998</v>
      </c>
      <c r="B110" s="714" t="s">
        <v>1362</v>
      </c>
      <c r="C110" s="715" t="s">
        <v>2003</v>
      </c>
      <c r="D110" s="713" t="s">
        <v>1344</v>
      </c>
      <c r="E110" s="280" t="str">
        <f t="shared" si="638"/>
        <v>10S4P</v>
      </c>
      <c r="F110" s="696" t="s">
        <v>939</v>
      </c>
      <c r="G110" s="719" t="s">
        <v>116</v>
      </c>
      <c r="H110" s="720">
        <v>5</v>
      </c>
      <c r="I110" s="806" t="s">
        <v>116</v>
      </c>
      <c r="J110" s="713"/>
      <c r="K110" s="806" t="s">
        <v>116</v>
      </c>
      <c r="L110" s="713"/>
      <c r="M110" s="713"/>
      <c r="N110" s="805"/>
      <c r="O110" s="713"/>
      <c r="P110" s="806" t="s">
        <v>116</v>
      </c>
      <c r="Q110" s="807" t="s">
        <v>116</v>
      </c>
      <c r="R110" s="713"/>
      <c r="S110" s="713"/>
      <c r="T110" s="808"/>
      <c r="U110" s="713"/>
      <c r="V110" s="807" t="s">
        <v>116</v>
      </c>
      <c r="W110" s="806" t="s">
        <v>116</v>
      </c>
      <c r="X110" s="713"/>
      <c r="Y110" s="713"/>
      <c r="Z110" s="809">
        <v>136</v>
      </c>
      <c r="AA110" s="809"/>
      <c r="AB110" s="809"/>
      <c r="AC110" s="727" t="s">
        <v>2004</v>
      </c>
      <c r="AD110" s="284" t="str">
        <f t="shared" si="639"/>
        <v>Pan_BLT360_36104_DU_10S4P5LEDLowDrv_SDI26FM_SW1_Aslp_Wup_CC_DUVP_136R_</v>
      </c>
      <c r="AJ110" s="225">
        <f t="shared" si="640"/>
        <v>3</v>
      </c>
      <c r="AK110" s="225">
        <f t="shared" si="641"/>
        <v>9</v>
      </c>
      <c r="AL110" s="225">
        <f t="shared" si="642"/>
        <v>36</v>
      </c>
      <c r="AM110" s="225">
        <f t="shared" si="643"/>
        <v>10.4</v>
      </c>
      <c r="AN110" s="225">
        <f t="shared" si="644"/>
        <v>26</v>
      </c>
      <c r="AO110" s="225">
        <f t="shared" si="645"/>
        <v>10</v>
      </c>
      <c r="AP110" s="225">
        <f t="shared" si="646"/>
        <v>4</v>
      </c>
      <c r="AQ110" s="225" t="str">
        <f t="shared" si="647"/>
        <v>ok</v>
      </c>
      <c r="AR110" s="225" t="str">
        <f t="shared" si="648"/>
        <v>10S4P</v>
      </c>
      <c r="AS110" s="225" t="str">
        <f t="shared" si="649"/>
        <v>5LEDLowDrv_SDI26FM_</v>
      </c>
      <c r="AT110" s="225" t="str">
        <f t="shared" si="650"/>
        <v>SW1_</v>
      </c>
      <c r="AU110" s="225" t="str">
        <f t="shared" si="416"/>
        <v>Aslp_Wup_CC_DUVP_</v>
      </c>
      <c r="AV110" s="225" t="e">
        <f t="shared" si="651"/>
        <v>#VALUE!</v>
      </c>
      <c r="AW110" s="225" t="b">
        <f t="shared" si="652"/>
        <v>0</v>
      </c>
      <c r="AX110" s="225" t="str">
        <f t="shared" si="653"/>
        <v>85KB0010K4-W021E13L_</v>
      </c>
      <c r="AY110" s="225" t="str">
        <f t="shared" si="654"/>
        <v>85KB0010K4_W021E13L_</v>
      </c>
      <c r="AZ110" s="664" t="str">
        <f t="shared" si="655"/>
        <v>136R_</v>
      </c>
    </row>
    <row r="111" spans="1:52" s="225" customFormat="1" ht="21">
      <c r="A111" s="713" t="s">
        <v>2005</v>
      </c>
      <c r="B111" s="716" t="s">
        <v>1929</v>
      </c>
      <c r="C111" s="715"/>
      <c r="D111" s="713" t="s">
        <v>1344</v>
      </c>
      <c r="E111" s="280" t="str">
        <f t="shared" ref="E111:E115" si="656">AR111</f>
        <v>10S4P</v>
      </c>
      <c r="F111" s="696" t="s">
        <v>939</v>
      </c>
      <c r="G111" s="719" t="s">
        <v>116</v>
      </c>
      <c r="H111" s="720">
        <v>5</v>
      </c>
      <c r="I111" s="806" t="s">
        <v>116</v>
      </c>
      <c r="J111" s="713"/>
      <c r="K111" s="806" t="s">
        <v>116</v>
      </c>
      <c r="L111" s="713"/>
      <c r="M111" s="713" t="s">
        <v>116</v>
      </c>
      <c r="N111" s="806" t="s">
        <v>116</v>
      </c>
      <c r="O111" s="806"/>
      <c r="P111" s="806" t="s">
        <v>116</v>
      </c>
      <c r="Q111" s="807" t="s">
        <v>116</v>
      </c>
      <c r="R111" s="713"/>
      <c r="S111" s="713"/>
      <c r="T111" s="806" t="s">
        <v>116</v>
      </c>
      <c r="U111" s="713"/>
      <c r="V111" s="807" t="s">
        <v>116</v>
      </c>
      <c r="W111" s="806" t="s">
        <v>116</v>
      </c>
      <c r="X111" s="713"/>
      <c r="Y111" s="713"/>
      <c r="Z111" s="809">
        <v>136</v>
      </c>
      <c r="AA111" s="809"/>
      <c r="AB111" s="809"/>
      <c r="AC111" s="727" t="s">
        <v>2006</v>
      </c>
      <c r="AD111" s="284" t="str">
        <f t="shared" ref="AD111:AD115" si="657">A111&amp;"_"&amp;E111&amp;AS111&amp;AT111&amp;AU111&amp;AZ111</f>
        <v>Ares_HM_36104_D_10S4P5LEDLowDrv_SDI26FM_SW1_NTC2_SW2_Aslp_Wup_Blight_CC_DUVP_136R_</v>
      </c>
      <c r="AJ111" s="225">
        <f t="shared" ref="AJ111:AJ115" si="658">FIND("V",UPPER(TRIM(D111)))</f>
        <v>3</v>
      </c>
      <c r="AK111" s="225">
        <f t="shared" ref="AK111:AK115" si="659">FIND("AH",UPPER(TRIM(D111)))</f>
        <v>9</v>
      </c>
      <c r="AL111" s="225">
        <f t="shared" ref="AL111:AL115" si="660">VALUE(MID(TRIM(D111),1,AJ111-1))</f>
        <v>36</v>
      </c>
      <c r="AM111" s="225">
        <f t="shared" ref="AM111:AM115" si="661">VALUE(MID(TRIM(D111),AJ111+2,(AK111) -(AJ111+2) ))</f>
        <v>10.4</v>
      </c>
      <c r="AN111" s="225">
        <f t="shared" ref="AN111:AN115" si="662">VALUE(MID(TRIM(F111),4,2))</f>
        <v>26</v>
      </c>
      <c r="AO111" s="225">
        <f t="shared" ref="AO111:AO115" si="663">ROUNDDOWN(AL111/3.5,0)</f>
        <v>10</v>
      </c>
      <c r="AP111" s="225">
        <f t="shared" ref="AP111:AP115" si="664">ROUNDUP(AM111*10/AN111,0)</f>
        <v>4</v>
      </c>
      <c r="AQ111" s="225" t="str">
        <f t="shared" ref="AQ111:AQ115" si="665">IF(OR(ISERROR(AO111),ISERROR(AP111)),"error","ok")</f>
        <v>ok</v>
      </c>
      <c r="AR111" s="225" t="str">
        <f t="shared" ref="AR111:AR115" si="666">IF(AQ111="ok", TEXT(AO111,0)&amp;"S"&amp; TEXT(AP111,0)&amp;"P","_")</f>
        <v>10S4P</v>
      </c>
      <c r="AS111" s="225" t="str">
        <f t="shared" ref="AS111:AS115" si="667">IF(ISBLANK(H111),"",H111&amp;$H$2&amp;IF(UPPER(TRIM(I111))="V",$I$2,"")&amp;"_"&amp;F111&amp;"_")</f>
        <v>5LEDLowDrv_SDI26FM_</v>
      </c>
      <c r="AT111" s="225" t="str">
        <f t="shared" ref="AT111:AT115" si="668">IF(UPPER(TRIM(J111))="V",$J$2&amp;"_","")&amp;IF(UPPER(TRIM(K111))="V",$K$2&amp;"_","")&amp;IF(UPPER(TRIM(L111))="V",$L$2&amp;"_","")&amp;IF(UPPER(TRIM(M111))="V",$M$2&amp;"_","")&amp;IF(UPPER(TRIM(N111))="V",$N$2&amp;"_","")&amp;IF(UPPER(TRIM(O111))="V",$O$2&amp;"_","")</f>
        <v>SW1_NTC2_SW2_</v>
      </c>
      <c r="AU111" s="225" t="str">
        <f t="shared" ref="AU111:AU115" si="669">IF(UPPER(TRIM(P111))="V",$P$2&amp;"_","")&amp;IF(UPPER(TRIM(Q111))="V",$Q$2&amp;"_","")&amp;IF(UPPER(TRIM(R111))="V",$R$2&amp;"_","")&amp;IF(UPPER(TRIM(S111))="V",$S$2&amp;"_","")&amp;IF(UPPER(TRIM(T111))="V",$T$2&amp;"_","")&amp;IF(UPPER(TRIM(U111))="V",$U$2&amp;"_","")&amp;IF(UPPER(TRIM(V111))="V",$V$2&amp;"_","")&amp;IF(UPPER(TRIM(W111))="V",$W$2&amp;"_","")</f>
        <v>Aslp_Wup_Blight_CC_DUVP_</v>
      </c>
      <c r="AV111" s="225" t="e">
        <f t="shared" ref="AV111:AV115" si="670">FIND("
",C111)</f>
        <v>#VALUE!</v>
      </c>
      <c r="AW111" s="225" t="b">
        <f t="shared" ref="AW111:AW115" si="671">IF(ISBLANK(C111),TRUE,(TRIM(C111)=""))</f>
        <v>1</v>
      </c>
      <c r="AX111" s="225" t="str">
        <f t="shared" ref="AX111:AX115" si="672">IF(AW111=TRUE,"",IF(NOT(ISERROR(AV111)),TRIM(MID(C111,1,AV111-1))&amp;"_",TRIM(C111)&amp;"_"))</f>
        <v/>
      </c>
      <c r="AY111" s="225" t="str">
        <f t="shared" ref="AY111:AY115" si="673">SUBSTITUTE(AX111,"-","_")</f>
        <v/>
      </c>
      <c r="AZ111" s="664" t="str">
        <f t="shared" ref="AZ111:AZ115" si="674">IF(UPPER(TRIM(X111))="V",$X$2&amp;"_","")&amp;IF(UPPER(TRIM(Y111))="V",$Y$2&amp;"_","")&amp;IF(ISBLANK(Z111),"",Z111&amp;$Z$2&amp;"_")</f>
        <v>136R_</v>
      </c>
    </row>
    <row r="112" spans="1:52" s="225" customFormat="1" ht="32.25">
      <c r="A112" s="713" t="s">
        <v>2005</v>
      </c>
      <c r="B112" s="716" t="s">
        <v>1929</v>
      </c>
      <c r="C112" s="715"/>
      <c r="D112" s="713" t="s">
        <v>1344</v>
      </c>
      <c r="E112" s="280" t="str">
        <f t="shared" si="656"/>
        <v>10S4P</v>
      </c>
      <c r="F112" s="696" t="s">
        <v>939</v>
      </c>
      <c r="G112" s="719" t="s">
        <v>116</v>
      </c>
      <c r="H112" s="720">
        <v>5</v>
      </c>
      <c r="I112" s="806" t="s">
        <v>116</v>
      </c>
      <c r="J112" s="713"/>
      <c r="K112" s="806" t="s">
        <v>2049</v>
      </c>
      <c r="L112" s="713"/>
      <c r="M112" s="713"/>
      <c r="N112" s="806" t="s">
        <v>116</v>
      </c>
      <c r="O112" s="806"/>
      <c r="P112" s="806" t="s">
        <v>116</v>
      </c>
      <c r="Q112" s="807" t="s">
        <v>116</v>
      </c>
      <c r="R112" s="713"/>
      <c r="S112" s="713"/>
      <c r="T112" s="806" t="s">
        <v>116</v>
      </c>
      <c r="U112" s="713"/>
      <c r="V112" s="807" t="s">
        <v>116</v>
      </c>
      <c r="W112" s="806" t="s">
        <v>116</v>
      </c>
      <c r="X112" s="713"/>
      <c r="Y112" s="713"/>
      <c r="Z112" s="809">
        <v>136</v>
      </c>
      <c r="AA112" s="809"/>
      <c r="AB112" s="809"/>
      <c r="AC112" s="768" t="s">
        <v>2045</v>
      </c>
      <c r="AD112" s="284" t="str">
        <f t="shared" si="657"/>
        <v>Ares_HM_36104_D_10S4P5LEDLowDrv_SDI26FM_SW1_SW2_Aslp_Wup_Blight_CC_DUVP_136R_</v>
      </c>
      <c r="AJ112" s="225">
        <f t="shared" si="658"/>
        <v>3</v>
      </c>
      <c r="AK112" s="225">
        <f t="shared" si="659"/>
        <v>9</v>
      </c>
      <c r="AL112" s="225">
        <f t="shared" si="660"/>
        <v>36</v>
      </c>
      <c r="AM112" s="225">
        <f t="shared" si="661"/>
        <v>10.4</v>
      </c>
      <c r="AN112" s="225">
        <f t="shared" si="662"/>
        <v>26</v>
      </c>
      <c r="AO112" s="225">
        <f t="shared" si="663"/>
        <v>10</v>
      </c>
      <c r="AP112" s="225">
        <f t="shared" si="664"/>
        <v>4</v>
      </c>
      <c r="AQ112" s="225" t="str">
        <f t="shared" si="665"/>
        <v>ok</v>
      </c>
      <c r="AR112" s="225" t="str">
        <f t="shared" si="666"/>
        <v>10S4P</v>
      </c>
      <c r="AS112" s="225" t="str">
        <f t="shared" si="667"/>
        <v>5LEDLowDrv_SDI26FM_</v>
      </c>
      <c r="AT112" s="225" t="str">
        <f t="shared" si="668"/>
        <v>SW1_SW2_</v>
      </c>
      <c r="AU112" s="225" t="str">
        <f t="shared" si="669"/>
        <v>Aslp_Wup_Blight_CC_DUVP_</v>
      </c>
      <c r="AV112" s="225" t="e">
        <f t="shared" si="670"/>
        <v>#VALUE!</v>
      </c>
      <c r="AW112" s="225" t="b">
        <f t="shared" si="671"/>
        <v>1</v>
      </c>
      <c r="AX112" s="225" t="str">
        <f t="shared" si="672"/>
        <v/>
      </c>
      <c r="AY112" s="225" t="str">
        <f t="shared" si="673"/>
        <v/>
      </c>
      <c r="AZ112" s="664" t="str">
        <f t="shared" si="674"/>
        <v>136R_</v>
      </c>
    </row>
    <row r="113" spans="1:52" s="225" customFormat="1" ht="42">
      <c r="A113" s="713" t="s">
        <v>2018</v>
      </c>
      <c r="B113" s="714" t="s">
        <v>2022</v>
      </c>
      <c r="C113" s="715"/>
      <c r="D113" s="713" t="s">
        <v>1344</v>
      </c>
      <c r="E113" s="280" t="str">
        <f t="shared" si="656"/>
        <v>10S4P</v>
      </c>
      <c r="F113" s="696" t="s">
        <v>939</v>
      </c>
      <c r="G113" s="719" t="s">
        <v>116</v>
      </c>
      <c r="H113" s="720" t="s">
        <v>2019</v>
      </c>
      <c r="I113" s="806" t="s">
        <v>116</v>
      </c>
      <c r="J113" s="713"/>
      <c r="K113" s="806" t="s">
        <v>116</v>
      </c>
      <c r="L113" s="713"/>
      <c r="M113" s="713"/>
      <c r="N113" s="806"/>
      <c r="O113" s="806"/>
      <c r="P113" s="806" t="s">
        <v>116</v>
      </c>
      <c r="Q113" s="807" t="s">
        <v>116</v>
      </c>
      <c r="R113" s="713"/>
      <c r="S113" s="713"/>
      <c r="T113" s="806"/>
      <c r="U113" s="713"/>
      <c r="V113" s="807" t="s">
        <v>116</v>
      </c>
      <c r="W113" s="806" t="s">
        <v>116</v>
      </c>
      <c r="X113" s="713"/>
      <c r="Y113" s="713"/>
      <c r="Z113" s="809">
        <v>136</v>
      </c>
      <c r="AA113" s="809"/>
      <c r="AB113" s="809"/>
      <c r="AC113" s="727" t="s">
        <v>2024</v>
      </c>
      <c r="AD113" s="284" t="str">
        <f t="shared" si="657"/>
        <v>Pan_BTG1439_36104_DG_10S4PN4LEDLowDrv_SDI26FM_SW1_Aslp_Wup_CC_DUVP_136R_</v>
      </c>
      <c r="AJ113" s="225">
        <f t="shared" si="658"/>
        <v>3</v>
      </c>
      <c r="AK113" s="225">
        <f t="shared" si="659"/>
        <v>9</v>
      </c>
      <c r="AL113" s="225">
        <f t="shared" si="660"/>
        <v>36</v>
      </c>
      <c r="AM113" s="225">
        <f t="shared" si="661"/>
        <v>10.4</v>
      </c>
      <c r="AN113" s="225">
        <f t="shared" si="662"/>
        <v>26</v>
      </c>
      <c r="AO113" s="225">
        <f t="shared" si="663"/>
        <v>10</v>
      </c>
      <c r="AP113" s="225">
        <f t="shared" si="664"/>
        <v>4</v>
      </c>
      <c r="AQ113" s="225" t="str">
        <f t="shared" si="665"/>
        <v>ok</v>
      </c>
      <c r="AR113" s="225" t="str">
        <f t="shared" si="666"/>
        <v>10S4P</v>
      </c>
      <c r="AS113" s="225" t="str">
        <f t="shared" si="667"/>
        <v>N4LEDLowDrv_SDI26FM_</v>
      </c>
      <c r="AT113" s="225" t="str">
        <f t="shared" si="668"/>
        <v>SW1_</v>
      </c>
      <c r="AU113" s="225" t="str">
        <f t="shared" si="669"/>
        <v>Aslp_Wup_CC_DUVP_</v>
      </c>
      <c r="AV113" s="225" t="e">
        <f t="shared" si="670"/>
        <v>#VALUE!</v>
      </c>
      <c r="AW113" s="225" t="b">
        <f t="shared" si="671"/>
        <v>1</v>
      </c>
      <c r="AX113" s="225" t="str">
        <f t="shared" si="672"/>
        <v/>
      </c>
      <c r="AY113" s="225" t="str">
        <f t="shared" si="673"/>
        <v/>
      </c>
      <c r="AZ113" s="664" t="str">
        <f t="shared" si="674"/>
        <v>136R_</v>
      </c>
    </row>
    <row r="114" spans="1:52" s="225" customFormat="1" ht="42">
      <c r="A114" s="713" t="s">
        <v>2023</v>
      </c>
      <c r="B114" s="714" t="s">
        <v>2022</v>
      </c>
      <c r="C114" s="715"/>
      <c r="D114" s="713" t="s">
        <v>2020</v>
      </c>
      <c r="E114" s="280" t="str">
        <f t="shared" si="656"/>
        <v>10S4P</v>
      </c>
      <c r="F114" s="802" t="s">
        <v>1903</v>
      </c>
      <c r="G114" s="719" t="s">
        <v>116</v>
      </c>
      <c r="H114" s="720" t="s">
        <v>2019</v>
      </c>
      <c r="I114" s="806" t="s">
        <v>116</v>
      </c>
      <c r="J114" s="713"/>
      <c r="K114" s="806" t="s">
        <v>116</v>
      </c>
      <c r="L114" s="713"/>
      <c r="M114" s="713"/>
      <c r="N114" s="806"/>
      <c r="O114" s="806"/>
      <c r="P114" s="806" t="s">
        <v>116</v>
      </c>
      <c r="Q114" s="807" t="s">
        <v>116</v>
      </c>
      <c r="R114" s="713"/>
      <c r="S114" s="713"/>
      <c r="T114" s="806"/>
      <c r="U114" s="713"/>
      <c r="V114" s="807" t="s">
        <v>116</v>
      </c>
      <c r="W114" s="806" t="s">
        <v>116</v>
      </c>
      <c r="X114" s="713"/>
      <c r="Y114" s="713"/>
      <c r="Z114" s="809">
        <v>136</v>
      </c>
      <c r="AA114" s="809"/>
      <c r="AB114" s="809"/>
      <c r="AC114" s="727" t="s">
        <v>2024</v>
      </c>
      <c r="AD114" s="284" t="str">
        <f t="shared" si="657"/>
        <v>Pan_BTG1439_36116_DG_10S4PN4LEDLowDrv_SDI29E_SW1_Aslp_Wup_CC_DUVP_136R_</v>
      </c>
      <c r="AJ114" s="225">
        <f t="shared" si="658"/>
        <v>3</v>
      </c>
      <c r="AK114" s="225">
        <f t="shared" si="659"/>
        <v>9</v>
      </c>
      <c r="AL114" s="225">
        <f t="shared" si="660"/>
        <v>36</v>
      </c>
      <c r="AM114" s="225">
        <f t="shared" si="661"/>
        <v>11.6</v>
      </c>
      <c r="AN114" s="225">
        <f t="shared" si="662"/>
        <v>29</v>
      </c>
      <c r="AO114" s="225">
        <f t="shared" si="663"/>
        <v>10</v>
      </c>
      <c r="AP114" s="225">
        <f t="shared" si="664"/>
        <v>4</v>
      </c>
      <c r="AQ114" s="225" t="str">
        <f t="shared" si="665"/>
        <v>ok</v>
      </c>
      <c r="AR114" s="225" t="str">
        <f t="shared" si="666"/>
        <v>10S4P</v>
      </c>
      <c r="AS114" s="225" t="str">
        <f t="shared" si="667"/>
        <v>N4LEDLowDrv_SDI29E_</v>
      </c>
      <c r="AT114" s="225" t="str">
        <f t="shared" si="668"/>
        <v>SW1_</v>
      </c>
      <c r="AU114" s="225" t="str">
        <f t="shared" si="669"/>
        <v>Aslp_Wup_CC_DUVP_</v>
      </c>
      <c r="AV114" s="225" t="e">
        <f t="shared" si="670"/>
        <v>#VALUE!</v>
      </c>
      <c r="AW114" s="225" t="b">
        <f t="shared" si="671"/>
        <v>1</v>
      </c>
      <c r="AX114" s="225" t="str">
        <f t="shared" si="672"/>
        <v/>
      </c>
      <c r="AY114" s="225" t="str">
        <f t="shared" si="673"/>
        <v/>
      </c>
      <c r="AZ114" s="664" t="str">
        <f t="shared" si="674"/>
        <v>136R_</v>
      </c>
    </row>
    <row r="115" spans="1:52" s="225" customFormat="1" ht="21">
      <c r="A115" s="713" t="s">
        <v>2029</v>
      </c>
      <c r="B115" s="714" t="s">
        <v>2030</v>
      </c>
      <c r="C115" s="715"/>
      <c r="D115" s="717" t="s">
        <v>1582</v>
      </c>
      <c r="E115" s="280" t="str">
        <f t="shared" si="656"/>
        <v>10S3P</v>
      </c>
      <c r="F115" s="696" t="s">
        <v>939</v>
      </c>
      <c r="G115" s="719" t="s">
        <v>116</v>
      </c>
      <c r="H115" s="765" t="s">
        <v>1427</v>
      </c>
      <c r="I115" s="803" t="s">
        <v>116</v>
      </c>
      <c r="J115" s="713"/>
      <c r="K115" s="803" t="s">
        <v>116</v>
      </c>
      <c r="L115" s="713"/>
      <c r="M115" s="713"/>
      <c r="N115" s="805"/>
      <c r="O115" s="713"/>
      <c r="P115" s="806" t="s">
        <v>116</v>
      </c>
      <c r="Q115" s="807" t="s">
        <v>116</v>
      </c>
      <c r="R115" s="713"/>
      <c r="S115" s="713"/>
      <c r="T115" s="808"/>
      <c r="U115" s="713"/>
      <c r="V115" s="807" t="s">
        <v>116</v>
      </c>
      <c r="W115" s="806" t="s">
        <v>116</v>
      </c>
      <c r="X115" s="713"/>
      <c r="Y115" s="806"/>
      <c r="Z115" s="809">
        <v>136</v>
      </c>
      <c r="AA115" s="809"/>
      <c r="AB115" s="809"/>
      <c r="AC115" s="727" t="s">
        <v>2031</v>
      </c>
      <c r="AD115" s="284" t="str">
        <f t="shared" si="657"/>
        <v>Pan_BTG412_36078_D_10S3PN4LEDLowDrv_SDI26FM_SW1_Aslp_Wup_CC_DUVP_136R_</v>
      </c>
      <c r="AJ115" s="225">
        <f t="shared" si="658"/>
        <v>3</v>
      </c>
      <c r="AK115" s="225">
        <f t="shared" si="659"/>
        <v>8</v>
      </c>
      <c r="AL115" s="225">
        <f t="shared" si="660"/>
        <v>36</v>
      </c>
      <c r="AM115" s="225">
        <f t="shared" si="661"/>
        <v>7.8</v>
      </c>
      <c r="AN115" s="225">
        <f t="shared" si="662"/>
        <v>26</v>
      </c>
      <c r="AO115" s="225">
        <f t="shared" si="663"/>
        <v>10</v>
      </c>
      <c r="AP115" s="225">
        <f t="shared" si="664"/>
        <v>3</v>
      </c>
      <c r="AQ115" s="225" t="str">
        <f t="shared" si="665"/>
        <v>ok</v>
      </c>
      <c r="AR115" s="225" t="str">
        <f t="shared" si="666"/>
        <v>10S3P</v>
      </c>
      <c r="AS115" s="225" t="str">
        <f t="shared" si="667"/>
        <v>N4LEDLowDrv_SDI26FM_</v>
      </c>
      <c r="AT115" s="225" t="str">
        <f t="shared" si="668"/>
        <v>SW1_</v>
      </c>
      <c r="AU115" s="225" t="str">
        <f t="shared" si="669"/>
        <v>Aslp_Wup_CC_DUVP_</v>
      </c>
      <c r="AV115" s="225" t="e">
        <f t="shared" si="670"/>
        <v>#VALUE!</v>
      </c>
      <c r="AW115" s="225" t="b">
        <f t="shared" si="671"/>
        <v>1</v>
      </c>
      <c r="AX115" s="225" t="str">
        <f t="shared" si="672"/>
        <v/>
      </c>
      <c r="AY115" s="225" t="str">
        <f t="shared" si="673"/>
        <v/>
      </c>
      <c r="AZ115" s="664" t="str">
        <f t="shared" si="674"/>
        <v>136R_</v>
      </c>
    </row>
    <row r="116" spans="1:52" s="225" customFormat="1" ht="21">
      <c r="A116" s="713" t="s">
        <v>2034</v>
      </c>
      <c r="B116" s="714" t="s">
        <v>2036</v>
      </c>
      <c r="C116" s="715"/>
      <c r="D116" s="713" t="s">
        <v>959</v>
      </c>
      <c r="E116" s="280" t="str">
        <f t="shared" ref="E116:E120" si="675">AR116</f>
        <v>10S5P</v>
      </c>
      <c r="F116" s="696" t="s">
        <v>939</v>
      </c>
      <c r="G116" s="719" t="s">
        <v>116</v>
      </c>
      <c r="H116" s="720">
        <v>4</v>
      </c>
      <c r="I116" s="806" t="s">
        <v>116</v>
      </c>
      <c r="J116" s="713"/>
      <c r="K116" s="806" t="s">
        <v>116</v>
      </c>
      <c r="L116" s="713"/>
      <c r="M116" s="713"/>
      <c r="N116" s="805"/>
      <c r="O116" s="713"/>
      <c r="P116" s="806" t="s">
        <v>116</v>
      </c>
      <c r="Q116" s="807" t="s">
        <v>116</v>
      </c>
      <c r="R116" s="713"/>
      <c r="S116" s="713"/>
      <c r="T116" s="808"/>
      <c r="U116" s="713"/>
      <c r="V116" s="807" t="s">
        <v>116</v>
      </c>
      <c r="W116" s="806" t="s">
        <v>116</v>
      </c>
      <c r="X116" s="713"/>
      <c r="Y116" s="806"/>
      <c r="Z116" s="809">
        <v>136</v>
      </c>
      <c r="AA116" s="809"/>
      <c r="AB116" s="809"/>
      <c r="AC116" s="727" t="s">
        <v>2037</v>
      </c>
      <c r="AD116" s="284" t="str">
        <f t="shared" ref="AD116:AD120" si="676">A116&amp;"_"&amp;E116&amp;AS116&amp;AT116&amp;AU116&amp;AZ116</f>
        <v>Pan_RN1_36130_D_10S5P4LEDLowDrv_SDI26FM_SW1_Aslp_Wup_CC_DUVP_136R_</v>
      </c>
      <c r="AJ116" s="225">
        <f t="shared" ref="AJ116:AJ120" si="677">FIND("V",UPPER(TRIM(D116)))</f>
        <v>3</v>
      </c>
      <c r="AK116" s="225">
        <f t="shared" ref="AK116:AK120" si="678">FIND("AH",UPPER(TRIM(D116)))</f>
        <v>9</v>
      </c>
      <c r="AL116" s="225">
        <f t="shared" ref="AL116:AL120" si="679">VALUE(MID(TRIM(D116),1,AJ116-1))</f>
        <v>36</v>
      </c>
      <c r="AM116" s="225">
        <f t="shared" ref="AM116:AM120" si="680">VALUE(MID(TRIM(D116),AJ116+2,(AK116) -(AJ116+2) ))</f>
        <v>13</v>
      </c>
      <c r="AN116" s="225">
        <f t="shared" ref="AN116:AN120" si="681">VALUE(MID(TRIM(F116),4,2))</f>
        <v>26</v>
      </c>
      <c r="AO116" s="225">
        <f t="shared" ref="AO116:AO120" si="682">ROUNDDOWN(AL116/3.5,0)</f>
        <v>10</v>
      </c>
      <c r="AP116" s="225">
        <f t="shared" ref="AP116:AP120" si="683">ROUNDUP(AM116*10/AN116,0)</f>
        <v>5</v>
      </c>
      <c r="AQ116" s="225" t="str">
        <f t="shared" ref="AQ116:AQ120" si="684">IF(OR(ISERROR(AO116),ISERROR(AP116)),"error","ok")</f>
        <v>ok</v>
      </c>
      <c r="AR116" s="225" t="str">
        <f t="shared" ref="AR116:AR120" si="685">IF(AQ116="ok", TEXT(AO116,0)&amp;"S"&amp; TEXT(AP116,0)&amp;"P","_")</f>
        <v>10S5P</v>
      </c>
      <c r="AS116" s="225" t="str">
        <f t="shared" ref="AS116:AS120" si="686">IF(ISBLANK(H116),"",H116&amp;$H$2&amp;IF(UPPER(TRIM(I116))="V",$I$2,"")&amp;"_"&amp;F116&amp;"_")</f>
        <v>4LEDLowDrv_SDI26FM_</v>
      </c>
      <c r="AT116" s="225" t="str">
        <f t="shared" ref="AT116:AT120" si="687">IF(UPPER(TRIM(J116))="V",$J$2&amp;"_","")&amp;IF(UPPER(TRIM(K116))="V",$K$2&amp;"_","")&amp;IF(UPPER(TRIM(L116))="V",$L$2&amp;"_","")&amp;IF(UPPER(TRIM(M116))="V",$M$2&amp;"_","")&amp;IF(UPPER(TRIM(N116))="V",$N$2&amp;"_","")&amp;IF(UPPER(TRIM(O116))="V",$O$2&amp;"_","")</f>
        <v>SW1_</v>
      </c>
      <c r="AU116" s="225" t="str">
        <f t="shared" ref="AU116:AU120" si="688">IF(UPPER(TRIM(P116))="V",$P$2&amp;"_","")&amp;IF(UPPER(TRIM(Q116))="V",$Q$2&amp;"_","")&amp;IF(UPPER(TRIM(R116))="V",$R$2&amp;"_","")&amp;IF(UPPER(TRIM(S116))="V",$S$2&amp;"_","")&amp;IF(UPPER(TRIM(T116))="V",$T$2&amp;"_","")&amp;IF(UPPER(TRIM(U116))="V",$U$2&amp;"_","")&amp;IF(UPPER(TRIM(V116))="V",$V$2&amp;"_","")&amp;IF(UPPER(TRIM(W116))="V",$W$2&amp;"_","")</f>
        <v>Aslp_Wup_CC_DUVP_</v>
      </c>
      <c r="AV116" s="225" t="e">
        <f t="shared" ref="AV116:AV120" si="689">FIND("
",C116)</f>
        <v>#VALUE!</v>
      </c>
      <c r="AW116" s="225" t="b">
        <f t="shared" ref="AW116:AW120" si="690">IF(ISBLANK(C116),TRUE,(TRIM(C116)=""))</f>
        <v>1</v>
      </c>
      <c r="AX116" s="225" t="str">
        <f t="shared" ref="AX116:AX120" si="691">IF(AW116=TRUE,"",IF(NOT(ISERROR(AV116)),TRIM(MID(C116,1,AV116-1))&amp;"_",TRIM(C116)&amp;"_"))</f>
        <v/>
      </c>
      <c r="AY116" s="225" t="str">
        <f t="shared" ref="AY116:AY120" si="692">SUBSTITUTE(AX116,"-","_")</f>
        <v/>
      </c>
      <c r="AZ116" s="664" t="str">
        <f t="shared" ref="AZ116:AZ120" si="693">IF(UPPER(TRIM(X116))="V",$X$2&amp;"_","")&amp;IF(UPPER(TRIM(Y116))="V",$Y$2&amp;"_","")&amp;IF(ISBLANK(Z116),"",Z116&amp;$Z$2&amp;"_")</f>
        <v>136R_</v>
      </c>
    </row>
    <row r="117" spans="1:52" s="225" customFormat="1" ht="42">
      <c r="A117" s="713" t="s">
        <v>2040</v>
      </c>
      <c r="B117" s="714" t="s">
        <v>2039</v>
      </c>
      <c r="C117" s="820"/>
      <c r="D117" s="713" t="s">
        <v>2038</v>
      </c>
      <c r="E117" s="280" t="str">
        <f t="shared" si="675"/>
        <v>13S5P</v>
      </c>
      <c r="F117" s="696" t="s">
        <v>939</v>
      </c>
      <c r="G117" s="719" t="s">
        <v>116</v>
      </c>
      <c r="H117" s="765" t="s">
        <v>1012</v>
      </c>
      <c r="I117" s="807"/>
      <c r="J117" s="713"/>
      <c r="K117" s="804" t="s">
        <v>116</v>
      </c>
      <c r="L117" s="713"/>
      <c r="M117" s="713"/>
      <c r="N117" s="805"/>
      <c r="O117" s="713"/>
      <c r="P117" s="713" t="s">
        <v>116</v>
      </c>
      <c r="Q117" s="807" t="s">
        <v>116</v>
      </c>
      <c r="R117" s="713"/>
      <c r="S117" s="713"/>
      <c r="T117" s="808"/>
      <c r="U117" s="713"/>
      <c r="V117" s="807" t="s">
        <v>116</v>
      </c>
      <c r="W117" s="713" t="s">
        <v>116</v>
      </c>
      <c r="X117" s="713"/>
      <c r="Y117" s="713"/>
      <c r="Z117" s="809">
        <v>136</v>
      </c>
      <c r="AA117" s="809"/>
      <c r="AB117" s="809"/>
      <c r="AC117" s="727" t="s">
        <v>2041</v>
      </c>
      <c r="AD117" s="284" t="str">
        <f t="shared" si="676"/>
        <v>Pan_THY3_48130_YC_13S5PN3LED_SDI26FM_SW1_Aslp_Wup_CC_DUVP_136R_</v>
      </c>
      <c r="AJ117" s="225">
        <f t="shared" si="677"/>
        <v>3</v>
      </c>
      <c r="AK117" s="225">
        <f t="shared" si="678"/>
        <v>9</v>
      </c>
      <c r="AL117" s="225">
        <f t="shared" si="679"/>
        <v>48</v>
      </c>
      <c r="AM117" s="225">
        <f t="shared" si="680"/>
        <v>13</v>
      </c>
      <c r="AN117" s="225">
        <f t="shared" si="681"/>
        <v>26</v>
      </c>
      <c r="AO117" s="225">
        <f t="shared" si="682"/>
        <v>13</v>
      </c>
      <c r="AP117" s="225">
        <f t="shared" si="683"/>
        <v>5</v>
      </c>
      <c r="AQ117" s="225" t="str">
        <f t="shared" si="684"/>
        <v>ok</v>
      </c>
      <c r="AR117" s="225" t="str">
        <f t="shared" si="685"/>
        <v>13S5P</v>
      </c>
      <c r="AS117" s="225" t="str">
        <f t="shared" si="686"/>
        <v>N3LED_SDI26FM_</v>
      </c>
      <c r="AT117" s="225" t="str">
        <f t="shared" si="687"/>
        <v>SW1_</v>
      </c>
      <c r="AU117" s="225" t="str">
        <f t="shared" si="688"/>
        <v>Aslp_Wup_CC_DUVP_</v>
      </c>
      <c r="AV117" s="225" t="e">
        <f t="shared" si="689"/>
        <v>#VALUE!</v>
      </c>
      <c r="AW117" s="225" t="b">
        <f t="shared" si="690"/>
        <v>1</v>
      </c>
      <c r="AX117" s="225" t="str">
        <f t="shared" si="691"/>
        <v/>
      </c>
      <c r="AY117" s="225" t="str">
        <f t="shared" si="692"/>
        <v/>
      </c>
      <c r="AZ117" s="664" t="str">
        <f t="shared" si="693"/>
        <v>136R_</v>
      </c>
    </row>
    <row r="118" spans="1:52" s="225" customFormat="1" ht="21">
      <c r="A118" s="713" t="s">
        <v>2042</v>
      </c>
      <c r="B118" s="716"/>
      <c r="C118" s="715"/>
      <c r="D118" s="713" t="s">
        <v>2043</v>
      </c>
      <c r="E118" s="280" t="str">
        <f t="shared" si="675"/>
        <v>7S3P</v>
      </c>
      <c r="F118" s="696" t="s">
        <v>939</v>
      </c>
      <c r="G118" s="719" t="s">
        <v>116</v>
      </c>
      <c r="H118" s="720">
        <v>5</v>
      </c>
      <c r="I118" s="806"/>
      <c r="J118" s="713"/>
      <c r="K118" s="806" t="s">
        <v>116</v>
      </c>
      <c r="L118" s="713"/>
      <c r="M118" s="713"/>
      <c r="N118" s="805"/>
      <c r="O118" s="713"/>
      <c r="P118" s="806" t="s">
        <v>116</v>
      </c>
      <c r="Q118" s="807" t="s">
        <v>116</v>
      </c>
      <c r="R118" s="713"/>
      <c r="S118" s="713"/>
      <c r="T118" s="808"/>
      <c r="U118" s="713"/>
      <c r="V118" s="807" t="s">
        <v>116</v>
      </c>
      <c r="W118" s="806" t="s">
        <v>116</v>
      </c>
      <c r="X118" s="713"/>
      <c r="Y118" s="713"/>
      <c r="Z118" s="809">
        <v>136</v>
      </c>
      <c r="AA118" s="809"/>
      <c r="AB118" s="809"/>
      <c r="AC118" s="727" t="s">
        <v>2044</v>
      </c>
      <c r="AD118" s="284" t="str">
        <f t="shared" si="676"/>
        <v>Cupid_26076_SU_7S3P5LED_SDI26FM_SW1_Aslp_Wup_CC_DUVP_136R_</v>
      </c>
      <c r="AJ118" s="225">
        <f t="shared" si="677"/>
        <v>3</v>
      </c>
      <c r="AK118" s="225">
        <f t="shared" si="678"/>
        <v>8</v>
      </c>
      <c r="AL118" s="225">
        <f t="shared" si="679"/>
        <v>26</v>
      </c>
      <c r="AM118" s="225">
        <f t="shared" si="680"/>
        <v>7.6</v>
      </c>
      <c r="AN118" s="225">
        <f t="shared" si="681"/>
        <v>26</v>
      </c>
      <c r="AO118" s="225">
        <f t="shared" si="682"/>
        <v>7</v>
      </c>
      <c r="AP118" s="225">
        <f t="shared" si="683"/>
        <v>3</v>
      </c>
      <c r="AQ118" s="225" t="str">
        <f t="shared" si="684"/>
        <v>ok</v>
      </c>
      <c r="AR118" s="225" t="str">
        <f t="shared" si="685"/>
        <v>7S3P</v>
      </c>
      <c r="AS118" s="225" t="str">
        <f t="shared" si="686"/>
        <v>5LED_SDI26FM_</v>
      </c>
      <c r="AT118" s="225" t="str">
        <f t="shared" si="687"/>
        <v>SW1_</v>
      </c>
      <c r="AU118" s="225" t="str">
        <f t="shared" si="688"/>
        <v>Aslp_Wup_CC_DUVP_</v>
      </c>
      <c r="AV118" s="225" t="e">
        <f t="shared" si="689"/>
        <v>#VALUE!</v>
      </c>
      <c r="AW118" s="225" t="b">
        <f t="shared" si="690"/>
        <v>1</v>
      </c>
      <c r="AX118" s="225" t="str">
        <f t="shared" si="691"/>
        <v/>
      </c>
      <c r="AY118" s="225" t="str">
        <f t="shared" si="692"/>
        <v/>
      </c>
      <c r="AZ118" s="664" t="str">
        <f t="shared" si="693"/>
        <v>136R_</v>
      </c>
    </row>
    <row r="119" spans="1:52" s="225" customFormat="1" ht="21">
      <c r="A119" s="713" t="s">
        <v>2047</v>
      </c>
      <c r="B119" s="716"/>
      <c r="C119" s="715"/>
      <c r="D119" s="713" t="s">
        <v>2048</v>
      </c>
      <c r="E119" s="280" t="str">
        <f t="shared" si="675"/>
        <v>10S5P</v>
      </c>
      <c r="F119" s="696" t="s">
        <v>939</v>
      </c>
      <c r="G119" s="719" t="s">
        <v>116</v>
      </c>
      <c r="H119" s="720">
        <v>3</v>
      </c>
      <c r="I119" s="807"/>
      <c r="J119" s="713"/>
      <c r="K119" s="806" t="s">
        <v>116</v>
      </c>
      <c r="L119" s="713"/>
      <c r="M119" s="713"/>
      <c r="N119" s="805"/>
      <c r="O119" s="713"/>
      <c r="P119" s="806" t="s">
        <v>116</v>
      </c>
      <c r="Q119" s="807" t="s">
        <v>116</v>
      </c>
      <c r="R119" s="713"/>
      <c r="S119" s="713"/>
      <c r="T119" s="808"/>
      <c r="U119" s="713"/>
      <c r="V119" s="807" t="s">
        <v>116</v>
      </c>
      <c r="W119" s="806" t="s">
        <v>116</v>
      </c>
      <c r="X119" s="713"/>
      <c r="Y119" s="713"/>
      <c r="Z119" s="809">
        <v>136</v>
      </c>
      <c r="AA119" s="809"/>
      <c r="AB119" s="809"/>
      <c r="AC119" s="727" t="s">
        <v>2053</v>
      </c>
      <c r="AD119" s="284" t="str">
        <f t="shared" si="676"/>
        <v>Pan_B285_36130_Y_10S5P3LED_SDI26FM_SW1_Aslp_Wup_CC_DUVP_136R_</v>
      </c>
      <c r="AJ119" s="225">
        <f t="shared" si="677"/>
        <v>3</v>
      </c>
      <c r="AK119" s="225">
        <f t="shared" si="678"/>
        <v>9</v>
      </c>
      <c r="AL119" s="225">
        <f t="shared" si="679"/>
        <v>36</v>
      </c>
      <c r="AM119" s="225">
        <f t="shared" si="680"/>
        <v>13</v>
      </c>
      <c r="AN119" s="225">
        <f t="shared" si="681"/>
        <v>26</v>
      </c>
      <c r="AO119" s="225">
        <f t="shared" si="682"/>
        <v>10</v>
      </c>
      <c r="AP119" s="225">
        <f t="shared" si="683"/>
        <v>5</v>
      </c>
      <c r="AQ119" s="225" t="str">
        <f t="shared" si="684"/>
        <v>ok</v>
      </c>
      <c r="AR119" s="225" t="str">
        <f t="shared" si="685"/>
        <v>10S5P</v>
      </c>
      <c r="AS119" s="225" t="str">
        <f t="shared" si="686"/>
        <v>3LED_SDI26FM_</v>
      </c>
      <c r="AT119" s="225" t="str">
        <f t="shared" si="687"/>
        <v>SW1_</v>
      </c>
      <c r="AU119" s="225" t="str">
        <f t="shared" si="688"/>
        <v>Aslp_Wup_CC_DUVP_</v>
      </c>
      <c r="AV119" s="225" t="e">
        <f t="shared" si="689"/>
        <v>#VALUE!</v>
      </c>
      <c r="AW119" s="225" t="b">
        <f t="shared" si="690"/>
        <v>1</v>
      </c>
      <c r="AX119" s="225" t="str">
        <f t="shared" si="691"/>
        <v/>
      </c>
      <c r="AY119" s="225" t="str">
        <f t="shared" si="692"/>
        <v/>
      </c>
      <c r="AZ119" s="664" t="str">
        <f t="shared" si="693"/>
        <v>136R_</v>
      </c>
    </row>
    <row r="120" spans="1:52" s="225" customFormat="1" ht="21">
      <c r="A120" s="713" t="s">
        <v>2050</v>
      </c>
      <c r="B120" s="716"/>
      <c r="C120" s="715"/>
      <c r="D120" s="713" t="s">
        <v>1086</v>
      </c>
      <c r="E120" s="280" t="str">
        <f t="shared" si="675"/>
        <v>13S5P</v>
      </c>
      <c r="F120" s="696" t="s">
        <v>939</v>
      </c>
      <c r="G120" s="719" t="s">
        <v>116</v>
      </c>
      <c r="H120" s="720">
        <v>4</v>
      </c>
      <c r="I120" s="806" t="s">
        <v>116</v>
      </c>
      <c r="J120" s="713"/>
      <c r="K120" s="806" t="s">
        <v>116</v>
      </c>
      <c r="L120" s="713"/>
      <c r="M120" s="713"/>
      <c r="N120" s="805"/>
      <c r="O120" s="713"/>
      <c r="P120" s="806" t="s">
        <v>116</v>
      </c>
      <c r="Q120" s="807" t="s">
        <v>116</v>
      </c>
      <c r="R120" s="713"/>
      <c r="S120" s="713"/>
      <c r="T120" s="808"/>
      <c r="U120" s="713"/>
      <c r="V120" s="807" t="s">
        <v>116</v>
      </c>
      <c r="W120" s="806" t="s">
        <v>116</v>
      </c>
      <c r="X120" s="713"/>
      <c r="Y120" s="806"/>
      <c r="Z120" s="809">
        <v>136</v>
      </c>
      <c r="AA120" s="809"/>
      <c r="AB120" s="809"/>
      <c r="AC120" s="727" t="s">
        <v>2053</v>
      </c>
      <c r="AD120" s="284" t="str">
        <f t="shared" si="676"/>
        <v>Ares_TB_350_48130_D_13S5P4LEDLowDrv_SDI26FM_SW1_Aslp_Wup_CC_DUVP_136R_</v>
      </c>
      <c r="AJ120" s="225">
        <f t="shared" si="677"/>
        <v>3</v>
      </c>
      <c r="AK120" s="225">
        <f t="shared" si="678"/>
        <v>9</v>
      </c>
      <c r="AL120" s="225">
        <f t="shared" si="679"/>
        <v>48</v>
      </c>
      <c r="AM120" s="225">
        <f t="shared" si="680"/>
        <v>13</v>
      </c>
      <c r="AN120" s="225">
        <f t="shared" si="681"/>
        <v>26</v>
      </c>
      <c r="AO120" s="225">
        <f t="shared" si="682"/>
        <v>13</v>
      </c>
      <c r="AP120" s="225">
        <f t="shared" si="683"/>
        <v>5</v>
      </c>
      <c r="AQ120" s="225" t="str">
        <f t="shared" si="684"/>
        <v>ok</v>
      </c>
      <c r="AR120" s="225" t="str">
        <f t="shared" si="685"/>
        <v>13S5P</v>
      </c>
      <c r="AS120" s="225" t="str">
        <f t="shared" si="686"/>
        <v>4LEDLowDrv_SDI26FM_</v>
      </c>
      <c r="AT120" s="225" t="str">
        <f t="shared" si="687"/>
        <v>SW1_</v>
      </c>
      <c r="AU120" s="225" t="str">
        <f t="shared" si="688"/>
        <v>Aslp_Wup_CC_DUVP_</v>
      </c>
      <c r="AV120" s="225" t="e">
        <f t="shared" si="689"/>
        <v>#VALUE!</v>
      </c>
      <c r="AW120" s="225" t="b">
        <f t="shared" si="690"/>
        <v>1</v>
      </c>
      <c r="AX120" s="225" t="str">
        <f t="shared" si="691"/>
        <v/>
      </c>
      <c r="AY120" s="225" t="str">
        <f t="shared" si="692"/>
        <v/>
      </c>
      <c r="AZ120" s="664" t="str">
        <f t="shared" si="693"/>
        <v>136R_</v>
      </c>
    </row>
    <row r="121" spans="1:52" s="225" customFormat="1" ht="21">
      <c r="A121" s="713" t="s">
        <v>2051</v>
      </c>
      <c r="B121" s="716"/>
      <c r="C121" s="715"/>
      <c r="D121" s="713" t="s">
        <v>2048</v>
      </c>
      <c r="E121" s="280" t="str">
        <f t="shared" si="638"/>
        <v>10S5P</v>
      </c>
      <c r="F121" s="696" t="s">
        <v>939</v>
      </c>
      <c r="G121" s="719" t="s">
        <v>116</v>
      </c>
      <c r="H121" s="720">
        <v>4</v>
      </c>
      <c r="I121" s="806" t="s">
        <v>116</v>
      </c>
      <c r="J121" s="713"/>
      <c r="K121" s="806" t="s">
        <v>116</v>
      </c>
      <c r="L121" s="713"/>
      <c r="M121" s="713"/>
      <c r="N121" s="805"/>
      <c r="O121" s="713"/>
      <c r="P121" s="806" t="s">
        <v>116</v>
      </c>
      <c r="Q121" s="807" t="s">
        <v>116</v>
      </c>
      <c r="R121" s="713"/>
      <c r="S121" s="713"/>
      <c r="T121" s="808"/>
      <c r="U121" s="713"/>
      <c r="V121" s="807" t="s">
        <v>116</v>
      </c>
      <c r="W121" s="806" t="s">
        <v>116</v>
      </c>
      <c r="X121" s="713"/>
      <c r="Y121" s="806"/>
      <c r="Z121" s="809">
        <v>136</v>
      </c>
      <c r="AA121" s="809"/>
      <c r="AB121" s="809"/>
      <c r="AC121" s="727" t="s">
        <v>2053</v>
      </c>
      <c r="AD121" s="284" t="str">
        <f t="shared" si="639"/>
        <v>Ares_TB_36130_D_10S5P4LEDLowDrv_SDI26FM_SW1_Aslp_Wup_CC_DUVP_136R_</v>
      </c>
      <c r="AJ121" s="225">
        <f t="shared" si="640"/>
        <v>3</v>
      </c>
      <c r="AK121" s="225">
        <f t="shared" si="641"/>
        <v>9</v>
      </c>
      <c r="AL121" s="225">
        <f t="shared" si="642"/>
        <v>36</v>
      </c>
      <c r="AM121" s="225">
        <f t="shared" si="643"/>
        <v>13</v>
      </c>
      <c r="AN121" s="225">
        <f t="shared" si="644"/>
        <v>26</v>
      </c>
      <c r="AO121" s="225">
        <f t="shared" si="645"/>
        <v>10</v>
      </c>
      <c r="AP121" s="225">
        <f t="shared" si="646"/>
        <v>5</v>
      </c>
      <c r="AQ121" s="225" t="str">
        <f t="shared" si="647"/>
        <v>ok</v>
      </c>
      <c r="AR121" s="225" t="str">
        <f t="shared" si="648"/>
        <v>10S5P</v>
      </c>
      <c r="AS121" s="225" t="str">
        <f t="shared" si="649"/>
        <v>4LEDLowDrv_SDI26FM_</v>
      </c>
      <c r="AT121" s="225" t="str">
        <f t="shared" si="650"/>
        <v>SW1_</v>
      </c>
      <c r="AU121" s="225" t="str">
        <f t="shared" si="416"/>
        <v>Aslp_Wup_CC_DUVP_</v>
      </c>
      <c r="AV121" s="225" t="e">
        <f t="shared" si="651"/>
        <v>#VALUE!</v>
      </c>
      <c r="AW121" s="225" t="b">
        <f t="shared" si="652"/>
        <v>1</v>
      </c>
      <c r="AX121" s="225" t="str">
        <f t="shared" si="653"/>
        <v/>
      </c>
      <c r="AY121" s="225" t="str">
        <f t="shared" si="654"/>
        <v/>
      </c>
      <c r="AZ121" s="664" t="str">
        <f t="shared" si="655"/>
        <v>136R_</v>
      </c>
    </row>
    <row r="122" spans="1:52" s="225" customFormat="1" ht="21">
      <c r="A122" s="713" t="s">
        <v>2052</v>
      </c>
      <c r="B122" s="716" t="s">
        <v>1929</v>
      </c>
      <c r="C122" s="715"/>
      <c r="D122" s="713" t="s">
        <v>1344</v>
      </c>
      <c r="E122" s="280" t="str">
        <f t="shared" ref="E122:E137" si="694">AR122</f>
        <v>10S4P</v>
      </c>
      <c r="F122" s="696" t="s">
        <v>939</v>
      </c>
      <c r="G122" s="719" t="s">
        <v>116</v>
      </c>
      <c r="H122" s="720">
        <v>5</v>
      </c>
      <c r="I122" s="806" t="s">
        <v>116</v>
      </c>
      <c r="J122" s="713"/>
      <c r="K122" s="806" t="s">
        <v>2049</v>
      </c>
      <c r="L122" s="713"/>
      <c r="M122" s="713"/>
      <c r="N122" s="806" t="s">
        <v>116</v>
      </c>
      <c r="O122" s="806"/>
      <c r="P122" s="806" t="s">
        <v>116</v>
      </c>
      <c r="Q122" s="807" t="s">
        <v>116</v>
      </c>
      <c r="R122" s="713"/>
      <c r="S122" s="713"/>
      <c r="T122" s="806" t="s">
        <v>116</v>
      </c>
      <c r="U122" s="713"/>
      <c r="V122" s="807" t="s">
        <v>116</v>
      </c>
      <c r="W122" s="806" t="s">
        <v>116</v>
      </c>
      <c r="X122" s="713"/>
      <c r="Y122" s="713"/>
      <c r="Z122" s="809">
        <v>136</v>
      </c>
      <c r="AA122" s="809"/>
      <c r="AB122" s="809"/>
      <c r="AC122" s="727" t="s">
        <v>2053</v>
      </c>
      <c r="AD122" s="284" t="str">
        <f t="shared" ref="AD122:AD137" si="695">A122&amp;"_"&amp;E122&amp;AS122&amp;AT122&amp;AU122&amp;AZ122</f>
        <v>Ares_HM_36104_DU_10S4P5LEDLowDrv_SDI26FM_SW1_SW2_Aslp_Wup_Blight_CC_DUVP_136R_</v>
      </c>
      <c r="AJ122" s="225">
        <f t="shared" ref="AJ122:AJ137" si="696">FIND("V",UPPER(TRIM(D122)))</f>
        <v>3</v>
      </c>
      <c r="AK122" s="225">
        <f t="shared" ref="AK122:AK137" si="697">FIND("AH",UPPER(TRIM(D122)))</f>
        <v>9</v>
      </c>
      <c r="AL122" s="225">
        <f t="shared" ref="AL122:AL137" si="698">VALUE(MID(TRIM(D122),1,AJ122-1))</f>
        <v>36</v>
      </c>
      <c r="AM122" s="225">
        <f t="shared" ref="AM122:AM137" si="699">VALUE(MID(TRIM(D122),AJ122+2,(AK122) -(AJ122+2) ))</f>
        <v>10.4</v>
      </c>
      <c r="AN122" s="225">
        <f t="shared" ref="AN122:AN137" si="700">VALUE(MID(TRIM(F122),4,2))</f>
        <v>26</v>
      </c>
      <c r="AO122" s="225">
        <f t="shared" ref="AO122:AO137" si="701">ROUNDDOWN(AL122/3.5,0)</f>
        <v>10</v>
      </c>
      <c r="AP122" s="225">
        <f t="shared" ref="AP122:AP137" si="702">ROUNDUP(AM122*10/AN122,0)</f>
        <v>4</v>
      </c>
      <c r="AQ122" s="225" t="str">
        <f t="shared" ref="AQ122:AQ137" si="703">IF(OR(ISERROR(AO122),ISERROR(AP122)),"error","ok")</f>
        <v>ok</v>
      </c>
      <c r="AR122" s="225" t="str">
        <f t="shared" ref="AR122:AR137" si="704">IF(AQ122="ok", TEXT(AO122,0)&amp;"S"&amp; TEXT(AP122,0)&amp;"P","_")</f>
        <v>10S4P</v>
      </c>
      <c r="AS122" s="225" t="str">
        <f t="shared" ref="AS122:AS137" si="705">IF(ISBLANK(H122),"",H122&amp;$H$2&amp;IF(UPPER(TRIM(I122))="V",$I$2,"")&amp;"_"&amp;F122&amp;"_")</f>
        <v>5LEDLowDrv_SDI26FM_</v>
      </c>
      <c r="AT122" s="225" t="str">
        <f t="shared" ref="AT122:AT137" si="706">IF(UPPER(TRIM(J122))="V",$J$2&amp;"_","")&amp;IF(UPPER(TRIM(K122))="V",$K$2&amp;"_","")&amp;IF(UPPER(TRIM(L122))="V",$L$2&amp;"_","")&amp;IF(UPPER(TRIM(M122))="V",$M$2&amp;"_","")&amp;IF(UPPER(TRIM(N122))="V",$N$2&amp;"_","")&amp;IF(UPPER(TRIM(O122))="V",$O$2&amp;"_","")</f>
        <v>SW1_SW2_</v>
      </c>
      <c r="AU122" s="225" t="str">
        <f t="shared" si="416"/>
        <v>Aslp_Wup_Blight_CC_DUVP_</v>
      </c>
      <c r="AV122" s="225" t="e">
        <f t="shared" ref="AV122:AV137" si="707">FIND("
",C122)</f>
        <v>#VALUE!</v>
      </c>
      <c r="AW122" s="225" t="b">
        <f t="shared" ref="AW122:AW137" si="708">IF(ISBLANK(C122),TRUE,(TRIM(C122)=""))</f>
        <v>1</v>
      </c>
      <c r="AX122" s="225" t="str">
        <f t="shared" ref="AX122:AX137" si="709">IF(AW122=TRUE,"",IF(NOT(ISERROR(AV122)),TRIM(MID(C122,1,AV122-1))&amp;"_",TRIM(C122)&amp;"_"))</f>
        <v/>
      </c>
      <c r="AY122" s="225" t="str">
        <f t="shared" ref="AY122:AY137" si="710">SUBSTITUTE(AX122,"-","_")</f>
        <v/>
      </c>
      <c r="AZ122" s="664" t="str">
        <f t="shared" ref="AZ122:AZ137" si="711">IF(UPPER(TRIM(X122))="V",$X$2&amp;"_","")&amp;IF(UPPER(TRIM(Y122))="V",$Y$2&amp;"_","")&amp;IF(ISBLANK(Z122),"",Z122&amp;$Z$2&amp;"_")</f>
        <v>136R_</v>
      </c>
    </row>
    <row r="123" spans="1:52" s="225" customFormat="1" ht="21">
      <c r="A123" s="713" t="s">
        <v>2055</v>
      </c>
      <c r="B123" s="714" t="s">
        <v>2058</v>
      </c>
      <c r="C123" s="715"/>
      <c r="D123" s="713" t="s">
        <v>2056</v>
      </c>
      <c r="E123" s="280" t="str">
        <f t="shared" si="694"/>
        <v>7S4P</v>
      </c>
      <c r="F123" s="696" t="s">
        <v>939</v>
      </c>
      <c r="G123" s="719" t="s">
        <v>116</v>
      </c>
      <c r="H123" s="765" t="s">
        <v>2057</v>
      </c>
      <c r="I123" s="803" t="s">
        <v>116</v>
      </c>
      <c r="J123" s="713"/>
      <c r="K123" s="803" t="s">
        <v>116</v>
      </c>
      <c r="L123" s="713"/>
      <c r="M123" s="713"/>
      <c r="N123" s="805"/>
      <c r="O123" s="713"/>
      <c r="P123" s="806" t="s">
        <v>116</v>
      </c>
      <c r="Q123" s="807" t="s">
        <v>116</v>
      </c>
      <c r="R123" s="713"/>
      <c r="S123" s="713"/>
      <c r="T123" s="808"/>
      <c r="U123" s="713"/>
      <c r="V123" s="807" t="s">
        <v>116</v>
      </c>
      <c r="W123" s="806" t="s">
        <v>116</v>
      </c>
      <c r="X123" s="713"/>
      <c r="Y123" s="806"/>
      <c r="Z123" s="809">
        <v>136</v>
      </c>
      <c r="AA123" s="809"/>
      <c r="AB123" s="809"/>
      <c r="AC123" s="727" t="s">
        <v>2059</v>
      </c>
      <c r="AD123" s="284" t="str">
        <f t="shared" si="695"/>
        <v>Pan_BST1_24100_D_7S4PN5LEDLowDrv_SDI26FM_SW1_Aslp_Wup_CC_DUVP_136R_</v>
      </c>
      <c r="AJ123" s="225">
        <f t="shared" si="696"/>
        <v>3</v>
      </c>
      <c r="AK123" s="225">
        <f t="shared" si="697"/>
        <v>9</v>
      </c>
      <c r="AL123" s="225">
        <f t="shared" si="698"/>
        <v>26</v>
      </c>
      <c r="AM123" s="225">
        <f t="shared" si="699"/>
        <v>10</v>
      </c>
      <c r="AN123" s="225">
        <f t="shared" si="700"/>
        <v>26</v>
      </c>
      <c r="AO123" s="225">
        <f t="shared" si="701"/>
        <v>7</v>
      </c>
      <c r="AP123" s="225">
        <f t="shared" si="702"/>
        <v>4</v>
      </c>
      <c r="AQ123" s="225" t="str">
        <f t="shared" si="703"/>
        <v>ok</v>
      </c>
      <c r="AR123" s="225" t="str">
        <f t="shared" si="704"/>
        <v>7S4P</v>
      </c>
      <c r="AS123" s="225" t="str">
        <f t="shared" si="705"/>
        <v>N5LEDLowDrv_SDI26FM_</v>
      </c>
      <c r="AT123" s="225" t="str">
        <f t="shared" si="706"/>
        <v>SW1_</v>
      </c>
      <c r="AU123" s="225" t="str">
        <f t="shared" si="416"/>
        <v>Aslp_Wup_CC_DUVP_</v>
      </c>
      <c r="AV123" s="225" t="e">
        <f t="shared" si="707"/>
        <v>#VALUE!</v>
      </c>
      <c r="AW123" s="225" t="b">
        <f t="shared" si="708"/>
        <v>1</v>
      </c>
      <c r="AX123" s="225" t="str">
        <f t="shared" si="709"/>
        <v/>
      </c>
      <c r="AY123" s="225" t="str">
        <f t="shared" si="710"/>
        <v/>
      </c>
      <c r="AZ123" s="664" t="str">
        <f t="shared" si="711"/>
        <v>136R_</v>
      </c>
    </row>
    <row r="124" spans="1:52" s="225" customFormat="1" ht="21">
      <c r="A124" s="713" t="s">
        <v>2060</v>
      </c>
      <c r="B124" s="714" t="s">
        <v>2062</v>
      </c>
      <c r="C124" s="715"/>
      <c r="D124" s="713" t="s">
        <v>2063</v>
      </c>
      <c r="E124" s="280" t="str">
        <f t="shared" si="694"/>
        <v>10S7P</v>
      </c>
      <c r="F124" s="696" t="s">
        <v>939</v>
      </c>
      <c r="G124" s="719" t="s">
        <v>116</v>
      </c>
      <c r="H124" s="720">
        <v>5</v>
      </c>
      <c r="I124" s="806" t="s">
        <v>116</v>
      </c>
      <c r="J124" s="713"/>
      <c r="K124" s="806" t="s">
        <v>116</v>
      </c>
      <c r="L124" s="713"/>
      <c r="M124" s="713"/>
      <c r="N124" s="805"/>
      <c r="O124" s="713"/>
      <c r="P124" s="806" t="s">
        <v>116</v>
      </c>
      <c r="Q124" s="807" t="s">
        <v>116</v>
      </c>
      <c r="R124" s="713"/>
      <c r="S124" s="713"/>
      <c r="T124" s="808"/>
      <c r="U124" s="713"/>
      <c r="V124" s="807" t="s">
        <v>116</v>
      </c>
      <c r="W124" s="806" t="s">
        <v>116</v>
      </c>
      <c r="X124" s="713"/>
      <c r="Y124" s="713"/>
      <c r="Z124" s="809">
        <v>136</v>
      </c>
      <c r="AA124" s="809"/>
      <c r="AB124" s="809"/>
      <c r="AC124" s="727" t="s">
        <v>2064</v>
      </c>
      <c r="AD124" s="284" t="str">
        <f t="shared" si="695"/>
        <v>Pan_BLT360_36182_DU_10S7P5LEDLowDrv_SDI26FM_SW1_Aslp_Wup_CC_DUVP_136R_</v>
      </c>
      <c r="AJ124" s="225">
        <f t="shared" si="696"/>
        <v>3</v>
      </c>
      <c r="AK124" s="225">
        <f t="shared" si="697"/>
        <v>9</v>
      </c>
      <c r="AL124" s="225">
        <f t="shared" si="698"/>
        <v>36</v>
      </c>
      <c r="AM124" s="225">
        <f t="shared" si="699"/>
        <v>18.2</v>
      </c>
      <c r="AN124" s="225">
        <f t="shared" si="700"/>
        <v>26</v>
      </c>
      <c r="AO124" s="225">
        <f t="shared" si="701"/>
        <v>10</v>
      </c>
      <c r="AP124" s="225">
        <f t="shared" si="702"/>
        <v>7</v>
      </c>
      <c r="AQ124" s="225" t="str">
        <f t="shared" si="703"/>
        <v>ok</v>
      </c>
      <c r="AR124" s="225" t="str">
        <f t="shared" si="704"/>
        <v>10S7P</v>
      </c>
      <c r="AS124" s="225" t="str">
        <f t="shared" si="705"/>
        <v>5LEDLowDrv_SDI26FM_</v>
      </c>
      <c r="AT124" s="225" t="str">
        <f t="shared" si="706"/>
        <v>SW1_</v>
      </c>
      <c r="AU124" s="225" t="str">
        <f t="shared" ref="AU124:AU131" si="712">IF(UPPER(TRIM(P124))="V",$P$2&amp;"_","")&amp;IF(UPPER(TRIM(Q124))="V",$Q$2&amp;"_","")&amp;IF(UPPER(TRIM(R124))="V",$R$2&amp;"_","")&amp;IF(UPPER(TRIM(S124))="V",$S$2&amp;"_","")&amp;IF(UPPER(TRIM(T124))="V",$T$2&amp;"_","")&amp;IF(UPPER(TRIM(U124))="V",$U$2&amp;"_","")&amp;IF(UPPER(TRIM(V124))="V",$V$2&amp;"_","")&amp;IF(UPPER(TRIM(W124))="V",$W$2&amp;"_","")</f>
        <v>Aslp_Wup_CC_DUVP_</v>
      </c>
      <c r="AV124" s="225" t="e">
        <f t="shared" si="707"/>
        <v>#VALUE!</v>
      </c>
      <c r="AW124" s="225" t="b">
        <f t="shared" si="708"/>
        <v>1</v>
      </c>
      <c r="AX124" s="225" t="str">
        <f t="shared" si="709"/>
        <v/>
      </c>
      <c r="AY124" s="225" t="str">
        <f t="shared" si="710"/>
        <v/>
      </c>
      <c r="AZ124" s="664" t="str">
        <f t="shared" si="711"/>
        <v>136R_</v>
      </c>
    </row>
    <row r="125" spans="1:52" s="225" customFormat="1" ht="31.5">
      <c r="A125" s="713" t="s">
        <v>2065</v>
      </c>
      <c r="B125" s="714" t="s">
        <v>2066</v>
      </c>
      <c r="C125" s="715"/>
      <c r="D125" s="713" t="s">
        <v>2067</v>
      </c>
      <c r="E125" s="280" t="str">
        <f t="shared" si="694"/>
        <v>13S9P</v>
      </c>
      <c r="F125" s="696" t="s">
        <v>939</v>
      </c>
      <c r="G125" s="719" t="s">
        <v>116</v>
      </c>
      <c r="H125" s="765" t="s">
        <v>1012</v>
      </c>
      <c r="I125" s="807"/>
      <c r="J125" s="713"/>
      <c r="K125" s="804" t="s">
        <v>116</v>
      </c>
      <c r="L125" s="713"/>
      <c r="M125" s="713"/>
      <c r="N125" s="805"/>
      <c r="O125" s="713"/>
      <c r="P125" s="713" t="s">
        <v>116</v>
      </c>
      <c r="Q125" s="807" t="s">
        <v>116</v>
      </c>
      <c r="R125" s="713"/>
      <c r="S125" s="713"/>
      <c r="T125" s="808"/>
      <c r="U125" s="713"/>
      <c r="V125" s="807" t="s">
        <v>116</v>
      </c>
      <c r="W125" s="713" t="s">
        <v>116</v>
      </c>
      <c r="X125" s="713"/>
      <c r="Y125" s="713"/>
      <c r="Z125" s="809">
        <v>136</v>
      </c>
      <c r="AA125" s="809"/>
      <c r="AB125" s="809"/>
      <c r="AC125" s="836" t="s">
        <v>2068</v>
      </c>
      <c r="AD125" s="284" t="str">
        <f t="shared" si="695"/>
        <v>Pan_LYUS1_48234_X_13S9PN3LED_SDI26FM_SW1_Aslp_Wup_CC_DUVP_136R_</v>
      </c>
      <c r="AJ125" s="225">
        <f t="shared" si="696"/>
        <v>3</v>
      </c>
      <c r="AK125" s="225">
        <f t="shared" si="697"/>
        <v>9</v>
      </c>
      <c r="AL125" s="225">
        <f t="shared" si="698"/>
        <v>48</v>
      </c>
      <c r="AM125" s="225">
        <f t="shared" si="699"/>
        <v>23.4</v>
      </c>
      <c r="AN125" s="225">
        <f t="shared" si="700"/>
        <v>26</v>
      </c>
      <c r="AO125" s="225">
        <f t="shared" si="701"/>
        <v>13</v>
      </c>
      <c r="AP125" s="225">
        <f t="shared" si="702"/>
        <v>9</v>
      </c>
      <c r="AQ125" s="225" t="str">
        <f t="shared" si="703"/>
        <v>ok</v>
      </c>
      <c r="AR125" s="225" t="str">
        <f t="shared" si="704"/>
        <v>13S9P</v>
      </c>
      <c r="AS125" s="225" t="str">
        <f t="shared" si="705"/>
        <v>N3LED_SDI26FM_</v>
      </c>
      <c r="AT125" s="225" t="str">
        <f t="shared" si="706"/>
        <v>SW1_</v>
      </c>
      <c r="AU125" s="225" t="str">
        <f t="shared" si="712"/>
        <v>Aslp_Wup_CC_DUVP_</v>
      </c>
      <c r="AV125" s="225" t="e">
        <f t="shared" si="707"/>
        <v>#VALUE!</v>
      </c>
      <c r="AW125" s="225" t="b">
        <f t="shared" si="708"/>
        <v>1</v>
      </c>
      <c r="AX125" s="225" t="str">
        <f t="shared" si="709"/>
        <v/>
      </c>
      <c r="AY125" s="225" t="str">
        <f t="shared" si="710"/>
        <v/>
      </c>
      <c r="AZ125" s="664" t="str">
        <f t="shared" si="711"/>
        <v>136R_</v>
      </c>
    </row>
    <row r="126" spans="1:52" s="225" customFormat="1" ht="21">
      <c r="A126" s="713" t="s">
        <v>2071</v>
      </c>
      <c r="B126" s="714" t="s">
        <v>2072</v>
      </c>
      <c r="C126" s="715"/>
      <c r="D126" s="713" t="s">
        <v>1344</v>
      </c>
      <c r="E126" s="280" t="str">
        <f t="shared" si="694"/>
        <v>10S4P</v>
      </c>
      <c r="F126" s="696" t="s">
        <v>939</v>
      </c>
      <c r="G126" s="719" t="s">
        <v>116</v>
      </c>
      <c r="H126" s="720">
        <v>4</v>
      </c>
      <c r="I126" s="806" t="s">
        <v>116</v>
      </c>
      <c r="J126" s="713"/>
      <c r="K126" s="806" t="s">
        <v>116</v>
      </c>
      <c r="L126" s="713"/>
      <c r="M126" s="713"/>
      <c r="N126" s="805"/>
      <c r="O126" s="713"/>
      <c r="P126" s="806" t="s">
        <v>116</v>
      </c>
      <c r="Q126" s="807" t="s">
        <v>116</v>
      </c>
      <c r="R126" s="713"/>
      <c r="S126" s="713"/>
      <c r="T126" s="808"/>
      <c r="U126" s="713"/>
      <c r="V126" s="807" t="s">
        <v>116</v>
      </c>
      <c r="W126" s="806" t="s">
        <v>116</v>
      </c>
      <c r="X126" s="713"/>
      <c r="Y126" s="806"/>
      <c r="Z126" s="809">
        <v>136</v>
      </c>
      <c r="AA126" s="809"/>
      <c r="AB126" s="809"/>
      <c r="AC126" s="727" t="s">
        <v>2077</v>
      </c>
      <c r="AD126" s="284" t="str">
        <f t="shared" si="695"/>
        <v>Pan_RN1_36104_DU_10S4P4LEDLowDrv_SDI26FM_SW1_Aslp_Wup_CC_DUVP_136R_</v>
      </c>
      <c r="AJ126" s="225">
        <f t="shared" si="696"/>
        <v>3</v>
      </c>
      <c r="AK126" s="225">
        <f t="shared" si="697"/>
        <v>9</v>
      </c>
      <c r="AL126" s="225">
        <f t="shared" si="698"/>
        <v>36</v>
      </c>
      <c r="AM126" s="225">
        <f t="shared" si="699"/>
        <v>10.4</v>
      </c>
      <c r="AN126" s="225">
        <f t="shared" si="700"/>
        <v>26</v>
      </c>
      <c r="AO126" s="225">
        <f t="shared" si="701"/>
        <v>10</v>
      </c>
      <c r="AP126" s="225">
        <f t="shared" si="702"/>
        <v>4</v>
      </c>
      <c r="AQ126" s="225" t="str">
        <f t="shared" si="703"/>
        <v>ok</v>
      </c>
      <c r="AR126" s="225" t="str">
        <f t="shared" si="704"/>
        <v>10S4P</v>
      </c>
      <c r="AS126" s="225" t="str">
        <f t="shared" si="705"/>
        <v>4LEDLowDrv_SDI26FM_</v>
      </c>
      <c r="AT126" s="225" t="str">
        <f t="shared" si="706"/>
        <v>SW1_</v>
      </c>
      <c r="AU126" s="225" t="str">
        <f t="shared" si="712"/>
        <v>Aslp_Wup_CC_DUVP_</v>
      </c>
      <c r="AV126" s="225" t="e">
        <f t="shared" si="707"/>
        <v>#VALUE!</v>
      </c>
      <c r="AW126" s="225" t="b">
        <f t="shared" si="708"/>
        <v>1</v>
      </c>
      <c r="AX126" s="225" t="str">
        <f t="shared" si="709"/>
        <v/>
      </c>
      <c r="AY126" s="225" t="str">
        <f t="shared" si="710"/>
        <v/>
      </c>
      <c r="AZ126" s="664" t="str">
        <f t="shared" si="711"/>
        <v>136R_</v>
      </c>
    </row>
    <row r="127" spans="1:52" s="225" customFormat="1" ht="21">
      <c r="A127" s="713" t="s">
        <v>2074</v>
      </c>
      <c r="B127" s="714" t="s">
        <v>2073</v>
      </c>
      <c r="C127" s="715"/>
      <c r="D127" s="713" t="s">
        <v>2069</v>
      </c>
      <c r="E127" s="280" t="str">
        <f t="shared" si="694"/>
        <v>10S5P</v>
      </c>
      <c r="F127" s="696" t="s">
        <v>939</v>
      </c>
      <c r="G127" s="719" t="s">
        <v>116</v>
      </c>
      <c r="H127" s="720">
        <v>4</v>
      </c>
      <c r="I127" s="806" t="s">
        <v>116</v>
      </c>
      <c r="J127" s="713"/>
      <c r="K127" s="806" t="s">
        <v>116</v>
      </c>
      <c r="L127" s="713"/>
      <c r="M127" s="713"/>
      <c r="N127" s="805"/>
      <c r="O127" s="713"/>
      <c r="P127" s="806" t="s">
        <v>116</v>
      </c>
      <c r="Q127" s="807" t="s">
        <v>116</v>
      </c>
      <c r="R127" s="713"/>
      <c r="S127" s="713"/>
      <c r="T127" s="808"/>
      <c r="U127" s="713"/>
      <c r="V127" s="807" t="s">
        <v>116</v>
      </c>
      <c r="W127" s="806" t="s">
        <v>116</v>
      </c>
      <c r="X127" s="713"/>
      <c r="Y127" s="806"/>
      <c r="Z127" s="809">
        <v>136</v>
      </c>
      <c r="AA127" s="809"/>
      <c r="AB127" s="809"/>
      <c r="AC127" s="727" t="s">
        <v>2076</v>
      </c>
      <c r="AD127" s="284" t="str">
        <f t="shared" si="695"/>
        <v>Pan_RN1_36130_DU_10S5P4LEDLowDrv_SDI26FM_SW1_Aslp_Wup_CC_DUVP_136R_</v>
      </c>
      <c r="AJ127" s="225">
        <f t="shared" si="696"/>
        <v>3</v>
      </c>
      <c r="AK127" s="225">
        <f t="shared" si="697"/>
        <v>9</v>
      </c>
      <c r="AL127" s="225">
        <f t="shared" si="698"/>
        <v>36</v>
      </c>
      <c r="AM127" s="225">
        <f t="shared" si="699"/>
        <v>13</v>
      </c>
      <c r="AN127" s="225">
        <f t="shared" si="700"/>
        <v>26</v>
      </c>
      <c r="AO127" s="225">
        <f t="shared" si="701"/>
        <v>10</v>
      </c>
      <c r="AP127" s="225">
        <f t="shared" si="702"/>
        <v>5</v>
      </c>
      <c r="AQ127" s="225" t="str">
        <f t="shared" si="703"/>
        <v>ok</v>
      </c>
      <c r="AR127" s="225" t="str">
        <f t="shared" si="704"/>
        <v>10S5P</v>
      </c>
      <c r="AS127" s="225" t="str">
        <f t="shared" si="705"/>
        <v>4LEDLowDrv_SDI26FM_</v>
      </c>
      <c r="AT127" s="225" t="str">
        <f t="shared" si="706"/>
        <v>SW1_</v>
      </c>
      <c r="AU127" s="225" t="str">
        <f t="shared" si="712"/>
        <v>Aslp_Wup_CC_DUVP_</v>
      </c>
      <c r="AV127" s="225" t="e">
        <f t="shared" si="707"/>
        <v>#VALUE!</v>
      </c>
      <c r="AW127" s="225" t="b">
        <f t="shared" si="708"/>
        <v>1</v>
      </c>
      <c r="AX127" s="225" t="str">
        <f t="shared" si="709"/>
        <v/>
      </c>
      <c r="AY127" s="225" t="str">
        <f t="shared" si="710"/>
        <v/>
      </c>
      <c r="AZ127" s="664" t="str">
        <f t="shared" si="711"/>
        <v>136R_</v>
      </c>
    </row>
    <row r="128" spans="1:52" s="225" customFormat="1" ht="21">
      <c r="A128" s="713" t="s">
        <v>2075</v>
      </c>
      <c r="B128" s="714" t="s">
        <v>2072</v>
      </c>
      <c r="C128" s="715"/>
      <c r="D128" s="713" t="s">
        <v>2070</v>
      </c>
      <c r="E128" s="280" t="str">
        <f t="shared" ref="E128:E131" si="713">AR128</f>
        <v>10S5P</v>
      </c>
      <c r="F128" s="802" t="s">
        <v>1903</v>
      </c>
      <c r="G128" s="719" t="s">
        <v>116</v>
      </c>
      <c r="H128" s="720">
        <v>4</v>
      </c>
      <c r="I128" s="806" t="s">
        <v>116</v>
      </c>
      <c r="J128" s="713"/>
      <c r="K128" s="806" t="s">
        <v>116</v>
      </c>
      <c r="L128" s="713"/>
      <c r="M128" s="713"/>
      <c r="N128" s="805"/>
      <c r="O128" s="713"/>
      <c r="P128" s="806" t="s">
        <v>116</v>
      </c>
      <c r="Q128" s="807" t="s">
        <v>116</v>
      </c>
      <c r="R128" s="713"/>
      <c r="S128" s="713"/>
      <c r="T128" s="808"/>
      <c r="U128" s="713"/>
      <c r="V128" s="807" t="s">
        <v>116</v>
      </c>
      <c r="W128" s="806" t="s">
        <v>116</v>
      </c>
      <c r="X128" s="713"/>
      <c r="Y128" s="806"/>
      <c r="Z128" s="809">
        <v>136</v>
      </c>
      <c r="AA128" s="809"/>
      <c r="AB128" s="809"/>
      <c r="AC128" s="727" t="s">
        <v>2076</v>
      </c>
      <c r="AD128" s="284" t="str">
        <f t="shared" ref="AD128:AD131" si="714">A128&amp;"_"&amp;E128&amp;AS128&amp;AT128&amp;AU128&amp;AZ128</f>
        <v>Pan_RN1_36145_DU_10S5P4LEDLowDrv_SDI29E_SW1_Aslp_Wup_CC_DUVP_136R_</v>
      </c>
      <c r="AJ128" s="225">
        <f t="shared" ref="AJ128:AJ131" si="715">FIND("V",UPPER(TRIM(D128)))</f>
        <v>3</v>
      </c>
      <c r="AK128" s="225">
        <f t="shared" ref="AK128:AK131" si="716">FIND("AH",UPPER(TRIM(D128)))</f>
        <v>9</v>
      </c>
      <c r="AL128" s="225">
        <f t="shared" ref="AL128:AL131" si="717">VALUE(MID(TRIM(D128),1,AJ128-1))</f>
        <v>36</v>
      </c>
      <c r="AM128" s="225">
        <f t="shared" ref="AM128:AM131" si="718">VALUE(MID(TRIM(D128),AJ128+2,(AK128) -(AJ128+2) ))</f>
        <v>14.5</v>
      </c>
      <c r="AN128" s="225">
        <f t="shared" ref="AN128:AN131" si="719">VALUE(MID(TRIM(F128),4,2))</f>
        <v>29</v>
      </c>
      <c r="AO128" s="225">
        <f t="shared" ref="AO128:AO131" si="720">ROUNDDOWN(AL128/3.5,0)</f>
        <v>10</v>
      </c>
      <c r="AP128" s="225">
        <f t="shared" ref="AP128:AP131" si="721">ROUNDUP(AM128*10/AN128,0)</f>
        <v>5</v>
      </c>
      <c r="AQ128" s="225" t="str">
        <f t="shared" ref="AQ128:AQ131" si="722">IF(OR(ISERROR(AO128),ISERROR(AP128)),"error","ok")</f>
        <v>ok</v>
      </c>
      <c r="AR128" s="225" t="str">
        <f t="shared" ref="AR128:AR131" si="723">IF(AQ128="ok", TEXT(AO128,0)&amp;"S"&amp; TEXT(AP128,0)&amp;"P","_")</f>
        <v>10S5P</v>
      </c>
      <c r="AS128" s="225" t="str">
        <f t="shared" ref="AS128:AS131" si="724">IF(ISBLANK(H128),"",H128&amp;$H$2&amp;IF(UPPER(TRIM(I128))="V",$I$2,"")&amp;"_"&amp;F128&amp;"_")</f>
        <v>4LEDLowDrv_SDI29E_</v>
      </c>
      <c r="AT128" s="225" t="str">
        <f t="shared" ref="AT128:AT131" si="725">IF(UPPER(TRIM(J128))="V",$J$2&amp;"_","")&amp;IF(UPPER(TRIM(K128))="V",$K$2&amp;"_","")&amp;IF(UPPER(TRIM(L128))="V",$L$2&amp;"_","")&amp;IF(UPPER(TRIM(M128))="V",$M$2&amp;"_","")&amp;IF(UPPER(TRIM(N128))="V",$N$2&amp;"_","")&amp;IF(UPPER(TRIM(O128))="V",$O$2&amp;"_","")</f>
        <v>SW1_</v>
      </c>
      <c r="AU128" s="225" t="str">
        <f t="shared" si="712"/>
        <v>Aslp_Wup_CC_DUVP_</v>
      </c>
      <c r="AV128" s="225" t="e">
        <f t="shared" ref="AV128:AV131" si="726">FIND("
",C128)</f>
        <v>#VALUE!</v>
      </c>
      <c r="AW128" s="225" t="b">
        <f t="shared" ref="AW128:AW131" si="727">IF(ISBLANK(C128),TRUE,(TRIM(C128)=""))</f>
        <v>1</v>
      </c>
      <c r="AX128" s="225" t="str">
        <f t="shared" ref="AX128:AX131" si="728">IF(AW128=TRUE,"",IF(NOT(ISERROR(AV128)),TRIM(MID(C128,1,AV128-1))&amp;"_",TRIM(C128)&amp;"_"))</f>
        <v/>
      </c>
      <c r="AY128" s="225" t="str">
        <f t="shared" ref="AY128:AY131" si="729">SUBSTITUTE(AX128,"-","_")</f>
        <v/>
      </c>
      <c r="AZ128" s="664" t="str">
        <f t="shared" ref="AZ128:AZ131" si="730">IF(UPPER(TRIM(X128))="V",$X$2&amp;"_","")&amp;IF(UPPER(TRIM(Y128))="V",$Y$2&amp;"_","")&amp;IF(ISBLANK(Z128),"",Z128&amp;$Z$2&amp;"_")</f>
        <v>136R_</v>
      </c>
    </row>
    <row r="129" spans="1:52" s="225" customFormat="1" ht="21">
      <c r="A129" s="713" t="s">
        <v>2079</v>
      </c>
      <c r="B129" s="714" t="s">
        <v>2078</v>
      </c>
      <c r="C129" s="715"/>
      <c r="D129" s="713" t="s">
        <v>1344</v>
      </c>
      <c r="E129" s="280" t="str">
        <f t="shared" si="713"/>
        <v>10S4P</v>
      </c>
      <c r="F129" s="696" t="s">
        <v>939</v>
      </c>
      <c r="G129" s="719" t="s">
        <v>116</v>
      </c>
      <c r="H129" s="720">
        <v>4</v>
      </c>
      <c r="I129" s="806" t="s">
        <v>116</v>
      </c>
      <c r="J129" s="713"/>
      <c r="K129" s="806" t="s">
        <v>116</v>
      </c>
      <c r="L129" s="713"/>
      <c r="M129" s="713"/>
      <c r="N129" s="805"/>
      <c r="O129" s="713"/>
      <c r="P129" s="806" t="s">
        <v>116</v>
      </c>
      <c r="Q129" s="807" t="s">
        <v>116</v>
      </c>
      <c r="R129" s="713"/>
      <c r="S129" s="713"/>
      <c r="T129" s="808"/>
      <c r="U129" s="713"/>
      <c r="V129" s="807" t="s">
        <v>116</v>
      </c>
      <c r="W129" s="806" t="s">
        <v>116</v>
      </c>
      <c r="X129" s="713"/>
      <c r="Y129" s="806"/>
      <c r="Z129" s="809">
        <v>136</v>
      </c>
      <c r="AA129" s="809"/>
      <c r="AB129" s="809"/>
      <c r="AC129" s="727"/>
      <c r="AD129" s="284" t="str">
        <f t="shared" si="714"/>
        <v>Ares_SX_YJ_36104_D_10S4P4LEDLowDrv_SDI26FM_SW1_Aslp_Wup_CC_DUVP_136R_</v>
      </c>
      <c r="AJ129" s="225">
        <f t="shared" si="715"/>
        <v>3</v>
      </c>
      <c r="AK129" s="225">
        <f t="shared" si="716"/>
        <v>9</v>
      </c>
      <c r="AL129" s="225">
        <f t="shared" si="717"/>
        <v>36</v>
      </c>
      <c r="AM129" s="225">
        <f t="shared" si="718"/>
        <v>10.4</v>
      </c>
      <c r="AN129" s="225">
        <f t="shared" si="719"/>
        <v>26</v>
      </c>
      <c r="AO129" s="225">
        <f t="shared" si="720"/>
        <v>10</v>
      </c>
      <c r="AP129" s="225">
        <f t="shared" si="721"/>
        <v>4</v>
      </c>
      <c r="AQ129" s="225" t="str">
        <f t="shared" si="722"/>
        <v>ok</v>
      </c>
      <c r="AR129" s="225" t="str">
        <f t="shared" si="723"/>
        <v>10S4P</v>
      </c>
      <c r="AS129" s="225" t="str">
        <f t="shared" si="724"/>
        <v>4LEDLowDrv_SDI26FM_</v>
      </c>
      <c r="AT129" s="225" t="str">
        <f t="shared" si="725"/>
        <v>SW1_</v>
      </c>
      <c r="AU129" s="225" t="str">
        <f t="shared" si="712"/>
        <v>Aslp_Wup_CC_DUVP_</v>
      </c>
      <c r="AV129" s="225" t="e">
        <f t="shared" si="726"/>
        <v>#VALUE!</v>
      </c>
      <c r="AW129" s="225" t="b">
        <f t="shared" si="727"/>
        <v>1</v>
      </c>
      <c r="AX129" s="225" t="str">
        <f t="shared" si="728"/>
        <v/>
      </c>
      <c r="AY129" s="225" t="str">
        <f t="shared" si="729"/>
        <v/>
      </c>
      <c r="AZ129" s="664" t="str">
        <f t="shared" si="730"/>
        <v>136R_</v>
      </c>
    </row>
    <row r="130" spans="1:52" s="225" customFormat="1" ht="21">
      <c r="A130" s="713" t="s">
        <v>2083</v>
      </c>
      <c r="B130" s="714" t="s">
        <v>2082</v>
      </c>
      <c r="C130" s="715"/>
      <c r="D130" s="713" t="s">
        <v>2081</v>
      </c>
      <c r="E130" s="280" t="str">
        <f t="shared" si="713"/>
        <v>13S5P</v>
      </c>
      <c r="F130" s="696" t="s">
        <v>939</v>
      </c>
      <c r="G130" s="719" t="s">
        <v>116</v>
      </c>
      <c r="H130" s="720">
        <v>5</v>
      </c>
      <c r="I130" s="806" t="s">
        <v>116</v>
      </c>
      <c r="J130" s="713"/>
      <c r="K130" s="806" t="s">
        <v>116</v>
      </c>
      <c r="L130" s="713"/>
      <c r="M130" s="713"/>
      <c r="N130" s="805"/>
      <c r="O130" s="713"/>
      <c r="P130" s="806" t="s">
        <v>116</v>
      </c>
      <c r="Q130" s="807" t="s">
        <v>116</v>
      </c>
      <c r="R130" s="713"/>
      <c r="S130" s="713"/>
      <c r="T130" s="808"/>
      <c r="U130" s="713"/>
      <c r="V130" s="807" t="s">
        <v>116</v>
      </c>
      <c r="W130" s="806" t="s">
        <v>116</v>
      </c>
      <c r="X130" s="713"/>
      <c r="Y130" s="713"/>
      <c r="Z130" s="809">
        <v>136</v>
      </c>
      <c r="AA130" s="809"/>
      <c r="AB130" s="809"/>
      <c r="AC130" s="727" t="s">
        <v>2084</v>
      </c>
      <c r="AD130" s="284" t="str">
        <f t="shared" si="714"/>
        <v>Pan_BLT360_48130_D_13S5P5LEDLowDrv_SDI26FM_SW1_Aslp_Wup_CC_DUVP_136R_</v>
      </c>
      <c r="AJ130" s="225">
        <f t="shared" si="715"/>
        <v>3</v>
      </c>
      <c r="AK130" s="225">
        <f t="shared" si="716"/>
        <v>9</v>
      </c>
      <c r="AL130" s="225">
        <f t="shared" si="717"/>
        <v>48</v>
      </c>
      <c r="AM130" s="225">
        <f t="shared" si="718"/>
        <v>13</v>
      </c>
      <c r="AN130" s="225">
        <f t="shared" si="719"/>
        <v>26</v>
      </c>
      <c r="AO130" s="225">
        <f t="shared" si="720"/>
        <v>13</v>
      </c>
      <c r="AP130" s="225">
        <f t="shared" si="721"/>
        <v>5</v>
      </c>
      <c r="AQ130" s="225" t="str">
        <f t="shared" si="722"/>
        <v>ok</v>
      </c>
      <c r="AR130" s="225" t="str">
        <f t="shared" si="723"/>
        <v>13S5P</v>
      </c>
      <c r="AS130" s="225" t="str">
        <f t="shared" si="724"/>
        <v>5LEDLowDrv_SDI26FM_</v>
      </c>
      <c r="AT130" s="225" t="str">
        <f t="shared" si="725"/>
        <v>SW1_</v>
      </c>
      <c r="AU130" s="225" t="str">
        <f t="shared" si="712"/>
        <v>Aslp_Wup_CC_DUVP_</v>
      </c>
      <c r="AV130" s="225" t="e">
        <f t="shared" si="726"/>
        <v>#VALUE!</v>
      </c>
      <c r="AW130" s="225" t="b">
        <f t="shared" si="727"/>
        <v>1</v>
      </c>
      <c r="AX130" s="225" t="str">
        <f t="shared" si="728"/>
        <v/>
      </c>
      <c r="AY130" s="225" t="str">
        <f t="shared" si="729"/>
        <v/>
      </c>
      <c r="AZ130" s="664" t="str">
        <f t="shared" si="730"/>
        <v>136R_</v>
      </c>
    </row>
    <row r="131" spans="1:52" s="225" customFormat="1" ht="21">
      <c r="A131" s="713"/>
      <c r="B131" s="716"/>
      <c r="C131" s="715"/>
      <c r="D131" s="713"/>
      <c r="E131" s="280" t="str">
        <f t="shared" si="713"/>
        <v>_</v>
      </c>
      <c r="F131" s="696" t="s">
        <v>939</v>
      </c>
      <c r="G131" s="719" t="s">
        <v>116</v>
      </c>
      <c r="H131" s="720"/>
      <c r="I131" s="807"/>
      <c r="J131" s="713"/>
      <c r="K131" s="713"/>
      <c r="L131" s="713"/>
      <c r="M131" s="713"/>
      <c r="N131" s="805"/>
      <c r="O131" s="713"/>
      <c r="P131" s="810"/>
      <c r="Q131" s="810"/>
      <c r="R131" s="713"/>
      <c r="S131" s="713"/>
      <c r="T131" s="808"/>
      <c r="U131" s="713"/>
      <c r="V131" s="713"/>
      <c r="W131" s="713"/>
      <c r="X131" s="713"/>
      <c r="Y131" s="713"/>
      <c r="Z131" s="726"/>
      <c r="AA131" s="726"/>
      <c r="AB131" s="726"/>
      <c r="AC131" s="727"/>
      <c r="AD131" s="284" t="str">
        <f t="shared" si="714"/>
        <v>__</v>
      </c>
      <c r="AJ131" s="225" t="e">
        <f t="shared" si="715"/>
        <v>#VALUE!</v>
      </c>
      <c r="AK131" s="225" t="e">
        <f t="shared" si="716"/>
        <v>#VALUE!</v>
      </c>
      <c r="AL131" s="225" t="e">
        <f t="shared" si="717"/>
        <v>#VALUE!</v>
      </c>
      <c r="AM131" s="225" t="e">
        <f t="shared" si="718"/>
        <v>#VALUE!</v>
      </c>
      <c r="AN131" s="225">
        <f t="shared" si="719"/>
        <v>26</v>
      </c>
      <c r="AO131" s="225" t="e">
        <f t="shared" si="720"/>
        <v>#VALUE!</v>
      </c>
      <c r="AP131" s="225" t="e">
        <f t="shared" si="721"/>
        <v>#VALUE!</v>
      </c>
      <c r="AQ131" s="225" t="str">
        <f t="shared" si="722"/>
        <v>error</v>
      </c>
      <c r="AR131" s="225" t="str">
        <f t="shared" si="723"/>
        <v>_</v>
      </c>
      <c r="AS131" s="225" t="str">
        <f t="shared" si="724"/>
        <v/>
      </c>
      <c r="AT131" s="225" t="str">
        <f t="shared" si="725"/>
        <v/>
      </c>
      <c r="AU131" s="225" t="str">
        <f t="shared" si="712"/>
        <v/>
      </c>
      <c r="AV131" s="225" t="e">
        <f t="shared" si="726"/>
        <v>#VALUE!</v>
      </c>
      <c r="AW131" s="225" t="b">
        <f t="shared" si="727"/>
        <v>1</v>
      </c>
      <c r="AX131" s="225" t="str">
        <f t="shared" si="728"/>
        <v/>
      </c>
      <c r="AY131" s="225" t="str">
        <f t="shared" si="729"/>
        <v/>
      </c>
      <c r="AZ131" s="664" t="str">
        <f t="shared" si="730"/>
        <v/>
      </c>
    </row>
    <row r="132" spans="1:52" s="225" customFormat="1" ht="21">
      <c r="A132" s="713"/>
      <c r="B132" s="716"/>
      <c r="C132" s="715"/>
      <c r="D132" s="713"/>
      <c r="E132" s="280" t="str">
        <f t="shared" ref="E132:E135" si="731">AR132</f>
        <v>_</v>
      </c>
      <c r="F132" s="696" t="s">
        <v>939</v>
      </c>
      <c r="G132" s="719" t="s">
        <v>116</v>
      </c>
      <c r="H132" s="720"/>
      <c r="I132" s="807"/>
      <c r="J132" s="713"/>
      <c r="K132" s="713"/>
      <c r="L132" s="713"/>
      <c r="M132" s="713"/>
      <c r="N132" s="805"/>
      <c r="O132" s="713"/>
      <c r="P132" s="810"/>
      <c r="Q132" s="810"/>
      <c r="R132" s="713"/>
      <c r="S132" s="713"/>
      <c r="T132" s="808"/>
      <c r="U132" s="713"/>
      <c r="V132" s="713"/>
      <c r="W132" s="713"/>
      <c r="X132" s="713"/>
      <c r="Y132" s="713"/>
      <c r="Z132" s="726"/>
      <c r="AA132" s="726"/>
      <c r="AB132" s="726"/>
      <c r="AC132" s="727"/>
      <c r="AD132" s="284" t="str">
        <f t="shared" ref="AD132:AD135" si="732">A132&amp;"_"&amp;E132&amp;AS132&amp;AT132&amp;AU132&amp;AZ132</f>
        <v>__</v>
      </c>
      <c r="AJ132" s="225" t="e">
        <f t="shared" ref="AJ132:AJ135" si="733">FIND("V",UPPER(TRIM(D132)))</f>
        <v>#VALUE!</v>
      </c>
      <c r="AK132" s="225" t="e">
        <f t="shared" ref="AK132:AK135" si="734">FIND("AH",UPPER(TRIM(D132)))</f>
        <v>#VALUE!</v>
      </c>
      <c r="AL132" s="225" t="e">
        <f t="shared" ref="AL132:AL135" si="735">VALUE(MID(TRIM(D132),1,AJ132-1))</f>
        <v>#VALUE!</v>
      </c>
      <c r="AM132" s="225" t="e">
        <f t="shared" ref="AM132:AM135" si="736">VALUE(MID(TRIM(D132),AJ132+2,(AK132) -(AJ132+2) ))</f>
        <v>#VALUE!</v>
      </c>
      <c r="AN132" s="225">
        <f t="shared" ref="AN132:AN135" si="737">VALUE(MID(TRIM(F132),4,2))</f>
        <v>26</v>
      </c>
      <c r="AO132" s="225" t="e">
        <f t="shared" ref="AO132:AO135" si="738">ROUNDDOWN(AL132/3.5,0)</f>
        <v>#VALUE!</v>
      </c>
      <c r="AP132" s="225" t="e">
        <f t="shared" ref="AP132:AP135" si="739">ROUNDUP(AM132*10/AN132,0)</f>
        <v>#VALUE!</v>
      </c>
      <c r="AQ132" s="225" t="str">
        <f t="shared" ref="AQ132:AQ135" si="740">IF(OR(ISERROR(AO132),ISERROR(AP132)),"error","ok")</f>
        <v>error</v>
      </c>
      <c r="AR132" s="225" t="str">
        <f t="shared" ref="AR132:AR135" si="741">IF(AQ132="ok", TEXT(AO132,0)&amp;"S"&amp; TEXT(AP132,0)&amp;"P","_")</f>
        <v>_</v>
      </c>
      <c r="AS132" s="225" t="str">
        <f t="shared" ref="AS132:AS135" si="742">IF(ISBLANK(H132),"",H132&amp;$H$2&amp;IF(UPPER(TRIM(I132))="V",$I$2,"")&amp;"_"&amp;F132&amp;"_")</f>
        <v/>
      </c>
      <c r="AT132" s="225" t="str">
        <f t="shared" ref="AT132:AT135" si="743">IF(UPPER(TRIM(J132))="V",$J$2&amp;"_","")&amp;IF(UPPER(TRIM(K132))="V",$K$2&amp;"_","")&amp;IF(UPPER(TRIM(L132))="V",$L$2&amp;"_","")&amp;IF(UPPER(TRIM(M132))="V",$M$2&amp;"_","")&amp;IF(UPPER(TRIM(N132))="V",$N$2&amp;"_","")&amp;IF(UPPER(TRIM(O132))="V",$O$2&amp;"_","")</f>
        <v/>
      </c>
      <c r="AU132" s="225" t="str">
        <f t="shared" si="416"/>
        <v/>
      </c>
      <c r="AV132" s="225" t="e">
        <f t="shared" ref="AV132:AV135" si="744">FIND("
",C132)</f>
        <v>#VALUE!</v>
      </c>
      <c r="AW132" s="225" t="b">
        <f t="shared" ref="AW132:AW135" si="745">IF(ISBLANK(C132),TRUE,(TRIM(C132)=""))</f>
        <v>1</v>
      </c>
      <c r="AX132" s="225" t="str">
        <f t="shared" ref="AX132:AX135" si="746">IF(AW132=TRUE,"",IF(NOT(ISERROR(AV132)),TRIM(MID(C132,1,AV132-1))&amp;"_",TRIM(C132)&amp;"_"))</f>
        <v/>
      </c>
      <c r="AY132" s="225" t="str">
        <f t="shared" ref="AY132:AY135" si="747">SUBSTITUTE(AX132,"-","_")</f>
        <v/>
      </c>
      <c r="AZ132" s="664" t="str">
        <f t="shared" ref="AZ132:AZ135" si="748">IF(UPPER(TRIM(X132))="V",$X$2&amp;"_","")&amp;IF(UPPER(TRIM(Y132))="V",$Y$2&amp;"_","")&amp;IF(ISBLANK(Z132),"",Z132&amp;$Z$2&amp;"_")</f>
        <v/>
      </c>
    </row>
    <row r="133" spans="1:52" s="225" customFormat="1" ht="21">
      <c r="A133" s="713"/>
      <c r="B133" s="716"/>
      <c r="C133" s="715"/>
      <c r="D133" s="713"/>
      <c r="E133" s="280" t="str">
        <f t="shared" si="731"/>
        <v>_</v>
      </c>
      <c r="F133" s="696" t="s">
        <v>939</v>
      </c>
      <c r="G133" s="719" t="s">
        <v>116</v>
      </c>
      <c r="H133" s="720"/>
      <c r="I133" s="807"/>
      <c r="J133" s="713"/>
      <c r="K133" s="713"/>
      <c r="L133" s="713"/>
      <c r="M133" s="713"/>
      <c r="N133" s="805"/>
      <c r="O133" s="713"/>
      <c r="P133" s="810"/>
      <c r="Q133" s="810"/>
      <c r="R133" s="713"/>
      <c r="S133" s="713"/>
      <c r="T133" s="808"/>
      <c r="U133" s="713"/>
      <c r="V133" s="713"/>
      <c r="W133" s="713"/>
      <c r="X133" s="713"/>
      <c r="Y133" s="713"/>
      <c r="Z133" s="726"/>
      <c r="AA133" s="726"/>
      <c r="AB133" s="726"/>
      <c r="AC133" s="727"/>
      <c r="AD133" s="284" t="str">
        <f t="shared" si="732"/>
        <v>__</v>
      </c>
      <c r="AJ133" s="225" t="e">
        <f t="shared" si="733"/>
        <v>#VALUE!</v>
      </c>
      <c r="AK133" s="225" t="e">
        <f t="shared" si="734"/>
        <v>#VALUE!</v>
      </c>
      <c r="AL133" s="225" t="e">
        <f t="shared" si="735"/>
        <v>#VALUE!</v>
      </c>
      <c r="AM133" s="225" t="e">
        <f t="shared" si="736"/>
        <v>#VALUE!</v>
      </c>
      <c r="AN133" s="225">
        <f t="shared" si="737"/>
        <v>26</v>
      </c>
      <c r="AO133" s="225" t="e">
        <f t="shared" si="738"/>
        <v>#VALUE!</v>
      </c>
      <c r="AP133" s="225" t="e">
        <f t="shared" si="739"/>
        <v>#VALUE!</v>
      </c>
      <c r="AQ133" s="225" t="str">
        <f t="shared" si="740"/>
        <v>error</v>
      </c>
      <c r="AR133" s="225" t="str">
        <f t="shared" si="741"/>
        <v>_</v>
      </c>
      <c r="AS133" s="225" t="str">
        <f t="shared" si="742"/>
        <v/>
      </c>
      <c r="AT133" s="225" t="str">
        <f t="shared" si="743"/>
        <v/>
      </c>
      <c r="AU133" s="225" t="str">
        <f t="shared" si="416"/>
        <v/>
      </c>
      <c r="AV133" s="225" t="e">
        <f t="shared" si="744"/>
        <v>#VALUE!</v>
      </c>
      <c r="AW133" s="225" t="b">
        <f t="shared" si="745"/>
        <v>1</v>
      </c>
      <c r="AX133" s="225" t="str">
        <f t="shared" si="746"/>
        <v/>
      </c>
      <c r="AY133" s="225" t="str">
        <f t="shared" si="747"/>
        <v/>
      </c>
      <c r="AZ133" s="664" t="str">
        <f t="shared" si="748"/>
        <v/>
      </c>
    </row>
    <row r="134" spans="1:52" s="225" customFormat="1" ht="21">
      <c r="A134" s="713"/>
      <c r="B134" s="716"/>
      <c r="C134" s="715"/>
      <c r="D134" s="713"/>
      <c r="E134" s="280" t="str">
        <f t="shared" si="731"/>
        <v>_</v>
      </c>
      <c r="F134" s="696" t="s">
        <v>939</v>
      </c>
      <c r="G134" s="719" t="s">
        <v>116</v>
      </c>
      <c r="H134" s="720"/>
      <c r="I134" s="807"/>
      <c r="J134" s="713"/>
      <c r="K134" s="713"/>
      <c r="L134" s="713"/>
      <c r="M134" s="713"/>
      <c r="N134" s="805"/>
      <c r="O134" s="713"/>
      <c r="P134" s="810"/>
      <c r="Q134" s="810"/>
      <c r="R134" s="713"/>
      <c r="S134" s="713"/>
      <c r="T134" s="808"/>
      <c r="U134" s="713"/>
      <c r="V134" s="713"/>
      <c r="W134" s="713"/>
      <c r="X134" s="713"/>
      <c r="Y134" s="713"/>
      <c r="Z134" s="726"/>
      <c r="AA134" s="726"/>
      <c r="AB134" s="726"/>
      <c r="AC134" s="727"/>
      <c r="AD134" s="284" t="str">
        <f t="shared" si="732"/>
        <v>__</v>
      </c>
      <c r="AJ134" s="225" t="e">
        <f t="shared" si="733"/>
        <v>#VALUE!</v>
      </c>
      <c r="AK134" s="225" t="e">
        <f t="shared" si="734"/>
        <v>#VALUE!</v>
      </c>
      <c r="AL134" s="225" t="e">
        <f t="shared" si="735"/>
        <v>#VALUE!</v>
      </c>
      <c r="AM134" s="225" t="e">
        <f t="shared" si="736"/>
        <v>#VALUE!</v>
      </c>
      <c r="AN134" s="225">
        <f t="shared" si="737"/>
        <v>26</v>
      </c>
      <c r="AO134" s="225" t="e">
        <f t="shared" si="738"/>
        <v>#VALUE!</v>
      </c>
      <c r="AP134" s="225" t="e">
        <f t="shared" si="739"/>
        <v>#VALUE!</v>
      </c>
      <c r="AQ134" s="225" t="str">
        <f t="shared" si="740"/>
        <v>error</v>
      </c>
      <c r="AR134" s="225" t="str">
        <f t="shared" si="741"/>
        <v>_</v>
      </c>
      <c r="AS134" s="225" t="str">
        <f t="shared" si="742"/>
        <v/>
      </c>
      <c r="AT134" s="225" t="str">
        <f t="shared" si="743"/>
        <v/>
      </c>
      <c r="AU134" s="225" t="str">
        <f t="shared" ref="AU134:AU135" si="749">IF(UPPER(TRIM(P134))="V",$P$2&amp;"_","")&amp;IF(UPPER(TRIM(Q134))="V",$Q$2&amp;"_","")&amp;IF(UPPER(TRIM(R134))="V",$R$2&amp;"_","")&amp;IF(UPPER(TRIM(S134))="V",$S$2&amp;"_","")&amp;IF(UPPER(TRIM(T134))="V",$T$2&amp;"_","")&amp;IF(UPPER(TRIM(U134))="V",$U$2&amp;"_","")&amp;IF(UPPER(TRIM(V134))="V",$V$2&amp;"_","")&amp;IF(UPPER(TRIM(W134))="V",$W$2&amp;"_","")</f>
        <v/>
      </c>
      <c r="AV134" s="225" t="e">
        <f t="shared" si="744"/>
        <v>#VALUE!</v>
      </c>
      <c r="AW134" s="225" t="b">
        <f t="shared" si="745"/>
        <v>1</v>
      </c>
      <c r="AX134" s="225" t="str">
        <f t="shared" si="746"/>
        <v/>
      </c>
      <c r="AY134" s="225" t="str">
        <f t="shared" si="747"/>
        <v/>
      </c>
      <c r="AZ134" s="664" t="str">
        <f t="shared" si="748"/>
        <v/>
      </c>
    </row>
    <row r="135" spans="1:52" s="225" customFormat="1" ht="21">
      <c r="A135" s="713"/>
      <c r="B135" s="716"/>
      <c r="C135" s="715"/>
      <c r="D135" s="713"/>
      <c r="E135" s="280" t="str">
        <f t="shared" si="731"/>
        <v>_</v>
      </c>
      <c r="F135" s="696" t="s">
        <v>939</v>
      </c>
      <c r="G135" s="719" t="s">
        <v>116</v>
      </c>
      <c r="H135" s="720"/>
      <c r="I135" s="807"/>
      <c r="J135" s="713"/>
      <c r="K135" s="713"/>
      <c r="L135" s="713"/>
      <c r="M135" s="713"/>
      <c r="N135" s="805"/>
      <c r="O135" s="713"/>
      <c r="P135" s="810"/>
      <c r="Q135" s="810"/>
      <c r="R135" s="713"/>
      <c r="S135" s="713"/>
      <c r="T135" s="808"/>
      <c r="U135" s="713"/>
      <c r="V135" s="713"/>
      <c r="W135" s="713"/>
      <c r="X135" s="713"/>
      <c r="Y135" s="713"/>
      <c r="Z135" s="726"/>
      <c r="AA135" s="726"/>
      <c r="AB135" s="726"/>
      <c r="AC135" s="727"/>
      <c r="AD135" s="284" t="str">
        <f t="shared" si="732"/>
        <v>__</v>
      </c>
      <c r="AJ135" s="225" t="e">
        <f t="shared" si="733"/>
        <v>#VALUE!</v>
      </c>
      <c r="AK135" s="225" t="e">
        <f t="shared" si="734"/>
        <v>#VALUE!</v>
      </c>
      <c r="AL135" s="225" t="e">
        <f t="shared" si="735"/>
        <v>#VALUE!</v>
      </c>
      <c r="AM135" s="225" t="e">
        <f t="shared" si="736"/>
        <v>#VALUE!</v>
      </c>
      <c r="AN135" s="225">
        <f t="shared" si="737"/>
        <v>26</v>
      </c>
      <c r="AO135" s="225" t="e">
        <f t="shared" si="738"/>
        <v>#VALUE!</v>
      </c>
      <c r="AP135" s="225" t="e">
        <f t="shared" si="739"/>
        <v>#VALUE!</v>
      </c>
      <c r="AQ135" s="225" t="str">
        <f t="shared" si="740"/>
        <v>error</v>
      </c>
      <c r="AR135" s="225" t="str">
        <f t="shared" si="741"/>
        <v>_</v>
      </c>
      <c r="AS135" s="225" t="str">
        <f t="shared" si="742"/>
        <v/>
      </c>
      <c r="AT135" s="225" t="str">
        <f t="shared" si="743"/>
        <v/>
      </c>
      <c r="AU135" s="225" t="str">
        <f t="shared" si="749"/>
        <v/>
      </c>
      <c r="AV135" s="225" t="e">
        <f t="shared" si="744"/>
        <v>#VALUE!</v>
      </c>
      <c r="AW135" s="225" t="b">
        <f t="shared" si="745"/>
        <v>1</v>
      </c>
      <c r="AX135" s="225" t="str">
        <f t="shared" si="746"/>
        <v/>
      </c>
      <c r="AY135" s="225" t="str">
        <f t="shared" si="747"/>
        <v/>
      </c>
      <c r="AZ135" s="664" t="str">
        <f t="shared" si="748"/>
        <v/>
      </c>
    </row>
    <row r="136" spans="1:52" s="225" customFormat="1" ht="21">
      <c r="A136" s="713"/>
      <c r="B136" s="716"/>
      <c r="C136" s="715"/>
      <c r="D136" s="713"/>
      <c r="E136" s="280" t="str">
        <f t="shared" si="694"/>
        <v>_</v>
      </c>
      <c r="F136" s="696" t="s">
        <v>939</v>
      </c>
      <c r="G136" s="719" t="s">
        <v>116</v>
      </c>
      <c r="H136" s="720"/>
      <c r="I136" s="807"/>
      <c r="J136" s="713"/>
      <c r="K136" s="713"/>
      <c r="L136" s="713"/>
      <c r="M136" s="713"/>
      <c r="N136" s="805"/>
      <c r="O136" s="713"/>
      <c r="P136" s="810"/>
      <c r="Q136" s="810"/>
      <c r="R136" s="713"/>
      <c r="S136" s="713"/>
      <c r="T136" s="808"/>
      <c r="U136" s="713"/>
      <c r="V136" s="713"/>
      <c r="W136" s="713"/>
      <c r="X136" s="713"/>
      <c r="Y136" s="713"/>
      <c r="Z136" s="726"/>
      <c r="AA136" s="726"/>
      <c r="AB136" s="726"/>
      <c r="AC136" s="727"/>
      <c r="AD136" s="284" t="str">
        <f t="shared" si="695"/>
        <v>__</v>
      </c>
      <c r="AJ136" s="225" t="e">
        <f t="shared" si="696"/>
        <v>#VALUE!</v>
      </c>
      <c r="AK136" s="225" t="e">
        <f t="shared" si="697"/>
        <v>#VALUE!</v>
      </c>
      <c r="AL136" s="225" t="e">
        <f t="shared" si="698"/>
        <v>#VALUE!</v>
      </c>
      <c r="AM136" s="225" t="e">
        <f t="shared" si="699"/>
        <v>#VALUE!</v>
      </c>
      <c r="AN136" s="225">
        <f t="shared" si="700"/>
        <v>26</v>
      </c>
      <c r="AO136" s="225" t="e">
        <f t="shared" si="701"/>
        <v>#VALUE!</v>
      </c>
      <c r="AP136" s="225" t="e">
        <f t="shared" si="702"/>
        <v>#VALUE!</v>
      </c>
      <c r="AQ136" s="225" t="str">
        <f t="shared" si="703"/>
        <v>error</v>
      </c>
      <c r="AR136" s="225" t="str">
        <f t="shared" si="704"/>
        <v>_</v>
      </c>
      <c r="AS136" s="225" t="str">
        <f t="shared" si="705"/>
        <v/>
      </c>
      <c r="AT136" s="225" t="str">
        <f t="shared" si="706"/>
        <v/>
      </c>
      <c r="AU136" s="225" t="str">
        <f t="shared" ref="AU136:AU137" si="750">IF(UPPER(TRIM(P136))="V",$P$2&amp;"_","")&amp;IF(UPPER(TRIM(Q136))="V",$Q$2&amp;"_","")&amp;IF(UPPER(TRIM(R136))="V",$R$2&amp;"_","")&amp;IF(UPPER(TRIM(S136))="V",$S$2&amp;"_","")&amp;IF(UPPER(TRIM(T136))="V",$T$2&amp;"_","")&amp;IF(UPPER(TRIM(U136))="V",$U$2&amp;"_","")&amp;IF(UPPER(TRIM(V136))="V",$V$2&amp;"_","")&amp;IF(UPPER(TRIM(W136))="V",$W$2&amp;"_","")</f>
        <v/>
      </c>
      <c r="AV136" s="225" t="e">
        <f t="shared" si="707"/>
        <v>#VALUE!</v>
      </c>
      <c r="AW136" s="225" t="b">
        <f t="shared" si="708"/>
        <v>1</v>
      </c>
      <c r="AX136" s="225" t="str">
        <f t="shared" si="709"/>
        <v/>
      </c>
      <c r="AY136" s="225" t="str">
        <f t="shared" si="710"/>
        <v/>
      </c>
      <c r="AZ136" s="664" t="str">
        <f t="shared" si="711"/>
        <v/>
      </c>
    </row>
    <row r="137" spans="1:52" s="225" customFormat="1" ht="21">
      <c r="A137" s="713"/>
      <c r="B137" s="716"/>
      <c r="C137" s="715"/>
      <c r="D137" s="713"/>
      <c r="E137" s="280" t="str">
        <f t="shared" si="694"/>
        <v>_</v>
      </c>
      <c r="F137" s="696" t="s">
        <v>939</v>
      </c>
      <c r="G137" s="719" t="s">
        <v>116</v>
      </c>
      <c r="H137" s="720"/>
      <c r="I137" s="807"/>
      <c r="J137" s="713"/>
      <c r="K137" s="713"/>
      <c r="L137" s="713"/>
      <c r="M137" s="713"/>
      <c r="N137" s="805"/>
      <c r="O137" s="713"/>
      <c r="P137" s="810"/>
      <c r="Q137" s="810"/>
      <c r="R137" s="713"/>
      <c r="S137" s="713"/>
      <c r="T137" s="808"/>
      <c r="U137" s="713"/>
      <c r="V137" s="713"/>
      <c r="W137" s="713"/>
      <c r="X137" s="713"/>
      <c r="Y137" s="713"/>
      <c r="Z137" s="726"/>
      <c r="AA137" s="726"/>
      <c r="AB137" s="726"/>
      <c r="AC137" s="727"/>
      <c r="AD137" s="284" t="str">
        <f t="shared" si="695"/>
        <v>__</v>
      </c>
      <c r="AJ137" s="225" t="e">
        <f t="shared" si="696"/>
        <v>#VALUE!</v>
      </c>
      <c r="AK137" s="225" t="e">
        <f t="shared" si="697"/>
        <v>#VALUE!</v>
      </c>
      <c r="AL137" s="225" t="e">
        <f t="shared" si="698"/>
        <v>#VALUE!</v>
      </c>
      <c r="AM137" s="225" t="e">
        <f t="shared" si="699"/>
        <v>#VALUE!</v>
      </c>
      <c r="AN137" s="225">
        <f t="shared" si="700"/>
        <v>26</v>
      </c>
      <c r="AO137" s="225" t="e">
        <f t="shared" si="701"/>
        <v>#VALUE!</v>
      </c>
      <c r="AP137" s="225" t="e">
        <f t="shared" si="702"/>
        <v>#VALUE!</v>
      </c>
      <c r="AQ137" s="225" t="str">
        <f t="shared" si="703"/>
        <v>error</v>
      </c>
      <c r="AR137" s="225" t="str">
        <f t="shared" si="704"/>
        <v>_</v>
      </c>
      <c r="AS137" s="225" t="str">
        <f t="shared" si="705"/>
        <v/>
      </c>
      <c r="AT137" s="225" t="str">
        <f t="shared" si="706"/>
        <v/>
      </c>
      <c r="AU137" s="225" t="str">
        <f t="shared" si="750"/>
        <v/>
      </c>
      <c r="AV137" s="225" t="e">
        <f t="shared" si="707"/>
        <v>#VALUE!</v>
      </c>
      <c r="AW137" s="225" t="b">
        <f t="shared" si="708"/>
        <v>1</v>
      </c>
      <c r="AX137" s="225" t="str">
        <f t="shared" si="709"/>
        <v/>
      </c>
      <c r="AY137" s="225" t="str">
        <f t="shared" si="710"/>
        <v/>
      </c>
      <c r="AZ137" s="664" t="str">
        <f t="shared" si="711"/>
        <v/>
      </c>
    </row>
    <row r="138" spans="1:52" s="225" customFormat="1" ht="21">
      <c r="A138" s="713"/>
      <c r="B138" s="716"/>
      <c r="C138" s="715"/>
      <c r="D138" s="713"/>
      <c r="E138" s="280" t="str">
        <f t="shared" si="583"/>
        <v>_</v>
      </c>
      <c r="F138" s="696" t="s">
        <v>939</v>
      </c>
      <c r="G138" s="719" t="s">
        <v>116</v>
      </c>
      <c r="H138" s="720"/>
      <c r="I138" s="807"/>
      <c r="J138" s="713"/>
      <c r="K138" s="713"/>
      <c r="L138" s="713"/>
      <c r="M138" s="713"/>
      <c r="N138" s="805"/>
      <c r="O138" s="713"/>
      <c r="P138" s="810"/>
      <c r="Q138" s="810"/>
      <c r="R138" s="713"/>
      <c r="S138" s="713"/>
      <c r="T138" s="808"/>
      <c r="U138" s="713"/>
      <c r="V138" s="713"/>
      <c r="W138" s="713"/>
      <c r="X138" s="713"/>
      <c r="Y138" s="713"/>
      <c r="Z138" s="726"/>
      <c r="AA138" s="726"/>
      <c r="AB138" s="726"/>
      <c r="AC138" s="727"/>
      <c r="AD138" s="284" t="str">
        <f t="shared" si="584"/>
        <v>__</v>
      </c>
      <c r="AJ138" s="225" t="e">
        <f t="shared" si="585"/>
        <v>#VALUE!</v>
      </c>
      <c r="AK138" s="225" t="e">
        <f t="shared" si="586"/>
        <v>#VALUE!</v>
      </c>
      <c r="AL138" s="225" t="e">
        <f t="shared" si="587"/>
        <v>#VALUE!</v>
      </c>
      <c r="AM138" s="225" t="e">
        <f t="shared" si="588"/>
        <v>#VALUE!</v>
      </c>
      <c r="AN138" s="225">
        <f t="shared" si="589"/>
        <v>26</v>
      </c>
      <c r="AO138" s="225" t="e">
        <f t="shared" si="590"/>
        <v>#VALUE!</v>
      </c>
      <c r="AP138" s="225" t="e">
        <f t="shared" si="591"/>
        <v>#VALUE!</v>
      </c>
      <c r="AQ138" s="225" t="str">
        <f t="shared" si="592"/>
        <v>error</v>
      </c>
      <c r="AR138" s="225" t="str">
        <f t="shared" si="593"/>
        <v>_</v>
      </c>
      <c r="AS138" s="225" t="str">
        <f t="shared" si="594"/>
        <v/>
      </c>
      <c r="AT138" s="225" t="str">
        <f t="shared" si="595"/>
        <v/>
      </c>
      <c r="AU138" s="225" t="str">
        <f t="shared" si="416"/>
        <v/>
      </c>
      <c r="AV138" s="225" t="e">
        <f t="shared" si="596"/>
        <v>#VALUE!</v>
      </c>
      <c r="AW138" s="225" t="b">
        <f t="shared" si="597"/>
        <v>1</v>
      </c>
      <c r="AX138" s="225" t="str">
        <f t="shared" si="598"/>
        <v/>
      </c>
      <c r="AY138" s="225" t="str">
        <f t="shared" si="599"/>
        <v/>
      </c>
      <c r="AZ138" s="664" t="str">
        <f t="shared" si="600"/>
        <v/>
      </c>
    </row>
    <row r="139" spans="1:52" s="225" customFormat="1" ht="21">
      <c r="A139" s="713"/>
      <c r="B139" s="716"/>
      <c r="C139" s="715"/>
      <c r="D139" s="713"/>
      <c r="E139" s="280" t="str">
        <f t="shared" si="565"/>
        <v>_</v>
      </c>
      <c r="F139" s="696" t="s">
        <v>939</v>
      </c>
      <c r="G139" s="719" t="s">
        <v>116</v>
      </c>
      <c r="H139" s="720"/>
      <c r="I139" s="807"/>
      <c r="J139" s="713"/>
      <c r="K139" s="713"/>
      <c r="L139" s="713"/>
      <c r="M139" s="713"/>
      <c r="N139" s="805"/>
      <c r="O139" s="713"/>
      <c r="P139" s="810"/>
      <c r="Q139" s="810"/>
      <c r="R139" s="713"/>
      <c r="S139" s="713"/>
      <c r="T139" s="808"/>
      <c r="U139" s="713"/>
      <c r="V139" s="713"/>
      <c r="W139" s="713"/>
      <c r="X139" s="713"/>
      <c r="Y139" s="713"/>
      <c r="Z139" s="726"/>
      <c r="AA139" s="726"/>
      <c r="AB139" s="726"/>
      <c r="AC139" s="727"/>
      <c r="AD139" s="284" t="str">
        <f t="shared" si="566"/>
        <v>__</v>
      </c>
      <c r="AJ139" s="225" t="e">
        <f t="shared" si="567"/>
        <v>#VALUE!</v>
      </c>
      <c r="AK139" s="225" t="e">
        <f t="shared" si="568"/>
        <v>#VALUE!</v>
      </c>
      <c r="AL139" s="225" t="e">
        <f t="shared" si="569"/>
        <v>#VALUE!</v>
      </c>
      <c r="AM139" s="225" t="e">
        <f t="shared" si="570"/>
        <v>#VALUE!</v>
      </c>
      <c r="AN139" s="225">
        <f t="shared" si="571"/>
        <v>26</v>
      </c>
      <c r="AO139" s="225" t="e">
        <f t="shared" si="572"/>
        <v>#VALUE!</v>
      </c>
      <c r="AP139" s="225" t="e">
        <f t="shared" si="573"/>
        <v>#VALUE!</v>
      </c>
      <c r="AQ139" s="225" t="str">
        <f t="shared" si="574"/>
        <v>error</v>
      </c>
      <c r="AR139" s="225" t="str">
        <f t="shared" si="575"/>
        <v>_</v>
      </c>
      <c r="AS139" s="225" t="str">
        <f t="shared" si="576"/>
        <v/>
      </c>
      <c r="AT139" s="225" t="str">
        <f t="shared" si="577"/>
        <v/>
      </c>
      <c r="AU139" s="225" t="str">
        <f t="shared" si="416"/>
        <v/>
      </c>
      <c r="AV139" s="225" t="e">
        <f t="shared" si="578"/>
        <v>#VALUE!</v>
      </c>
      <c r="AW139" s="225" t="b">
        <f t="shared" si="579"/>
        <v>1</v>
      </c>
      <c r="AX139" s="225" t="str">
        <f t="shared" si="580"/>
        <v/>
      </c>
      <c r="AY139" s="225" t="str">
        <f t="shared" si="581"/>
        <v/>
      </c>
      <c r="AZ139" s="664" t="str">
        <f t="shared" si="582"/>
        <v/>
      </c>
    </row>
    <row r="140" spans="1:52" s="225" customFormat="1" ht="21">
      <c r="A140" s="713"/>
      <c r="B140" s="716"/>
      <c r="C140" s="715"/>
      <c r="D140" s="713"/>
      <c r="E140" s="280" t="str">
        <f t="shared" si="2"/>
        <v>_</v>
      </c>
      <c r="F140" s="696" t="s">
        <v>950</v>
      </c>
      <c r="G140" s="719" t="s">
        <v>685</v>
      </c>
      <c r="H140" s="720"/>
      <c r="I140" s="807"/>
      <c r="J140" s="713"/>
      <c r="K140" s="713"/>
      <c r="L140" s="713"/>
      <c r="M140" s="713"/>
      <c r="N140" s="805"/>
      <c r="O140" s="713"/>
      <c r="P140" s="810"/>
      <c r="Q140" s="810"/>
      <c r="R140" s="713"/>
      <c r="S140" s="713"/>
      <c r="T140" s="808"/>
      <c r="U140" s="713"/>
      <c r="V140" s="713"/>
      <c r="W140" s="713"/>
      <c r="X140" s="713"/>
      <c r="Y140" s="713"/>
      <c r="Z140" s="726"/>
      <c r="AA140" s="726"/>
      <c r="AB140" s="726"/>
      <c r="AC140" s="727"/>
      <c r="AD140" s="284" t="str">
        <f t="shared" si="3"/>
        <v>__</v>
      </c>
      <c r="AJ140" s="225" t="e">
        <f t="shared" si="19"/>
        <v>#VALUE!</v>
      </c>
      <c r="AK140" s="225" t="e">
        <f t="shared" si="20"/>
        <v>#VALUE!</v>
      </c>
      <c r="AL140" s="225" t="e">
        <f t="shared" si="0"/>
        <v>#VALUE!</v>
      </c>
      <c r="AM140" s="225" t="e">
        <f t="shared" si="1"/>
        <v>#VALUE!</v>
      </c>
      <c r="AN140" s="225">
        <f t="shared" si="21"/>
        <v>26</v>
      </c>
      <c r="AO140" s="225" t="e">
        <f t="shared" si="22"/>
        <v>#VALUE!</v>
      </c>
      <c r="AP140" s="225" t="e">
        <f t="shared" si="23"/>
        <v>#VALUE!</v>
      </c>
      <c r="AQ140" s="225" t="str">
        <f t="shared" si="24"/>
        <v>error</v>
      </c>
      <c r="AR140" s="225" t="str">
        <f t="shared" si="10"/>
        <v>_</v>
      </c>
      <c r="AS140" s="225" t="str">
        <f t="shared" si="11"/>
        <v/>
      </c>
      <c r="AT140" s="225" t="str">
        <f t="shared" si="12"/>
        <v/>
      </c>
      <c r="AU140" s="225" t="str">
        <f t="shared" si="416"/>
        <v/>
      </c>
      <c r="AV140" s="225" t="e">
        <f t="shared" si="17"/>
        <v>#VALUE!</v>
      </c>
      <c r="AW140" s="225" t="b">
        <f t="shared" si="18"/>
        <v>1</v>
      </c>
      <c r="AX140" s="225" t="str">
        <f t="shared" si="14"/>
        <v/>
      </c>
      <c r="AY140" s="225" t="str">
        <f t="shared" si="15"/>
        <v/>
      </c>
      <c r="AZ140" s="664" t="str">
        <f t="shared" si="16"/>
        <v/>
      </c>
    </row>
    <row r="141" spans="1:52">
      <c r="AJ141" s="225" t="e">
        <f t="shared" si="19"/>
        <v>#VALUE!</v>
      </c>
      <c r="AK141" s="225" t="e">
        <f t="shared" si="20"/>
        <v>#VALUE!</v>
      </c>
      <c r="AL141" s="225" t="e">
        <f t="shared" si="0"/>
        <v>#VALUE!</v>
      </c>
      <c r="AM141" s="225" t="e">
        <f t="shared" si="1"/>
        <v>#VALUE!</v>
      </c>
      <c r="AN141" s="225" t="e">
        <f t="shared" si="21"/>
        <v>#VALUE!</v>
      </c>
      <c r="AO141" s="225" t="e">
        <f t="shared" si="22"/>
        <v>#VALUE!</v>
      </c>
      <c r="AP141" s="225" t="e">
        <f t="shared" si="23"/>
        <v>#VALUE!</v>
      </c>
      <c r="AQ141" s="225" t="str">
        <f t="shared" si="24"/>
        <v>error</v>
      </c>
      <c r="AR141" s="225" t="str">
        <f t="shared" si="10"/>
        <v>_</v>
      </c>
      <c r="AS141" s="225" t="str">
        <f t="shared" si="11"/>
        <v/>
      </c>
      <c r="AT141" s="225" t="str">
        <f t="shared" si="12"/>
        <v/>
      </c>
      <c r="AU141" s="225" t="str">
        <f t="shared" si="416"/>
        <v/>
      </c>
      <c r="AV141" s="225" t="e">
        <f t="shared" si="17"/>
        <v>#VALUE!</v>
      </c>
      <c r="AW141" s="225" t="b">
        <f t="shared" si="18"/>
        <v>1</v>
      </c>
      <c r="AX141" s="225" t="str">
        <f t="shared" si="14"/>
        <v/>
      </c>
      <c r="AY141" s="225" t="str">
        <f t="shared" si="15"/>
        <v/>
      </c>
      <c r="AZ141" s="664" t="str">
        <f t="shared" si="16"/>
        <v/>
      </c>
    </row>
    <row r="142" spans="1:52">
      <c r="AJ142" s="225"/>
      <c r="AK142" s="225"/>
      <c r="AL142" s="225"/>
      <c r="AM142" s="225"/>
      <c r="AN142" s="225"/>
      <c r="AO142" s="225"/>
      <c r="AP142" s="225"/>
      <c r="AQ142" s="225"/>
      <c r="AR142" s="225"/>
    </row>
    <row r="143" spans="1:52">
      <c r="AJ143" s="225"/>
      <c r="AK143" s="225"/>
      <c r="AL143" s="225"/>
      <c r="AM143" s="225"/>
      <c r="AN143" s="225"/>
      <c r="AO143" s="225"/>
      <c r="AP143" s="225"/>
      <c r="AQ143" s="225"/>
      <c r="AR143" s="225"/>
    </row>
    <row r="144" spans="1:52">
      <c r="AJ144" s="225"/>
      <c r="AK144" s="225"/>
      <c r="AL144" s="225"/>
      <c r="AM144" s="225"/>
      <c r="AN144" s="225"/>
      <c r="AO144" s="225"/>
      <c r="AP144" s="225"/>
      <c r="AQ144" s="225"/>
      <c r="AR144" s="225"/>
    </row>
    <row r="145" spans="36:44">
      <c r="AJ145" s="225"/>
      <c r="AK145" s="225"/>
      <c r="AL145" s="225"/>
      <c r="AM145" s="225"/>
      <c r="AN145" s="225"/>
      <c r="AO145" s="225"/>
      <c r="AP145" s="225"/>
      <c r="AQ145" s="225"/>
      <c r="AR145" s="225"/>
    </row>
    <row r="146" spans="36:44">
      <c r="AJ146" s="225"/>
      <c r="AK146" s="225"/>
      <c r="AL146" s="225"/>
      <c r="AM146" s="225"/>
      <c r="AN146" s="225"/>
      <c r="AO146" s="225"/>
      <c r="AP146" s="225"/>
      <c r="AQ146" s="225"/>
      <c r="AR146" s="225"/>
    </row>
    <row r="147" spans="36:44">
      <c r="AJ147" s="225"/>
      <c r="AK147" s="225"/>
      <c r="AL147" s="225"/>
      <c r="AM147" s="225"/>
      <c r="AN147" s="225"/>
      <c r="AO147" s="225"/>
      <c r="AP147" s="225"/>
      <c r="AQ147" s="225"/>
      <c r="AR147" s="225"/>
    </row>
    <row r="148" spans="36:44">
      <c r="AJ148" s="225"/>
      <c r="AK148" s="225"/>
      <c r="AL148" s="225"/>
      <c r="AM148" s="225"/>
      <c r="AN148" s="225"/>
      <c r="AO148" s="225"/>
      <c r="AP148" s="225"/>
      <c r="AQ148" s="225"/>
      <c r="AR148" s="225"/>
    </row>
    <row r="149" spans="36:44">
      <c r="AJ149" s="225"/>
      <c r="AK149" s="225"/>
      <c r="AL149" s="225"/>
      <c r="AM149" s="225"/>
      <c r="AN149" s="225"/>
      <c r="AO149" s="225"/>
      <c r="AP149" s="225"/>
      <c r="AQ149" s="225"/>
      <c r="AR149" s="225"/>
    </row>
    <row r="150" spans="36:44">
      <c r="AJ150" s="225"/>
      <c r="AK150" s="225"/>
      <c r="AL150" s="225"/>
      <c r="AM150" s="225"/>
      <c r="AN150" s="225"/>
      <c r="AO150" s="225"/>
      <c r="AP150" s="225"/>
      <c r="AQ150" s="225"/>
      <c r="AR150" s="225"/>
    </row>
    <row r="151" spans="36:44">
      <c r="AJ151" s="225"/>
      <c r="AK151" s="225"/>
      <c r="AL151" s="225"/>
      <c r="AM151" s="225"/>
      <c r="AN151" s="225"/>
      <c r="AO151" s="225"/>
      <c r="AP151" s="225"/>
      <c r="AQ151" s="225"/>
      <c r="AR151" s="225"/>
    </row>
    <row r="152" spans="36:44">
      <c r="AJ152" s="225"/>
      <c r="AK152" s="225"/>
      <c r="AL152" s="225"/>
      <c r="AM152" s="225"/>
      <c r="AN152" s="225"/>
      <c r="AO152" s="225"/>
      <c r="AP152" s="225"/>
      <c r="AQ152" s="225"/>
      <c r="AR152" s="225"/>
    </row>
    <row r="153" spans="36:44">
      <c r="AJ153" s="225"/>
      <c r="AK153" s="225"/>
      <c r="AL153" s="225"/>
      <c r="AM153" s="225"/>
      <c r="AN153" s="225"/>
      <c r="AO153" s="225"/>
      <c r="AP153" s="225"/>
      <c r="AQ153" s="225"/>
      <c r="AR153" s="225"/>
    </row>
    <row r="154" spans="36:44">
      <c r="AJ154" s="225"/>
      <c r="AK154" s="225"/>
      <c r="AL154" s="225"/>
      <c r="AM154" s="225"/>
      <c r="AN154" s="225"/>
      <c r="AO154" s="225"/>
      <c r="AP154" s="225"/>
      <c r="AQ154" s="225"/>
      <c r="AR154" s="225"/>
    </row>
    <row r="155" spans="36:44">
      <c r="AJ155" s="225"/>
      <c r="AK155" s="225"/>
      <c r="AL155" s="225"/>
      <c r="AM155" s="225"/>
      <c r="AN155" s="225"/>
      <c r="AO155" s="225"/>
      <c r="AP155" s="225"/>
      <c r="AQ155" s="225"/>
      <c r="AR155" s="225"/>
    </row>
    <row r="156" spans="36:44">
      <c r="AJ156" s="225"/>
      <c r="AK156" s="225"/>
      <c r="AL156" s="225"/>
      <c r="AM156" s="225"/>
      <c r="AN156" s="225"/>
      <c r="AO156" s="225"/>
      <c r="AP156" s="225"/>
      <c r="AQ156" s="225"/>
      <c r="AR156" s="225"/>
    </row>
    <row r="157" spans="36:44">
      <c r="AJ157" s="225"/>
      <c r="AK157" s="225"/>
      <c r="AL157" s="225"/>
      <c r="AM157" s="225"/>
      <c r="AN157" s="225"/>
      <c r="AO157" s="225"/>
      <c r="AP157" s="225"/>
      <c r="AQ157" s="225"/>
      <c r="AR157" s="225"/>
    </row>
    <row r="158" spans="36:44">
      <c r="AJ158" s="225"/>
      <c r="AK158" s="225"/>
      <c r="AL158" s="225"/>
      <c r="AM158" s="225"/>
      <c r="AN158" s="225"/>
      <c r="AO158" s="225"/>
      <c r="AP158" s="225"/>
      <c r="AQ158" s="225"/>
      <c r="AR158" s="225"/>
    </row>
    <row r="159" spans="36:44">
      <c r="AJ159" s="225"/>
      <c r="AK159" s="225"/>
      <c r="AL159" s="225"/>
      <c r="AM159" s="225"/>
      <c r="AN159" s="225"/>
      <c r="AO159" s="225"/>
      <c r="AP159" s="225"/>
      <c r="AQ159" s="225"/>
      <c r="AR159" s="225"/>
    </row>
    <row r="160" spans="36:44">
      <c r="AJ160" s="225"/>
      <c r="AK160" s="225"/>
      <c r="AL160" s="225"/>
      <c r="AM160" s="225"/>
      <c r="AN160" s="225"/>
      <c r="AO160" s="225"/>
      <c r="AP160" s="225"/>
      <c r="AQ160" s="225"/>
      <c r="AR160" s="225"/>
    </row>
    <row r="161" spans="36:44">
      <c r="AJ161" s="225"/>
      <c r="AK161" s="225"/>
      <c r="AL161" s="225"/>
      <c r="AM161" s="225"/>
      <c r="AN161" s="225"/>
      <c r="AO161" s="225"/>
      <c r="AP161" s="225"/>
      <c r="AQ161" s="225"/>
      <c r="AR161" s="225"/>
    </row>
    <row r="162" spans="36:44">
      <c r="AJ162" s="225"/>
      <c r="AK162" s="225"/>
      <c r="AL162" s="225"/>
      <c r="AM162" s="225"/>
      <c r="AN162" s="225"/>
      <c r="AO162" s="225"/>
      <c r="AP162" s="225"/>
      <c r="AQ162" s="225"/>
      <c r="AR162" s="225"/>
    </row>
    <row r="163" spans="36:44">
      <c r="AJ163" s="225"/>
      <c r="AK163" s="225"/>
      <c r="AL163" s="225"/>
      <c r="AM163" s="225"/>
      <c r="AN163" s="225"/>
      <c r="AO163" s="225"/>
      <c r="AP163" s="225"/>
      <c r="AQ163" s="225"/>
      <c r="AR163" s="225"/>
    </row>
    <row r="164" spans="36:44">
      <c r="AJ164" s="225"/>
      <c r="AK164" s="225"/>
      <c r="AL164" s="225"/>
      <c r="AM164" s="225"/>
      <c r="AN164" s="225"/>
      <c r="AO164" s="225"/>
      <c r="AP164" s="225"/>
      <c r="AQ164" s="225"/>
      <c r="AR164" s="225"/>
    </row>
    <row r="165" spans="36:44">
      <c r="AJ165" s="225"/>
      <c r="AK165" s="225"/>
      <c r="AL165" s="225"/>
      <c r="AM165" s="225"/>
      <c r="AN165" s="225"/>
      <c r="AO165" s="225"/>
      <c r="AP165" s="225"/>
      <c r="AQ165" s="225"/>
      <c r="AR165" s="225"/>
    </row>
    <row r="166" spans="36:44">
      <c r="AJ166" s="225"/>
      <c r="AK166" s="225"/>
      <c r="AL166" s="225"/>
      <c r="AM166" s="225"/>
      <c r="AN166" s="225"/>
      <c r="AO166" s="225"/>
      <c r="AP166" s="225"/>
      <c r="AQ166" s="225"/>
      <c r="AR166" s="225"/>
    </row>
    <row r="167" spans="36:44">
      <c r="AJ167" s="225"/>
      <c r="AK167" s="225"/>
      <c r="AL167" s="225"/>
      <c r="AM167" s="225"/>
      <c r="AN167" s="225"/>
      <c r="AO167" s="225"/>
      <c r="AP167" s="225"/>
      <c r="AQ167" s="225"/>
      <c r="AR167" s="225"/>
    </row>
    <row r="168" spans="36:44">
      <c r="AJ168" s="225"/>
      <c r="AK168" s="225"/>
      <c r="AL168" s="225"/>
      <c r="AM168" s="225"/>
      <c r="AN168" s="225"/>
      <c r="AO168" s="225"/>
      <c r="AP168" s="225"/>
      <c r="AQ168" s="225"/>
      <c r="AR168" s="225"/>
    </row>
    <row r="169" spans="36:44">
      <c r="AJ169" s="225"/>
      <c r="AK169" s="225"/>
      <c r="AL169" s="225"/>
      <c r="AM169" s="225"/>
      <c r="AN169" s="225"/>
      <c r="AO169" s="225"/>
      <c r="AP169" s="225"/>
      <c r="AQ169" s="225"/>
      <c r="AR169" s="225"/>
    </row>
    <row r="170" spans="36:44">
      <c r="AJ170" s="225"/>
      <c r="AK170" s="225"/>
      <c r="AL170" s="225"/>
      <c r="AM170" s="225"/>
      <c r="AN170" s="225"/>
      <c r="AO170" s="225"/>
      <c r="AP170" s="225"/>
      <c r="AQ170" s="225"/>
      <c r="AR170" s="225"/>
    </row>
    <row r="171" spans="36:44">
      <c r="AJ171" s="225"/>
      <c r="AK171" s="225"/>
      <c r="AL171" s="225"/>
      <c r="AM171" s="225"/>
      <c r="AN171" s="225"/>
      <c r="AO171" s="225"/>
      <c r="AP171" s="225"/>
      <c r="AQ171" s="225"/>
      <c r="AR171" s="225"/>
    </row>
    <row r="172" spans="36:44">
      <c r="AJ172" s="225"/>
      <c r="AK172" s="225"/>
      <c r="AL172" s="225"/>
      <c r="AM172" s="225"/>
      <c r="AN172" s="225"/>
      <c r="AO172" s="225"/>
      <c r="AP172" s="225"/>
      <c r="AQ172" s="225"/>
      <c r="AR172" s="225"/>
    </row>
    <row r="173" spans="36:44">
      <c r="AJ173" s="225"/>
      <c r="AK173" s="225"/>
      <c r="AL173" s="225"/>
      <c r="AM173" s="225"/>
      <c r="AN173" s="225"/>
      <c r="AO173" s="225"/>
      <c r="AP173" s="225"/>
      <c r="AQ173" s="225"/>
      <c r="AR173" s="225"/>
    </row>
    <row r="174" spans="36:44">
      <c r="AJ174" s="225"/>
      <c r="AK174" s="225"/>
      <c r="AL174" s="225"/>
      <c r="AM174" s="225"/>
      <c r="AN174" s="225"/>
      <c r="AO174" s="225"/>
      <c r="AP174" s="225"/>
      <c r="AQ174" s="225"/>
      <c r="AR174" s="225"/>
    </row>
    <row r="175" spans="36:44">
      <c r="AJ175" s="225"/>
      <c r="AK175" s="225"/>
      <c r="AL175" s="225"/>
      <c r="AM175" s="225"/>
      <c r="AN175" s="225"/>
      <c r="AO175" s="225"/>
      <c r="AP175" s="225"/>
      <c r="AQ175" s="225"/>
      <c r="AR175" s="225"/>
    </row>
    <row r="176" spans="36:44">
      <c r="AJ176" s="225"/>
      <c r="AK176" s="225"/>
      <c r="AL176" s="225"/>
      <c r="AM176" s="225"/>
      <c r="AN176" s="225"/>
      <c r="AO176" s="225"/>
      <c r="AP176" s="225"/>
      <c r="AQ176" s="225"/>
      <c r="AR176" s="225"/>
    </row>
    <row r="177" spans="36:44">
      <c r="AJ177" s="225"/>
      <c r="AK177" s="225"/>
      <c r="AL177" s="225"/>
      <c r="AM177" s="225"/>
      <c r="AN177" s="225"/>
      <c r="AO177" s="225"/>
      <c r="AP177" s="225"/>
      <c r="AQ177" s="225"/>
      <c r="AR177" s="225"/>
    </row>
    <row r="178" spans="36:44">
      <c r="AJ178" s="225"/>
      <c r="AK178" s="225"/>
      <c r="AL178" s="225"/>
      <c r="AM178" s="225"/>
      <c r="AN178" s="225"/>
      <c r="AO178" s="225"/>
      <c r="AP178" s="225"/>
      <c r="AQ178" s="225"/>
      <c r="AR178" s="225"/>
    </row>
    <row r="179" spans="36:44">
      <c r="AJ179" s="225"/>
      <c r="AK179" s="225"/>
      <c r="AL179" s="225"/>
      <c r="AM179" s="225"/>
      <c r="AN179" s="225"/>
      <c r="AO179" s="225"/>
      <c r="AP179" s="225"/>
      <c r="AQ179" s="225"/>
      <c r="AR179" s="225"/>
    </row>
    <row r="180" spans="36:44">
      <c r="AJ180" s="225"/>
      <c r="AK180" s="225"/>
      <c r="AL180" s="225"/>
      <c r="AM180" s="225"/>
      <c r="AN180" s="225"/>
      <c r="AO180" s="225"/>
      <c r="AP180" s="225"/>
      <c r="AQ180" s="225"/>
      <c r="AR180" s="225"/>
    </row>
    <row r="181" spans="36:44">
      <c r="AJ181" s="225"/>
      <c r="AK181" s="225"/>
      <c r="AL181" s="225"/>
      <c r="AM181" s="225"/>
      <c r="AN181" s="225"/>
      <c r="AO181" s="225"/>
      <c r="AP181" s="225"/>
      <c r="AQ181" s="225"/>
      <c r="AR181" s="225"/>
    </row>
    <row r="182" spans="36:44">
      <c r="AJ182" s="225"/>
      <c r="AK182" s="225"/>
      <c r="AL182" s="225"/>
      <c r="AM182" s="225"/>
      <c r="AN182" s="225"/>
      <c r="AO182" s="225"/>
      <c r="AP182" s="225"/>
      <c r="AQ182" s="225"/>
      <c r="AR182" s="225"/>
    </row>
    <row r="183" spans="36:44">
      <c r="AJ183" s="225"/>
      <c r="AK183" s="225"/>
      <c r="AL183" s="225"/>
      <c r="AM183" s="225"/>
      <c r="AN183" s="225"/>
      <c r="AO183" s="225"/>
      <c r="AP183" s="225"/>
      <c r="AQ183" s="225"/>
      <c r="AR183" s="225"/>
    </row>
    <row r="184" spans="36:44">
      <c r="AJ184" s="225"/>
      <c r="AK184" s="225"/>
      <c r="AL184" s="225"/>
      <c r="AM184" s="225"/>
      <c r="AN184" s="225"/>
      <c r="AO184" s="225"/>
      <c r="AP184" s="225"/>
      <c r="AQ184" s="225"/>
      <c r="AR184" s="225"/>
    </row>
    <row r="185" spans="36:44">
      <c r="AJ185" s="225"/>
      <c r="AK185" s="225"/>
      <c r="AL185" s="225"/>
      <c r="AM185" s="225"/>
      <c r="AN185" s="225"/>
      <c r="AO185" s="225"/>
      <c r="AP185" s="225"/>
      <c r="AQ185" s="225"/>
      <c r="AR185" s="225"/>
    </row>
    <row r="186" spans="36:44">
      <c r="AJ186" s="225"/>
      <c r="AK186" s="225"/>
      <c r="AL186" s="225"/>
      <c r="AM186" s="225"/>
      <c r="AN186" s="225"/>
      <c r="AO186" s="225"/>
      <c r="AP186" s="225"/>
      <c r="AQ186" s="225"/>
      <c r="AR186" s="225"/>
    </row>
    <row r="187" spans="36:44">
      <c r="AJ187" s="225"/>
      <c r="AK187" s="225"/>
      <c r="AL187" s="225"/>
      <c r="AM187" s="225"/>
      <c r="AN187" s="225"/>
      <c r="AO187" s="225"/>
      <c r="AP187" s="225"/>
      <c r="AQ187" s="225"/>
      <c r="AR187" s="225"/>
    </row>
    <row r="188" spans="36:44">
      <c r="AJ188" s="225"/>
      <c r="AK188" s="225"/>
      <c r="AL188" s="225"/>
      <c r="AM188" s="225"/>
      <c r="AN188" s="225"/>
      <c r="AO188" s="225"/>
      <c r="AP188" s="225"/>
      <c r="AQ188" s="225"/>
      <c r="AR188" s="225"/>
    </row>
    <row r="189" spans="36:44">
      <c r="AJ189" s="225"/>
      <c r="AK189" s="225"/>
      <c r="AL189" s="225"/>
      <c r="AM189" s="225"/>
      <c r="AN189" s="225"/>
      <c r="AO189" s="225"/>
      <c r="AP189" s="225"/>
      <c r="AQ189" s="225"/>
      <c r="AR189" s="225"/>
    </row>
    <row r="190" spans="36:44">
      <c r="AJ190" s="225"/>
      <c r="AK190" s="225"/>
      <c r="AL190" s="225"/>
      <c r="AM190" s="225"/>
      <c r="AN190" s="225"/>
      <c r="AO190" s="225"/>
      <c r="AP190" s="225"/>
      <c r="AQ190" s="225"/>
      <c r="AR190" s="225"/>
    </row>
    <row r="191" spans="36:44">
      <c r="AJ191" s="225"/>
      <c r="AK191" s="225"/>
      <c r="AL191" s="225"/>
      <c r="AM191" s="225"/>
      <c r="AN191" s="225"/>
      <c r="AO191" s="225"/>
      <c r="AP191" s="225"/>
      <c r="AQ191" s="225"/>
      <c r="AR191" s="225"/>
    </row>
    <row r="192" spans="36:44">
      <c r="AJ192" s="225"/>
      <c r="AK192" s="225"/>
      <c r="AL192" s="225"/>
      <c r="AM192" s="225"/>
      <c r="AN192" s="225"/>
      <c r="AO192" s="225"/>
      <c r="AP192" s="225"/>
      <c r="AQ192" s="225"/>
      <c r="AR192" s="225"/>
    </row>
    <row r="193" spans="36:44">
      <c r="AJ193" s="225"/>
      <c r="AK193" s="225"/>
      <c r="AL193" s="225"/>
      <c r="AM193" s="225"/>
      <c r="AN193" s="225"/>
      <c r="AO193" s="225"/>
      <c r="AP193" s="225"/>
      <c r="AQ193" s="225"/>
      <c r="AR193" s="225"/>
    </row>
    <row r="194" spans="36:44">
      <c r="AJ194" s="225"/>
      <c r="AK194" s="225"/>
      <c r="AL194" s="225"/>
      <c r="AM194" s="225"/>
      <c r="AN194" s="225"/>
      <c r="AO194" s="225"/>
      <c r="AP194" s="225"/>
      <c r="AQ194" s="225"/>
      <c r="AR194" s="225"/>
    </row>
    <row r="195" spans="36:44">
      <c r="AJ195" s="225"/>
      <c r="AK195" s="225"/>
      <c r="AL195" s="225"/>
      <c r="AM195" s="225"/>
      <c r="AN195" s="225"/>
      <c r="AO195" s="225"/>
      <c r="AP195" s="225"/>
      <c r="AQ195" s="225"/>
      <c r="AR195" s="225"/>
    </row>
    <row r="196" spans="36:44">
      <c r="AJ196" s="225"/>
      <c r="AK196" s="225"/>
      <c r="AL196" s="225"/>
      <c r="AM196" s="225"/>
      <c r="AN196" s="225"/>
      <c r="AO196" s="225"/>
      <c r="AP196" s="225"/>
      <c r="AQ196" s="225"/>
      <c r="AR196" s="225"/>
    </row>
    <row r="197" spans="36:44">
      <c r="AJ197" s="225"/>
      <c r="AK197" s="225"/>
      <c r="AL197" s="225"/>
      <c r="AM197" s="225"/>
      <c r="AN197" s="225"/>
      <c r="AO197" s="225"/>
      <c r="AP197" s="225"/>
      <c r="AQ197" s="225"/>
      <c r="AR197" s="225"/>
    </row>
    <row r="198" spans="36:44">
      <c r="AJ198" s="225"/>
      <c r="AK198" s="225"/>
      <c r="AL198" s="225"/>
      <c r="AM198" s="225"/>
      <c r="AN198" s="225"/>
      <c r="AO198" s="225"/>
      <c r="AP198" s="225"/>
      <c r="AQ198" s="225"/>
      <c r="AR198" s="225"/>
    </row>
    <row r="199" spans="36:44">
      <c r="AJ199" s="225"/>
      <c r="AK199" s="225"/>
      <c r="AL199" s="225"/>
      <c r="AM199" s="225"/>
      <c r="AN199" s="225"/>
      <c r="AO199" s="225"/>
      <c r="AP199" s="225"/>
      <c r="AQ199" s="225"/>
      <c r="AR199" s="225"/>
    </row>
    <row r="200" spans="36:44">
      <c r="AJ200" s="225"/>
      <c r="AK200" s="225"/>
      <c r="AL200" s="225"/>
      <c r="AM200" s="225"/>
      <c r="AN200" s="225"/>
      <c r="AO200" s="225"/>
      <c r="AP200" s="225"/>
      <c r="AQ200" s="225"/>
      <c r="AR200" s="225"/>
    </row>
    <row r="201" spans="36:44">
      <c r="AJ201" s="225"/>
      <c r="AK201" s="225"/>
      <c r="AL201" s="225"/>
      <c r="AM201" s="225"/>
      <c r="AN201" s="225"/>
      <c r="AO201" s="225"/>
      <c r="AP201" s="225"/>
      <c r="AQ201" s="225"/>
      <c r="AR201" s="225"/>
    </row>
    <row r="202" spans="36:44">
      <c r="AJ202" s="225"/>
      <c r="AK202" s="225"/>
      <c r="AL202" s="225"/>
      <c r="AM202" s="225"/>
      <c r="AN202" s="225"/>
      <c r="AO202" s="225"/>
      <c r="AP202" s="225"/>
      <c r="AQ202" s="225"/>
      <c r="AR202" s="225"/>
    </row>
    <row r="203" spans="36:44">
      <c r="AJ203" s="225"/>
      <c r="AK203" s="225"/>
      <c r="AL203" s="225"/>
      <c r="AM203" s="225"/>
      <c r="AN203" s="225"/>
      <c r="AO203" s="225"/>
      <c r="AP203" s="225"/>
      <c r="AQ203" s="225"/>
      <c r="AR203" s="225"/>
    </row>
    <row r="204" spans="36:44">
      <c r="AJ204" s="225"/>
      <c r="AK204" s="225"/>
      <c r="AL204" s="225"/>
      <c r="AM204" s="225"/>
      <c r="AN204" s="225"/>
      <c r="AO204" s="225"/>
      <c r="AP204" s="225"/>
      <c r="AQ204" s="225"/>
      <c r="AR204" s="225"/>
    </row>
    <row r="205" spans="36:44">
      <c r="AJ205" s="225"/>
      <c r="AK205" s="225"/>
      <c r="AL205" s="225"/>
      <c r="AM205" s="225"/>
      <c r="AN205" s="225"/>
      <c r="AO205" s="225"/>
      <c r="AP205" s="225"/>
      <c r="AQ205" s="225"/>
      <c r="AR205" s="225"/>
    </row>
    <row r="206" spans="36:44">
      <c r="AJ206" s="225"/>
      <c r="AK206" s="225"/>
      <c r="AL206" s="225"/>
      <c r="AM206" s="225"/>
      <c r="AN206" s="225"/>
      <c r="AO206" s="225"/>
      <c r="AP206" s="225"/>
      <c r="AQ206" s="225"/>
      <c r="AR206" s="225"/>
    </row>
    <row r="207" spans="36:44">
      <c r="AJ207" s="225"/>
      <c r="AK207" s="225"/>
      <c r="AL207" s="225"/>
      <c r="AM207" s="225"/>
      <c r="AN207" s="225"/>
      <c r="AO207" s="225"/>
      <c r="AP207" s="225"/>
      <c r="AQ207" s="225"/>
      <c r="AR207" s="225"/>
    </row>
    <row r="208" spans="36:44">
      <c r="AJ208" s="225"/>
      <c r="AK208" s="225"/>
      <c r="AL208" s="225"/>
      <c r="AM208" s="225"/>
      <c r="AN208" s="225"/>
      <c r="AO208" s="225"/>
      <c r="AP208" s="225"/>
      <c r="AQ208" s="225"/>
      <c r="AR208" s="225"/>
    </row>
    <row r="209" spans="36:44">
      <c r="AJ209" s="225"/>
      <c r="AK209" s="225"/>
      <c r="AL209" s="225"/>
      <c r="AM209" s="225"/>
      <c r="AN209" s="225"/>
      <c r="AO209" s="225"/>
      <c r="AP209" s="225"/>
      <c r="AQ209" s="225"/>
      <c r="AR209" s="225"/>
    </row>
    <row r="210" spans="36:44">
      <c r="AJ210" s="225"/>
      <c r="AK210" s="225"/>
      <c r="AL210" s="225"/>
      <c r="AM210" s="225"/>
      <c r="AN210" s="225"/>
      <c r="AO210" s="225"/>
      <c r="AP210" s="225"/>
      <c r="AQ210" s="225"/>
      <c r="AR210" s="225"/>
    </row>
    <row r="211" spans="36:44">
      <c r="AJ211" s="225"/>
      <c r="AK211" s="225"/>
      <c r="AL211" s="225"/>
      <c r="AM211" s="225"/>
      <c r="AN211" s="225"/>
      <c r="AO211" s="225"/>
      <c r="AP211" s="225"/>
      <c r="AQ211" s="225"/>
      <c r="AR211" s="225"/>
    </row>
    <row r="212" spans="36:44">
      <c r="AJ212" s="225"/>
      <c r="AK212" s="225"/>
      <c r="AL212" s="225"/>
      <c r="AM212" s="225"/>
      <c r="AN212" s="225"/>
      <c r="AO212" s="225"/>
      <c r="AP212" s="225"/>
      <c r="AQ212" s="225"/>
      <c r="AR212" s="225"/>
    </row>
    <row r="213" spans="36:44">
      <c r="AJ213" s="225"/>
      <c r="AK213" s="225"/>
      <c r="AL213" s="225"/>
      <c r="AM213" s="225"/>
      <c r="AN213" s="225"/>
      <c r="AO213" s="225"/>
      <c r="AP213" s="225"/>
      <c r="AQ213" s="225"/>
      <c r="AR213" s="225"/>
    </row>
    <row r="214" spans="36:44">
      <c r="AJ214" s="225"/>
      <c r="AK214" s="225"/>
      <c r="AL214" s="225"/>
      <c r="AM214" s="225"/>
      <c r="AN214" s="225"/>
      <c r="AO214" s="225"/>
      <c r="AP214" s="225"/>
      <c r="AQ214" s="225"/>
      <c r="AR214" s="225"/>
    </row>
    <row r="215" spans="36:44">
      <c r="AJ215" s="225"/>
      <c r="AK215" s="225"/>
      <c r="AL215" s="225"/>
      <c r="AM215" s="225"/>
      <c r="AN215" s="225"/>
      <c r="AO215" s="225"/>
      <c r="AP215" s="225"/>
      <c r="AQ215" s="225"/>
      <c r="AR215" s="225"/>
    </row>
    <row r="216" spans="36:44">
      <c r="AJ216" s="225"/>
      <c r="AK216" s="225"/>
      <c r="AL216" s="225"/>
      <c r="AM216" s="225"/>
      <c r="AN216" s="225"/>
      <c r="AO216" s="225"/>
      <c r="AP216" s="225"/>
      <c r="AQ216" s="225"/>
      <c r="AR216" s="225"/>
    </row>
    <row r="217" spans="36:44">
      <c r="AJ217" s="225"/>
      <c r="AK217" s="225"/>
      <c r="AL217" s="225"/>
      <c r="AM217" s="225"/>
      <c r="AN217" s="225"/>
      <c r="AO217" s="225"/>
      <c r="AP217" s="225"/>
      <c r="AQ217" s="225"/>
      <c r="AR217" s="225"/>
    </row>
    <row r="218" spans="36:44">
      <c r="AJ218" s="225"/>
      <c r="AK218" s="225"/>
      <c r="AL218" s="225"/>
      <c r="AM218" s="225"/>
      <c r="AN218" s="225"/>
      <c r="AO218" s="225"/>
      <c r="AP218" s="225"/>
      <c r="AQ218" s="225"/>
      <c r="AR218" s="225"/>
    </row>
    <row r="219" spans="36:44">
      <c r="AJ219" s="225"/>
      <c r="AK219" s="225"/>
      <c r="AL219" s="225"/>
      <c r="AM219" s="225"/>
      <c r="AN219" s="225"/>
      <c r="AO219" s="225"/>
      <c r="AP219" s="225"/>
      <c r="AQ219" s="225"/>
      <c r="AR219" s="225"/>
    </row>
    <row r="220" spans="36:44">
      <c r="AJ220" s="225"/>
      <c r="AK220" s="225"/>
      <c r="AL220" s="225"/>
      <c r="AM220" s="225"/>
      <c r="AN220" s="225"/>
      <c r="AO220" s="225"/>
      <c r="AP220" s="225"/>
      <c r="AQ220" s="225"/>
      <c r="AR220" s="225"/>
    </row>
    <row r="221" spans="36:44">
      <c r="AJ221" s="225"/>
      <c r="AK221" s="225"/>
      <c r="AL221" s="225"/>
      <c r="AM221" s="225"/>
      <c r="AN221" s="225"/>
      <c r="AO221" s="225"/>
      <c r="AP221" s="225"/>
      <c r="AQ221" s="225"/>
      <c r="AR221" s="225"/>
    </row>
    <row r="222" spans="36:44">
      <c r="AJ222" s="225"/>
      <c r="AK222" s="225"/>
      <c r="AL222" s="225"/>
      <c r="AM222" s="225"/>
      <c r="AN222" s="225"/>
      <c r="AO222" s="225"/>
      <c r="AP222" s="225"/>
      <c r="AQ222" s="225"/>
      <c r="AR222" s="225"/>
    </row>
    <row r="223" spans="36:44">
      <c r="AJ223" s="225"/>
      <c r="AK223" s="225"/>
      <c r="AL223" s="225"/>
      <c r="AM223" s="225"/>
      <c r="AN223" s="225"/>
      <c r="AO223" s="225"/>
      <c r="AP223" s="225"/>
      <c r="AQ223" s="225"/>
      <c r="AR223" s="225"/>
    </row>
    <row r="224" spans="36:44">
      <c r="AJ224" s="225"/>
      <c r="AK224" s="225"/>
      <c r="AL224" s="225"/>
      <c r="AM224" s="225"/>
      <c r="AN224" s="225"/>
      <c r="AO224" s="225"/>
      <c r="AP224" s="225"/>
      <c r="AQ224" s="225"/>
      <c r="AR224" s="225"/>
    </row>
    <row r="225" spans="36:44">
      <c r="AJ225" s="225"/>
      <c r="AK225" s="225"/>
      <c r="AL225" s="225"/>
      <c r="AM225" s="225"/>
      <c r="AN225" s="225"/>
      <c r="AO225" s="225"/>
      <c r="AP225" s="225"/>
      <c r="AQ225" s="225"/>
      <c r="AR225" s="225"/>
    </row>
    <row r="226" spans="36:44">
      <c r="AJ226" s="225"/>
      <c r="AK226" s="225"/>
      <c r="AL226" s="225"/>
      <c r="AM226" s="225"/>
      <c r="AN226" s="225"/>
      <c r="AO226" s="225"/>
      <c r="AP226" s="225"/>
      <c r="AQ226" s="225"/>
      <c r="AR226" s="225"/>
    </row>
    <row r="227" spans="36:44">
      <c r="AJ227" s="225"/>
      <c r="AK227" s="225"/>
      <c r="AL227" s="225"/>
      <c r="AM227" s="225"/>
      <c r="AN227" s="225"/>
      <c r="AO227" s="225"/>
      <c r="AP227" s="225"/>
      <c r="AQ227" s="225"/>
      <c r="AR227" s="225"/>
    </row>
    <row r="228" spans="36:44">
      <c r="AJ228" s="225"/>
      <c r="AK228" s="225"/>
      <c r="AL228" s="225"/>
      <c r="AM228" s="225"/>
      <c r="AN228" s="225"/>
      <c r="AO228" s="225"/>
      <c r="AP228" s="225"/>
      <c r="AQ228" s="225"/>
      <c r="AR228" s="225"/>
    </row>
    <row r="229" spans="36:44">
      <c r="AJ229" s="225"/>
      <c r="AK229" s="225"/>
      <c r="AL229" s="225"/>
      <c r="AM229" s="225"/>
      <c r="AN229" s="225"/>
      <c r="AO229" s="225"/>
      <c r="AP229" s="225"/>
      <c r="AQ229" s="225"/>
      <c r="AR229" s="225"/>
    </row>
    <row r="230" spans="36:44">
      <c r="AJ230" s="225"/>
      <c r="AK230" s="225"/>
      <c r="AL230" s="225"/>
      <c r="AM230" s="225"/>
      <c r="AN230" s="225"/>
      <c r="AO230" s="225"/>
      <c r="AP230" s="225"/>
      <c r="AQ230" s="225"/>
      <c r="AR230" s="225"/>
    </row>
    <row r="231" spans="36:44">
      <c r="AJ231" s="225"/>
      <c r="AK231" s="225"/>
      <c r="AL231" s="225"/>
      <c r="AM231" s="225"/>
      <c r="AN231" s="225"/>
      <c r="AO231" s="225"/>
      <c r="AP231" s="225"/>
      <c r="AQ231" s="225"/>
      <c r="AR231" s="225"/>
    </row>
    <row r="232" spans="36:44">
      <c r="AJ232" s="225"/>
      <c r="AK232" s="225"/>
      <c r="AL232" s="225"/>
      <c r="AM232" s="225"/>
      <c r="AN232" s="225"/>
      <c r="AO232" s="225"/>
      <c r="AP232" s="225"/>
      <c r="AQ232" s="225"/>
      <c r="AR232" s="225"/>
    </row>
    <row r="233" spans="36:44">
      <c r="AJ233" s="225"/>
      <c r="AK233" s="225"/>
      <c r="AL233" s="225"/>
      <c r="AM233" s="225"/>
      <c r="AN233" s="225"/>
      <c r="AO233" s="225"/>
      <c r="AP233" s="225"/>
      <c r="AQ233" s="225"/>
      <c r="AR233" s="225"/>
    </row>
    <row r="234" spans="36:44">
      <c r="AJ234" s="225"/>
      <c r="AK234" s="225"/>
      <c r="AL234" s="225"/>
      <c r="AM234" s="225"/>
      <c r="AN234" s="225"/>
      <c r="AO234" s="225"/>
      <c r="AP234" s="225"/>
      <c r="AQ234" s="225"/>
      <c r="AR234" s="225"/>
    </row>
    <row r="235" spans="36:44">
      <c r="AJ235" s="225"/>
      <c r="AK235" s="225"/>
      <c r="AL235" s="225"/>
      <c r="AM235" s="225"/>
      <c r="AN235" s="225"/>
      <c r="AO235" s="225"/>
      <c r="AP235" s="225"/>
      <c r="AQ235" s="225"/>
      <c r="AR235" s="225"/>
    </row>
    <row r="236" spans="36:44">
      <c r="AJ236" s="225"/>
      <c r="AK236" s="225"/>
      <c r="AL236" s="225"/>
      <c r="AM236" s="225"/>
      <c r="AN236" s="225"/>
      <c r="AO236" s="225"/>
      <c r="AP236" s="225"/>
      <c r="AQ236" s="225"/>
      <c r="AR236" s="22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17"/>
  <sheetViews>
    <sheetView zoomScale="70" zoomScaleNormal="70" zoomScalePageLayoutView="80" workbookViewId="0">
      <pane xSplit="1" ySplit="1" topLeftCell="D107" activePane="bottomRight" state="frozen"/>
      <selection pane="topRight" activeCell="B1" sqref="B1"/>
      <selection pane="bottomLeft" activeCell="A2" sqref="A2"/>
      <selection pane="bottomRight" activeCell="E112" sqref="E112:E117"/>
    </sheetView>
  </sheetViews>
  <sheetFormatPr defaultColWidth="8.625" defaultRowHeight="30.75" customHeight="1"/>
  <cols>
    <col min="1" max="1" width="34.75" style="564" customWidth="1"/>
    <col min="2" max="2" width="16.75" style="562" hidden="1" customWidth="1"/>
    <col min="3" max="3" width="18.625" style="562" hidden="1" customWidth="1"/>
    <col min="4" max="4" width="25" style="563" customWidth="1"/>
    <col min="5" max="5" width="23.75" style="563" customWidth="1"/>
    <col min="6" max="6" width="16" style="563" customWidth="1"/>
    <col min="7" max="7" width="12.875" style="562" customWidth="1"/>
    <col min="8" max="8" width="9.875" style="562" customWidth="1"/>
    <col min="9" max="9" width="13.625" style="562" hidden="1" customWidth="1"/>
    <col min="10" max="10" width="13.75" style="562" customWidth="1"/>
    <col min="11" max="11" width="8.5" style="562" customWidth="1"/>
    <col min="12" max="12" width="17.125" style="563" customWidth="1"/>
    <col min="13" max="14" width="8.25" style="562" customWidth="1"/>
    <col min="15" max="15" width="8.625" style="562" customWidth="1"/>
    <col min="16" max="16" width="11.125" style="562" customWidth="1"/>
    <col min="17" max="17" width="24.75" style="562" customWidth="1"/>
    <col min="18" max="18" width="11.75" style="562" customWidth="1"/>
    <col min="19" max="19" width="14.5" style="562" customWidth="1"/>
    <col min="20" max="20" width="15.375" style="562" customWidth="1"/>
    <col min="21" max="21" width="12.25" style="562" customWidth="1"/>
    <col min="22" max="16384" width="8.625" style="562"/>
  </cols>
  <sheetData>
    <row r="1" spans="1:19" s="643" customFormat="1" ht="33" customHeight="1">
      <c r="A1" s="646" t="s">
        <v>1897</v>
      </c>
      <c r="B1" s="645" t="s">
        <v>1896</v>
      </c>
      <c r="C1" s="645" t="s">
        <v>1895</v>
      </c>
      <c r="D1" s="645" t="s">
        <v>1894</v>
      </c>
      <c r="E1" s="645" t="s">
        <v>1893</v>
      </c>
      <c r="F1" s="645" t="s">
        <v>1579</v>
      </c>
      <c r="G1" s="645" t="s">
        <v>261</v>
      </c>
      <c r="H1" s="645" t="s">
        <v>1892</v>
      </c>
      <c r="I1" s="645" t="s">
        <v>1891</v>
      </c>
      <c r="J1" s="645" t="s">
        <v>1890</v>
      </c>
      <c r="K1" s="645" t="s">
        <v>1889</v>
      </c>
      <c r="L1" s="645" t="s">
        <v>1888</v>
      </c>
      <c r="M1" s="645" t="s">
        <v>262</v>
      </c>
      <c r="N1" s="645" t="s">
        <v>1887</v>
      </c>
      <c r="O1" s="645" t="s">
        <v>1886</v>
      </c>
      <c r="P1" s="645" t="s">
        <v>1885</v>
      </c>
      <c r="Q1" s="645" t="s">
        <v>1884</v>
      </c>
      <c r="R1" s="645" t="s">
        <v>1883</v>
      </c>
      <c r="S1" s="644" t="s">
        <v>1578</v>
      </c>
    </row>
    <row r="2" spans="1:19" s="639" customFormat="1" ht="30.75" customHeight="1">
      <c r="A2" s="636" t="s">
        <v>1877</v>
      </c>
      <c r="B2" s="629" t="s">
        <v>1876</v>
      </c>
      <c r="C2" s="629" t="s">
        <v>1577</v>
      </c>
      <c r="D2" s="629" t="s">
        <v>1882</v>
      </c>
      <c r="E2" s="629" t="s">
        <v>1290</v>
      </c>
      <c r="F2" s="629"/>
      <c r="G2" s="629" t="s">
        <v>738</v>
      </c>
      <c r="H2" s="629" t="s">
        <v>1560</v>
      </c>
      <c r="I2" s="629">
        <v>1234430002</v>
      </c>
      <c r="J2" s="629">
        <v>2411003002</v>
      </c>
      <c r="K2" s="642" t="s">
        <v>1875</v>
      </c>
      <c r="L2" s="629" t="s">
        <v>1872</v>
      </c>
      <c r="M2" s="629" t="s">
        <v>1529</v>
      </c>
      <c r="N2" s="629" t="s">
        <v>285</v>
      </c>
      <c r="O2" s="629" t="s">
        <v>1734</v>
      </c>
      <c r="P2" s="629"/>
      <c r="Q2" s="640"/>
      <c r="R2" s="640"/>
      <c r="S2" s="640"/>
    </row>
    <row r="3" spans="1:19" s="639" customFormat="1" ht="30.75" customHeight="1">
      <c r="A3" s="636" t="s">
        <v>1877</v>
      </c>
      <c r="B3" s="629" t="s">
        <v>1876</v>
      </c>
      <c r="C3" s="629" t="s">
        <v>1577</v>
      </c>
      <c r="D3" s="629" t="s">
        <v>1881</v>
      </c>
      <c r="E3" s="629" t="s">
        <v>1290</v>
      </c>
      <c r="F3" s="629" t="s">
        <v>1577</v>
      </c>
      <c r="G3" s="629" t="s">
        <v>738</v>
      </c>
      <c r="H3" s="629" t="s">
        <v>1560</v>
      </c>
      <c r="I3" s="629">
        <v>1234430002</v>
      </c>
      <c r="J3" s="629">
        <v>2411003002</v>
      </c>
      <c r="K3" s="642" t="s">
        <v>1875</v>
      </c>
      <c r="L3" s="629" t="s">
        <v>1872</v>
      </c>
      <c r="M3" s="629" t="s">
        <v>1529</v>
      </c>
      <c r="N3" s="629" t="s">
        <v>285</v>
      </c>
      <c r="O3" s="629" t="s">
        <v>1604</v>
      </c>
      <c r="P3" s="629"/>
      <c r="Q3" s="640"/>
      <c r="R3" s="640"/>
      <c r="S3" s="640"/>
    </row>
    <row r="4" spans="1:19" s="639" customFormat="1" ht="30.75" customHeight="1">
      <c r="A4" s="636" t="s">
        <v>1877</v>
      </c>
      <c r="B4" s="629" t="s">
        <v>1876</v>
      </c>
      <c r="C4" s="629" t="s">
        <v>1577</v>
      </c>
      <c r="D4" s="629" t="s">
        <v>1880</v>
      </c>
      <c r="E4" s="629" t="s">
        <v>1290</v>
      </c>
      <c r="F4" s="629"/>
      <c r="G4" s="629" t="s">
        <v>738</v>
      </c>
      <c r="H4" s="629" t="s">
        <v>1878</v>
      </c>
      <c r="I4" s="629" t="s">
        <v>1290</v>
      </c>
      <c r="J4" s="629">
        <v>2411003003</v>
      </c>
      <c r="K4" s="642" t="s">
        <v>1875</v>
      </c>
      <c r="L4" s="629" t="s">
        <v>1872</v>
      </c>
      <c r="M4" s="629" t="s">
        <v>1529</v>
      </c>
      <c r="N4" s="629" t="s">
        <v>285</v>
      </c>
      <c r="O4" s="629" t="s">
        <v>1734</v>
      </c>
      <c r="P4" s="629"/>
      <c r="Q4" s="640"/>
      <c r="R4" s="640"/>
      <c r="S4" s="640"/>
    </row>
    <row r="5" spans="1:19" s="639" customFormat="1" ht="30.75" customHeight="1">
      <c r="A5" s="636" t="s">
        <v>1877</v>
      </c>
      <c r="B5" s="629" t="s">
        <v>1876</v>
      </c>
      <c r="C5" s="629" t="s">
        <v>1577</v>
      </c>
      <c r="D5" s="629" t="s">
        <v>1879</v>
      </c>
      <c r="E5" s="629" t="s">
        <v>1290</v>
      </c>
      <c r="F5" s="629"/>
      <c r="G5" s="629" t="s">
        <v>738</v>
      </c>
      <c r="H5" s="629" t="s">
        <v>1878</v>
      </c>
      <c r="I5" s="629" t="s">
        <v>1290</v>
      </c>
      <c r="J5" s="629">
        <v>2411003003</v>
      </c>
      <c r="K5" s="642" t="s">
        <v>1875</v>
      </c>
      <c r="L5" s="629" t="s">
        <v>1872</v>
      </c>
      <c r="M5" s="629" t="s">
        <v>1529</v>
      </c>
      <c r="N5" s="629" t="s">
        <v>285</v>
      </c>
      <c r="O5" s="629" t="s">
        <v>1604</v>
      </c>
      <c r="P5" s="629"/>
      <c r="Q5" s="640"/>
      <c r="R5" s="640"/>
      <c r="S5" s="640"/>
    </row>
    <row r="6" spans="1:19" s="639" customFormat="1" ht="30.75" customHeight="1">
      <c r="A6" s="636" t="s">
        <v>1877</v>
      </c>
      <c r="B6" s="629" t="s">
        <v>1876</v>
      </c>
      <c r="C6" s="629" t="s">
        <v>1577</v>
      </c>
      <c r="D6" s="629" t="s">
        <v>501</v>
      </c>
      <c r="E6" s="629" t="s">
        <v>1290</v>
      </c>
      <c r="F6" s="629"/>
      <c r="G6" s="629" t="s">
        <v>738</v>
      </c>
      <c r="H6" s="629" t="s">
        <v>1675</v>
      </c>
      <c r="I6" s="629"/>
      <c r="J6" s="629">
        <v>2411003014</v>
      </c>
      <c r="K6" s="642" t="s">
        <v>1875</v>
      </c>
      <c r="L6" s="629" t="s">
        <v>1872</v>
      </c>
      <c r="M6" s="629" t="s">
        <v>1529</v>
      </c>
      <c r="N6" s="629" t="s">
        <v>285</v>
      </c>
      <c r="O6" s="629" t="s">
        <v>1734</v>
      </c>
      <c r="P6" s="641"/>
      <c r="Q6" s="640"/>
      <c r="R6" s="640"/>
      <c r="S6" s="640"/>
    </row>
    <row r="7" spans="1:19" s="639" customFormat="1" ht="30.75" customHeight="1">
      <c r="A7" s="636" t="s">
        <v>1877</v>
      </c>
      <c r="B7" s="629" t="s">
        <v>1876</v>
      </c>
      <c r="C7" s="629" t="s">
        <v>1577</v>
      </c>
      <c r="D7" s="629" t="s">
        <v>905</v>
      </c>
      <c r="E7" s="629" t="s">
        <v>1290</v>
      </c>
      <c r="F7" s="629"/>
      <c r="G7" s="629" t="s">
        <v>738</v>
      </c>
      <c r="H7" s="629" t="s">
        <v>1675</v>
      </c>
      <c r="I7" s="629"/>
      <c r="J7" s="629">
        <v>2411003014</v>
      </c>
      <c r="K7" s="642" t="s">
        <v>1875</v>
      </c>
      <c r="L7" s="629" t="s">
        <v>1872</v>
      </c>
      <c r="M7" s="629" t="s">
        <v>1529</v>
      </c>
      <c r="N7" s="629" t="s">
        <v>285</v>
      </c>
      <c r="O7" s="629" t="s">
        <v>1604</v>
      </c>
      <c r="P7" s="641" t="s">
        <v>1664</v>
      </c>
      <c r="Q7" s="640"/>
      <c r="R7" s="640"/>
      <c r="S7" s="640"/>
    </row>
    <row r="8" spans="1:19" s="639" customFormat="1" ht="30.75" customHeight="1">
      <c r="A8" s="595" t="s">
        <v>1874</v>
      </c>
      <c r="B8" s="588" t="s">
        <v>1290</v>
      </c>
      <c r="C8" s="629" t="s">
        <v>1723</v>
      </c>
      <c r="D8" s="629" t="s">
        <v>540</v>
      </c>
      <c r="E8" s="629" t="s">
        <v>1290</v>
      </c>
      <c r="F8" s="629"/>
      <c r="G8" s="629" t="s">
        <v>738</v>
      </c>
      <c r="H8" s="629" t="s">
        <v>1675</v>
      </c>
      <c r="I8" s="629"/>
      <c r="J8" s="629">
        <v>2411043016</v>
      </c>
      <c r="K8" s="642" t="s">
        <v>539</v>
      </c>
      <c r="L8" s="629" t="s">
        <v>1872</v>
      </c>
      <c r="M8" s="629" t="s">
        <v>1529</v>
      </c>
      <c r="N8" s="629" t="s">
        <v>285</v>
      </c>
      <c r="O8" s="629" t="s">
        <v>1734</v>
      </c>
      <c r="P8" s="641"/>
      <c r="Q8" s="640"/>
      <c r="R8" s="640"/>
      <c r="S8" s="640"/>
    </row>
    <row r="9" spans="1:19" s="639" customFormat="1" ht="30.75" customHeight="1">
      <c r="A9" s="595" t="s">
        <v>1874</v>
      </c>
      <c r="B9" s="588" t="s">
        <v>1290</v>
      </c>
      <c r="C9" s="629" t="s">
        <v>1723</v>
      </c>
      <c r="D9" s="629" t="s">
        <v>901</v>
      </c>
      <c r="E9" s="629" t="s">
        <v>1873</v>
      </c>
      <c r="F9" s="629" t="s">
        <v>1577</v>
      </c>
      <c r="G9" s="629" t="s">
        <v>738</v>
      </c>
      <c r="H9" s="629" t="s">
        <v>1675</v>
      </c>
      <c r="I9" s="629"/>
      <c r="J9" s="629">
        <v>2411043016</v>
      </c>
      <c r="K9" s="642" t="s">
        <v>539</v>
      </c>
      <c r="L9" s="629" t="s">
        <v>1872</v>
      </c>
      <c r="M9" s="629" t="s">
        <v>1529</v>
      </c>
      <c r="N9" s="629" t="s">
        <v>285</v>
      </c>
      <c r="O9" s="629" t="s">
        <v>1604</v>
      </c>
      <c r="P9" s="641" t="s">
        <v>1664</v>
      </c>
      <c r="Q9" s="640"/>
      <c r="R9" s="640"/>
      <c r="S9" s="640"/>
    </row>
    <row r="10" spans="1:19" s="639" customFormat="1" ht="30.75" customHeight="1">
      <c r="A10" s="636" t="s">
        <v>1868</v>
      </c>
      <c r="B10" s="629" t="s">
        <v>1867</v>
      </c>
      <c r="C10" s="629" t="s">
        <v>1577</v>
      </c>
      <c r="D10" s="629" t="s">
        <v>1871</v>
      </c>
      <c r="E10" s="629"/>
      <c r="F10" s="629"/>
      <c r="G10" s="629" t="s">
        <v>739</v>
      </c>
      <c r="H10" s="629" t="s">
        <v>1561</v>
      </c>
      <c r="I10" s="629">
        <v>1231830001</v>
      </c>
      <c r="J10" s="629">
        <v>2410763001</v>
      </c>
      <c r="K10" s="642" t="s">
        <v>1865</v>
      </c>
      <c r="L10" s="629" t="s">
        <v>1864</v>
      </c>
      <c r="M10" s="629" t="s">
        <v>1621</v>
      </c>
      <c r="N10" s="629" t="s">
        <v>285</v>
      </c>
      <c r="O10" s="629" t="s">
        <v>1734</v>
      </c>
      <c r="P10" s="641"/>
      <c r="Q10" s="605" t="s">
        <v>1857</v>
      </c>
      <c r="R10" s="599" t="s">
        <v>1697</v>
      </c>
      <c r="S10" s="640"/>
    </row>
    <row r="11" spans="1:19" s="639" customFormat="1" ht="30.75" customHeight="1">
      <c r="A11" s="636" t="s">
        <v>1868</v>
      </c>
      <c r="B11" s="629" t="s">
        <v>1867</v>
      </c>
      <c r="C11" s="629" t="s">
        <v>1577</v>
      </c>
      <c r="D11" s="629" t="s">
        <v>1870</v>
      </c>
      <c r="E11" s="629"/>
      <c r="F11" s="629" t="s">
        <v>1570</v>
      </c>
      <c r="G11" s="629" t="s">
        <v>739</v>
      </c>
      <c r="H11" s="629" t="s">
        <v>1561</v>
      </c>
      <c r="I11" s="629">
        <v>1231830001</v>
      </c>
      <c r="J11" s="629">
        <v>2410763001</v>
      </c>
      <c r="K11" s="642" t="s">
        <v>1865</v>
      </c>
      <c r="L11" s="629" t="s">
        <v>1864</v>
      </c>
      <c r="M11" s="629" t="s">
        <v>1621</v>
      </c>
      <c r="N11" s="629" t="s">
        <v>285</v>
      </c>
      <c r="O11" s="629" t="s">
        <v>1604</v>
      </c>
      <c r="P11" s="641"/>
      <c r="Q11" s="605" t="s">
        <v>1857</v>
      </c>
      <c r="R11" s="599" t="s">
        <v>1697</v>
      </c>
      <c r="S11" s="640"/>
    </row>
    <row r="12" spans="1:19" s="639" customFormat="1" ht="30.75" customHeight="1">
      <c r="A12" s="636" t="s">
        <v>1868</v>
      </c>
      <c r="B12" s="629" t="s">
        <v>1867</v>
      </c>
      <c r="C12" s="629" t="s">
        <v>1577</v>
      </c>
      <c r="D12" s="629" t="s">
        <v>1869</v>
      </c>
      <c r="E12" s="629"/>
      <c r="F12" s="629"/>
      <c r="G12" s="629" t="s">
        <v>495</v>
      </c>
      <c r="H12" s="629" t="s">
        <v>1560</v>
      </c>
      <c r="I12" s="629">
        <v>1231830003</v>
      </c>
      <c r="J12" s="629">
        <v>2410763003</v>
      </c>
      <c r="K12" s="642" t="s">
        <v>1865</v>
      </c>
      <c r="L12" s="629" t="s">
        <v>1864</v>
      </c>
      <c r="M12" s="629" t="s">
        <v>1621</v>
      </c>
      <c r="N12" s="629" t="s">
        <v>285</v>
      </c>
      <c r="O12" s="629" t="s">
        <v>1734</v>
      </c>
      <c r="P12" s="641"/>
      <c r="Q12" s="605" t="s">
        <v>1857</v>
      </c>
      <c r="R12" s="599" t="s">
        <v>1697</v>
      </c>
      <c r="S12" s="640"/>
    </row>
    <row r="13" spans="1:19" s="639" customFormat="1" ht="30.75" customHeight="1">
      <c r="A13" s="636" t="s">
        <v>1868</v>
      </c>
      <c r="B13" s="629" t="s">
        <v>1867</v>
      </c>
      <c r="C13" s="629" t="s">
        <v>1577</v>
      </c>
      <c r="D13" s="629" t="s">
        <v>1866</v>
      </c>
      <c r="E13" s="629"/>
      <c r="F13" s="629"/>
      <c r="G13" s="629" t="s">
        <v>495</v>
      </c>
      <c r="H13" s="629" t="s">
        <v>1560</v>
      </c>
      <c r="I13" s="629">
        <v>1231830003</v>
      </c>
      <c r="J13" s="629">
        <v>2410763003</v>
      </c>
      <c r="K13" s="642" t="s">
        <v>1865</v>
      </c>
      <c r="L13" s="629" t="s">
        <v>1864</v>
      </c>
      <c r="M13" s="629" t="s">
        <v>1621</v>
      </c>
      <c r="N13" s="629" t="s">
        <v>285</v>
      </c>
      <c r="O13" s="629" t="s">
        <v>1604</v>
      </c>
      <c r="P13" s="641" t="s">
        <v>1664</v>
      </c>
      <c r="Q13" s="605" t="s">
        <v>1857</v>
      </c>
      <c r="R13" s="599" t="s">
        <v>1697</v>
      </c>
      <c r="S13" s="640"/>
    </row>
    <row r="14" spans="1:19" s="597" customFormat="1" ht="30.75" customHeight="1">
      <c r="A14" s="595" t="s">
        <v>1862</v>
      </c>
      <c r="B14" s="588" t="s">
        <v>1861</v>
      </c>
      <c r="C14" s="629" t="s">
        <v>1577</v>
      </c>
      <c r="D14" s="588" t="s">
        <v>1863</v>
      </c>
      <c r="E14" s="588"/>
      <c r="F14" s="588"/>
      <c r="G14" s="629" t="s">
        <v>739</v>
      </c>
      <c r="H14" s="588" t="s">
        <v>1290</v>
      </c>
      <c r="I14" s="588">
        <v>1231830002</v>
      </c>
      <c r="J14" s="588">
        <v>2410763002</v>
      </c>
      <c r="K14" s="619" t="s">
        <v>1859</v>
      </c>
      <c r="L14" s="629" t="s">
        <v>1858</v>
      </c>
      <c r="M14" s="588" t="s">
        <v>1621</v>
      </c>
      <c r="N14" s="588" t="s">
        <v>285</v>
      </c>
      <c r="O14" s="629" t="s">
        <v>1734</v>
      </c>
      <c r="P14" s="588"/>
      <c r="Q14" s="605" t="s">
        <v>1857</v>
      </c>
      <c r="R14" s="599" t="s">
        <v>1697</v>
      </c>
      <c r="S14" s="598"/>
    </row>
    <row r="15" spans="1:19" s="597" customFormat="1" ht="30.75" customHeight="1">
      <c r="A15" s="595" t="s">
        <v>1862</v>
      </c>
      <c r="B15" s="588" t="s">
        <v>1861</v>
      </c>
      <c r="C15" s="629" t="s">
        <v>1577</v>
      </c>
      <c r="D15" s="588" t="s">
        <v>1860</v>
      </c>
      <c r="E15" s="588"/>
      <c r="F15" s="588" t="s">
        <v>1541</v>
      </c>
      <c r="G15" s="629" t="s">
        <v>739</v>
      </c>
      <c r="H15" s="588" t="s">
        <v>1290</v>
      </c>
      <c r="I15" s="588">
        <v>1231830002</v>
      </c>
      <c r="J15" s="588">
        <v>2410763002</v>
      </c>
      <c r="K15" s="619" t="s">
        <v>1859</v>
      </c>
      <c r="L15" s="629" t="s">
        <v>1858</v>
      </c>
      <c r="M15" s="588" t="s">
        <v>1621</v>
      </c>
      <c r="N15" s="588" t="s">
        <v>285</v>
      </c>
      <c r="O15" s="629" t="s">
        <v>1604</v>
      </c>
      <c r="P15" s="588" t="s">
        <v>1664</v>
      </c>
      <c r="Q15" s="605" t="s">
        <v>1857</v>
      </c>
      <c r="R15" s="599" t="s">
        <v>1697</v>
      </c>
      <c r="S15" s="598"/>
    </row>
    <row r="16" spans="1:19" s="597" customFormat="1" ht="30.75" customHeight="1">
      <c r="A16" s="595" t="s">
        <v>1305</v>
      </c>
      <c r="B16" s="588" t="s">
        <v>1290</v>
      </c>
      <c r="C16" s="588" t="s">
        <v>1739</v>
      </c>
      <c r="D16" s="588" t="s">
        <v>485</v>
      </c>
      <c r="E16" s="588"/>
      <c r="F16" s="588"/>
      <c r="G16" s="629" t="s">
        <v>484</v>
      </c>
      <c r="H16" s="588" t="s">
        <v>1560</v>
      </c>
      <c r="I16" s="588" t="s">
        <v>1290</v>
      </c>
      <c r="J16" s="588">
        <v>2410522001</v>
      </c>
      <c r="K16" s="588" t="s">
        <v>1856</v>
      </c>
      <c r="L16" s="629" t="s">
        <v>1854</v>
      </c>
      <c r="M16" s="588" t="s">
        <v>1855</v>
      </c>
      <c r="N16" s="588" t="s">
        <v>285</v>
      </c>
      <c r="O16" s="629" t="s">
        <v>1734</v>
      </c>
      <c r="P16" s="605"/>
      <c r="Q16" s="598" t="s">
        <v>430</v>
      </c>
      <c r="R16" s="599" t="s">
        <v>1729</v>
      </c>
      <c r="S16" s="598"/>
    </row>
    <row r="17" spans="1:19" s="597" customFormat="1" ht="30.75" customHeight="1">
      <c r="A17" s="595" t="s">
        <v>1305</v>
      </c>
      <c r="B17" s="588" t="s">
        <v>1290</v>
      </c>
      <c r="C17" s="588" t="s">
        <v>1739</v>
      </c>
      <c r="D17" s="588" t="s">
        <v>880</v>
      </c>
      <c r="E17" s="588"/>
      <c r="F17" s="588" t="s">
        <v>1541</v>
      </c>
      <c r="G17" s="629" t="s">
        <v>484</v>
      </c>
      <c r="H17" s="588" t="s">
        <v>1560</v>
      </c>
      <c r="I17" s="588" t="s">
        <v>1290</v>
      </c>
      <c r="J17" s="588">
        <v>2410522001</v>
      </c>
      <c r="K17" s="588" t="s">
        <v>1856</v>
      </c>
      <c r="L17" s="629" t="s">
        <v>1854</v>
      </c>
      <c r="M17" s="588" t="s">
        <v>1855</v>
      </c>
      <c r="N17" s="588" t="s">
        <v>285</v>
      </c>
      <c r="O17" s="629" t="s">
        <v>1604</v>
      </c>
      <c r="P17" s="605" t="s">
        <v>1664</v>
      </c>
      <c r="Q17" s="598" t="s">
        <v>430</v>
      </c>
      <c r="R17" s="599" t="s">
        <v>1729</v>
      </c>
      <c r="S17" s="598"/>
    </row>
    <row r="18" spans="1:19" s="597" customFormat="1" ht="30.75" customHeight="1">
      <c r="A18" s="595" t="s">
        <v>1304</v>
      </c>
      <c r="B18" s="588" t="s">
        <v>1290</v>
      </c>
      <c r="C18" s="629" t="s">
        <v>1577</v>
      </c>
      <c r="D18" s="588" t="s">
        <v>481</v>
      </c>
      <c r="E18" s="588"/>
      <c r="F18" s="588"/>
      <c r="G18" s="629" t="s">
        <v>480</v>
      </c>
      <c r="H18" s="588" t="s">
        <v>479</v>
      </c>
      <c r="I18" s="588"/>
      <c r="J18" s="588">
        <v>2410762001</v>
      </c>
      <c r="K18" s="619" t="s">
        <v>478</v>
      </c>
      <c r="L18" s="629" t="s">
        <v>1854</v>
      </c>
      <c r="M18" s="588" t="s">
        <v>431</v>
      </c>
      <c r="N18" s="588" t="s">
        <v>285</v>
      </c>
      <c r="O18" s="629" t="s">
        <v>1734</v>
      </c>
      <c r="P18" s="638"/>
      <c r="Q18" s="598" t="s">
        <v>430</v>
      </c>
      <c r="R18" s="599" t="s">
        <v>1729</v>
      </c>
      <c r="S18" s="598"/>
    </row>
    <row r="19" spans="1:19" s="597" customFormat="1" ht="30.75" customHeight="1">
      <c r="A19" s="595" t="s">
        <v>1304</v>
      </c>
      <c r="B19" s="588" t="s">
        <v>1290</v>
      </c>
      <c r="C19" s="629" t="s">
        <v>1577</v>
      </c>
      <c r="D19" s="588" t="s">
        <v>876</v>
      </c>
      <c r="E19" s="588"/>
      <c r="F19" s="588" t="s">
        <v>1541</v>
      </c>
      <c r="G19" s="629" t="s">
        <v>480</v>
      </c>
      <c r="H19" s="588" t="s">
        <v>479</v>
      </c>
      <c r="I19" s="588"/>
      <c r="J19" s="588">
        <v>2410762001</v>
      </c>
      <c r="K19" s="619" t="s">
        <v>478</v>
      </c>
      <c r="L19" s="629" t="s">
        <v>1854</v>
      </c>
      <c r="M19" s="588" t="s">
        <v>431</v>
      </c>
      <c r="N19" s="588" t="s">
        <v>285</v>
      </c>
      <c r="O19" s="629" t="s">
        <v>1604</v>
      </c>
      <c r="P19" s="638" t="s">
        <v>1664</v>
      </c>
      <c r="Q19" s="598" t="s">
        <v>430</v>
      </c>
      <c r="R19" s="599" t="s">
        <v>1729</v>
      </c>
      <c r="S19" s="598"/>
    </row>
    <row r="20" spans="1:19" s="597" customFormat="1" ht="30.75" customHeight="1">
      <c r="A20" s="595" t="s">
        <v>1304</v>
      </c>
      <c r="B20" s="588" t="s">
        <v>1290</v>
      </c>
      <c r="C20" s="629" t="s">
        <v>1577</v>
      </c>
      <c r="D20" s="588" t="s">
        <v>872</v>
      </c>
      <c r="E20" s="588"/>
      <c r="F20" s="588"/>
      <c r="G20" s="629" t="s">
        <v>480</v>
      </c>
      <c r="H20" s="588" t="s">
        <v>871</v>
      </c>
      <c r="I20" s="588"/>
      <c r="J20" s="588" t="s">
        <v>1290</v>
      </c>
      <c r="K20" s="588" t="s">
        <v>1290</v>
      </c>
      <c r="L20" s="629" t="s">
        <v>1854</v>
      </c>
      <c r="M20" s="588" t="s">
        <v>431</v>
      </c>
      <c r="N20" s="588" t="s">
        <v>285</v>
      </c>
      <c r="O20" s="629" t="s">
        <v>1734</v>
      </c>
      <c r="P20" s="638"/>
      <c r="Q20" s="598" t="s">
        <v>430</v>
      </c>
      <c r="R20" s="599" t="s">
        <v>1729</v>
      </c>
      <c r="S20" s="598"/>
    </row>
    <row r="21" spans="1:19" s="597" customFormat="1" ht="30.75" customHeight="1">
      <c r="A21" s="595" t="s">
        <v>1395</v>
      </c>
      <c r="B21" s="588" t="s">
        <v>1833</v>
      </c>
      <c r="C21" s="588" t="s">
        <v>1739</v>
      </c>
      <c r="D21" s="588" t="s">
        <v>1853</v>
      </c>
      <c r="E21" s="588" t="s">
        <v>1290</v>
      </c>
      <c r="F21" s="588"/>
      <c r="G21" s="629" t="s">
        <v>738</v>
      </c>
      <c r="H21" s="588" t="s">
        <v>1561</v>
      </c>
      <c r="I21" s="588"/>
      <c r="J21" s="588">
        <v>2411003001</v>
      </c>
      <c r="K21" s="619" t="s">
        <v>866</v>
      </c>
      <c r="L21" s="629" t="s">
        <v>1852</v>
      </c>
      <c r="M21" s="588" t="s">
        <v>1529</v>
      </c>
      <c r="N21" s="588" t="s">
        <v>285</v>
      </c>
      <c r="O21" s="629" t="s">
        <v>1734</v>
      </c>
      <c r="P21" s="638"/>
      <c r="Q21" s="598" t="s">
        <v>444</v>
      </c>
      <c r="R21" s="599" t="s">
        <v>1697</v>
      </c>
      <c r="S21" s="598"/>
    </row>
    <row r="22" spans="1:19" s="597" customFormat="1" ht="30.75" customHeight="1">
      <c r="A22" s="595" t="s">
        <v>1303</v>
      </c>
      <c r="B22" s="588" t="s">
        <v>1290</v>
      </c>
      <c r="C22" s="588" t="s">
        <v>1739</v>
      </c>
      <c r="D22" s="588" t="s">
        <v>1851</v>
      </c>
      <c r="E22" s="588" t="s">
        <v>1290</v>
      </c>
      <c r="F22" s="588"/>
      <c r="G22" s="629" t="s">
        <v>738</v>
      </c>
      <c r="H22" s="588" t="s">
        <v>1560</v>
      </c>
      <c r="I22" s="588">
        <v>1234430005</v>
      </c>
      <c r="J22" s="588">
        <v>241100312</v>
      </c>
      <c r="K22" s="588" t="s">
        <v>1849</v>
      </c>
      <c r="L22" s="629" t="s">
        <v>1576</v>
      </c>
      <c r="M22" s="588" t="s">
        <v>1529</v>
      </c>
      <c r="N22" s="588" t="s">
        <v>285</v>
      </c>
      <c r="O22" s="629" t="s">
        <v>1734</v>
      </c>
      <c r="P22" s="605"/>
      <c r="Q22" s="598" t="s">
        <v>444</v>
      </c>
      <c r="R22" s="599" t="s">
        <v>1697</v>
      </c>
      <c r="S22" s="598"/>
    </row>
    <row r="23" spans="1:19" s="597" customFormat="1" ht="30.75" customHeight="1">
      <c r="A23" s="595" t="s">
        <v>1303</v>
      </c>
      <c r="B23" s="588" t="s">
        <v>1290</v>
      </c>
      <c r="C23" s="588" t="s">
        <v>1739</v>
      </c>
      <c r="D23" s="588" t="s">
        <v>1850</v>
      </c>
      <c r="E23" s="588" t="s">
        <v>1290</v>
      </c>
      <c r="F23" s="588"/>
      <c r="G23" s="629" t="s">
        <v>738</v>
      </c>
      <c r="H23" s="588" t="s">
        <v>1561</v>
      </c>
      <c r="I23" s="588">
        <v>1234430004</v>
      </c>
      <c r="J23" s="588">
        <v>2411003013</v>
      </c>
      <c r="K23" s="588" t="s">
        <v>1849</v>
      </c>
      <c r="L23" s="629" t="s">
        <v>1848</v>
      </c>
      <c r="M23" s="588" t="s">
        <v>1529</v>
      </c>
      <c r="N23" s="588" t="s">
        <v>285</v>
      </c>
      <c r="O23" s="629" t="s">
        <v>1734</v>
      </c>
      <c r="P23" s="605"/>
      <c r="Q23" s="598" t="s">
        <v>444</v>
      </c>
      <c r="R23" s="599" t="s">
        <v>1697</v>
      </c>
      <c r="S23" s="598"/>
    </row>
    <row r="24" spans="1:19" s="597" customFormat="1" ht="30.75" customHeight="1">
      <c r="A24" s="595" t="s">
        <v>1846</v>
      </c>
      <c r="B24" s="588" t="s">
        <v>1290</v>
      </c>
      <c r="C24" s="588" t="s">
        <v>1739</v>
      </c>
      <c r="D24" s="588" t="s">
        <v>1847</v>
      </c>
      <c r="E24" s="588" t="s">
        <v>1290</v>
      </c>
      <c r="F24" s="588"/>
      <c r="G24" s="629" t="s">
        <v>1845</v>
      </c>
      <c r="H24" s="588" t="s">
        <v>1560</v>
      </c>
      <c r="I24" s="588"/>
      <c r="J24" s="588">
        <v>2410864002</v>
      </c>
      <c r="K24" s="588" t="s">
        <v>1844</v>
      </c>
      <c r="L24" s="629" t="s">
        <v>1841</v>
      </c>
      <c r="M24" s="588" t="s">
        <v>1668</v>
      </c>
      <c r="N24" s="588" t="s">
        <v>285</v>
      </c>
      <c r="O24" s="629" t="s">
        <v>1734</v>
      </c>
      <c r="P24" s="605"/>
      <c r="Q24" s="598" t="s">
        <v>444</v>
      </c>
      <c r="R24" s="599" t="s">
        <v>1834</v>
      </c>
      <c r="S24" s="598"/>
    </row>
    <row r="25" spans="1:19" s="597" customFormat="1" ht="30.75" customHeight="1">
      <c r="A25" s="595" t="s">
        <v>1846</v>
      </c>
      <c r="B25" s="588"/>
      <c r="C25" s="588"/>
      <c r="D25" s="588"/>
      <c r="E25" s="588" t="s">
        <v>1290</v>
      </c>
      <c r="F25" s="588"/>
      <c r="G25" s="629" t="s">
        <v>1845</v>
      </c>
      <c r="H25" s="588" t="s">
        <v>1561</v>
      </c>
      <c r="I25" s="588"/>
      <c r="J25" s="588">
        <v>2410864001</v>
      </c>
      <c r="K25" s="588" t="s">
        <v>1844</v>
      </c>
      <c r="L25" s="629" t="s">
        <v>1841</v>
      </c>
      <c r="M25" s="588" t="s">
        <v>1668</v>
      </c>
      <c r="N25" s="588" t="s">
        <v>285</v>
      </c>
      <c r="O25" s="629" t="s">
        <v>1734</v>
      </c>
      <c r="P25" s="605"/>
      <c r="Q25" s="598" t="s">
        <v>444</v>
      </c>
      <c r="R25" s="599" t="s">
        <v>1834</v>
      </c>
      <c r="S25" s="598"/>
    </row>
    <row r="26" spans="1:19" s="597" customFormat="1" ht="30.75" customHeight="1">
      <c r="A26" s="595" t="s">
        <v>1302</v>
      </c>
      <c r="B26" s="588" t="s">
        <v>1290</v>
      </c>
      <c r="C26" s="588" t="s">
        <v>1739</v>
      </c>
      <c r="D26" s="588" t="s">
        <v>1843</v>
      </c>
      <c r="E26" s="588" t="s">
        <v>1290</v>
      </c>
      <c r="F26" s="588"/>
      <c r="G26" s="629" t="s">
        <v>1737</v>
      </c>
      <c r="H26" s="588" t="s">
        <v>1561</v>
      </c>
      <c r="I26" s="588" t="s">
        <v>1290</v>
      </c>
      <c r="J26" s="588">
        <v>2411004001</v>
      </c>
      <c r="K26" s="588" t="s">
        <v>1842</v>
      </c>
      <c r="L26" s="629" t="s">
        <v>1841</v>
      </c>
      <c r="M26" s="588" t="s">
        <v>1668</v>
      </c>
      <c r="N26" s="588" t="s">
        <v>285</v>
      </c>
      <c r="O26" s="629" t="s">
        <v>1734</v>
      </c>
      <c r="P26" s="605"/>
      <c r="Q26" s="598" t="s">
        <v>1835</v>
      </c>
      <c r="R26" s="599" t="s">
        <v>1834</v>
      </c>
      <c r="S26" s="598"/>
    </row>
    <row r="27" spans="1:19" s="597" customFormat="1" ht="30.75" customHeight="1">
      <c r="A27" s="595" t="s">
        <v>1302</v>
      </c>
      <c r="B27" s="588" t="s">
        <v>1290</v>
      </c>
      <c r="C27" s="588" t="s">
        <v>1739</v>
      </c>
      <c r="D27" s="588" t="s">
        <v>467</v>
      </c>
      <c r="E27" s="588" t="s">
        <v>1290</v>
      </c>
      <c r="F27" s="588"/>
      <c r="G27" s="629" t="s">
        <v>1737</v>
      </c>
      <c r="H27" s="588" t="s">
        <v>1560</v>
      </c>
      <c r="I27" s="588" t="s">
        <v>1290</v>
      </c>
      <c r="J27" s="588">
        <v>2411004002</v>
      </c>
      <c r="K27" s="588" t="s">
        <v>1842</v>
      </c>
      <c r="L27" s="629" t="s">
        <v>1841</v>
      </c>
      <c r="M27" s="588" t="s">
        <v>1668</v>
      </c>
      <c r="N27" s="588" t="s">
        <v>285</v>
      </c>
      <c r="O27" s="629" t="s">
        <v>1734</v>
      </c>
      <c r="P27" s="605"/>
      <c r="Q27" s="598" t="s">
        <v>1835</v>
      </c>
      <c r="R27" s="599" t="s">
        <v>1834</v>
      </c>
      <c r="S27" s="598"/>
    </row>
    <row r="28" spans="1:19" s="597" customFormat="1" ht="30.75" customHeight="1">
      <c r="A28" s="595" t="s">
        <v>1302</v>
      </c>
      <c r="B28" s="588" t="s">
        <v>1290</v>
      </c>
      <c r="C28" s="588" t="s">
        <v>1739</v>
      </c>
      <c r="D28" s="588" t="s">
        <v>853</v>
      </c>
      <c r="E28" s="588" t="s">
        <v>1290</v>
      </c>
      <c r="F28" s="588"/>
      <c r="G28" s="629" t="s">
        <v>1737</v>
      </c>
      <c r="H28" s="588" t="s">
        <v>1560</v>
      </c>
      <c r="I28" s="588" t="s">
        <v>1290</v>
      </c>
      <c r="J28" s="588" t="s">
        <v>1290</v>
      </c>
      <c r="K28" s="588" t="s">
        <v>1290</v>
      </c>
      <c r="L28" s="629" t="s">
        <v>1840</v>
      </c>
      <c r="M28" s="588" t="s">
        <v>1668</v>
      </c>
      <c r="N28" s="588" t="s">
        <v>1839</v>
      </c>
      <c r="O28" s="629" t="s">
        <v>1838</v>
      </c>
      <c r="P28" s="605"/>
      <c r="Q28" s="599" t="s">
        <v>1290</v>
      </c>
      <c r="R28" s="599" t="s">
        <v>1834</v>
      </c>
      <c r="S28" s="598"/>
    </row>
    <row r="29" spans="1:19" s="597" customFormat="1" ht="30.75" customHeight="1">
      <c r="A29" s="595" t="s">
        <v>1301</v>
      </c>
      <c r="B29" s="588" t="s">
        <v>1290</v>
      </c>
      <c r="C29" s="588" t="s">
        <v>1739</v>
      </c>
      <c r="D29" s="588" t="s">
        <v>464</v>
      </c>
      <c r="E29" s="588" t="s">
        <v>1290</v>
      </c>
      <c r="F29" s="588"/>
      <c r="G29" s="629" t="s">
        <v>1737</v>
      </c>
      <c r="H29" s="588" t="s">
        <v>1561</v>
      </c>
      <c r="I29" s="588" t="s">
        <v>1290</v>
      </c>
      <c r="J29" s="588">
        <v>2411004005</v>
      </c>
      <c r="K29" s="588" t="s">
        <v>1837</v>
      </c>
      <c r="L29" s="629" t="s">
        <v>1836</v>
      </c>
      <c r="M29" s="588" t="s">
        <v>1668</v>
      </c>
      <c r="N29" s="588" t="s">
        <v>285</v>
      </c>
      <c r="O29" s="629" t="s">
        <v>1734</v>
      </c>
      <c r="P29" s="605"/>
      <c r="Q29" s="598" t="s">
        <v>1835</v>
      </c>
      <c r="R29" s="599" t="s">
        <v>1834</v>
      </c>
      <c r="S29" s="598"/>
    </row>
    <row r="30" spans="1:19" s="597" customFormat="1" ht="30.75" customHeight="1">
      <c r="A30" s="595" t="s">
        <v>1301</v>
      </c>
      <c r="B30" s="588" t="s">
        <v>1290</v>
      </c>
      <c r="C30" s="588" t="s">
        <v>1739</v>
      </c>
      <c r="D30" s="588" t="s">
        <v>848</v>
      </c>
      <c r="E30" s="588" t="s">
        <v>1290</v>
      </c>
      <c r="F30" s="588"/>
      <c r="G30" s="629" t="s">
        <v>1737</v>
      </c>
      <c r="H30" s="588" t="s">
        <v>1561</v>
      </c>
      <c r="I30" s="588" t="s">
        <v>1290</v>
      </c>
      <c r="J30" s="588">
        <v>2411004005</v>
      </c>
      <c r="K30" s="588" t="s">
        <v>1837</v>
      </c>
      <c r="L30" s="629" t="s">
        <v>1836</v>
      </c>
      <c r="M30" s="588" t="s">
        <v>1668</v>
      </c>
      <c r="N30" s="588" t="s">
        <v>285</v>
      </c>
      <c r="O30" s="629" t="s">
        <v>1604</v>
      </c>
      <c r="P30" s="605"/>
      <c r="Q30" s="598" t="s">
        <v>1835</v>
      </c>
      <c r="R30" s="599" t="s">
        <v>1834</v>
      </c>
      <c r="S30" s="598"/>
    </row>
    <row r="31" spans="1:19" s="597" customFormat="1" ht="30.75" customHeight="1">
      <c r="A31" s="595" t="s">
        <v>1301</v>
      </c>
      <c r="B31" s="588" t="s">
        <v>1290</v>
      </c>
      <c r="C31" s="588" t="s">
        <v>1739</v>
      </c>
      <c r="D31" s="588" t="s">
        <v>462</v>
      </c>
      <c r="E31" s="588" t="s">
        <v>1290</v>
      </c>
      <c r="F31" s="588"/>
      <c r="G31" s="629" t="s">
        <v>1737</v>
      </c>
      <c r="H31" s="588" t="s">
        <v>1560</v>
      </c>
      <c r="I31" s="588" t="s">
        <v>1290</v>
      </c>
      <c r="J31" s="588">
        <v>2411004006</v>
      </c>
      <c r="K31" s="588" t="s">
        <v>1837</v>
      </c>
      <c r="L31" s="629" t="s">
        <v>1836</v>
      </c>
      <c r="M31" s="588" t="s">
        <v>1668</v>
      </c>
      <c r="N31" s="588" t="s">
        <v>285</v>
      </c>
      <c r="O31" s="629" t="s">
        <v>1734</v>
      </c>
      <c r="P31" s="605"/>
      <c r="Q31" s="598" t="s">
        <v>1835</v>
      </c>
      <c r="R31" s="599" t="s">
        <v>1834</v>
      </c>
      <c r="S31" s="598"/>
    </row>
    <row r="32" spans="1:19" s="597" customFormat="1" ht="30.75" customHeight="1">
      <c r="A32" s="595" t="s">
        <v>1300</v>
      </c>
      <c r="B32" s="588" t="s">
        <v>1833</v>
      </c>
      <c r="C32" s="629" t="s">
        <v>1577</v>
      </c>
      <c r="D32" s="588" t="s">
        <v>459</v>
      </c>
      <c r="E32" s="588" t="s">
        <v>1290</v>
      </c>
      <c r="F32" s="588"/>
      <c r="G32" s="629" t="s">
        <v>738</v>
      </c>
      <c r="H32" s="588" t="s">
        <v>1561</v>
      </c>
      <c r="I32" s="588"/>
      <c r="J32" s="588">
        <v>2411003008</v>
      </c>
      <c r="K32" s="619" t="s">
        <v>1574</v>
      </c>
      <c r="L32" s="629" t="s">
        <v>1830</v>
      </c>
      <c r="M32" s="588" t="s">
        <v>1529</v>
      </c>
      <c r="N32" s="588" t="s">
        <v>285</v>
      </c>
      <c r="O32" s="629" t="s">
        <v>1734</v>
      </c>
      <c r="P32" s="605"/>
      <c r="Q32" s="598" t="s">
        <v>444</v>
      </c>
      <c r="R32" s="599" t="s">
        <v>1697</v>
      </c>
      <c r="S32" s="598"/>
    </row>
    <row r="33" spans="1:19" s="597" customFormat="1" ht="30.75" customHeight="1">
      <c r="A33" s="595" t="s">
        <v>1300</v>
      </c>
      <c r="B33" s="588" t="s">
        <v>1833</v>
      </c>
      <c r="C33" s="629" t="s">
        <v>1577</v>
      </c>
      <c r="D33" s="588" t="s">
        <v>458</v>
      </c>
      <c r="E33" s="633" t="s">
        <v>1290</v>
      </c>
      <c r="F33" s="633"/>
      <c r="G33" s="629" t="s">
        <v>738</v>
      </c>
      <c r="H33" s="588" t="s">
        <v>1560</v>
      </c>
      <c r="I33" s="588"/>
      <c r="J33" s="588">
        <v>2411003009</v>
      </c>
      <c r="K33" s="619" t="s">
        <v>1574</v>
      </c>
      <c r="L33" s="629" t="s">
        <v>1830</v>
      </c>
      <c r="M33" s="588" t="s">
        <v>1529</v>
      </c>
      <c r="N33" s="588" t="s">
        <v>285</v>
      </c>
      <c r="O33" s="629" t="s">
        <v>1734</v>
      </c>
      <c r="P33" s="605"/>
      <c r="Q33" s="598" t="s">
        <v>444</v>
      </c>
      <c r="R33" s="599" t="s">
        <v>1697</v>
      </c>
      <c r="S33" s="598"/>
    </row>
    <row r="34" spans="1:19" s="597" customFormat="1" ht="30.75" customHeight="1">
      <c r="A34" s="595" t="s">
        <v>1300</v>
      </c>
      <c r="B34" s="588" t="s">
        <v>1833</v>
      </c>
      <c r="C34" s="629" t="s">
        <v>1577</v>
      </c>
      <c r="D34" s="588" t="s">
        <v>840</v>
      </c>
      <c r="E34" s="588" t="s">
        <v>1831</v>
      </c>
      <c r="F34" s="588" t="s">
        <v>1575</v>
      </c>
      <c r="G34" s="629" t="s">
        <v>738</v>
      </c>
      <c r="H34" s="588" t="s">
        <v>1560</v>
      </c>
      <c r="I34" s="588"/>
      <c r="J34" s="588">
        <v>2411003009</v>
      </c>
      <c r="K34" s="619" t="s">
        <v>1574</v>
      </c>
      <c r="L34" s="629" t="s">
        <v>1830</v>
      </c>
      <c r="M34" s="588" t="s">
        <v>1529</v>
      </c>
      <c r="N34" s="588" t="s">
        <v>285</v>
      </c>
      <c r="O34" s="629" t="s">
        <v>1604</v>
      </c>
      <c r="P34" s="605" t="s">
        <v>1664</v>
      </c>
      <c r="Q34" s="598" t="s">
        <v>444</v>
      </c>
      <c r="R34" s="599" t="s">
        <v>1697</v>
      </c>
      <c r="S34" s="598"/>
    </row>
    <row r="35" spans="1:19" s="597" customFormat="1" ht="30.75" customHeight="1">
      <c r="A35" s="595" t="s">
        <v>1300</v>
      </c>
      <c r="B35" s="588"/>
      <c r="C35" s="629"/>
      <c r="D35" s="588" t="s">
        <v>1832</v>
      </c>
      <c r="E35" s="588" t="s">
        <v>1831</v>
      </c>
      <c r="F35" s="588"/>
      <c r="G35" s="629" t="s">
        <v>738</v>
      </c>
      <c r="H35" s="588" t="s">
        <v>1561</v>
      </c>
      <c r="I35" s="588"/>
      <c r="J35" s="588">
        <v>2411003008</v>
      </c>
      <c r="K35" s="619" t="s">
        <v>1574</v>
      </c>
      <c r="L35" s="629" t="s">
        <v>1830</v>
      </c>
      <c r="M35" s="588" t="s">
        <v>1529</v>
      </c>
      <c r="N35" s="588" t="s">
        <v>285</v>
      </c>
      <c r="O35" s="629" t="s">
        <v>1604</v>
      </c>
      <c r="P35" s="605"/>
      <c r="Q35" s="598"/>
      <c r="R35" s="599" t="s">
        <v>1697</v>
      </c>
      <c r="S35" s="598"/>
    </row>
    <row r="36" spans="1:19" s="630" customFormat="1" ht="30.75" customHeight="1">
      <c r="A36" s="595" t="s">
        <v>1299</v>
      </c>
      <c r="B36" s="588" t="s">
        <v>1823</v>
      </c>
      <c r="C36" s="588" t="s">
        <v>1577</v>
      </c>
      <c r="D36" s="588" t="s">
        <v>1829</v>
      </c>
      <c r="E36" s="588"/>
      <c r="F36" s="588"/>
      <c r="G36" s="588" t="s">
        <v>738</v>
      </c>
      <c r="H36" s="588" t="s">
        <v>1675</v>
      </c>
      <c r="I36" s="634"/>
      <c r="J36" s="588">
        <v>2411043015</v>
      </c>
      <c r="K36" s="588" t="s">
        <v>1827</v>
      </c>
      <c r="L36" s="588" t="s">
        <v>1826</v>
      </c>
      <c r="M36" s="588" t="s">
        <v>1529</v>
      </c>
      <c r="N36" s="588" t="s">
        <v>285</v>
      </c>
      <c r="O36" s="588" t="s">
        <v>1734</v>
      </c>
      <c r="P36" s="632"/>
      <c r="Q36" s="599" t="s">
        <v>1290</v>
      </c>
      <c r="R36" s="599" t="s">
        <v>1290</v>
      </c>
      <c r="S36" s="631"/>
    </row>
    <row r="37" spans="1:19" s="630" customFormat="1" ht="30.75" customHeight="1">
      <c r="A37" s="595" t="s">
        <v>1299</v>
      </c>
      <c r="B37" s="588" t="s">
        <v>1823</v>
      </c>
      <c r="C37" s="588" t="s">
        <v>1577</v>
      </c>
      <c r="D37" s="588" t="s">
        <v>1828</v>
      </c>
      <c r="E37" s="588"/>
      <c r="F37" s="588" t="s">
        <v>1570</v>
      </c>
      <c r="G37" s="588" t="s">
        <v>738</v>
      </c>
      <c r="H37" s="588" t="s">
        <v>1675</v>
      </c>
      <c r="I37" s="634"/>
      <c r="J37" s="588">
        <v>2411043015</v>
      </c>
      <c r="K37" s="588" t="s">
        <v>1827</v>
      </c>
      <c r="L37" s="588" t="s">
        <v>1826</v>
      </c>
      <c r="M37" s="588" t="s">
        <v>1529</v>
      </c>
      <c r="N37" s="588" t="s">
        <v>285</v>
      </c>
      <c r="O37" s="588" t="s">
        <v>1604</v>
      </c>
      <c r="P37" s="637" t="s">
        <v>1664</v>
      </c>
      <c r="Q37" s="599" t="s">
        <v>1290</v>
      </c>
      <c r="R37" s="599" t="s">
        <v>1290</v>
      </c>
      <c r="S37" s="631"/>
    </row>
    <row r="38" spans="1:19" s="630" customFormat="1" ht="30.75" customHeight="1">
      <c r="A38" s="595" t="s">
        <v>1298</v>
      </c>
      <c r="B38" s="588" t="s">
        <v>1823</v>
      </c>
      <c r="C38" s="588" t="s">
        <v>1577</v>
      </c>
      <c r="D38" s="588" t="s">
        <v>1825</v>
      </c>
      <c r="E38" s="588" t="s">
        <v>1824</v>
      </c>
      <c r="F38" s="588"/>
      <c r="G38" s="588" t="s">
        <v>738</v>
      </c>
      <c r="H38" s="588" t="s">
        <v>1675</v>
      </c>
      <c r="I38" s="634"/>
      <c r="J38" s="588">
        <v>2411043017</v>
      </c>
      <c r="K38" s="588" t="s">
        <v>1820</v>
      </c>
      <c r="L38" s="588" t="s">
        <v>1819</v>
      </c>
      <c r="M38" s="588" t="s">
        <v>1529</v>
      </c>
      <c r="N38" s="588" t="s">
        <v>285</v>
      </c>
      <c r="O38" s="588" t="s">
        <v>1734</v>
      </c>
      <c r="P38" s="637"/>
      <c r="Q38" s="599" t="s">
        <v>1290</v>
      </c>
      <c r="R38" s="599" t="s">
        <v>1290</v>
      </c>
      <c r="S38" s="631"/>
    </row>
    <row r="39" spans="1:19" s="630" customFormat="1" ht="30.75" customHeight="1">
      <c r="A39" s="595" t="s">
        <v>1298</v>
      </c>
      <c r="B39" s="588" t="s">
        <v>1823</v>
      </c>
      <c r="C39" s="588" t="s">
        <v>1577</v>
      </c>
      <c r="D39" s="588" t="s">
        <v>1822</v>
      </c>
      <c r="E39" s="588" t="s">
        <v>1821</v>
      </c>
      <c r="F39" s="588" t="s">
        <v>1570</v>
      </c>
      <c r="G39" s="588" t="s">
        <v>738</v>
      </c>
      <c r="H39" s="588" t="s">
        <v>1675</v>
      </c>
      <c r="I39" s="634"/>
      <c r="J39" s="588">
        <v>2411043017</v>
      </c>
      <c r="K39" s="588" t="s">
        <v>1820</v>
      </c>
      <c r="L39" s="588" t="s">
        <v>1819</v>
      </c>
      <c r="M39" s="588" t="s">
        <v>1529</v>
      </c>
      <c r="N39" s="588" t="s">
        <v>285</v>
      </c>
      <c r="O39" s="588" t="s">
        <v>1604</v>
      </c>
      <c r="P39" s="637" t="s">
        <v>1664</v>
      </c>
      <c r="Q39" s="599" t="s">
        <v>1290</v>
      </c>
      <c r="R39" s="599" t="s">
        <v>1290</v>
      </c>
      <c r="S39" s="631"/>
    </row>
    <row r="40" spans="1:19" s="630" customFormat="1" ht="30.75" customHeight="1">
      <c r="A40" s="595" t="s">
        <v>1818</v>
      </c>
      <c r="B40" s="588" t="s">
        <v>1290</v>
      </c>
      <c r="C40" s="588"/>
      <c r="D40" s="588" t="s">
        <v>1817</v>
      </c>
      <c r="E40" s="588" t="s">
        <v>1816</v>
      </c>
      <c r="F40" s="588"/>
      <c r="G40" s="588" t="s">
        <v>1737</v>
      </c>
      <c r="H40" s="588" t="s">
        <v>1675</v>
      </c>
      <c r="I40" s="634"/>
      <c r="J40" s="588">
        <v>2411044008</v>
      </c>
      <c r="K40" s="619" t="s">
        <v>1815</v>
      </c>
      <c r="L40" s="588" t="s">
        <v>1814</v>
      </c>
      <c r="M40" s="588" t="s">
        <v>1668</v>
      </c>
      <c r="N40" s="588" t="s">
        <v>285</v>
      </c>
      <c r="O40" s="588" t="s">
        <v>1604</v>
      </c>
      <c r="P40" s="632" t="s">
        <v>1664</v>
      </c>
      <c r="Q40" s="599" t="s">
        <v>1290</v>
      </c>
      <c r="R40" s="599" t="s">
        <v>1290</v>
      </c>
      <c r="S40" s="631"/>
    </row>
    <row r="41" spans="1:19" s="597" customFormat="1" ht="30.75" customHeight="1">
      <c r="A41" s="595" t="s">
        <v>1294</v>
      </c>
      <c r="B41" s="588" t="s">
        <v>1724</v>
      </c>
      <c r="C41" s="588" t="s">
        <v>1723</v>
      </c>
      <c r="D41" s="588" t="s">
        <v>1813</v>
      </c>
      <c r="E41" s="588" t="s">
        <v>1812</v>
      </c>
      <c r="F41" s="588" t="s">
        <v>1541</v>
      </c>
      <c r="G41" s="629" t="s">
        <v>738</v>
      </c>
      <c r="H41" s="588" t="s">
        <v>1561</v>
      </c>
      <c r="I41" s="588"/>
      <c r="J41" s="588">
        <v>2411003007</v>
      </c>
      <c r="K41" s="619" t="s">
        <v>963</v>
      </c>
      <c r="L41" s="629" t="s">
        <v>1808</v>
      </c>
      <c r="M41" s="588" t="s">
        <v>1529</v>
      </c>
      <c r="N41" s="588" t="s">
        <v>285</v>
      </c>
      <c r="O41" s="629" t="s">
        <v>1734</v>
      </c>
      <c r="P41" s="605" t="s">
        <v>1664</v>
      </c>
      <c r="Q41" s="598" t="s">
        <v>444</v>
      </c>
      <c r="R41" s="599" t="s">
        <v>1697</v>
      </c>
      <c r="S41" s="598"/>
    </row>
    <row r="42" spans="1:19" s="597" customFormat="1" ht="30.75" customHeight="1">
      <c r="A42" s="595" t="s">
        <v>1294</v>
      </c>
      <c r="B42" s="588" t="s">
        <v>1724</v>
      </c>
      <c r="C42" s="588" t="s">
        <v>1723</v>
      </c>
      <c r="D42" s="588" t="s">
        <v>1811</v>
      </c>
      <c r="E42" s="588"/>
      <c r="F42" s="588"/>
      <c r="G42" s="629" t="s">
        <v>738</v>
      </c>
      <c r="H42" s="588" t="s">
        <v>1561</v>
      </c>
      <c r="I42" s="588"/>
      <c r="J42" s="588">
        <v>2411003007</v>
      </c>
      <c r="K42" s="588" t="s">
        <v>963</v>
      </c>
      <c r="L42" s="629" t="s">
        <v>1808</v>
      </c>
      <c r="M42" s="588" t="s">
        <v>1529</v>
      </c>
      <c r="N42" s="588" t="s">
        <v>285</v>
      </c>
      <c r="O42" s="629" t="s">
        <v>1604</v>
      </c>
      <c r="P42" s="605"/>
      <c r="Q42" s="598" t="s">
        <v>444</v>
      </c>
      <c r="R42" s="599" t="s">
        <v>1697</v>
      </c>
      <c r="S42" s="598"/>
    </row>
    <row r="43" spans="1:19" s="597" customFormat="1" ht="30.75" customHeight="1">
      <c r="A43" s="595" t="s">
        <v>1294</v>
      </c>
      <c r="B43" s="588" t="s">
        <v>1724</v>
      </c>
      <c r="C43" s="588" t="s">
        <v>1723</v>
      </c>
      <c r="D43" s="588" t="s">
        <v>1810</v>
      </c>
      <c r="E43" s="588"/>
      <c r="F43" s="588"/>
      <c r="G43" s="629" t="s">
        <v>738</v>
      </c>
      <c r="H43" s="588" t="s">
        <v>1560</v>
      </c>
      <c r="I43" s="588"/>
      <c r="J43" s="588">
        <v>2411003006</v>
      </c>
      <c r="K43" s="619" t="s">
        <v>963</v>
      </c>
      <c r="L43" s="629" t="s">
        <v>1808</v>
      </c>
      <c r="M43" s="588" t="s">
        <v>1529</v>
      </c>
      <c r="N43" s="588" t="s">
        <v>285</v>
      </c>
      <c r="O43" s="588" t="s">
        <v>1734</v>
      </c>
      <c r="P43" s="605"/>
      <c r="Q43" s="598" t="s">
        <v>444</v>
      </c>
      <c r="R43" s="599" t="s">
        <v>1697</v>
      </c>
      <c r="S43" s="598"/>
    </row>
    <row r="44" spans="1:19" s="597" customFormat="1" ht="30.75" customHeight="1">
      <c r="A44" s="595" t="s">
        <v>1294</v>
      </c>
      <c r="B44" s="588" t="s">
        <v>1724</v>
      </c>
      <c r="C44" s="588" t="s">
        <v>1723</v>
      </c>
      <c r="D44" s="588" t="s">
        <v>1809</v>
      </c>
      <c r="E44" s="588"/>
      <c r="F44" s="588"/>
      <c r="G44" s="629" t="s">
        <v>738</v>
      </c>
      <c r="H44" s="588" t="s">
        <v>1560</v>
      </c>
      <c r="I44" s="588"/>
      <c r="J44" s="588">
        <v>2411003006</v>
      </c>
      <c r="K44" s="588" t="s">
        <v>963</v>
      </c>
      <c r="L44" s="629" t="s">
        <v>1808</v>
      </c>
      <c r="M44" s="588" t="s">
        <v>1529</v>
      </c>
      <c r="N44" s="588" t="s">
        <v>285</v>
      </c>
      <c r="O44" s="629" t="s">
        <v>1604</v>
      </c>
      <c r="P44" s="605"/>
      <c r="Q44" s="598" t="s">
        <v>444</v>
      </c>
      <c r="R44" s="599" t="s">
        <v>1697</v>
      </c>
      <c r="S44" s="598"/>
    </row>
    <row r="45" spans="1:19" s="630" customFormat="1" ht="30.75" customHeight="1">
      <c r="A45" s="636" t="s">
        <v>1807</v>
      </c>
      <c r="B45" s="629" t="s">
        <v>1290</v>
      </c>
      <c r="C45" s="629"/>
      <c r="D45" s="629" t="s">
        <v>1806</v>
      </c>
      <c r="E45" s="588" t="s">
        <v>1805</v>
      </c>
      <c r="F45" s="588" t="s">
        <v>1570</v>
      </c>
      <c r="G45" s="588" t="s">
        <v>1644</v>
      </c>
      <c r="H45" s="588" t="s">
        <v>1561</v>
      </c>
      <c r="I45" s="634"/>
      <c r="J45" s="588">
        <v>2411042002</v>
      </c>
      <c r="K45" s="588" t="s">
        <v>1804</v>
      </c>
      <c r="L45" s="588" t="s">
        <v>1795</v>
      </c>
      <c r="M45" s="588" t="s">
        <v>1515</v>
      </c>
      <c r="N45" s="588" t="s">
        <v>285</v>
      </c>
      <c r="O45" s="588" t="s">
        <v>1604</v>
      </c>
      <c r="P45" s="632"/>
      <c r="Q45" s="624" t="s">
        <v>1113</v>
      </c>
      <c r="R45" s="599" t="s">
        <v>1798</v>
      </c>
      <c r="S45" s="631"/>
    </row>
    <row r="46" spans="1:19" s="630" customFormat="1" ht="30.75" customHeight="1">
      <c r="A46" s="636" t="s">
        <v>1803</v>
      </c>
      <c r="B46" s="629" t="s">
        <v>1290</v>
      </c>
      <c r="C46" s="629"/>
      <c r="D46" s="629" t="s">
        <v>1802</v>
      </c>
      <c r="E46" s="588" t="s">
        <v>1801</v>
      </c>
      <c r="F46" s="588"/>
      <c r="G46" s="588" t="s">
        <v>1800</v>
      </c>
      <c r="H46" s="588" t="s">
        <v>1561</v>
      </c>
      <c r="I46" s="634"/>
      <c r="J46" s="567" t="s">
        <v>1510</v>
      </c>
      <c r="K46" s="635" t="s">
        <v>1573</v>
      </c>
      <c r="L46" s="588" t="s">
        <v>1795</v>
      </c>
      <c r="M46" s="588" t="s">
        <v>1799</v>
      </c>
      <c r="N46" s="588" t="s">
        <v>285</v>
      </c>
      <c r="O46" s="588" t="s">
        <v>1604</v>
      </c>
      <c r="P46" s="632"/>
      <c r="Q46" s="599" t="s">
        <v>1510</v>
      </c>
      <c r="R46" s="599" t="s">
        <v>1798</v>
      </c>
      <c r="S46" s="631"/>
    </row>
    <row r="47" spans="1:19" s="630" customFormat="1" ht="30.75" customHeight="1">
      <c r="A47" s="595" t="s">
        <v>1488</v>
      </c>
      <c r="B47" s="588"/>
      <c r="C47" s="588"/>
      <c r="D47" s="588" t="s">
        <v>1797</v>
      </c>
      <c r="E47" s="588" t="s">
        <v>1796</v>
      </c>
      <c r="F47" s="588" t="s">
        <v>1570</v>
      </c>
      <c r="G47" s="588" t="s">
        <v>738</v>
      </c>
      <c r="H47" s="588" t="s">
        <v>1561</v>
      </c>
      <c r="I47" s="634"/>
      <c r="J47" s="633">
        <v>2411043019</v>
      </c>
      <c r="K47" s="619" t="s">
        <v>1572</v>
      </c>
      <c r="L47" s="588" t="s">
        <v>1795</v>
      </c>
      <c r="M47" s="588" t="s">
        <v>1529</v>
      </c>
      <c r="N47" s="588" t="s">
        <v>285</v>
      </c>
      <c r="O47" s="588" t="s">
        <v>1604</v>
      </c>
      <c r="P47" s="632"/>
      <c r="Q47" s="599" t="s">
        <v>1510</v>
      </c>
      <c r="R47" s="599" t="s">
        <v>1794</v>
      </c>
      <c r="S47" s="631"/>
    </row>
    <row r="48" spans="1:19" s="597" customFormat="1" ht="30.75" customHeight="1">
      <c r="A48" s="595" t="s">
        <v>1793</v>
      </c>
      <c r="B48" s="588" t="s">
        <v>1290</v>
      </c>
      <c r="C48" s="629" t="s">
        <v>1577</v>
      </c>
      <c r="D48" s="588" t="s">
        <v>435</v>
      </c>
      <c r="E48" s="588"/>
      <c r="F48" s="588"/>
      <c r="G48" s="629" t="s">
        <v>349</v>
      </c>
      <c r="H48" s="588" t="s">
        <v>1561</v>
      </c>
      <c r="I48" s="588" t="s">
        <v>1290</v>
      </c>
      <c r="J48" s="588">
        <v>2410782003</v>
      </c>
      <c r="K48" s="588" t="s">
        <v>1792</v>
      </c>
      <c r="L48" s="629" t="s">
        <v>1571</v>
      </c>
      <c r="M48" s="588" t="s">
        <v>431</v>
      </c>
      <c r="N48" s="588" t="s">
        <v>285</v>
      </c>
      <c r="O48" s="629" t="s">
        <v>1734</v>
      </c>
      <c r="P48" s="605"/>
      <c r="Q48" s="599" t="s">
        <v>1290</v>
      </c>
      <c r="R48" s="599" t="s">
        <v>1290</v>
      </c>
      <c r="S48" s="598" t="s">
        <v>1728</v>
      </c>
    </row>
    <row r="49" spans="1:19" s="597" customFormat="1" ht="30.75" customHeight="1">
      <c r="A49" s="595" t="s">
        <v>1793</v>
      </c>
      <c r="B49" s="588" t="s">
        <v>1290</v>
      </c>
      <c r="C49" s="629" t="s">
        <v>1577</v>
      </c>
      <c r="D49" s="588" t="s">
        <v>826</v>
      </c>
      <c r="E49" s="588"/>
      <c r="F49" s="588"/>
      <c r="G49" s="629" t="s">
        <v>349</v>
      </c>
      <c r="H49" s="588" t="s">
        <v>1561</v>
      </c>
      <c r="I49" s="588" t="s">
        <v>1290</v>
      </c>
      <c r="J49" s="588">
        <v>2410782003</v>
      </c>
      <c r="K49" s="588" t="s">
        <v>1792</v>
      </c>
      <c r="L49" s="629" t="s">
        <v>1571</v>
      </c>
      <c r="M49" s="588" t="s">
        <v>431</v>
      </c>
      <c r="N49" s="588" t="s">
        <v>285</v>
      </c>
      <c r="O49" s="629" t="s">
        <v>1604</v>
      </c>
      <c r="P49" s="605"/>
      <c r="Q49" s="599" t="s">
        <v>1290</v>
      </c>
      <c r="R49" s="599" t="s">
        <v>1290</v>
      </c>
      <c r="S49" s="598" t="s">
        <v>1728</v>
      </c>
    </row>
    <row r="50" spans="1:19" s="597" customFormat="1" ht="30.75" customHeight="1">
      <c r="A50" s="595" t="s">
        <v>1791</v>
      </c>
      <c r="B50" s="588" t="s">
        <v>1290</v>
      </c>
      <c r="C50" s="588" t="s">
        <v>1739</v>
      </c>
      <c r="D50" s="588" t="s">
        <v>441</v>
      </c>
      <c r="E50" s="588"/>
      <c r="F50" s="588"/>
      <c r="G50" s="629" t="s">
        <v>349</v>
      </c>
      <c r="H50" s="588" t="s">
        <v>1675</v>
      </c>
      <c r="I50" s="588" t="s">
        <v>1290</v>
      </c>
      <c r="J50" s="588">
        <v>2410782002</v>
      </c>
      <c r="K50" s="588" t="s">
        <v>1790</v>
      </c>
      <c r="L50" s="629" t="s">
        <v>1789</v>
      </c>
      <c r="M50" s="588" t="s">
        <v>431</v>
      </c>
      <c r="N50" s="588" t="s">
        <v>285</v>
      </c>
      <c r="O50" s="629" t="s">
        <v>1734</v>
      </c>
      <c r="P50" s="605"/>
      <c r="Q50" s="599" t="s">
        <v>1290</v>
      </c>
      <c r="R50" s="599" t="s">
        <v>1290</v>
      </c>
      <c r="S50" s="598" t="s">
        <v>1728</v>
      </c>
    </row>
    <row r="51" spans="1:19" s="597" customFormat="1" ht="30.75" customHeight="1">
      <c r="A51" s="595" t="s">
        <v>1791</v>
      </c>
      <c r="B51" s="588" t="s">
        <v>1290</v>
      </c>
      <c r="C51" s="588" t="s">
        <v>1739</v>
      </c>
      <c r="D51" s="588" t="s">
        <v>822</v>
      </c>
      <c r="E51" s="588"/>
      <c r="F51" s="588"/>
      <c r="G51" s="629" t="s">
        <v>349</v>
      </c>
      <c r="H51" s="588" t="s">
        <v>1675</v>
      </c>
      <c r="I51" s="588" t="s">
        <v>1290</v>
      </c>
      <c r="J51" s="588">
        <v>2410782002</v>
      </c>
      <c r="K51" s="588" t="s">
        <v>1790</v>
      </c>
      <c r="L51" s="629" t="s">
        <v>1789</v>
      </c>
      <c r="M51" s="588" t="s">
        <v>431</v>
      </c>
      <c r="N51" s="588" t="s">
        <v>285</v>
      </c>
      <c r="O51" s="629" t="s">
        <v>1604</v>
      </c>
      <c r="P51" s="605"/>
      <c r="Q51" s="599" t="s">
        <v>1290</v>
      </c>
      <c r="R51" s="599" t="s">
        <v>1290</v>
      </c>
      <c r="S51" s="598" t="s">
        <v>1728</v>
      </c>
    </row>
    <row r="52" spans="1:19" s="597" customFormat="1" ht="30.75" customHeight="1">
      <c r="A52" s="595" t="s">
        <v>1297</v>
      </c>
      <c r="B52" s="588" t="s">
        <v>1290</v>
      </c>
      <c r="C52" s="629" t="s">
        <v>1577</v>
      </c>
      <c r="D52" s="588" t="s">
        <v>453</v>
      </c>
      <c r="E52" s="588" t="s">
        <v>1788</v>
      </c>
      <c r="F52" s="588"/>
      <c r="G52" s="629" t="s">
        <v>738</v>
      </c>
      <c r="H52" s="588" t="s">
        <v>1561</v>
      </c>
      <c r="I52" s="588" t="s">
        <v>1290</v>
      </c>
      <c r="J52" s="588">
        <v>2411003010</v>
      </c>
      <c r="K52" s="619" t="s">
        <v>1786</v>
      </c>
      <c r="L52" s="629" t="s">
        <v>1785</v>
      </c>
      <c r="M52" s="588" t="s">
        <v>1529</v>
      </c>
      <c r="N52" s="588" t="s">
        <v>285</v>
      </c>
      <c r="O52" s="629" t="s">
        <v>1734</v>
      </c>
      <c r="P52" s="605"/>
      <c r="Q52" s="599" t="s">
        <v>1290</v>
      </c>
      <c r="R52" s="599" t="s">
        <v>1290</v>
      </c>
      <c r="S52" s="598" t="s">
        <v>1728</v>
      </c>
    </row>
    <row r="53" spans="1:19" s="597" customFormat="1" ht="30.75" customHeight="1">
      <c r="A53" s="595" t="s">
        <v>1297</v>
      </c>
      <c r="B53" s="588" t="s">
        <v>1290</v>
      </c>
      <c r="C53" s="629" t="s">
        <v>1577</v>
      </c>
      <c r="D53" s="588" t="s">
        <v>815</v>
      </c>
      <c r="E53" s="588" t="s">
        <v>1787</v>
      </c>
      <c r="F53" s="588" t="s">
        <v>1570</v>
      </c>
      <c r="G53" s="629" t="s">
        <v>738</v>
      </c>
      <c r="H53" s="588" t="s">
        <v>1561</v>
      </c>
      <c r="I53" s="588" t="s">
        <v>1290</v>
      </c>
      <c r="J53" s="588">
        <v>2411003010</v>
      </c>
      <c r="K53" s="619" t="s">
        <v>1786</v>
      </c>
      <c r="L53" s="629" t="s">
        <v>1785</v>
      </c>
      <c r="M53" s="588" t="s">
        <v>1529</v>
      </c>
      <c r="N53" s="588" t="s">
        <v>285</v>
      </c>
      <c r="O53" s="629" t="s">
        <v>1604</v>
      </c>
      <c r="P53" s="605"/>
      <c r="Q53" s="599" t="s">
        <v>1290</v>
      </c>
      <c r="R53" s="599" t="s">
        <v>1290</v>
      </c>
      <c r="S53" s="598" t="s">
        <v>1728</v>
      </c>
    </row>
    <row r="54" spans="1:19" s="597" customFormat="1" ht="30.75" customHeight="1">
      <c r="A54" s="595" t="s">
        <v>1296</v>
      </c>
      <c r="B54" s="588" t="s">
        <v>1290</v>
      </c>
      <c r="C54" s="629" t="s">
        <v>1577</v>
      </c>
      <c r="D54" s="588" t="s">
        <v>528</v>
      </c>
      <c r="E54" s="588"/>
      <c r="F54" s="588"/>
      <c r="G54" s="629" t="s">
        <v>1779</v>
      </c>
      <c r="H54" s="588" t="s">
        <v>1561</v>
      </c>
      <c r="I54" s="588"/>
      <c r="J54" s="588">
        <v>2411303001</v>
      </c>
      <c r="K54" s="619" t="s">
        <v>525</v>
      </c>
      <c r="L54" s="629" t="s">
        <v>1785</v>
      </c>
      <c r="M54" s="588" t="s">
        <v>1554</v>
      </c>
      <c r="N54" s="588" t="s">
        <v>285</v>
      </c>
      <c r="O54" s="629" t="s">
        <v>1734</v>
      </c>
      <c r="P54" s="605"/>
      <c r="Q54" s="599" t="s">
        <v>1290</v>
      </c>
      <c r="R54" s="599" t="s">
        <v>1290</v>
      </c>
      <c r="S54" s="598" t="s">
        <v>1728</v>
      </c>
    </row>
    <row r="55" spans="1:19" s="597" customFormat="1" ht="30.75" customHeight="1">
      <c r="A55" s="595" t="s">
        <v>1296</v>
      </c>
      <c r="B55" s="588" t="s">
        <v>1290</v>
      </c>
      <c r="C55" s="588" t="s">
        <v>1577</v>
      </c>
      <c r="D55" s="588" t="s">
        <v>1270</v>
      </c>
      <c r="E55" s="588" t="s">
        <v>1780</v>
      </c>
      <c r="F55" s="588" t="s">
        <v>1570</v>
      </c>
      <c r="G55" s="588" t="s">
        <v>1779</v>
      </c>
      <c r="H55" s="588" t="s">
        <v>1610</v>
      </c>
      <c r="I55" s="588"/>
      <c r="J55" s="588">
        <v>2411303001</v>
      </c>
      <c r="K55" s="619" t="s">
        <v>525</v>
      </c>
      <c r="L55" s="588" t="s">
        <v>1773</v>
      </c>
      <c r="M55" s="588" t="s">
        <v>1554</v>
      </c>
      <c r="N55" s="588" t="s">
        <v>285</v>
      </c>
      <c r="O55" s="588" t="s">
        <v>1604</v>
      </c>
      <c r="P55" s="605"/>
      <c r="Q55" s="599" t="s">
        <v>1290</v>
      </c>
      <c r="R55" s="599" t="s">
        <v>1290</v>
      </c>
      <c r="S55" s="598" t="s">
        <v>1728</v>
      </c>
    </row>
    <row r="56" spans="1:19" s="597" customFormat="1" ht="30.75" customHeight="1">
      <c r="A56" s="595" t="s">
        <v>1784</v>
      </c>
      <c r="B56" s="588"/>
      <c r="C56" s="588"/>
      <c r="D56" s="588" t="s">
        <v>1569</v>
      </c>
      <c r="E56" s="588"/>
      <c r="F56" s="588"/>
      <c r="G56" s="588" t="s">
        <v>1779</v>
      </c>
      <c r="H56" s="588" t="s">
        <v>1561</v>
      </c>
      <c r="I56" s="588"/>
      <c r="J56" s="588">
        <v>2411303003</v>
      </c>
      <c r="K56" s="619" t="s">
        <v>525</v>
      </c>
      <c r="L56" s="588" t="s">
        <v>1773</v>
      </c>
      <c r="M56" s="588" t="s">
        <v>1554</v>
      </c>
      <c r="N56" s="588" t="s">
        <v>285</v>
      </c>
      <c r="O56" s="588" t="s">
        <v>1604</v>
      </c>
      <c r="P56" s="605"/>
      <c r="Q56" s="599" t="s">
        <v>1290</v>
      </c>
      <c r="R56" s="599" t="s">
        <v>1290</v>
      </c>
      <c r="S56" s="598" t="s">
        <v>1728</v>
      </c>
    </row>
    <row r="57" spans="1:19" s="597" customFormat="1" ht="30.75" customHeight="1">
      <c r="A57" s="595" t="s">
        <v>1772</v>
      </c>
      <c r="B57" s="588" t="s">
        <v>1290</v>
      </c>
      <c r="C57" s="588" t="s">
        <v>1577</v>
      </c>
      <c r="D57" s="588" t="s">
        <v>1568</v>
      </c>
      <c r="E57" s="588"/>
      <c r="F57" s="588"/>
      <c r="G57" s="588" t="s">
        <v>1737</v>
      </c>
      <c r="H57" s="588"/>
      <c r="I57" s="588"/>
      <c r="J57" s="588"/>
      <c r="K57" s="619"/>
      <c r="L57" s="588"/>
      <c r="M57" s="588"/>
      <c r="N57" s="588" t="s">
        <v>285</v>
      </c>
      <c r="O57" s="588" t="s">
        <v>1734</v>
      </c>
      <c r="P57" s="605"/>
      <c r="Q57" s="599" t="s">
        <v>1290</v>
      </c>
      <c r="R57" s="599" t="s">
        <v>1290</v>
      </c>
      <c r="S57" s="598" t="s">
        <v>1728</v>
      </c>
    </row>
    <row r="58" spans="1:19" s="597" customFormat="1" ht="30.75" customHeight="1">
      <c r="A58" s="595" t="s">
        <v>1783</v>
      </c>
      <c r="B58" s="588"/>
      <c r="C58" s="588"/>
      <c r="D58" s="588" t="s">
        <v>1567</v>
      </c>
      <c r="E58" s="588" t="s">
        <v>1780</v>
      </c>
      <c r="F58" s="588"/>
      <c r="G58" s="588" t="s">
        <v>1779</v>
      </c>
      <c r="H58" s="588" t="s">
        <v>1560</v>
      </c>
      <c r="I58" s="588"/>
      <c r="J58" s="588">
        <v>2411303001</v>
      </c>
      <c r="K58" s="619" t="s">
        <v>525</v>
      </c>
      <c r="L58" s="588" t="s">
        <v>1778</v>
      </c>
      <c r="M58" s="588" t="s">
        <v>1554</v>
      </c>
      <c r="N58" s="588" t="s">
        <v>285</v>
      </c>
      <c r="O58" s="588" t="s">
        <v>1604</v>
      </c>
      <c r="P58" s="605"/>
      <c r="Q58" s="599" t="s">
        <v>1290</v>
      </c>
      <c r="R58" s="599" t="s">
        <v>1290</v>
      </c>
      <c r="S58" s="598" t="s">
        <v>1778</v>
      </c>
    </row>
    <row r="59" spans="1:19" s="597" customFormat="1" ht="30.75" customHeight="1">
      <c r="A59" s="595" t="s">
        <v>1782</v>
      </c>
      <c r="B59" s="588"/>
      <c r="C59" s="588"/>
      <c r="D59" s="588" t="s">
        <v>1566</v>
      </c>
      <c r="E59" s="588" t="s">
        <v>1780</v>
      </c>
      <c r="F59" s="588"/>
      <c r="G59" s="588" t="s">
        <v>1779</v>
      </c>
      <c r="H59" s="588" t="s">
        <v>1559</v>
      </c>
      <c r="I59" s="588"/>
      <c r="J59" s="588">
        <v>2411303001</v>
      </c>
      <c r="K59" s="619" t="s">
        <v>525</v>
      </c>
      <c r="L59" s="588" t="s">
        <v>1778</v>
      </c>
      <c r="M59" s="588" t="s">
        <v>1554</v>
      </c>
      <c r="N59" s="588" t="s">
        <v>285</v>
      </c>
      <c r="O59" s="588" t="s">
        <v>1604</v>
      </c>
      <c r="P59" s="605"/>
      <c r="Q59" s="599" t="s">
        <v>1290</v>
      </c>
      <c r="R59" s="599" t="s">
        <v>1290</v>
      </c>
      <c r="S59" s="598" t="s">
        <v>1778</v>
      </c>
    </row>
    <row r="60" spans="1:19" s="597" customFormat="1" ht="30.75" customHeight="1">
      <c r="A60" s="595" t="s">
        <v>1781</v>
      </c>
      <c r="B60" s="588"/>
      <c r="C60" s="588"/>
      <c r="D60" s="588" t="s">
        <v>1565</v>
      </c>
      <c r="E60" s="588" t="s">
        <v>1780</v>
      </c>
      <c r="F60" s="588"/>
      <c r="G60" s="588" t="s">
        <v>1779</v>
      </c>
      <c r="H60" s="588" t="s">
        <v>1561</v>
      </c>
      <c r="I60" s="588"/>
      <c r="J60" s="588">
        <v>2411303001</v>
      </c>
      <c r="K60" s="619" t="s">
        <v>525</v>
      </c>
      <c r="L60" s="588" t="s">
        <v>1778</v>
      </c>
      <c r="M60" s="588" t="s">
        <v>1554</v>
      </c>
      <c r="N60" s="588" t="s">
        <v>285</v>
      </c>
      <c r="O60" s="588" t="s">
        <v>1604</v>
      </c>
      <c r="P60" s="605"/>
      <c r="Q60" s="599" t="s">
        <v>1290</v>
      </c>
      <c r="R60" s="599" t="s">
        <v>1290</v>
      </c>
      <c r="S60" s="598" t="s">
        <v>1778</v>
      </c>
    </row>
    <row r="61" spans="1:19" s="597" customFormat="1" ht="30.75" customHeight="1">
      <c r="A61" s="595" t="s">
        <v>1772</v>
      </c>
      <c r="B61" s="588" t="s">
        <v>1290</v>
      </c>
      <c r="C61" s="629" t="s">
        <v>1577</v>
      </c>
      <c r="D61" s="588" t="s">
        <v>1564</v>
      </c>
      <c r="E61" s="588" t="s">
        <v>1777</v>
      </c>
      <c r="F61" s="588"/>
      <c r="G61" s="629" t="s">
        <v>1737</v>
      </c>
      <c r="H61" s="629" t="s">
        <v>1675</v>
      </c>
      <c r="I61" s="588"/>
      <c r="J61" s="588">
        <v>2411004007</v>
      </c>
      <c r="K61" s="588" t="s">
        <v>1510</v>
      </c>
      <c r="L61" s="629"/>
      <c r="M61" s="588"/>
      <c r="N61" s="588" t="s">
        <v>285</v>
      </c>
      <c r="O61" s="629" t="s">
        <v>1604</v>
      </c>
      <c r="P61" s="605"/>
      <c r="Q61" s="599" t="s">
        <v>1290</v>
      </c>
      <c r="R61" s="599" t="s">
        <v>1290</v>
      </c>
      <c r="S61" s="598" t="s">
        <v>1728</v>
      </c>
    </row>
    <row r="62" spans="1:19" s="597" customFormat="1" ht="30.75" customHeight="1">
      <c r="A62" s="595" t="s">
        <v>1776</v>
      </c>
      <c r="B62" s="588" t="s">
        <v>1290</v>
      </c>
      <c r="C62" s="588" t="s">
        <v>1577</v>
      </c>
      <c r="D62" s="588" t="s">
        <v>1563</v>
      </c>
      <c r="E62" s="588"/>
      <c r="F62" s="588"/>
      <c r="G62" s="588" t="s">
        <v>1752</v>
      </c>
      <c r="H62" s="629" t="s">
        <v>1675</v>
      </c>
      <c r="I62" s="588"/>
      <c r="J62" s="588">
        <v>2411304001</v>
      </c>
      <c r="K62" s="619" t="s">
        <v>1774</v>
      </c>
      <c r="L62" s="588" t="s">
        <v>1773</v>
      </c>
      <c r="M62" s="588" t="s">
        <v>1535</v>
      </c>
      <c r="N62" s="588" t="s">
        <v>285</v>
      </c>
      <c r="O62" s="588" t="s">
        <v>1734</v>
      </c>
      <c r="P62" s="605"/>
      <c r="Q62" s="599" t="s">
        <v>1290</v>
      </c>
      <c r="R62" s="599" t="s">
        <v>1290</v>
      </c>
      <c r="S62" s="598" t="s">
        <v>1728</v>
      </c>
    </row>
    <row r="63" spans="1:19" s="597" customFormat="1" ht="30.75" customHeight="1">
      <c r="A63" s="595" t="s">
        <v>1776</v>
      </c>
      <c r="B63" s="588"/>
      <c r="C63" s="588"/>
      <c r="D63" s="588" t="s">
        <v>1562</v>
      </c>
      <c r="E63" s="588" t="s">
        <v>1775</v>
      </c>
      <c r="F63" s="588"/>
      <c r="G63" s="588" t="s">
        <v>1752</v>
      </c>
      <c r="H63" s="588" t="s">
        <v>1675</v>
      </c>
      <c r="I63" s="588"/>
      <c r="J63" s="588">
        <v>2411304001</v>
      </c>
      <c r="K63" s="619" t="s">
        <v>1774</v>
      </c>
      <c r="L63" s="588" t="s">
        <v>1773</v>
      </c>
      <c r="M63" s="588" t="s">
        <v>1535</v>
      </c>
      <c r="N63" s="588" t="s">
        <v>285</v>
      </c>
      <c r="O63" s="588" t="s">
        <v>1604</v>
      </c>
      <c r="P63" s="605"/>
      <c r="Q63" s="599" t="s">
        <v>1290</v>
      </c>
      <c r="R63" s="599" t="s">
        <v>1290</v>
      </c>
      <c r="S63" s="598" t="s">
        <v>1728</v>
      </c>
    </row>
    <row r="64" spans="1:19" s="597" customFormat="1" ht="30.75" customHeight="1">
      <c r="A64" s="595" t="s">
        <v>1772</v>
      </c>
      <c r="B64" s="588" t="s">
        <v>1290</v>
      </c>
      <c r="C64" s="629" t="s">
        <v>1577</v>
      </c>
      <c r="D64" s="588" t="s">
        <v>1771</v>
      </c>
      <c r="E64" s="588"/>
      <c r="F64" s="588"/>
      <c r="G64" s="629" t="s">
        <v>1752</v>
      </c>
      <c r="H64" s="629" t="s">
        <v>1675</v>
      </c>
      <c r="I64" s="588"/>
      <c r="J64" s="588"/>
      <c r="K64" s="619"/>
      <c r="L64" s="629"/>
      <c r="M64" s="588" t="s">
        <v>1668</v>
      </c>
      <c r="N64" s="588" t="s">
        <v>285</v>
      </c>
      <c r="O64" s="629" t="s">
        <v>1604</v>
      </c>
      <c r="P64" s="605"/>
      <c r="Q64" s="599" t="s">
        <v>1290</v>
      </c>
      <c r="R64" s="599" t="s">
        <v>1290</v>
      </c>
      <c r="S64" s="598" t="s">
        <v>1728</v>
      </c>
    </row>
    <row r="65" spans="1:19" s="597" customFormat="1" ht="30.75" customHeight="1">
      <c r="A65" s="595" t="s">
        <v>1770</v>
      </c>
      <c r="B65" s="588"/>
      <c r="C65" s="629"/>
      <c r="D65" s="588" t="s">
        <v>1769</v>
      </c>
      <c r="E65" s="588"/>
      <c r="F65" s="588"/>
      <c r="G65" s="588" t="s">
        <v>1764</v>
      </c>
      <c r="H65" s="629" t="s">
        <v>1675</v>
      </c>
      <c r="I65" s="629"/>
      <c r="J65" s="629">
        <v>2411042001</v>
      </c>
      <c r="K65" s="629" t="s">
        <v>1763</v>
      </c>
      <c r="L65" s="629" t="s">
        <v>1768</v>
      </c>
      <c r="M65" s="588" t="s">
        <v>1515</v>
      </c>
      <c r="N65" s="588" t="s">
        <v>285</v>
      </c>
      <c r="O65" s="629" t="s">
        <v>1734</v>
      </c>
      <c r="P65" s="605"/>
      <c r="Q65" s="599" t="s">
        <v>1290</v>
      </c>
      <c r="R65" s="599" t="s">
        <v>1290</v>
      </c>
      <c r="S65" s="598" t="s">
        <v>1728</v>
      </c>
    </row>
    <row r="66" spans="1:19" s="597" customFormat="1" ht="30.75" customHeight="1">
      <c r="A66" s="595" t="s">
        <v>1767</v>
      </c>
      <c r="B66" s="588"/>
      <c r="C66" s="588"/>
      <c r="D66" s="588" t="s">
        <v>1766</v>
      </c>
      <c r="E66" s="588" t="s">
        <v>1765</v>
      </c>
      <c r="F66" s="588" t="s">
        <v>1541</v>
      </c>
      <c r="G66" s="588" t="s">
        <v>1764</v>
      </c>
      <c r="H66" s="588" t="s">
        <v>1675</v>
      </c>
      <c r="I66" s="588"/>
      <c r="J66" s="588">
        <v>2411042001</v>
      </c>
      <c r="K66" s="588" t="s">
        <v>1763</v>
      </c>
      <c r="L66" s="588" t="s">
        <v>1762</v>
      </c>
      <c r="M66" s="588" t="s">
        <v>1515</v>
      </c>
      <c r="N66" s="588" t="s">
        <v>285</v>
      </c>
      <c r="O66" s="588" t="s">
        <v>1604</v>
      </c>
      <c r="P66" s="605"/>
      <c r="Q66" s="599" t="s">
        <v>1290</v>
      </c>
      <c r="R66" s="599" t="s">
        <v>1290</v>
      </c>
      <c r="S66" s="598" t="s">
        <v>1728</v>
      </c>
    </row>
    <row r="67" spans="1:19" s="597" customFormat="1" ht="30.75" customHeight="1">
      <c r="A67" s="595" t="s">
        <v>1760</v>
      </c>
      <c r="B67" s="588"/>
      <c r="C67" s="629"/>
      <c r="D67" s="588" t="s">
        <v>1761</v>
      </c>
      <c r="E67" s="588"/>
      <c r="F67" s="588"/>
      <c r="G67" s="588" t="s">
        <v>1682</v>
      </c>
      <c r="H67" s="629" t="s">
        <v>1675</v>
      </c>
      <c r="I67" s="629"/>
      <c r="J67" s="629">
        <v>2411043018</v>
      </c>
      <c r="K67" s="629" t="s">
        <v>1757</v>
      </c>
      <c r="L67" s="629" t="s">
        <v>1756</v>
      </c>
      <c r="M67" s="588" t="s">
        <v>1529</v>
      </c>
      <c r="N67" s="588" t="s">
        <v>285</v>
      </c>
      <c r="O67" s="629" t="s">
        <v>1734</v>
      </c>
      <c r="P67" s="605"/>
      <c r="Q67" s="599" t="s">
        <v>1290</v>
      </c>
      <c r="R67" s="599" t="s">
        <v>1290</v>
      </c>
      <c r="S67" s="598" t="s">
        <v>1728</v>
      </c>
    </row>
    <row r="68" spans="1:19" s="597" customFormat="1" ht="30.75" customHeight="1">
      <c r="A68" s="595" t="s">
        <v>1760</v>
      </c>
      <c r="B68" s="588"/>
      <c r="C68" s="588"/>
      <c r="D68" s="588" t="s">
        <v>1759</v>
      </c>
      <c r="E68" s="588" t="s">
        <v>1758</v>
      </c>
      <c r="F68" s="588"/>
      <c r="G68" s="588" t="s">
        <v>1682</v>
      </c>
      <c r="H68" s="588" t="s">
        <v>1675</v>
      </c>
      <c r="I68" s="588"/>
      <c r="J68" s="588">
        <v>2411043018</v>
      </c>
      <c r="K68" s="588" t="s">
        <v>1757</v>
      </c>
      <c r="L68" s="588" t="s">
        <v>1756</v>
      </c>
      <c r="M68" s="588" t="s">
        <v>1529</v>
      </c>
      <c r="N68" s="588" t="s">
        <v>285</v>
      </c>
      <c r="O68" s="588" t="s">
        <v>1604</v>
      </c>
      <c r="P68" s="605"/>
      <c r="Q68" s="599" t="s">
        <v>1290</v>
      </c>
      <c r="R68" s="599" t="s">
        <v>1290</v>
      </c>
      <c r="S68" s="598" t="s">
        <v>1728</v>
      </c>
    </row>
    <row r="69" spans="1:19" s="597" customFormat="1" ht="30.75" customHeight="1">
      <c r="A69" s="595" t="s">
        <v>1755</v>
      </c>
      <c r="B69" s="588"/>
      <c r="C69" s="588"/>
      <c r="D69" s="588" t="s">
        <v>1754</v>
      </c>
      <c r="E69" s="588" t="s">
        <v>1753</v>
      </c>
      <c r="F69" s="588"/>
      <c r="G69" s="588" t="s">
        <v>1752</v>
      </c>
      <c r="H69" s="588" t="s">
        <v>1675</v>
      </c>
      <c r="I69" s="588"/>
      <c r="J69" s="588">
        <v>2411304001</v>
      </c>
      <c r="K69" s="588" t="s">
        <v>1510</v>
      </c>
      <c r="L69" s="588" t="s">
        <v>1748</v>
      </c>
      <c r="M69" s="588" t="s">
        <v>1535</v>
      </c>
      <c r="N69" s="588" t="s">
        <v>285</v>
      </c>
      <c r="O69" s="588" t="s">
        <v>1604</v>
      </c>
      <c r="P69" s="605"/>
      <c r="Q69" s="599" t="s">
        <v>1290</v>
      </c>
      <c r="R69" s="599" t="s">
        <v>1290</v>
      </c>
      <c r="S69" s="598"/>
    </row>
    <row r="70" spans="1:19" s="597" customFormat="1" ht="30.75" customHeight="1">
      <c r="A70" s="595" t="s">
        <v>1751</v>
      </c>
      <c r="B70" s="588"/>
      <c r="C70" s="588"/>
      <c r="D70" s="588" t="s">
        <v>1750</v>
      </c>
      <c r="E70" s="588" t="s">
        <v>1749</v>
      </c>
      <c r="F70" s="588"/>
      <c r="G70" s="588" t="s">
        <v>1737</v>
      </c>
      <c r="H70" s="588" t="s">
        <v>1675</v>
      </c>
      <c r="I70" s="588"/>
      <c r="J70" s="588" t="s">
        <v>1510</v>
      </c>
      <c r="K70" s="588" t="s">
        <v>1510</v>
      </c>
      <c r="L70" s="588" t="s">
        <v>1748</v>
      </c>
      <c r="M70" s="588" t="s">
        <v>1668</v>
      </c>
      <c r="N70" s="588" t="s">
        <v>285</v>
      </c>
      <c r="O70" s="588" t="s">
        <v>1604</v>
      </c>
      <c r="P70" s="605"/>
      <c r="Q70" s="599" t="s">
        <v>1290</v>
      </c>
      <c r="R70" s="599" t="s">
        <v>1290</v>
      </c>
      <c r="S70" s="598"/>
    </row>
    <row r="71" spans="1:19" s="597" customFormat="1" ht="30.75" customHeight="1">
      <c r="A71" s="595" t="s">
        <v>1295</v>
      </c>
      <c r="B71" s="588" t="s">
        <v>1290</v>
      </c>
      <c r="C71" s="588" t="s">
        <v>1739</v>
      </c>
      <c r="D71" s="588" t="s">
        <v>449</v>
      </c>
      <c r="E71" s="588"/>
      <c r="F71" s="588"/>
      <c r="G71" s="629" t="s">
        <v>738</v>
      </c>
      <c r="H71" s="588" t="s">
        <v>1561</v>
      </c>
      <c r="I71" s="588" t="s">
        <v>1290</v>
      </c>
      <c r="J71" s="588">
        <v>2411003011</v>
      </c>
      <c r="K71" s="619" t="s">
        <v>1747</v>
      </c>
      <c r="L71" s="629" t="s">
        <v>1745</v>
      </c>
      <c r="M71" s="588" t="s">
        <v>1529</v>
      </c>
      <c r="N71" s="588" t="s">
        <v>285</v>
      </c>
      <c r="O71" s="629" t="s">
        <v>1734</v>
      </c>
      <c r="P71" s="605"/>
      <c r="Q71" s="599" t="s">
        <v>1290</v>
      </c>
      <c r="R71" s="599" t="s">
        <v>1290</v>
      </c>
      <c r="S71" s="598" t="s">
        <v>1728</v>
      </c>
    </row>
    <row r="72" spans="1:19" s="597" customFormat="1" ht="30.75" customHeight="1">
      <c r="A72" s="595" t="s">
        <v>1746</v>
      </c>
      <c r="B72" s="588" t="s">
        <v>1290</v>
      </c>
      <c r="C72" s="588" t="s">
        <v>1739</v>
      </c>
      <c r="D72" s="588" t="s">
        <v>453</v>
      </c>
      <c r="E72" s="588"/>
      <c r="F72" s="588"/>
      <c r="G72" s="629" t="s">
        <v>738</v>
      </c>
      <c r="H72" s="588" t="s">
        <v>1610</v>
      </c>
      <c r="I72" s="588" t="s">
        <v>1290</v>
      </c>
      <c r="J72" s="588"/>
      <c r="K72" s="619"/>
      <c r="L72" s="629" t="s">
        <v>1745</v>
      </c>
      <c r="M72" s="588" t="s">
        <v>1529</v>
      </c>
      <c r="N72" s="588" t="s">
        <v>285</v>
      </c>
      <c r="O72" s="629" t="s">
        <v>1734</v>
      </c>
      <c r="P72" s="605"/>
      <c r="Q72" s="599" t="s">
        <v>1290</v>
      </c>
      <c r="R72" s="599" t="s">
        <v>1290</v>
      </c>
      <c r="S72" s="598" t="s">
        <v>1728</v>
      </c>
    </row>
    <row r="73" spans="1:19" s="597" customFormat="1" ht="30.75" customHeight="1">
      <c r="A73" s="595" t="s">
        <v>1744</v>
      </c>
      <c r="B73" s="588" t="s">
        <v>1290</v>
      </c>
      <c r="C73" s="588" t="s">
        <v>1739</v>
      </c>
      <c r="D73" s="588" t="s">
        <v>1743</v>
      </c>
      <c r="E73" s="588"/>
      <c r="F73" s="588"/>
      <c r="G73" s="629" t="s">
        <v>1737</v>
      </c>
      <c r="H73" s="588" t="s">
        <v>1290</v>
      </c>
      <c r="I73" s="588"/>
      <c r="J73" s="588">
        <v>2411004003</v>
      </c>
      <c r="K73" s="619" t="s">
        <v>1742</v>
      </c>
      <c r="L73" s="629" t="s">
        <v>1741</v>
      </c>
      <c r="M73" s="588" t="s">
        <v>1668</v>
      </c>
      <c r="N73" s="588" t="s">
        <v>285</v>
      </c>
      <c r="O73" s="629" t="s">
        <v>1734</v>
      </c>
      <c r="P73" s="605"/>
      <c r="Q73" s="599" t="s">
        <v>1290</v>
      </c>
      <c r="R73" s="599" t="s">
        <v>1290</v>
      </c>
      <c r="S73" s="598" t="s">
        <v>1728</v>
      </c>
    </row>
    <row r="74" spans="1:19" s="597" customFormat="1" ht="30.75" customHeight="1">
      <c r="A74" s="595" t="s">
        <v>1740</v>
      </c>
      <c r="B74" s="588" t="s">
        <v>1290</v>
      </c>
      <c r="C74" s="588" t="s">
        <v>1739</v>
      </c>
      <c r="D74" s="588" t="s">
        <v>1738</v>
      </c>
      <c r="E74" s="588"/>
      <c r="F74" s="588"/>
      <c r="G74" s="629" t="s">
        <v>1737</v>
      </c>
      <c r="H74" s="588" t="s">
        <v>1290</v>
      </c>
      <c r="I74" s="588"/>
      <c r="J74" s="588">
        <v>2411004004</v>
      </c>
      <c r="K74" s="619" t="s">
        <v>1736</v>
      </c>
      <c r="L74" s="629" t="s">
        <v>1735</v>
      </c>
      <c r="M74" s="588" t="s">
        <v>1668</v>
      </c>
      <c r="N74" s="588" t="s">
        <v>285</v>
      </c>
      <c r="O74" s="629" t="s">
        <v>1734</v>
      </c>
      <c r="P74" s="605"/>
      <c r="Q74" s="599" t="s">
        <v>1290</v>
      </c>
      <c r="R74" s="599" t="s">
        <v>1290</v>
      </c>
      <c r="S74" s="598" t="s">
        <v>1728</v>
      </c>
    </row>
    <row r="75" spans="1:19" s="597" customFormat="1" ht="30.75" customHeight="1">
      <c r="A75" s="618" t="s">
        <v>1733</v>
      </c>
      <c r="B75" s="588"/>
      <c r="C75" s="588"/>
      <c r="D75" s="588" t="s">
        <v>1057</v>
      </c>
      <c r="E75" s="588" t="s">
        <v>1732</v>
      </c>
      <c r="F75" s="588" t="s">
        <v>1499</v>
      </c>
      <c r="G75" s="588" t="s">
        <v>1644</v>
      </c>
      <c r="H75" s="588" t="s">
        <v>1731</v>
      </c>
      <c r="I75" s="588"/>
      <c r="J75" s="588">
        <v>2411042003</v>
      </c>
      <c r="K75" s="625" t="s">
        <v>967</v>
      </c>
      <c r="L75" s="588" t="s">
        <v>1730</v>
      </c>
      <c r="M75" s="588" t="s">
        <v>1515</v>
      </c>
      <c r="N75" s="588" t="s">
        <v>285</v>
      </c>
      <c r="O75" s="588" t="s">
        <v>1604</v>
      </c>
      <c r="P75" s="605"/>
      <c r="Q75" s="598" t="s">
        <v>965</v>
      </c>
      <c r="R75" s="599" t="s">
        <v>1729</v>
      </c>
      <c r="S75" s="598" t="s">
        <v>1728</v>
      </c>
    </row>
    <row r="76" spans="1:19" s="597" customFormat="1" ht="30.75" customHeight="1">
      <c r="A76" s="595" t="s">
        <v>1727</v>
      </c>
      <c r="B76" s="588"/>
      <c r="C76" s="588"/>
      <c r="D76" s="582" t="s">
        <v>1269</v>
      </c>
      <c r="E76" s="582" t="s">
        <v>1268</v>
      </c>
      <c r="F76" s="582"/>
      <c r="G76" s="588" t="s">
        <v>1711</v>
      </c>
      <c r="H76" s="588" t="s">
        <v>1610</v>
      </c>
      <c r="I76" s="588"/>
      <c r="J76" s="588">
        <v>2411823001</v>
      </c>
      <c r="K76" s="625" t="s">
        <v>1059</v>
      </c>
      <c r="L76" s="588" t="s">
        <v>1708</v>
      </c>
      <c r="M76" s="588" t="s">
        <v>1709</v>
      </c>
      <c r="N76" s="588" t="s">
        <v>285</v>
      </c>
      <c r="O76" s="588" t="s">
        <v>1604</v>
      </c>
      <c r="P76" s="605"/>
      <c r="Q76" s="598" t="s">
        <v>1290</v>
      </c>
      <c r="R76" s="599" t="s">
        <v>1542</v>
      </c>
      <c r="S76" s="598"/>
    </row>
    <row r="77" spans="1:19" s="597" customFormat="1" ht="30.75" customHeight="1">
      <c r="A77" s="595" t="s">
        <v>1725</v>
      </c>
      <c r="B77" s="588" t="s">
        <v>1724</v>
      </c>
      <c r="C77" s="588" t="s">
        <v>1723</v>
      </c>
      <c r="D77" s="588" t="s">
        <v>1726</v>
      </c>
      <c r="E77" s="628"/>
      <c r="F77" s="628"/>
      <c r="G77" s="588" t="s">
        <v>738</v>
      </c>
      <c r="H77" s="588" t="s">
        <v>1560</v>
      </c>
      <c r="I77" s="588"/>
      <c r="J77" s="588" t="s">
        <v>1290</v>
      </c>
      <c r="K77" s="588" t="s">
        <v>1290</v>
      </c>
      <c r="L77" s="588" t="s">
        <v>1721</v>
      </c>
      <c r="M77" s="588" t="s">
        <v>1529</v>
      </c>
      <c r="N77" s="588" t="s">
        <v>285</v>
      </c>
      <c r="O77" s="588" t="s">
        <v>1604</v>
      </c>
      <c r="P77" s="605"/>
      <c r="Q77" s="598" t="s">
        <v>1290</v>
      </c>
      <c r="R77" s="599" t="s">
        <v>1542</v>
      </c>
      <c r="S77" s="598"/>
    </row>
    <row r="78" spans="1:19" s="597" customFormat="1" ht="30.75" customHeight="1">
      <c r="A78" s="595" t="s">
        <v>1725</v>
      </c>
      <c r="B78" s="588" t="s">
        <v>1724</v>
      </c>
      <c r="C78" s="588" t="s">
        <v>1723</v>
      </c>
      <c r="D78" s="588" t="s">
        <v>1722</v>
      </c>
      <c r="E78" s="628"/>
      <c r="F78" s="628"/>
      <c r="G78" s="588" t="s">
        <v>738</v>
      </c>
      <c r="H78" s="588" t="s">
        <v>1561</v>
      </c>
      <c r="I78" s="588"/>
      <c r="J78" s="588" t="s">
        <v>1290</v>
      </c>
      <c r="K78" s="588" t="s">
        <v>1290</v>
      </c>
      <c r="L78" s="588" t="s">
        <v>1721</v>
      </c>
      <c r="M78" s="588" t="s">
        <v>1529</v>
      </c>
      <c r="N78" s="588" t="s">
        <v>285</v>
      </c>
      <c r="O78" s="588" t="s">
        <v>1604</v>
      </c>
      <c r="P78" s="605"/>
      <c r="Q78" s="598" t="s">
        <v>1290</v>
      </c>
      <c r="R78" s="599" t="s">
        <v>1542</v>
      </c>
      <c r="S78" s="598"/>
    </row>
    <row r="79" spans="1:19" s="597" customFormat="1" ht="30.75" customHeight="1">
      <c r="A79" s="595" t="s">
        <v>1720</v>
      </c>
      <c r="B79" s="588"/>
      <c r="C79" s="588"/>
      <c r="D79" s="588" t="s">
        <v>1719</v>
      </c>
      <c r="E79" s="588" t="s">
        <v>1712</v>
      </c>
      <c r="F79" s="588" t="s">
        <v>1541</v>
      </c>
      <c r="G79" s="588" t="s">
        <v>1711</v>
      </c>
      <c r="H79" s="588" t="s">
        <v>1561</v>
      </c>
      <c r="I79" s="588"/>
      <c r="J79" s="588">
        <v>2411823002</v>
      </c>
      <c r="K79" s="625" t="s">
        <v>1710</v>
      </c>
      <c r="L79" s="588" t="s">
        <v>1708</v>
      </c>
      <c r="M79" s="588" t="s">
        <v>1709</v>
      </c>
      <c r="N79" s="588" t="s">
        <v>285</v>
      </c>
      <c r="O79" s="588" t="s">
        <v>1604</v>
      </c>
      <c r="P79" s="605"/>
      <c r="Q79" s="598" t="s">
        <v>1290</v>
      </c>
      <c r="R79" s="599" t="s">
        <v>1542</v>
      </c>
      <c r="S79" s="598"/>
    </row>
    <row r="80" spans="1:19" s="597" customFormat="1" ht="30.75" customHeight="1">
      <c r="A80" s="595" t="s">
        <v>1718</v>
      </c>
      <c r="B80" s="588"/>
      <c r="C80" s="588"/>
      <c r="D80" s="588" t="s">
        <v>1717</v>
      </c>
      <c r="E80" s="588" t="s">
        <v>1712</v>
      </c>
      <c r="F80" s="588"/>
      <c r="G80" s="588" t="s">
        <v>1711</v>
      </c>
      <c r="H80" s="588" t="s">
        <v>1560</v>
      </c>
      <c r="I80" s="588"/>
      <c r="J80" s="588">
        <v>2411823002</v>
      </c>
      <c r="K80" s="625" t="s">
        <v>1710</v>
      </c>
      <c r="L80" s="588" t="s">
        <v>1708</v>
      </c>
      <c r="M80" s="588" t="s">
        <v>1709</v>
      </c>
      <c r="N80" s="588" t="s">
        <v>285</v>
      </c>
      <c r="O80" s="588" t="s">
        <v>1604</v>
      </c>
      <c r="P80" s="605"/>
      <c r="Q80" s="598" t="s">
        <v>1290</v>
      </c>
      <c r="R80" s="599" t="s">
        <v>1542</v>
      </c>
      <c r="S80" s="598"/>
    </row>
    <row r="81" spans="1:19" s="597" customFormat="1" ht="30.75" customHeight="1">
      <c r="A81" s="595" t="s">
        <v>1716</v>
      </c>
      <c r="B81" s="588"/>
      <c r="C81" s="588"/>
      <c r="D81" s="588" t="s">
        <v>1715</v>
      </c>
      <c r="E81" s="588" t="s">
        <v>1712</v>
      </c>
      <c r="F81" s="588"/>
      <c r="G81" s="588" t="s">
        <v>1711</v>
      </c>
      <c r="H81" s="588" t="s">
        <v>1559</v>
      </c>
      <c r="I81" s="588"/>
      <c r="J81" s="588">
        <v>2411823002</v>
      </c>
      <c r="K81" s="625" t="s">
        <v>1710</v>
      </c>
      <c r="L81" s="588" t="s">
        <v>1708</v>
      </c>
      <c r="M81" s="588" t="s">
        <v>1709</v>
      </c>
      <c r="N81" s="588" t="s">
        <v>285</v>
      </c>
      <c r="O81" s="588" t="s">
        <v>1604</v>
      </c>
      <c r="P81" s="605"/>
      <c r="Q81" s="598" t="s">
        <v>1290</v>
      </c>
      <c r="R81" s="599" t="s">
        <v>1542</v>
      </c>
      <c r="S81" s="598"/>
    </row>
    <row r="82" spans="1:19" s="597" customFormat="1" ht="30.75" customHeight="1">
      <c r="A82" s="595" t="s">
        <v>1714</v>
      </c>
      <c r="B82" s="588"/>
      <c r="C82" s="588"/>
      <c r="D82" s="588" t="s">
        <v>1713</v>
      </c>
      <c r="E82" s="588" t="s">
        <v>1712</v>
      </c>
      <c r="F82" s="588"/>
      <c r="G82" s="588" t="s">
        <v>1711</v>
      </c>
      <c r="H82" s="588" t="s">
        <v>1558</v>
      </c>
      <c r="I82" s="588"/>
      <c r="J82" s="588">
        <v>2411823002</v>
      </c>
      <c r="K82" s="625" t="s">
        <v>1710</v>
      </c>
      <c r="L82" s="588" t="s">
        <v>1708</v>
      </c>
      <c r="M82" s="588" t="s">
        <v>1709</v>
      </c>
      <c r="N82" s="588" t="s">
        <v>285</v>
      </c>
      <c r="O82" s="588" t="s">
        <v>1604</v>
      </c>
      <c r="P82" s="605"/>
      <c r="Q82" s="598" t="s">
        <v>1290</v>
      </c>
      <c r="R82" s="599" t="s">
        <v>1542</v>
      </c>
      <c r="S82" s="598"/>
    </row>
    <row r="83" spans="1:19" s="626" customFormat="1" ht="30.75" customHeight="1">
      <c r="A83" s="587" t="s">
        <v>1257</v>
      </c>
      <c r="B83" s="587"/>
      <c r="C83" s="587"/>
      <c r="D83" s="582" t="s">
        <v>1256</v>
      </c>
      <c r="E83" s="582" t="s">
        <v>1255</v>
      </c>
      <c r="F83" s="588" t="s">
        <v>1499</v>
      </c>
      <c r="G83" s="582" t="s">
        <v>1663</v>
      </c>
      <c r="H83" s="582" t="s">
        <v>1675</v>
      </c>
      <c r="I83" s="587"/>
      <c r="J83" s="599">
        <v>2411043023</v>
      </c>
      <c r="K83" s="611" t="s">
        <v>1557</v>
      </c>
      <c r="L83" s="588" t="s">
        <v>1708</v>
      </c>
      <c r="M83" s="588" t="s">
        <v>1529</v>
      </c>
      <c r="N83" s="588" t="s">
        <v>285</v>
      </c>
      <c r="O83" s="588" t="s">
        <v>1604</v>
      </c>
      <c r="P83" s="581" t="s">
        <v>1707</v>
      </c>
      <c r="Q83" s="598" t="s">
        <v>1290</v>
      </c>
      <c r="R83" s="599" t="s">
        <v>1542</v>
      </c>
      <c r="S83" s="627"/>
    </row>
    <row r="84" spans="1:19" s="626" customFormat="1" ht="30.75" customHeight="1">
      <c r="A84" s="587" t="s">
        <v>1254</v>
      </c>
      <c r="B84" s="587"/>
      <c r="C84" s="587"/>
      <c r="D84" s="582" t="s">
        <v>1253</v>
      </c>
      <c r="E84" s="582" t="s">
        <v>1252</v>
      </c>
      <c r="F84" s="588" t="s">
        <v>1499</v>
      </c>
      <c r="G84" s="582" t="s">
        <v>1556</v>
      </c>
      <c r="H84" s="582" t="s">
        <v>1675</v>
      </c>
      <c r="I84" s="587"/>
      <c r="J84" s="599">
        <v>2411563001</v>
      </c>
      <c r="K84" s="611" t="s">
        <v>1555</v>
      </c>
      <c r="L84" s="588" t="s">
        <v>1708</v>
      </c>
      <c r="M84" s="588" t="s">
        <v>1554</v>
      </c>
      <c r="N84" s="588" t="s">
        <v>285</v>
      </c>
      <c r="O84" s="588" t="s">
        <v>1604</v>
      </c>
      <c r="P84" s="581" t="s">
        <v>1707</v>
      </c>
      <c r="Q84" s="598" t="s">
        <v>1290</v>
      </c>
      <c r="R84" s="599" t="s">
        <v>1542</v>
      </c>
      <c r="S84" s="627"/>
    </row>
    <row r="85" spans="1:19" s="565" customFormat="1" ht="30.75" customHeight="1">
      <c r="A85" s="587" t="s">
        <v>1251</v>
      </c>
      <c r="B85" s="587"/>
      <c r="C85" s="587"/>
      <c r="D85" s="582" t="s">
        <v>1250</v>
      </c>
      <c r="E85" s="582" t="s">
        <v>1249</v>
      </c>
      <c r="F85" s="582"/>
      <c r="G85" s="582" t="s">
        <v>1663</v>
      </c>
      <c r="H85" s="582" t="s">
        <v>1675</v>
      </c>
      <c r="I85" s="582"/>
      <c r="J85" s="599">
        <v>2411043023</v>
      </c>
      <c r="K85" s="611" t="s">
        <v>1557</v>
      </c>
      <c r="L85" s="588" t="s">
        <v>1708</v>
      </c>
      <c r="M85" s="588" t="s">
        <v>1529</v>
      </c>
      <c r="N85" s="588" t="s">
        <v>285</v>
      </c>
      <c r="O85" s="588" t="s">
        <v>1604</v>
      </c>
      <c r="P85" s="581" t="s">
        <v>1707</v>
      </c>
      <c r="Q85" s="581" t="s">
        <v>1290</v>
      </c>
      <c r="R85" s="581"/>
      <c r="S85" s="566"/>
    </row>
    <row r="86" spans="1:19" s="572" customFormat="1" ht="30.75" customHeight="1">
      <c r="A86" s="595" t="s">
        <v>1706</v>
      </c>
      <c r="B86" s="588"/>
      <c r="C86" s="588"/>
      <c r="D86" s="588" t="s">
        <v>1705</v>
      </c>
      <c r="E86" s="588" t="s">
        <v>1704</v>
      </c>
      <c r="F86" s="588" t="s">
        <v>1499</v>
      </c>
      <c r="G86" s="588" t="s">
        <v>1606</v>
      </c>
      <c r="H86" s="588" t="s">
        <v>1675</v>
      </c>
      <c r="I86" s="581"/>
      <c r="J86" s="588">
        <v>2411304002</v>
      </c>
      <c r="K86" s="625" t="s">
        <v>1703</v>
      </c>
      <c r="L86" s="588" t="s">
        <v>1702</v>
      </c>
      <c r="M86" s="588" t="s">
        <v>1535</v>
      </c>
      <c r="N86" s="588" t="s">
        <v>285</v>
      </c>
      <c r="O86" s="588" t="s">
        <v>1604</v>
      </c>
      <c r="P86" s="581"/>
      <c r="Q86" s="598" t="s">
        <v>1290</v>
      </c>
      <c r="R86" s="599" t="s">
        <v>1542</v>
      </c>
      <c r="S86" s="581"/>
    </row>
    <row r="87" spans="1:19" s="572" customFormat="1" ht="30.75" customHeight="1">
      <c r="A87" s="595" t="s">
        <v>1701</v>
      </c>
      <c r="B87" s="588"/>
      <c r="C87" s="588"/>
      <c r="D87" s="588" t="s">
        <v>1700</v>
      </c>
      <c r="E87" s="588" t="s">
        <v>1699</v>
      </c>
      <c r="F87" s="588" t="s">
        <v>1499</v>
      </c>
      <c r="G87" s="588" t="s">
        <v>1682</v>
      </c>
      <c r="H87" s="588" t="s">
        <v>1561</v>
      </c>
      <c r="I87" s="581"/>
      <c r="J87" s="588">
        <v>2411003001</v>
      </c>
      <c r="K87" s="600" t="s">
        <v>1510</v>
      </c>
      <c r="L87" s="588" t="s">
        <v>1698</v>
      </c>
      <c r="M87" s="588" t="s">
        <v>1529</v>
      </c>
      <c r="N87" s="588" t="s">
        <v>285</v>
      </c>
      <c r="O87" s="588" t="s">
        <v>1604</v>
      </c>
      <c r="P87" s="581"/>
      <c r="Q87" s="624" t="s">
        <v>444</v>
      </c>
      <c r="R87" s="623" t="s">
        <v>1697</v>
      </c>
      <c r="S87" s="581"/>
    </row>
    <row r="88" spans="1:19" s="621" customFormat="1" ht="36" customHeight="1">
      <c r="A88" s="587" t="s">
        <v>1696</v>
      </c>
      <c r="B88" s="622"/>
      <c r="C88" s="622"/>
      <c r="D88" s="582" t="s">
        <v>1695</v>
      </c>
      <c r="E88" s="588" t="s">
        <v>1694</v>
      </c>
      <c r="F88" s="588" t="s">
        <v>1499</v>
      </c>
      <c r="G88" s="588" t="s">
        <v>1606</v>
      </c>
      <c r="H88" s="588" t="s">
        <v>1561</v>
      </c>
      <c r="I88" s="622"/>
      <c r="J88" s="588">
        <v>2411304003</v>
      </c>
      <c r="K88" s="588" t="s">
        <v>1693</v>
      </c>
      <c r="L88" s="588" t="s">
        <v>1692</v>
      </c>
      <c r="M88" s="588" t="s">
        <v>1535</v>
      </c>
      <c r="N88" s="588" t="s">
        <v>285</v>
      </c>
      <c r="O88" s="588" t="s">
        <v>1604</v>
      </c>
      <c r="P88" s="622"/>
      <c r="Q88" s="582" t="s">
        <v>1510</v>
      </c>
      <c r="R88" s="582" t="s">
        <v>1510</v>
      </c>
      <c r="S88" s="622"/>
    </row>
    <row r="89" spans="1:19" s="572" customFormat="1" ht="30.75" customHeight="1">
      <c r="A89" s="587" t="s">
        <v>1691</v>
      </c>
      <c r="B89" s="581"/>
      <c r="C89" s="581"/>
      <c r="D89" s="582" t="s">
        <v>1690</v>
      </c>
      <c r="E89" s="588" t="s">
        <v>1689</v>
      </c>
      <c r="F89" s="588" t="s">
        <v>1499</v>
      </c>
      <c r="G89" s="588" t="s">
        <v>1606</v>
      </c>
      <c r="H89" s="588" t="s">
        <v>1675</v>
      </c>
      <c r="I89" s="581"/>
      <c r="J89" s="588">
        <v>2411304004</v>
      </c>
      <c r="K89" s="619" t="s">
        <v>1688</v>
      </c>
      <c r="L89" s="588" t="s">
        <v>1687</v>
      </c>
      <c r="M89" s="588" t="s">
        <v>1535</v>
      </c>
      <c r="N89" s="588" t="s">
        <v>285</v>
      </c>
      <c r="O89" s="588" t="s">
        <v>1604</v>
      </c>
      <c r="P89" s="581" t="s">
        <v>1660</v>
      </c>
      <c r="Q89" s="620" t="s">
        <v>1510</v>
      </c>
      <c r="R89" s="620" t="s">
        <v>1510</v>
      </c>
      <c r="S89" s="581"/>
    </row>
    <row r="90" spans="1:19" s="618" customFormat="1" ht="30.75" customHeight="1">
      <c r="A90" s="601" t="s">
        <v>1267</v>
      </c>
      <c r="B90" s="601"/>
      <c r="C90" s="601"/>
      <c r="D90" s="599" t="s">
        <v>1266</v>
      </c>
      <c r="E90" s="588" t="s">
        <v>1265</v>
      </c>
      <c r="F90" s="588"/>
      <c r="G90" s="588" t="s">
        <v>1682</v>
      </c>
      <c r="H90" s="588" t="s">
        <v>1675</v>
      </c>
      <c r="I90" s="601"/>
      <c r="J90" s="599">
        <v>2411043020</v>
      </c>
      <c r="K90" s="619" t="s">
        <v>1553</v>
      </c>
      <c r="L90" s="588" t="s">
        <v>1633</v>
      </c>
      <c r="M90" s="595" t="s">
        <v>1529</v>
      </c>
      <c r="N90" s="588" t="s">
        <v>285</v>
      </c>
      <c r="O90" s="588" t="s">
        <v>1604</v>
      </c>
      <c r="P90" s="601"/>
      <c r="Q90" s="601"/>
      <c r="R90" s="601"/>
      <c r="S90" s="601"/>
    </row>
    <row r="91" spans="1:19" s="565" customFormat="1" ht="30.75" customHeight="1">
      <c r="A91" s="601" t="s">
        <v>1686</v>
      </c>
      <c r="B91" s="598"/>
      <c r="C91" s="598"/>
      <c r="D91" s="616" t="s">
        <v>1264</v>
      </c>
      <c r="E91" s="616" t="s">
        <v>1263</v>
      </c>
      <c r="F91" s="616" t="s">
        <v>1541</v>
      </c>
      <c r="G91" s="588" t="s">
        <v>1682</v>
      </c>
      <c r="H91" s="599" t="s">
        <v>1675</v>
      </c>
      <c r="I91" s="599"/>
      <c r="J91" s="599">
        <v>2411043021</v>
      </c>
      <c r="K91" s="611" t="s">
        <v>1685</v>
      </c>
      <c r="L91" s="588" t="s">
        <v>1633</v>
      </c>
      <c r="M91" s="588" t="s">
        <v>1529</v>
      </c>
      <c r="N91" s="588" t="s">
        <v>285</v>
      </c>
      <c r="O91" s="588" t="s">
        <v>1604</v>
      </c>
      <c r="P91" s="599" t="s">
        <v>1684</v>
      </c>
      <c r="Q91" s="617" t="s">
        <v>1552</v>
      </c>
      <c r="R91" s="589" t="s">
        <v>1551</v>
      </c>
      <c r="S91" s="566"/>
    </row>
    <row r="92" spans="1:19" s="565" customFormat="1" ht="30.75" customHeight="1">
      <c r="A92" s="601" t="s">
        <v>1683</v>
      </c>
      <c r="B92" s="598"/>
      <c r="C92" s="598"/>
      <c r="D92" s="616" t="s">
        <v>1550</v>
      </c>
      <c r="E92" s="616" t="s">
        <v>1549</v>
      </c>
      <c r="F92" s="616"/>
      <c r="G92" s="588" t="s">
        <v>1682</v>
      </c>
      <c r="H92" s="599" t="s">
        <v>1675</v>
      </c>
      <c r="I92" s="599"/>
      <c r="J92" s="599" t="s">
        <v>1510</v>
      </c>
      <c r="K92" s="611"/>
      <c r="L92" s="588"/>
      <c r="M92" s="588"/>
      <c r="N92" s="588"/>
      <c r="O92" s="588"/>
      <c r="P92" s="598"/>
      <c r="Q92" s="598"/>
      <c r="R92" s="598"/>
      <c r="S92" s="566"/>
    </row>
    <row r="93" spans="1:19" s="565" customFormat="1" ht="30.75" customHeight="1">
      <c r="A93" s="601" t="s">
        <v>1681</v>
      </c>
      <c r="B93" s="598"/>
      <c r="C93" s="598"/>
      <c r="D93" s="588" t="s">
        <v>1680</v>
      </c>
      <c r="E93" s="588" t="s">
        <v>1679</v>
      </c>
      <c r="F93" s="588" t="s">
        <v>1541</v>
      </c>
      <c r="G93" s="588" t="s">
        <v>1678</v>
      </c>
      <c r="H93" s="599" t="s">
        <v>1561</v>
      </c>
      <c r="I93" s="599"/>
      <c r="J93" s="599">
        <v>2411303002</v>
      </c>
      <c r="K93" s="611" t="s">
        <v>1677</v>
      </c>
      <c r="L93" s="599"/>
      <c r="M93" s="588" t="s">
        <v>1529</v>
      </c>
      <c r="N93" s="588" t="s">
        <v>285</v>
      </c>
      <c r="O93" s="588" t="s">
        <v>1604</v>
      </c>
      <c r="P93" s="598" t="s">
        <v>1676</v>
      </c>
      <c r="Q93" s="598"/>
      <c r="R93" s="598"/>
      <c r="S93" s="566"/>
    </row>
    <row r="94" spans="1:19" s="565" customFormat="1" ht="30.75" customHeight="1">
      <c r="A94" s="601" t="s">
        <v>1262</v>
      </c>
      <c r="B94" s="598"/>
      <c r="C94" s="598"/>
      <c r="D94" s="612" t="s">
        <v>1548</v>
      </c>
      <c r="E94" s="615" t="s">
        <v>1547</v>
      </c>
      <c r="F94" s="588" t="s">
        <v>1499</v>
      </c>
      <c r="G94" s="599" t="s">
        <v>1606</v>
      </c>
      <c r="H94" s="599" t="s">
        <v>1675</v>
      </c>
      <c r="I94" s="599"/>
      <c r="J94" s="599">
        <v>2411304006</v>
      </c>
      <c r="K94" s="611" t="s">
        <v>1674</v>
      </c>
      <c r="L94" s="599" t="s">
        <v>1673</v>
      </c>
      <c r="M94" s="588" t="s">
        <v>1529</v>
      </c>
      <c r="N94" s="588" t="s">
        <v>285</v>
      </c>
      <c r="O94" s="588" t="s">
        <v>1604</v>
      </c>
      <c r="P94" s="598" t="s">
        <v>1672</v>
      </c>
      <c r="Q94" s="614" t="s">
        <v>1546</v>
      </c>
      <c r="R94" s="598" t="s">
        <v>1671</v>
      </c>
      <c r="S94" s="566"/>
    </row>
    <row r="95" spans="1:19" s="565" customFormat="1" ht="30.75" customHeight="1">
      <c r="A95" s="587" t="s">
        <v>1393</v>
      </c>
      <c r="B95" s="581"/>
      <c r="C95" s="581"/>
      <c r="D95" s="612"/>
      <c r="E95" s="612" t="s">
        <v>1545</v>
      </c>
      <c r="F95" s="588" t="s">
        <v>1499</v>
      </c>
      <c r="G95" s="582" t="s">
        <v>1670</v>
      </c>
      <c r="H95" s="582" t="s">
        <v>1561</v>
      </c>
      <c r="I95" s="582"/>
      <c r="J95" s="599">
        <v>2411044009</v>
      </c>
      <c r="K95" s="611" t="s">
        <v>1669</v>
      </c>
      <c r="L95" s="582" t="s">
        <v>1665</v>
      </c>
      <c r="M95" s="588" t="s">
        <v>1668</v>
      </c>
      <c r="N95" s="588" t="s">
        <v>285</v>
      </c>
      <c r="O95" s="588" t="s">
        <v>1604</v>
      </c>
      <c r="P95" s="581" t="s">
        <v>1664</v>
      </c>
      <c r="Q95" s="613" t="s">
        <v>1290</v>
      </c>
      <c r="R95" s="581" t="s">
        <v>1542</v>
      </c>
      <c r="S95" s="566"/>
    </row>
    <row r="96" spans="1:19" s="565" customFormat="1" ht="30.75" customHeight="1">
      <c r="A96" s="587" t="s">
        <v>1261</v>
      </c>
      <c r="B96" s="587"/>
      <c r="C96" s="587"/>
      <c r="D96" s="612" t="s">
        <v>1544</v>
      </c>
      <c r="E96" s="612" t="s">
        <v>1543</v>
      </c>
      <c r="F96" s="588" t="s">
        <v>1499</v>
      </c>
      <c r="G96" s="582" t="s">
        <v>1667</v>
      </c>
      <c r="H96" s="582" t="s">
        <v>1561</v>
      </c>
      <c r="I96" s="582"/>
      <c r="J96" s="599">
        <v>2411304005</v>
      </c>
      <c r="K96" s="611" t="s">
        <v>1666</v>
      </c>
      <c r="L96" s="582" t="s">
        <v>1665</v>
      </c>
      <c r="M96" s="588" t="s">
        <v>1535</v>
      </c>
      <c r="N96" s="588" t="s">
        <v>285</v>
      </c>
      <c r="O96" s="588" t="s">
        <v>1604</v>
      </c>
      <c r="P96" s="581" t="s">
        <v>1664</v>
      </c>
      <c r="Q96" s="581" t="s">
        <v>1290</v>
      </c>
      <c r="R96" s="581" t="s">
        <v>1542</v>
      </c>
      <c r="S96" s="566"/>
    </row>
    <row r="97" spans="1:19" s="565" customFormat="1" ht="30.75" customHeight="1">
      <c r="A97" s="882" t="s">
        <v>1260</v>
      </c>
      <c r="B97" s="587"/>
      <c r="C97" s="587"/>
      <c r="D97" s="875" t="s">
        <v>1259</v>
      </c>
      <c r="E97" s="875" t="s">
        <v>1258</v>
      </c>
      <c r="F97" s="875" t="s">
        <v>1541</v>
      </c>
      <c r="G97" s="875" t="s">
        <v>1663</v>
      </c>
      <c r="H97" s="875" t="s">
        <v>1561</v>
      </c>
      <c r="I97" s="582"/>
      <c r="J97" s="873">
        <v>2411043022</v>
      </c>
      <c r="K97" s="880" t="s">
        <v>1662</v>
      </c>
      <c r="L97" s="879" t="s">
        <v>1661</v>
      </c>
      <c r="M97" s="877" t="s">
        <v>1529</v>
      </c>
      <c r="N97" s="877" t="s">
        <v>285</v>
      </c>
      <c r="O97" s="877" t="s">
        <v>1604</v>
      </c>
      <c r="P97" s="875" t="s">
        <v>1660</v>
      </c>
      <c r="Q97" s="581" t="s">
        <v>1540</v>
      </c>
      <c r="R97" s="581"/>
      <c r="S97" s="566"/>
    </row>
    <row r="98" spans="1:19" s="565" customFormat="1" ht="30.75" customHeight="1">
      <c r="A98" s="883"/>
      <c r="B98" s="587"/>
      <c r="C98" s="587"/>
      <c r="D98" s="876"/>
      <c r="E98" s="876"/>
      <c r="F98" s="876"/>
      <c r="G98" s="876"/>
      <c r="H98" s="876"/>
      <c r="I98" s="582"/>
      <c r="J98" s="874"/>
      <c r="K98" s="881"/>
      <c r="L98" s="876"/>
      <c r="M98" s="878"/>
      <c r="N98" s="878"/>
      <c r="O98" s="878"/>
      <c r="P98" s="876"/>
      <c r="Q98" s="581" t="s">
        <v>1659</v>
      </c>
      <c r="R98" s="581" t="s">
        <v>1658</v>
      </c>
      <c r="S98" s="566">
        <v>3299900006</v>
      </c>
    </row>
    <row r="99" spans="1:19" s="597" customFormat="1" ht="30.75" customHeight="1">
      <c r="A99" s="605" t="s">
        <v>1657</v>
      </c>
      <c r="B99" s="598"/>
      <c r="C99" s="598"/>
      <c r="D99" s="599" t="s">
        <v>1539</v>
      </c>
      <c r="E99" s="599" t="s">
        <v>1538</v>
      </c>
      <c r="F99" s="588" t="s">
        <v>1499</v>
      </c>
      <c r="G99" s="599" t="s">
        <v>1537</v>
      </c>
      <c r="H99" s="599" t="s">
        <v>1531</v>
      </c>
      <c r="I99" s="599"/>
      <c r="J99" s="599">
        <v>2411304007</v>
      </c>
      <c r="K99" s="609" t="s">
        <v>1536</v>
      </c>
      <c r="L99" s="608" t="s">
        <v>1656</v>
      </c>
      <c r="M99" s="608" t="s">
        <v>1535</v>
      </c>
      <c r="N99" s="607" t="s">
        <v>285</v>
      </c>
      <c r="O99" s="607" t="s">
        <v>1604</v>
      </c>
      <c r="P99" s="606"/>
      <c r="Q99" s="610" t="s">
        <v>1655</v>
      </c>
      <c r="R99" s="606"/>
      <c r="S99" s="598"/>
    </row>
    <row r="100" spans="1:19" s="597" customFormat="1" ht="30.75" customHeight="1">
      <c r="A100" s="605" t="s">
        <v>1654</v>
      </c>
      <c r="B100" s="598"/>
      <c r="C100" s="598"/>
      <c r="D100" s="599" t="s">
        <v>1534</v>
      </c>
      <c r="E100" s="599" t="s">
        <v>1533</v>
      </c>
      <c r="F100" s="588" t="s">
        <v>1499</v>
      </c>
      <c r="G100" s="599" t="s">
        <v>1532</v>
      </c>
      <c r="H100" s="599" t="s">
        <v>1531</v>
      </c>
      <c r="I100" s="599"/>
      <c r="J100" s="599">
        <v>2411043024</v>
      </c>
      <c r="K100" s="609" t="s">
        <v>1530</v>
      </c>
      <c r="L100" s="608" t="s">
        <v>1653</v>
      </c>
      <c r="M100" s="608" t="s">
        <v>1529</v>
      </c>
      <c r="N100" s="607" t="s">
        <v>285</v>
      </c>
      <c r="O100" s="607" t="s">
        <v>1604</v>
      </c>
      <c r="P100" s="606"/>
      <c r="Q100" s="606" t="s">
        <v>1652</v>
      </c>
      <c r="R100" s="606"/>
      <c r="S100" s="598"/>
    </row>
    <row r="101" spans="1:19" s="597" customFormat="1" ht="30.75" customHeight="1">
      <c r="A101" s="595" t="s">
        <v>1651</v>
      </c>
      <c r="B101" s="599"/>
      <c r="C101" s="599"/>
      <c r="D101" s="599" t="s">
        <v>1528</v>
      </c>
      <c r="E101" s="599" t="s">
        <v>1527</v>
      </c>
      <c r="F101" s="588" t="s">
        <v>1499</v>
      </c>
      <c r="G101" s="599" t="s">
        <v>1523</v>
      </c>
      <c r="H101" s="599" t="s">
        <v>1522</v>
      </c>
      <c r="I101" s="599"/>
      <c r="J101" s="599">
        <v>2410523002</v>
      </c>
      <c r="K101" s="609" t="s">
        <v>1526</v>
      </c>
      <c r="L101" s="608" t="s">
        <v>1650</v>
      </c>
      <c r="M101" s="608" t="s">
        <v>1520</v>
      </c>
      <c r="N101" s="607" t="s">
        <v>285</v>
      </c>
      <c r="O101" s="607" t="s">
        <v>1604</v>
      </c>
      <c r="P101" s="606"/>
      <c r="Q101" s="606" t="s">
        <v>1649</v>
      </c>
      <c r="R101" s="606"/>
      <c r="S101" s="598"/>
    </row>
    <row r="102" spans="1:19" s="597" customFormat="1" ht="30.75" customHeight="1">
      <c r="A102" s="595" t="s">
        <v>1648</v>
      </c>
      <c r="B102" s="599"/>
      <c r="C102" s="599"/>
      <c r="D102" s="599" t="s">
        <v>1525</v>
      </c>
      <c r="E102" s="599" t="s">
        <v>1524</v>
      </c>
      <c r="F102" s="588" t="s">
        <v>1499</v>
      </c>
      <c r="G102" s="599" t="s">
        <v>1523</v>
      </c>
      <c r="H102" s="588" t="s">
        <v>1522</v>
      </c>
      <c r="I102" s="599"/>
      <c r="J102" s="599">
        <v>2410523003</v>
      </c>
      <c r="K102" s="609" t="s">
        <v>1521</v>
      </c>
      <c r="L102" s="608" t="s">
        <v>1647</v>
      </c>
      <c r="M102" s="608" t="s">
        <v>1520</v>
      </c>
      <c r="N102" s="607" t="s">
        <v>285</v>
      </c>
      <c r="O102" s="607" t="s">
        <v>1604</v>
      </c>
      <c r="P102" s="606"/>
      <c r="Q102" s="606" t="s">
        <v>1646</v>
      </c>
      <c r="R102" s="606"/>
      <c r="S102" s="598"/>
    </row>
    <row r="103" spans="1:19" s="597" customFormat="1" ht="30.75" customHeight="1" thickBot="1">
      <c r="A103" s="605" t="s">
        <v>1645</v>
      </c>
      <c r="B103" s="598"/>
      <c r="C103" s="598"/>
      <c r="D103" s="599" t="s">
        <v>1519</v>
      </c>
      <c r="E103" s="599" t="s">
        <v>1518</v>
      </c>
      <c r="F103" s="588" t="s">
        <v>1499</v>
      </c>
      <c r="G103" s="588" t="s">
        <v>1644</v>
      </c>
      <c r="H103" s="600" t="s">
        <v>1290</v>
      </c>
      <c r="I103" s="604"/>
      <c r="J103" s="603">
        <v>2411042004</v>
      </c>
      <c r="K103" s="602" t="s">
        <v>1517</v>
      </c>
      <c r="L103" s="589" t="s">
        <v>1516</v>
      </c>
      <c r="M103" s="599" t="s">
        <v>1515</v>
      </c>
      <c r="N103" s="588" t="s">
        <v>285</v>
      </c>
      <c r="O103" s="588" t="s">
        <v>1604</v>
      </c>
      <c r="P103" s="598"/>
      <c r="Q103" s="598"/>
      <c r="R103" s="598"/>
      <c r="S103" s="598"/>
    </row>
    <row r="104" spans="1:19" s="597" customFormat="1" ht="30.75" customHeight="1">
      <c r="A104" s="601" t="s">
        <v>1514</v>
      </c>
      <c r="B104" s="598"/>
      <c r="C104" s="598"/>
      <c r="D104" s="599" t="s">
        <v>1513</v>
      </c>
      <c r="E104" s="582" t="s">
        <v>1512</v>
      </c>
      <c r="F104" s="588" t="s">
        <v>1499</v>
      </c>
      <c r="G104" s="599" t="s">
        <v>1511</v>
      </c>
      <c r="H104" s="599" t="s">
        <v>1510</v>
      </c>
      <c r="I104" s="598"/>
      <c r="J104" s="600" t="s">
        <v>1510</v>
      </c>
      <c r="K104" s="599" t="s">
        <v>1510</v>
      </c>
      <c r="L104" s="589" t="s">
        <v>1361</v>
      </c>
      <c r="M104" s="599" t="s">
        <v>1509</v>
      </c>
      <c r="N104" s="588" t="s">
        <v>285</v>
      </c>
      <c r="O104" s="588" t="s">
        <v>1604</v>
      </c>
      <c r="P104" s="598"/>
      <c r="Q104" s="598"/>
      <c r="R104" s="598"/>
      <c r="S104" s="598"/>
    </row>
    <row r="105" spans="1:19" s="572" customFormat="1" ht="30.75" customHeight="1">
      <c r="A105" s="595" t="s">
        <v>1459</v>
      </c>
      <c r="B105" s="595"/>
      <c r="C105" s="595"/>
      <c r="D105" s="588" t="s">
        <v>1643</v>
      </c>
      <c r="E105" s="582"/>
      <c r="F105" s="582" t="s">
        <v>1499</v>
      </c>
      <c r="G105" s="581" t="s">
        <v>1606</v>
      </c>
      <c r="H105" s="582" t="s">
        <v>1561</v>
      </c>
      <c r="I105" s="581"/>
      <c r="J105" s="581">
        <v>2411304008</v>
      </c>
      <c r="K105" s="596" t="s">
        <v>1642</v>
      </c>
      <c r="L105" s="589" t="s">
        <v>1361</v>
      </c>
      <c r="M105" s="581"/>
      <c r="N105" s="588" t="s">
        <v>285</v>
      </c>
      <c r="O105" s="588" t="s">
        <v>1604</v>
      </c>
      <c r="P105" s="581"/>
      <c r="Q105" s="581"/>
      <c r="R105" s="581"/>
      <c r="S105" s="581"/>
    </row>
    <row r="106" spans="1:19" s="572" customFormat="1" ht="30.75" customHeight="1">
      <c r="A106" s="595" t="s">
        <v>1641</v>
      </c>
      <c r="B106" s="595"/>
      <c r="C106" s="595"/>
      <c r="D106" s="588" t="s">
        <v>1640</v>
      </c>
      <c r="E106" s="586" t="s">
        <v>1508</v>
      </c>
      <c r="F106" s="582" t="s">
        <v>1499</v>
      </c>
      <c r="G106" s="582" t="s">
        <v>1639</v>
      </c>
      <c r="H106" s="582" t="s">
        <v>1560</v>
      </c>
      <c r="I106" s="581"/>
      <c r="J106" s="594">
        <v>2410883001</v>
      </c>
      <c r="K106" s="593" t="s">
        <v>1507</v>
      </c>
      <c r="L106" s="592" t="s">
        <v>1638</v>
      </c>
      <c r="M106" s="582" t="s">
        <v>1637</v>
      </c>
      <c r="N106" s="588" t="s">
        <v>285</v>
      </c>
      <c r="O106" s="588" t="s">
        <v>1636</v>
      </c>
      <c r="P106" s="581"/>
      <c r="Q106" s="581"/>
      <c r="R106" s="581"/>
      <c r="S106" s="581"/>
    </row>
    <row r="107" spans="1:19" s="572" customFormat="1" ht="30.75" customHeight="1">
      <c r="A107" s="587" t="s">
        <v>1456</v>
      </c>
      <c r="B107" s="581"/>
      <c r="C107" s="581"/>
      <c r="D107" s="590" t="s">
        <v>1506</v>
      </c>
      <c r="E107" s="590" t="s">
        <v>1505</v>
      </c>
      <c r="F107" s="582" t="s">
        <v>1634</v>
      </c>
      <c r="G107" s="582" t="s">
        <v>1556</v>
      </c>
      <c r="H107" s="582" t="s">
        <v>1510</v>
      </c>
      <c r="I107" s="581"/>
      <c r="J107" s="591">
        <v>2411563002</v>
      </c>
      <c r="K107" s="584" t="s">
        <v>1510</v>
      </c>
      <c r="L107" s="589" t="s">
        <v>1361</v>
      </c>
      <c r="M107" s="582" t="s">
        <v>1554</v>
      </c>
      <c r="N107" s="588" t="s">
        <v>285</v>
      </c>
      <c r="O107" s="588" t="s">
        <v>1604</v>
      </c>
      <c r="P107" s="581"/>
      <c r="Q107" s="581"/>
      <c r="R107" s="581"/>
      <c r="S107" s="581"/>
    </row>
    <row r="108" spans="1:19" s="572" customFormat="1" ht="30.75" customHeight="1">
      <c r="A108" s="587" t="s">
        <v>1455</v>
      </c>
      <c r="B108" s="581"/>
      <c r="C108" s="581"/>
      <c r="D108" s="590" t="s">
        <v>1504</v>
      </c>
      <c r="E108" s="590" t="s">
        <v>1503</v>
      </c>
      <c r="F108" s="582" t="s">
        <v>1634</v>
      </c>
      <c r="G108" s="582" t="s">
        <v>282</v>
      </c>
      <c r="H108" s="582" t="s">
        <v>1510</v>
      </c>
      <c r="I108" s="581"/>
      <c r="J108" s="581">
        <v>2411043025</v>
      </c>
      <c r="K108" s="584" t="s">
        <v>1510</v>
      </c>
      <c r="L108" s="589" t="s">
        <v>1361</v>
      </c>
      <c r="M108" s="582" t="s">
        <v>1529</v>
      </c>
      <c r="N108" s="588" t="s">
        <v>285</v>
      </c>
      <c r="O108" s="588" t="s">
        <v>1604</v>
      </c>
      <c r="P108" s="581"/>
      <c r="Q108" s="581"/>
      <c r="R108" s="581"/>
      <c r="S108" s="581"/>
    </row>
    <row r="109" spans="1:19" s="572" customFormat="1" ht="30.75" customHeight="1">
      <c r="A109" s="587" t="s">
        <v>1454</v>
      </c>
      <c r="B109" s="581"/>
      <c r="C109" s="581"/>
      <c r="D109" s="581" t="s">
        <v>1635</v>
      </c>
      <c r="E109" s="581" t="s">
        <v>1502</v>
      </c>
      <c r="F109" s="582" t="s">
        <v>1634</v>
      </c>
      <c r="G109" s="582" t="s">
        <v>282</v>
      </c>
      <c r="H109" s="582" t="s">
        <v>1510</v>
      </c>
      <c r="I109" s="581"/>
      <c r="J109" s="581">
        <v>2411043020</v>
      </c>
      <c r="K109" s="584" t="s">
        <v>1510</v>
      </c>
      <c r="L109" s="588" t="s">
        <v>1633</v>
      </c>
      <c r="M109" s="582" t="s">
        <v>1529</v>
      </c>
      <c r="N109" s="588" t="s">
        <v>285</v>
      </c>
      <c r="O109" s="588" t="s">
        <v>1604</v>
      </c>
      <c r="P109" s="581"/>
      <c r="Q109" s="581"/>
      <c r="R109" s="581"/>
      <c r="S109" s="581"/>
    </row>
    <row r="110" spans="1:19" s="572" customFormat="1" ht="30.75" customHeight="1">
      <c r="A110" s="587" t="s">
        <v>1632</v>
      </c>
      <c r="B110" s="581"/>
      <c r="C110" s="581"/>
      <c r="D110" s="586" t="s">
        <v>1501</v>
      </c>
      <c r="E110" s="585" t="s">
        <v>1898</v>
      </c>
      <c r="F110" s="582" t="s">
        <v>1499</v>
      </c>
      <c r="G110" s="582" t="s">
        <v>1631</v>
      </c>
      <c r="H110" s="582" t="s">
        <v>1510</v>
      </c>
      <c r="I110" s="581"/>
      <c r="J110" s="582" t="s">
        <v>1510</v>
      </c>
      <c r="K110" s="584" t="s">
        <v>1510</v>
      </c>
      <c r="L110" s="583" t="s">
        <v>1630</v>
      </c>
      <c r="M110" s="582" t="s">
        <v>1621</v>
      </c>
      <c r="N110" s="582" t="s">
        <v>285</v>
      </c>
      <c r="O110" s="582" t="s">
        <v>1620</v>
      </c>
      <c r="P110" s="581"/>
      <c r="Q110" s="581"/>
      <c r="R110" s="581"/>
      <c r="S110" s="581"/>
    </row>
    <row r="111" spans="1:19" s="572" customFormat="1" ht="30.75" customHeight="1">
      <c r="A111" s="580" t="s">
        <v>1629</v>
      </c>
      <c r="B111" s="573"/>
      <c r="C111" s="573"/>
      <c r="D111" s="579" t="s">
        <v>1500</v>
      </c>
      <c r="E111" s="578" t="s">
        <v>1899</v>
      </c>
      <c r="F111" s="575" t="s">
        <v>1499</v>
      </c>
      <c r="G111" s="575" t="s">
        <v>310</v>
      </c>
      <c r="H111" s="575" t="s">
        <v>1510</v>
      </c>
      <c r="I111" s="573"/>
      <c r="J111" s="575" t="s">
        <v>1510</v>
      </c>
      <c r="K111" s="577" t="s">
        <v>1510</v>
      </c>
      <c r="L111" s="576" t="s">
        <v>1628</v>
      </c>
      <c r="M111" s="575" t="s">
        <v>1621</v>
      </c>
      <c r="N111" s="574" t="s">
        <v>285</v>
      </c>
      <c r="O111" s="574" t="s">
        <v>1604</v>
      </c>
      <c r="P111" s="573"/>
      <c r="Q111" s="573"/>
      <c r="R111" s="573"/>
      <c r="S111" s="573"/>
    </row>
    <row r="112" spans="1:19" s="565" customFormat="1" ht="30.75" customHeight="1">
      <c r="A112" s="570" t="s">
        <v>1627</v>
      </c>
      <c r="B112" s="566"/>
      <c r="C112" s="566"/>
      <c r="D112" s="571" t="s">
        <v>1626</v>
      </c>
      <c r="E112" s="569" t="s">
        <v>1625</v>
      </c>
      <c r="F112" s="568" t="s">
        <v>1499</v>
      </c>
      <c r="G112" s="568" t="s">
        <v>1624</v>
      </c>
      <c r="H112" s="568" t="s">
        <v>1510</v>
      </c>
      <c r="I112" s="568"/>
      <c r="J112" s="568" t="s">
        <v>1510</v>
      </c>
      <c r="K112" s="568" t="s">
        <v>1510</v>
      </c>
      <c r="L112" s="568" t="s">
        <v>1615</v>
      </c>
      <c r="M112" s="568" t="s">
        <v>1529</v>
      </c>
      <c r="N112" s="568" t="s">
        <v>285</v>
      </c>
      <c r="O112" s="568" t="s">
        <v>1620</v>
      </c>
      <c r="P112" s="566"/>
      <c r="Q112" s="566"/>
      <c r="R112" s="566"/>
      <c r="S112" s="566"/>
    </row>
    <row r="113" spans="1:19" s="565" customFormat="1" ht="30.75" customHeight="1">
      <c r="A113" s="570" t="s">
        <v>1623</v>
      </c>
      <c r="B113" s="566"/>
      <c r="C113" s="566"/>
      <c r="D113" s="568"/>
      <c r="E113" s="568"/>
      <c r="F113" s="568" t="s">
        <v>1499</v>
      </c>
      <c r="G113" s="568" t="s">
        <v>1622</v>
      </c>
      <c r="H113" s="568" t="s">
        <v>1510</v>
      </c>
      <c r="I113" s="568"/>
      <c r="J113" s="568" t="s">
        <v>1510</v>
      </c>
      <c r="K113" s="568" t="s">
        <v>1510</v>
      </c>
      <c r="L113" s="568" t="s">
        <v>1605</v>
      </c>
      <c r="M113" s="568" t="s">
        <v>1621</v>
      </c>
      <c r="N113" s="568" t="s">
        <v>285</v>
      </c>
      <c r="O113" s="568" t="s">
        <v>1620</v>
      </c>
      <c r="P113" s="566"/>
      <c r="Q113" s="566"/>
      <c r="R113" s="566"/>
      <c r="S113" s="566"/>
    </row>
    <row r="114" spans="1:19" s="565" customFormat="1" ht="30.75" customHeight="1">
      <c r="A114" s="570" t="s">
        <v>1619</v>
      </c>
      <c r="B114" s="566"/>
      <c r="C114" s="566"/>
      <c r="D114" s="569" t="s">
        <v>1618</v>
      </c>
      <c r="E114" s="569" t="s">
        <v>1617</v>
      </c>
      <c r="F114" s="568" t="s">
        <v>1499</v>
      </c>
      <c r="G114" s="568" t="s">
        <v>1616</v>
      </c>
      <c r="H114" s="568" t="s">
        <v>1510</v>
      </c>
      <c r="I114" s="568"/>
      <c r="J114" s="568" t="s">
        <v>1510</v>
      </c>
      <c r="K114" s="568" t="s">
        <v>1510</v>
      </c>
      <c r="L114" s="568" t="s">
        <v>1615</v>
      </c>
      <c r="M114" s="566" t="s">
        <v>1554</v>
      </c>
      <c r="N114" s="567" t="s">
        <v>285</v>
      </c>
      <c r="O114" s="567" t="s">
        <v>1604</v>
      </c>
      <c r="P114" s="566"/>
      <c r="Q114" s="566"/>
      <c r="R114" s="566"/>
      <c r="S114" s="566"/>
    </row>
    <row r="115" spans="1:19" s="565" customFormat="1" ht="30.75" customHeight="1">
      <c r="A115" s="569" t="s">
        <v>1614</v>
      </c>
      <c r="B115" s="569"/>
      <c r="C115" s="569"/>
      <c r="D115" s="569" t="s">
        <v>1613</v>
      </c>
      <c r="E115" s="569" t="s">
        <v>1607</v>
      </c>
      <c r="F115" s="568" t="s">
        <v>1499</v>
      </c>
      <c r="G115" s="568" t="s">
        <v>1606</v>
      </c>
      <c r="H115" s="568" t="s">
        <v>1561</v>
      </c>
      <c r="I115" s="568"/>
      <c r="J115" s="568" t="s">
        <v>1510</v>
      </c>
      <c r="K115" s="568" t="s">
        <v>1510</v>
      </c>
      <c r="L115" s="568" t="s">
        <v>1605</v>
      </c>
      <c r="M115" s="568" t="s">
        <v>1554</v>
      </c>
      <c r="N115" s="567" t="s">
        <v>285</v>
      </c>
      <c r="O115" s="567" t="s">
        <v>1604</v>
      </c>
      <c r="P115" s="566"/>
      <c r="Q115" s="566"/>
      <c r="R115" s="566"/>
      <c r="S115" s="566"/>
    </row>
    <row r="116" spans="1:19" s="565" customFormat="1" ht="30.75" customHeight="1">
      <c r="A116" s="566" t="s">
        <v>1612</v>
      </c>
      <c r="B116" s="566"/>
      <c r="C116" s="566"/>
      <c r="D116" s="566" t="s">
        <v>1611</v>
      </c>
      <c r="E116" s="569" t="s">
        <v>1607</v>
      </c>
      <c r="F116" s="568" t="s">
        <v>1499</v>
      </c>
      <c r="G116" s="568" t="s">
        <v>1606</v>
      </c>
      <c r="H116" s="568" t="s">
        <v>1610</v>
      </c>
      <c r="I116" s="568"/>
      <c r="J116" s="568" t="s">
        <v>1510</v>
      </c>
      <c r="K116" s="568" t="s">
        <v>1510</v>
      </c>
      <c r="L116" s="568" t="s">
        <v>1605</v>
      </c>
      <c r="M116" s="568" t="s">
        <v>1554</v>
      </c>
      <c r="N116" s="567" t="s">
        <v>285</v>
      </c>
      <c r="O116" s="567" t="s">
        <v>1604</v>
      </c>
      <c r="P116" s="566"/>
      <c r="Q116" s="566"/>
      <c r="R116" s="566"/>
      <c r="S116" s="566"/>
    </row>
    <row r="117" spans="1:19" s="565" customFormat="1" ht="30.75" customHeight="1">
      <c r="A117" s="569" t="s">
        <v>1609</v>
      </c>
      <c r="B117" s="569"/>
      <c r="C117" s="569"/>
      <c r="D117" s="569" t="s">
        <v>1608</v>
      </c>
      <c r="E117" s="569" t="s">
        <v>1607</v>
      </c>
      <c r="F117" s="568" t="s">
        <v>1499</v>
      </c>
      <c r="G117" s="568" t="s">
        <v>1606</v>
      </c>
      <c r="H117" s="568" t="s">
        <v>1559</v>
      </c>
      <c r="I117" s="568"/>
      <c r="J117" s="568" t="s">
        <v>1510</v>
      </c>
      <c r="K117" s="568" t="s">
        <v>1510</v>
      </c>
      <c r="L117" s="568" t="s">
        <v>1605</v>
      </c>
      <c r="M117" s="568" t="s">
        <v>1554</v>
      </c>
      <c r="N117" s="567" t="s">
        <v>285</v>
      </c>
      <c r="O117" s="567" t="s">
        <v>1604</v>
      </c>
      <c r="P117" s="566"/>
      <c r="Q117" s="566"/>
      <c r="R117" s="566"/>
      <c r="S117" s="566"/>
    </row>
  </sheetData>
  <mergeCells count="13">
    <mergeCell ref="A97:A98"/>
    <mergeCell ref="D97:D98"/>
    <mergeCell ref="E97:E98"/>
    <mergeCell ref="G97:G98"/>
    <mergeCell ref="H97:H98"/>
    <mergeCell ref="F97:F98"/>
    <mergeCell ref="J97:J98"/>
    <mergeCell ref="P97:P98"/>
    <mergeCell ref="O97:O98"/>
    <mergeCell ref="N97:N98"/>
    <mergeCell ref="M97:M98"/>
    <mergeCell ref="L97:L98"/>
    <mergeCell ref="K97:K98"/>
  </mergeCells>
  <phoneticPr fontId="10" type="noConversion"/>
  <hyperlinks>
    <hyperlink ref="D84" r:id="rId1" tooltip="DAKB00156-W021E01LT" display="http://it53.dynapack.com.tw/Windchill/servlet/TypeBasedIncludeServlet?ContainerOid=OR%3Awt.pdmlink.PDMLinkProduct%3A306250141&amp;oid=VR%3Awt.part.WTPart%3A340601043&amp;u8=1"/>
    <hyperlink ref="E84" r:id="rId2" tooltip="85KB001560-W021E01L" display="http://it53.dynapack.com.tw/Windchill/servlet/TypeBasedIncludeServlet?ContainerOid=OR%3Awt.pdmlink.PDMLinkProduct%3A306250141&amp;oid=VR%3Awt.part.WTPart%3A340600851&amp;u8=1"/>
  </hyperlinks>
  <pageMargins left="0.15748031496062992" right="0.19685039370078741" top="0.31496062992125984" bottom="0.23622047244094491" header="0.31496062992125984" footer="0.31496062992125984"/>
  <pageSetup paperSize="9" scale="70" orientation="portrait" horizontalDpi="4294967292" verticalDpi="4294967292"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7"/>
  <dimension ref="A2:E9"/>
  <sheetViews>
    <sheetView topLeftCell="A7" workbookViewId="0">
      <selection activeCell="J35" sqref="J35"/>
    </sheetView>
  </sheetViews>
  <sheetFormatPr defaultRowHeight="14.25"/>
  <cols>
    <col min="1" max="1" width="9" style="224"/>
    <col min="2" max="2" width="31.875" style="224" customWidth="1"/>
    <col min="3" max="3" width="18.75" style="224" customWidth="1"/>
    <col min="4" max="4" width="20.75" style="224" customWidth="1"/>
    <col min="5" max="5" width="20" style="224" customWidth="1"/>
    <col min="6" max="16384" width="9" style="224"/>
  </cols>
  <sheetData>
    <row r="2" spans="1:5" ht="27.75">
      <c r="A2" s="928"/>
      <c r="B2" s="928"/>
      <c r="C2" s="928"/>
      <c r="D2" s="928"/>
      <c r="E2" s="928"/>
    </row>
    <row r="3" spans="1:5">
      <c r="A3" s="458"/>
      <c r="B3" s="458"/>
      <c r="C3" s="458"/>
      <c r="D3" s="458"/>
      <c r="E3" s="458"/>
    </row>
    <row r="4" spans="1:5" ht="27.75">
      <c r="A4" s="928" t="s">
        <v>1449</v>
      </c>
      <c r="B4" s="928"/>
      <c r="C4" s="928"/>
      <c r="D4" s="928"/>
      <c r="E4" s="928"/>
    </row>
    <row r="5" spans="1:5" ht="28.5">
      <c r="A5" s="458" t="s">
        <v>1448</v>
      </c>
      <c r="B5" s="458" t="s">
        <v>1447</v>
      </c>
      <c r="C5" s="458" t="s">
        <v>1446</v>
      </c>
      <c r="D5" s="458" t="s">
        <v>1445</v>
      </c>
      <c r="E5" s="458" t="s">
        <v>1444</v>
      </c>
    </row>
    <row r="6" spans="1:5" ht="75" customHeight="1">
      <c r="A6" s="452">
        <v>1</v>
      </c>
      <c r="B6" s="457" t="s">
        <v>1443</v>
      </c>
      <c r="C6" s="456" t="s">
        <v>1439</v>
      </c>
      <c r="D6" s="450" t="s">
        <v>1440</v>
      </c>
      <c r="E6" s="929" t="s">
        <v>1442</v>
      </c>
    </row>
    <row r="7" spans="1:5" ht="28.5">
      <c r="A7" s="455">
        <v>2</v>
      </c>
      <c r="B7" s="454" t="s">
        <v>1441</v>
      </c>
      <c r="C7" s="453" t="s">
        <v>1440</v>
      </c>
      <c r="D7" s="450" t="s">
        <v>1439</v>
      </c>
      <c r="E7" s="930"/>
    </row>
    <row r="8" spans="1:5" ht="146.44999999999999" customHeight="1">
      <c r="A8" s="452">
        <v>3</v>
      </c>
      <c r="B8" s="451" t="s">
        <v>1438</v>
      </c>
      <c r="C8" s="450" t="s">
        <v>1437</v>
      </c>
      <c r="D8" s="449"/>
      <c r="E8" s="930"/>
    </row>
    <row r="9" spans="1:5" ht="28.5">
      <c r="A9" s="448">
        <v>4</v>
      </c>
      <c r="B9" s="447" t="s">
        <v>1436</v>
      </c>
      <c r="C9" s="446" t="s">
        <v>1435</v>
      </c>
      <c r="D9" s="445"/>
      <c r="E9" s="931"/>
    </row>
  </sheetData>
  <mergeCells count="3">
    <mergeCell ref="A2:E2"/>
    <mergeCell ref="A4:E4"/>
    <mergeCell ref="E6:E9"/>
  </mergeCells>
  <phoneticPr fontId="1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8"/>
  <dimension ref="B2:G28"/>
  <sheetViews>
    <sheetView topLeftCell="A13" workbookViewId="0">
      <selection activeCell="J35" sqref="J35"/>
    </sheetView>
  </sheetViews>
  <sheetFormatPr defaultColWidth="8.75" defaultRowHeight="14.25"/>
  <cols>
    <col min="1" max="1" width="1.625" style="418" customWidth="1"/>
    <col min="2" max="2" width="8.125" style="418" customWidth="1"/>
    <col min="3" max="6" width="8.75" style="418"/>
    <col min="7" max="7" width="27.25" style="418" customWidth="1"/>
    <col min="8" max="16384" width="8.75" style="418"/>
  </cols>
  <sheetData>
    <row r="2" spans="2:2" ht="20.25">
      <c r="B2" s="417" t="s">
        <v>1157</v>
      </c>
    </row>
    <row r="18" spans="7:7">
      <c r="G18" s="418" t="s">
        <v>1158</v>
      </c>
    </row>
    <row r="20" spans="7:7">
      <c r="G20" s="418" t="s">
        <v>1159</v>
      </c>
    </row>
    <row r="22" spans="7:7">
      <c r="G22" s="418" t="s">
        <v>1160</v>
      </c>
    </row>
    <row r="24" spans="7:7">
      <c r="G24" s="418" t="s">
        <v>1161</v>
      </c>
    </row>
    <row r="26" spans="7:7" ht="28.5">
      <c r="G26" s="419" t="s">
        <v>1162</v>
      </c>
    </row>
    <row r="28" spans="7:7">
      <c r="G28" s="418" t="s">
        <v>1163</v>
      </c>
    </row>
  </sheetData>
  <phoneticPr fontId="10" type="noConversion"/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9">
    <tabColor rgb="FFFFC000"/>
  </sheetPr>
  <dimension ref="A1:T162"/>
  <sheetViews>
    <sheetView topLeftCell="A40" zoomScale="85" zoomScaleNormal="85" workbookViewId="0">
      <selection activeCell="D52" sqref="D52"/>
    </sheetView>
  </sheetViews>
  <sheetFormatPr defaultRowHeight="16.5"/>
  <cols>
    <col min="1" max="2" width="9" style="318"/>
    <col min="3" max="3" width="13.375" style="318" customWidth="1"/>
    <col min="4" max="4" width="13.75" style="318" customWidth="1"/>
    <col min="5" max="5" width="9" style="318"/>
    <col min="6" max="6" width="22.125" style="318" customWidth="1"/>
    <col min="7" max="7" width="10.625" style="318" customWidth="1"/>
    <col min="8" max="8" width="11.75" style="318" customWidth="1"/>
    <col min="9" max="16384" width="9" style="318"/>
  </cols>
  <sheetData>
    <row r="1" spans="1:20" ht="36.75">
      <c r="A1" s="318" t="s">
        <v>40</v>
      </c>
      <c r="F1" s="402" t="s">
        <v>194</v>
      </c>
    </row>
    <row r="2" spans="1:20" ht="21">
      <c r="A2" s="318" t="s">
        <v>38</v>
      </c>
      <c r="F2" s="403" t="s">
        <v>355</v>
      </c>
    </row>
    <row r="3" spans="1:20">
      <c r="A3" s="318" t="s">
        <v>39</v>
      </c>
      <c r="F3" s="318" t="s">
        <v>228</v>
      </c>
    </row>
    <row r="4" spans="1:20">
      <c r="A4" s="318" t="s">
        <v>197</v>
      </c>
      <c r="F4" s="318" t="s">
        <v>356</v>
      </c>
    </row>
    <row r="5" spans="1:20">
      <c r="A5" s="318" t="s">
        <v>197</v>
      </c>
    </row>
    <row r="6" spans="1:20">
      <c r="A6" s="318" t="s">
        <v>50</v>
      </c>
      <c r="H6" s="318" t="s">
        <v>195</v>
      </c>
    </row>
    <row r="7" spans="1:20">
      <c r="A7" s="318" t="s">
        <v>38</v>
      </c>
      <c r="H7" s="404" t="s">
        <v>14</v>
      </c>
    </row>
    <row r="8" spans="1:20">
      <c r="H8" s="318" t="s">
        <v>15</v>
      </c>
      <c r="I8" s="405">
        <v>12</v>
      </c>
      <c r="J8" s="318" t="s">
        <v>16</v>
      </c>
      <c r="K8" s="405">
        <f>2^I8</f>
        <v>4096</v>
      </c>
    </row>
    <row r="9" spans="1:20">
      <c r="H9" s="318" t="s">
        <v>17</v>
      </c>
      <c r="I9" s="405">
        <v>3.3</v>
      </c>
      <c r="J9" s="318" t="s">
        <v>18</v>
      </c>
    </row>
    <row r="10" spans="1:20">
      <c r="H10" s="318" t="s">
        <v>20</v>
      </c>
      <c r="I10" s="318">
        <f>I9/K8*1000</f>
        <v>0.8056640625</v>
      </c>
      <c r="J10" s="318" t="s">
        <v>19</v>
      </c>
    </row>
    <row r="12" spans="1:20">
      <c r="G12" s="318" t="s">
        <v>53</v>
      </c>
      <c r="H12" s="406" t="s">
        <v>54</v>
      </c>
      <c r="I12" s="318">
        <f>1/I10</f>
        <v>1.2412121212121212</v>
      </c>
    </row>
    <row r="13" spans="1:20" ht="17.25" thickBot="1"/>
    <row r="14" spans="1:20" ht="17.25" thickTop="1">
      <c r="H14" s="407" t="s">
        <v>240</v>
      </c>
      <c r="I14" s="408"/>
      <c r="J14" s="413">
        <v>100</v>
      </c>
      <c r="K14" s="408" t="s">
        <v>241</v>
      </c>
      <c r="L14" s="409"/>
      <c r="O14" s="892" t="s">
        <v>236</v>
      </c>
      <c r="P14" s="893"/>
      <c r="Q14" s="385" t="s">
        <v>245</v>
      </c>
      <c r="R14" s="385"/>
      <c r="S14" s="385"/>
      <c r="T14" s="386"/>
    </row>
    <row r="15" spans="1:20" ht="17.25" thickBot="1">
      <c r="H15" s="884" t="s">
        <v>111</v>
      </c>
      <c r="I15" s="885"/>
      <c r="J15" s="387">
        <f>VLOOKUP(J14,C22:J162,6)</f>
        <v>369</v>
      </c>
      <c r="K15" s="333" t="s">
        <v>242</v>
      </c>
      <c r="L15" s="335"/>
      <c r="O15" s="894"/>
      <c r="P15" s="895"/>
      <c r="Q15" s="390" t="s">
        <v>238</v>
      </c>
      <c r="R15" s="390" t="s">
        <v>239</v>
      </c>
      <c r="S15" s="390"/>
      <c r="T15" s="391"/>
    </row>
    <row r="16" spans="1:20">
      <c r="D16" s="318" t="s">
        <v>41</v>
      </c>
      <c r="E16" s="410">
        <v>3.3</v>
      </c>
      <c r="F16" s="318" t="s">
        <v>18</v>
      </c>
      <c r="H16" s="884" t="s">
        <v>104</v>
      </c>
      <c r="I16" s="885"/>
      <c r="J16" s="363">
        <v>2222</v>
      </c>
      <c r="K16" s="333"/>
      <c r="L16" s="335"/>
      <c r="M16" s="318" t="s">
        <v>243</v>
      </c>
      <c r="O16" s="892" t="s">
        <v>236</v>
      </c>
      <c r="P16" s="893"/>
      <c r="Q16" s="385" t="s">
        <v>246</v>
      </c>
      <c r="R16" s="385"/>
      <c r="S16" s="385"/>
      <c r="T16" s="386"/>
    </row>
    <row r="17" spans="3:20" ht="17.25" thickBot="1">
      <c r="D17" s="318" t="s">
        <v>2</v>
      </c>
      <c r="E17" s="410">
        <v>10</v>
      </c>
      <c r="F17" s="318" t="s">
        <v>5</v>
      </c>
      <c r="H17" s="884" t="s">
        <v>105</v>
      </c>
      <c r="I17" s="885"/>
      <c r="J17" s="333">
        <f>J16-J15</f>
        <v>1853</v>
      </c>
      <c r="K17" s="333" t="s">
        <v>106</v>
      </c>
      <c r="L17" s="335"/>
      <c r="M17" s="411" t="str">
        <f>DEC2HEX(J17)</f>
        <v>73D</v>
      </c>
      <c r="N17" s="411"/>
      <c r="O17" s="894"/>
      <c r="P17" s="895"/>
      <c r="Q17" s="390" t="s">
        <v>247</v>
      </c>
      <c r="R17" s="390" t="s">
        <v>239</v>
      </c>
      <c r="S17" s="390"/>
      <c r="T17" s="391"/>
    </row>
    <row r="18" spans="3:20" ht="17.25" thickBot="1">
      <c r="H18" s="360"/>
      <c r="I18" s="361"/>
      <c r="J18" s="361" t="s">
        <v>107</v>
      </c>
      <c r="K18" s="361"/>
      <c r="L18" s="362"/>
      <c r="M18" s="380" t="s">
        <v>253</v>
      </c>
    </row>
    <row r="19" spans="3:20" ht="17.25" thickTop="1"/>
    <row r="21" spans="3:20">
      <c r="C21" s="318" t="s">
        <v>42</v>
      </c>
      <c r="D21" s="318" t="s">
        <v>199</v>
      </c>
      <c r="E21" s="318" t="s">
        <v>43</v>
      </c>
      <c r="F21" s="318" t="s">
        <v>51</v>
      </c>
      <c r="G21" s="318" t="s">
        <v>52</v>
      </c>
      <c r="H21" s="318" t="s">
        <v>13</v>
      </c>
      <c r="J21" s="318" t="s">
        <v>53</v>
      </c>
    </row>
    <row r="22" spans="3:20">
      <c r="C22" s="318">
        <v>-40</v>
      </c>
      <c r="D22" s="412">
        <v>173200</v>
      </c>
      <c r="E22" s="318">
        <f t="shared" ref="E22:E85" si="0">D22/1000</f>
        <v>173.2</v>
      </c>
      <c r="F22" s="318">
        <f t="shared" ref="F22:F61" si="1">$E$16/($E$17+E22)*E22</f>
        <v>3.1198689956331878</v>
      </c>
      <c r="G22" s="318">
        <f t="shared" ref="G22:G61" si="2">ROUND((F22*1000),2)</f>
        <v>3119.87</v>
      </c>
      <c r="H22" s="318">
        <f t="shared" ref="H22:H61" si="3">ROUNDDOWN(G22/$I$10,0)</f>
        <v>3872</v>
      </c>
      <c r="J22" s="318">
        <f t="shared" ref="J22:J61" si="4">H22/G22</f>
        <v>1.2410773525819987</v>
      </c>
    </row>
    <row r="23" spans="3:20">
      <c r="C23" s="318">
        <v>-39</v>
      </c>
      <c r="D23" s="412">
        <v>164200</v>
      </c>
      <c r="E23" s="318">
        <f t="shared" si="0"/>
        <v>164.2</v>
      </c>
      <c r="F23" s="318">
        <f t="shared" si="1"/>
        <v>3.1105625717566014</v>
      </c>
      <c r="G23" s="318">
        <f t="shared" si="2"/>
        <v>3110.56</v>
      </c>
      <c r="H23" s="318">
        <f t="shared" si="3"/>
        <v>3860</v>
      </c>
      <c r="J23" s="318">
        <f t="shared" si="4"/>
        <v>1.240934108327761</v>
      </c>
    </row>
    <row r="24" spans="3:20">
      <c r="C24" s="318">
        <v>-38</v>
      </c>
      <c r="D24" s="412">
        <v>155700</v>
      </c>
      <c r="E24" s="318">
        <f t="shared" si="0"/>
        <v>155.69999999999999</v>
      </c>
      <c r="F24" s="318">
        <f t="shared" si="1"/>
        <v>3.1008449004224503</v>
      </c>
      <c r="G24" s="318">
        <f t="shared" si="2"/>
        <v>3100.84</v>
      </c>
      <c r="H24" s="318">
        <f t="shared" si="3"/>
        <v>3848</v>
      </c>
      <c r="J24" s="318">
        <f t="shared" si="4"/>
        <v>1.2409540640600611</v>
      </c>
    </row>
    <row r="25" spans="3:20">
      <c r="C25" s="318">
        <v>-37</v>
      </c>
      <c r="D25" s="412">
        <v>147700</v>
      </c>
      <c r="E25" s="318">
        <f t="shared" si="0"/>
        <v>147.69999999999999</v>
      </c>
      <c r="F25" s="318">
        <f t="shared" si="1"/>
        <v>3.0907419150285351</v>
      </c>
      <c r="G25" s="318">
        <f t="shared" si="2"/>
        <v>3090.74</v>
      </c>
      <c r="H25" s="318">
        <f t="shared" si="3"/>
        <v>3836</v>
      </c>
      <c r="J25" s="318">
        <f t="shared" si="4"/>
        <v>1.2411267204617664</v>
      </c>
    </row>
    <row r="26" spans="3:20">
      <c r="C26" s="318">
        <v>-36</v>
      </c>
      <c r="D26" s="412">
        <v>140200</v>
      </c>
      <c r="E26" s="318">
        <f t="shared" si="0"/>
        <v>140.19999999999999</v>
      </c>
      <c r="F26" s="318">
        <f t="shared" si="1"/>
        <v>3.080292942743009</v>
      </c>
      <c r="G26" s="318">
        <f t="shared" si="2"/>
        <v>3080.29</v>
      </c>
      <c r="H26" s="318">
        <f t="shared" si="3"/>
        <v>3823</v>
      </c>
      <c r="J26" s="318">
        <f t="shared" si="4"/>
        <v>1.2411169078236139</v>
      </c>
    </row>
    <row r="27" spans="3:20">
      <c r="C27" s="318">
        <v>-35</v>
      </c>
      <c r="D27" s="412">
        <v>133200</v>
      </c>
      <c r="E27" s="318">
        <f t="shared" si="0"/>
        <v>133.19999999999999</v>
      </c>
      <c r="F27" s="318">
        <f t="shared" si="1"/>
        <v>3.0695530726256979</v>
      </c>
      <c r="G27" s="318">
        <f t="shared" si="2"/>
        <v>3069.55</v>
      </c>
      <c r="H27" s="318">
        <f t="shared" si="3"/>
        <v>3809</v>
      </c>
      <c r="J27" s="318">
        <f t="shared" si="4"/>
        <v>1.2408985030379045</v>
      </c>
    </row>
    <row r="28" spans="3:20">
      <c r="C28" s="318">
        <v>-34</v>
      </c>
      <c r="D28" s="412">
        <v>126600</v>
      </c>
      <c r="E28" s="318">
        <f t="shared" si="0"/>
        <v>126.6</v>
      </c>
      <c r="F28" s="318">
        <f t="shared" si="1"/>
        <v>3.0584187408491945</v>
      </c>
      <c r="G28" s="318">
        <f t="shared" si="2"/>
        <v>3058.42</v>
      </c>
      <c r="H28" s="318">
        <f t="shared" si="3"/>
        <v>3796</v>
      </c>
      <c r="J28" s="318">
        <f t="shared" si="4"/>
        <v>1.2411637381393006</v>
      </c>
    </row>
    <row r="29" spans="3:20">
      <c r="C29" s="318">
        <v>-33</v>
      </c>
      <c r="D29" s="412">
        <v>120400</v>
      </c>
      <c r="E29" s="318">
        <f t="shared" si="0"/>
        <v>120.4</v>
      </c>
      <c r="F29" s="318">
        <f t="shared" si="1"/>
        <v>3.0469325153374229</v>
      </c>
      <c r="G29" s="318">
        <f t="shared" si="2"/>
        <v>3046.93</v>
      </c>
      <c r="H29" s="318">
        <f t="shared" si="3"/>
        <v>3781</v>
      </c>
      <c r="J29" s="318">
        <f t="shared" si="4"/>
        <v>1.2409211895251944</v>
      </c>
    </row>
    <row r="30" spans="3:20">
      <c r="C30" s="318">
        <v>-32</v>
      </c>
      <c r="D30" s="412">
        <v>114500</v>
      </c>
      <c r="E30" s="318">
        <f t="shared" si="0"/>
        <v>114.5</v>
      </c>
      <c r="F30" s="318">
        <f t="shared" si="1"/>
        <v>3.0349397590361447</v>
      </c>
      <c r="G30" s="318">
        <f t="shared" si="2"/>
        <v>3034.94</v>
      </c>
      <c r="H30" s="318">
        <f t="shared" si="3"/>
        <v>3767</v>
      </c>
      <c r="J30" s="318">
        <f t="shared" si="4"/>
        <v>1.2412106993877967</v>
      </c>
    </row>
    <row r="31" spans="3:20">
      <c r="C31" s="318">
        <v>-31</v>
      </c>
      <c r="D31" s="412">
        <v>108900</v>
      </c>
      <c r="E31" s="318">
        <f t="shared" si="0"/>
        <v>108.9</v>
      </c>
      <c r="F31" s="318">
        <f t="shared" si="1"/>
        <v>3.0224558452481074</v>
      </c>
      <c r="G31" s="318">
        <f t="shared" si="2"/>
        <v>3022.46</v>
      </c>
      <c r="H31" s="318">
        <f t="shared" si="3"/>
        <v>3751</v>
      </c>
      <c r="J31" s="318">
        <f t="shared" si="4"/>
        <v>1.2410420650728216</v>
      </c>
    </row>
    <row r="32" spans="3:20">
      <c r="C32" s="318">
        <v>-30</v>
      </c>
      <c r="D32" s="412">
        <v>103700</v>
      </c>
      <c r="E32" s="318">
        <f t="shared" si="0"/>
        <v>103.7</v>
      </c>
      <c r="F32" s="318">
        <f t="shared" si="1"/>
        <v>3.0097625329815298</v>
      </c>
      <c r="G32" s="318">
        <f t="shared" si="2"/>
        <v>3009.76</v>
      </c>
      <c r="H32" s="318">
        <f t="shared" si="3"/>
        <v>3735</v>
      </c>
      <c r="J32" s="318">
        <f t="shared" si="4"/>
        <v>1.2409627345701981</v>
      </c>
    </row>
    <row r="33" spans="3:10">
      <c r="C33" s="318">
        <v>-29</v>
      </c>
      <c r="D33" s="412">
        <v>98800</v>
      </c>
      <c r="E33" s="318">
        <f t="shared" si="0"/>
        <v>98.8</v>
      </c>
      <c r="F33" s="318">
        <f t="shared" si="1"/>
        <v>2.9966911764705881</v>
      </c>
      <c r="G33" s="318">
        <f t="shared" si="2"/>
        <v>2996.69</v>
      </c>
      <c r="H33" s="318">
        <f t="shared" si="3"/>
        <v>3719</v>
      </c>
      <c r="J33" s="318">
        <f t="shared" si="4"/>
        <v>1.2410359429904327</v>
      </c>
    </row>
    <row r="34" spans="3:10">
      <c r="C34" s="318">
        <v>-28</v>
      </c>
      <c r="D34" s="412">
        <v>94160</v>
      </c>
      <c r="E34" s="318">
        <f t="shared" si="0"/>
        <v>94.16</v>
      </c>
      <c r="F34" s="318">
        <f t="shared" si="1"/>
        <v>2.9831797235023041</v>
      </c>
      <c r="G34" s="318">
        <f t="shared" si="2"/>
        <v>2983.18</v>
      </c>
      <c r="H34" s="318">
        <f t="shared" si="3"/>
        <v>3702</v>
      </c>
      <c r="J34" s="318">
        <f t="shared" si="4"/>
        <v>1.2409576358114496</v>
      </c>
    </row>
    <row r="35" spans="3:10">
      <c r="C35" s="318">
        <v>-27</v>
      </c>
      <c r="D35" s="412">
        <v>89770</v>
      </c>
      <c r="E35" s="318">
        <f t="shared" si="0"/>
        <v>89.77</v>
      </c>
      <c r="F35" s="318">
        <f t="shared" si="1"/>
        <v>2.9692392502756335</v>
      </c>
      <c r="G35" s="318">
        <f t="shared" si="2"/>
        <v>2969.24</v>
      </c>
      <c r="H35" s="318">
        <f t="shared" si="3"/>
        <v>3685</v>
      </c>
      <c r="J35" s="318">
        <f t="shared" si="4"/>
        <v>1.2410583179534158</v>
      </c>
    </row>
    <row r="36" spans="3:10">
      <c r="C36" s="318">
        <v>-26</v>
      </c>
      <c r="D36" s="412">
        <v>85600</v>
      </c>
      <c r="E36" s="318">
        <f t="shared" si="0"/>
        <v>85.6</v>
      </c>
      <c r="F36" s="318">
        <f t="shared" si="1"/>
        <v>2.9548117154811715</v>
      </c>
      <c r="G36" s="318">
        <f t="shared" si="2"/>
        <v>2954.81</v>
      </c>
      <c r="H36" s="318">
        <f t="shared" si="3"/>
        <v>3667</v>
      </c>
      <c r="J36" s="318">
        <f t="shared" si="4"/>
        <v>1.2410273418595443</v>
      </c>
    </row>
    <row r="37" spans="3:10">
      <c r="C37" s="318">
        <v>-25</v>
      </c>
      <c r="D37" s="412">
        <v>81660</v>
      </c>
      <c r="E37" s="318">
        <f t="shared" si="0"/>
        <v>81.66</v>
      </c>
      <c r="F37" s="318">
        <f t="shared" si="1"/>
        <v>2.9399738162775475</v>
      </c>
      <c r="G37" s="318">
        <f t="shared" si="2"/>
        <v>2939.97</v>
      </c>
      <c r="H37" s="318">
        <f t="shared" si="3"/>
        <v>3649</v>
      </c>
      <c r="J37" s="318">
        <f t="shared" si="4"/>
        <v>1.2411691275761318</v>
      </c>
    </row>
    <row r="38" spans="3:10">
      <c r="C38" s="318">
        <v>-24</v>
      </c>
      <c r="D38" s="412">
        <v>77920</v>
      </c>
      <c r="E38" s="318">
        <f t="shared" si="0"/>
        <v>77.92</v>
      </c>
      <c r="F38" s="318">
        <f t="shared" si="1"/>
        <v>2.924658780709736</v>
      </c>
      <c r="G38" s="318">
        <f t="shared" si="2"/>
        <v>2924.66</v>
      </c>
      <c r="H38" s="318">
        <f t="shared" si="3"/>
        <v>3630</v>
      </c>
      <c r="J38" s="318">
        <f t="shared" si="4"/>
        <v>1.2411699137677543</v>
      </c>
    </row>
    <row r="39" spans="3:10">
      <c r="C39" s="318">
        <v>-23</v>
      </c>
      <c r="D39" s="412">
        <v>74380</v>
      </c>
      <c r="E39" s="318">
        <f t="shared" si="0"/>
        <v>74.38</v>
      </c>
      <c r="F39" s="318">
        <f t="shared" si="1"/>
        <v>2.9089120644702535</v>
      </c>
      <c r="G39" s="318">
        <f t="shared" si="2"/>
        <v>2908.91</v>
      </c>
      <c r="H39" s="318">
        <f t="shared" si="3"/>
        <v>3610</v>
      </c>
      <c r="J39" s="318">
        <f t="shared" si="4"/>
        <v>1.241014675600139</v>
      </c>
    </row>
    <row r="40" spans="3:10">
      <c r="C40" s="318">
        <v>-22</v>
      </c>
      <c r="D40" s="412">
        <v>71010</v>
      </c>
      <c r="E40" s="318">
        <f t="shared" si="0"/>
        <v>71.010000000000005</v>
      </c>
      <c r="F40" s="318">
        <f t="shared" si="1"/>
        <v>2.8926428835946179</v>
      </c>
      <c r="G40" s="318">
        <f t="shared" si="2"/>
        <v>2892.64</v>
      </c>
      <c r="H40" s="318">
        <f t="shared" si="3"/>
        <v>3590</v>
      </c>
      <c r="J40" s="318">
        <f t="shared" si="4"/>
        <v>1.2410808119918137</v>
      </c>
    </row>
    <row r="41" spans="3:10">
      <c r="C41" s="318">
        <v>-21</v>
      </c>
      <c r="D41" s="412">
        <v>67820</v>
      </c>
      <c r="E41" s="318">
        <f t="shared" si="0"/>
        <v>67.819999999999993</v>
      </c>
      <c r="F41" s="318">
        <f t="shared" si="1"/>
        <v>2.8759444872783342</v>
      </c>
      <c r="G41" s="318">
        <f t="shared" si="2"/>
        <v>2875.94</v>
      </c>
      <c r="H41" s="318">
        <f t="shared" si="3"/>
        <v>3569</v>
      </c>
      <c r="J41" s="318">
        <f t="shared" si="4"/>
        <v>1.240985556026899</v>
      </c>
    </row>
    <row r="42" spans="3:10">
      <c r="C42" s="318">
        <v>-20</v>
      </c>
      <c r="D42" s="412">
        <v>64790</v>
      </c>
      <c r="E42" s="318">
        <f t="shared" si="0"/>
        <v>64.790000000000006</v>
      </c>
      <c r="F42" s="318">
        <f t="shared" si="1"/>
        <v>2.8587645407139988</v>
      </c>
      <c r="G42" s="318">
        <f t="shared" si="2"/>
        <v>2858.76</v>
      </c>
      <c r="H42" s="318">
        <f t="shared" si="3"/>
        <v>3548</v>
      </c>
      <c r="J42" s="318">
        <f t="shared" si="4"/>
        <v>1.241097538793043</v>
      </c>
    </row>
    <row r="43" spans="3:10">
      <c r="C43" s="318">
        <v>-19</v>
      </c>
      <c r="D43" s="412">
        <v>61930</v>
      </c>
      <c r="E43" s="318">
        <f t="shared" si="0"/>
        <v>61.93</v>
      </c>
      <c r="F43" s="318">
        <f t="shared" si="1"/>
        <v>2.8412206311691919</v>
      </c>
      <c r="G43" s="318">
        <f t="shared" si="2"/>
        <v>2841.22</v>
      </c>
      <c r="H43" s="318">
        <f t="shared" si="3"/>
        <v>3526</v>
      </c>
      <c r="J43" s="318">
        <f t="shared" si="4"/>
        <v>1.2410161831889119</v>
      </c>
    </row>
    <row r="44" spans="3:10">
      <c r="C44" s="318">
        <v>-18</v>
      </c>
      <c r="D44" s="412">
        <v>59210</v>
      </c>
      <c r="E44" s="318">
        <f t="shared" si="0"/>
        <v>59.21</v>
      </c>
      <c r="F44" s="318">
        <f t="shared" si="1"/>
        <v>2.8231902904204591</v>
      </c>
      <c r="G44" s="318">
        <f t="shared" si="2"/>
        <v>2823.19</v>
      </c>
      <c r="H44" s="318">
        <f t="shared" si="3"/>
        <v>3504</v>
      </c>
      <c r="J44" s="318">
        <f t="shared" si="4"/>
        <v>1.2411491964763264</v>
      </c>
    </row>
    <row r="45" spans="3:10">
      <c r="C45" s="318">
        <v>-17</v>
      </c>
      <c r="D45" s="412">
        <v>56620</v>
      </c>
      <c r="E45" s="318">
        <f t="shared" si="0"/>
        <v>56.62</v>
      </c>
      <c r="F45" s="318">
        <f t="shared" si="1"/>
        <v>2.8046532572800955</v>
      </c>
      <c r="G45" s="318">
        <f t="shared" si="2"/>
        <v>2804.65</v>
      </c>
      <c r="H45" s="318">
        <f t="shared" si="3"/>
        <v>3481</v>
      </c>
      <c r="J45" s="318">
        <f t="shared" si="4"/>
        <v>1.2411530850551762</v>
      </c>
    </row>
    <row r="46" spans="3:10">
      <c r="C46" s="318">
        <v>-16</v>
      </c>
      <c r="D46" s="412">
        <v>54150</v>
      </c>
      <c r="E46" s="318">
        <f t="shared" si="0"/>
        <v>54.15</v>
      </c>
      <c r="F46" s="318">
        <f t="shared" si="1"/>
        <v>2.7855806703039745</v>
      </c>
      <c r="G46" s="318">
        <f t="shared" si="2"/>
        <v>2785.58</v>
      </c>
      <c r="H46" s="318">
        <f t="shared" si="3"/>
        <v>3457</v>
      </c>
      <c r="J46" s="318">
        <f t="shared" si="4"/>
        <v>1.2410341831862663</v>
      </c>
    </row>
    <row r="47" spans="3:10">
      <c r="C47" s="318">
        <v>-15</v>
      </c>
      <c r="D47" s="412">
        <v>51790</v>
      </c>
      <c r="E47" s="318">
        <f t="shared" si="0"/>
        <v>51.79</v>
      </c>
      <c r="F47" s="318">
        <f t="shared" si="1"/>
        <v>2.7659329988671306</v>
      </c>
      <c r="G47" s="318">
        <f t="shared" si="2"/>
        <v>2765.93</v>
      </c>
      <c r="H47" s="318">
        <f t="shared" si="3"/>
        <v>3433</v>
      </c>
      <c r="J47" s="318">
        <f t="shared" si="4"/>
        <v>1.2411738547251738</v>
      </c>
    </row>
    <row r="48" spans="3:10">
      <c r="C48" s="318">
        <v>-14</v>
      </c>
      <c r="D48" s="412">
        <v>49550</v>
      </c>
      <c r="E48" s="318">
        <f t="shared" si="0"/>
        <v>49.55</v>
      </c>
      <c r="F48" s="318">
        <f t="shared" si="1"/>
        <v>2.745843828715365</v>
      </c>
      <c r="G48" s="318">
        <f t="shared" si="2"/>
        <v>2745.84</v>
      </c>
      <c r="H48" s="318">
        <f t="shared" si="3"/>
        <v>3408</v>
      </c>
      <c r="J48" s="318">
        <f t="shared" si="4"/>
        <v>1.2411502491040993</v>
      </c>
    </row>
    <row r="49" spans="3:10">
      <c r="C49" s="318">
        <v>-13</v>
      </c>
      <c r="D49" s="412">
        <v>47410</v>
      </c>
      <c r="E49" s="318">
        <f t="shared" si="0"/>
        <v>47.41</v>
      </c>
      <c r="F49" s="318">
        <f t="shared" si="1"/>
        <v>2.7251872496080822</v>
      </c>
      <c r="G49" s="318">
        <f t="shared" si="2"/>
        <v>2725.19</v>
      </c>
      <c r="H49" s="318">
        <f t="shared" si="3"/>
        <v>3382</v>
      </c>
      <c r="J49" s="318">
        <f t="shared" si="4"/>
        <v>1.2410143879876265</v>
      </c>
    </row>
    <row r="50" spans="3:10">
      <c r="C50" s="318">
        <v>-12</v>
      </c>
      <c r="D50" s="412">
        <v>45370</v>
      </c>
      <c r="E50" s="318">
        <f t="shared" si="0"/>
        <v>45.37</v>
      </c>
      <c r="F50" s="318">
        <f t="shared" si="1"/>
        <v>2.7040093913671659</v>
      </c>
      <c r="G50" s="318">
        <f t="shared" si="2"/>
        <v>2704.01</v>
      </c>
      <c r="H50" s="318">
        <f t="shared" si="3"/>
        <v>3356</v>
      </c>
      <c r="J50" s="318">
        <f t="shared" si="4"/>
        <v>1.2411196704154199</v>
      </c>
    </row>
    <row r="51" spans="3:10">
      <c r="C51" s="318">
        <v>-11</v>
      </c>
      <c r="D51" s="412">
        <v>43430</v>
      </c>
      <c r="E51" s="318">
        <f t="shared" si="0"/>
        <v>43.43</v>
      </c>
      <c r="F51" s="318">
        <f t="shared" si="1"/>
        <v>2.682369455362156</v>
      </c>
      <c r="G51" s="318">
        <f t="shared" si="2"/>
        <v>2682.37</v>
      </c>
      <c r="H51" s="318">
        <f t="shared" si="3"/>
        <v>3329</v>
      </c>
      <c r="J51" s="318">
        <f t="shared" si="4"/>
        <v>1.2410666686549581</v>
      </c>
    </row>
    <row r="52" spans="3:10">
      <c r="C52" s="318">
        <v>-10</v>
      </c>
      <c r="D52" s="412">
        <v>41570</v>
      </c>
      <c r="E52" s="318">
        <f t="shared" si="0"/>
        <v>41.57</v>
      </c>
      <c r="F52" s="318">
        <f t="shared" si="1"/>
        <v>2.6600930773705644</v>
      </c>
      <c r="G52" s="318">
        <f t="shared" si="2"/>
        <v>2660.09</v>
      </c>
      <c r="H52" s="318">
        <f t="shared" si="3"/>
        <v>3301</v>
      </c>
      <c r="J52" s="318">
        <f t="shared" si="4"/>
        <v>1.2409354570710014</v>
      </c>
    </row>
    <row r="53" spans="3:10">
      <c r="C53" s="318">
        <v>-9</v>
      </c>
      <c r="D53" s="412">
        <v>39810</v>
      </c>
      <c r="E53" s="318">
        <f t="shared" si="0"/>
        <v>39.81</v>
      </c>
      <c r="F53" s="318">
        <f t="shared" si="1"/>
        <v>2.637482433246336</v>
      </c>
      <c r="G53" s="318">
        <f t="shared" si="2"/>
        <v>2637.48</v>
      </c>
      <c r="H53" s="318">
        <f t="shared" si="3"/>
        <v>3273</v>
      </c>
      <c r="J53" s="318">
        <f t="shared" si="4"/>
        <v>1.2409572774011557</v>
      </c>
    </row>
    <row r="54" spans="3:10">
      <c r="C54" s="318">
        <v>-8</v>
      </c>
      <c r="D54" s="412">
        <v>38130</v>
      </c>
      <c r="E54" s="318">
        <f t="shared" si="0"/>
        <v>38.130000000000003</v>
      </c>
      <c r="F54" s="318">
        <f t="shared" si="1"/>
        <v>2.6143569499272803</v>
      </c>
      <c r="G54" s="318">
        <f t="shared" si="2"/>
        <v>2614.36</v>
      </c>
      <c r="H54" s="318">
        <f t="shared" si="3"/>
        <v>3244</v>
      </c>
      <c r="J54" s="318">
        <f t="shared" si="4"/>
        <v>1.2408390581251243</v>
      </c>
    </row>
    <row r="55" spans="3:10">
      <c r="C55" s="318">
        <v>-7</v>
      </c>
      <c r="D55" s="412">
        <v>36530</v>
      </c>
      <c r="E55" s="318">
        <f t="shared" si="0"/>
        <v>36.53</v>
      </c>
      <c r="F55" s="318">
        <f t="shared" si="1"/>
        <v>2.5907801418439713</v>
      </c>
      <c r="G55" s="318">
        <f t="shared" si="2"/>
        <v>2590.7800000000002</v>
      </c>
      <c r="H55" s="318">
        <f t="shared" si="3"/>
        <v>3215</v>
      </c>
      <c r="J55" s="318">
        <f t="shared" si="4"/>
        <v>1.240939022224967</v>
      </c>
    </row>
    <row r="56" spans="3:10">
      <c r="C56" s="318">
        <v>-6</v>
      </c>
      <c r="D56" s="412">
        <v>34990</v>
      </c>
      <c r="E56" s="318">
        <f t="shared" si="0"/>
        <v>34.99</v>
      </c>
      <c r="F56" s="318">
        <f t="shared" si="1"/>
        <v>2.5665036674816624</v>
      </c>
      <c r="G56" s="318">
        <f t="shared" si="2"/>
        <v>2566.5</v>
      </c>
      <c r="H56" s="318">
        <f t="shared" si="3"/>
        <v>3185</v>
      </c>
      <c r="J56" s="318">
        <f t="shared" si="4"/>
        <v>1.2409896746541984</v>
      </c>
    </row>
    <row r="57" spans="3:10">
      <c r="C57" s="318">
        <v>-5</v>
      </c>
      <c r="D57" s="412">
        <v>33530</v>
      </c>
      <c r="E57" s="318">
        <f t="shared" si="0"/>
        <v>33.53</v>
      </c>
      <c r="F57" s="318">
        <f t="shared" si="1"/>
        <v>2.5419021364576153</v>
      </c>
      <c r="G57" s="318">
        <f t="shared" si="2"/>
        <v>2541.9</v>
      </c>
      <c r="H57" s="318">
        <f t="shared" si="3"/>
        <v>3155</v>
      </c>
      <c r="J57" s="318">
        <f t="shared" si="4"/>
        <v>1.2411975294071365</v>
      </c>
    </row>
    <row r="58" spans="3:10">
      <c r="C58" s="318">
        <v>-4</v>
      </c>
      <c r="D58" s="412">
        <v>32130</v>
      </c>
      <c r="E58" s="318">
        <f t="shared" si="0"/>
        <v>32.130000000000003</v>
      </c>
      <c r="F58" s="318">
        <f t="shared" si="1"/>
        <v>2.5167101827676239</v>
      </c>
      <c r="G58" s="318">
        <f t="shared" si="2"/>
        <v>2516.71</v>
      </c>
      <c r="H58" s="318">
        <f t="shared" si="3"/>
        <v>3123</v>
      </c>
      <c r="J58" s="318">
        <f t="shared" si="4"/>
        <v>1.2409057857281927</v>
      </c>
    </row>
    <row r="59" spans="3:10">
      <c r="C59" s="318">
        <v>-3</v>
      </c>
      <c r="D59" s="412">
        <v>30790</v>
      </c>
      <c r="E59" s="318">
        <f t="shared" si="0"/>
        <v>30.79</v>
      </c>
      <c r="F59" s="318">
        <f t="shared" si="1"/>
        <v>2.4909781809266978</v>
      </c>
      <c r="G59" s="318">
        <f t="shared" si="2"/>
        <v>2490.98</v>
      </c>
      <c r="H59" s="318">
        <f t="shared" si="3"/>
        <v>3091</v>
      </c>
      <c r="J59" s="318">
        <f t="shared" si="4"/>
        <v>1.2408770845209516</v>
      </c>
    </row>
    <row r="60" spans="3:10">
      <c r="C60" s="318">
        <v>-2</v>
      </c>
      <c r="D60" s="412">
        <v>29500</v>
      </c>
      <c r="E60" s="318">
        <f t="shared" si="0"/>
        <v>29.5</v>
      </c>
      <c r="F60" s="318">
        <f t="shared" si="1"/>
        <v>2.4645569620253163</v>
      </c>
      <c r="G60" s="318">
        <f t="shared" si="2"/>
        <v>2464.56</v>
      </c>
      <c r="H60" s="318">
        <f t="shared" si="3"/>
        <v>3059</v>
      </c>
      <c r="J60" s="318">
        <f t="shared" si="4"/>
        <v>1.2411951829129744</v>
      </c>
    </row>
    <row r="61" spans="3:10">
      <c r="C61" s="318">
        <v>-1</v>
      </c>
      <c r="D61" s="412">
        <v>28280</v>
      </c>
      <c r="E61" s="318">
        <f t="shared" si="0"/>
        <v>28.28</v>
      </c>
      <c r="F61" s="318">
        <f t="shared" si="1"/>
        <v>2.4379310344827583</v>
      </c>
      <c r="G61" s="318">
        <f t="shared" si="2"/>
        <v>2437.9299999999998</v>
      </c>
      <c r="H61" s="318">
        <f t="shared" si="3"/>
        <v>3025</v>
      </c>
      <c r="J61" s="318">
        <f t="shared" si="4"/>
        <v>1.2408067499887201</v>
      </c>
    </row>
    <row r="62" spans="3:10">
      <c r="C62" s="318">
        <v>0</v>
      </c>
      <c r="D62" s="412">
        <v>27110</v>
      </c>
      <c r="E62" s="318">
        <f t="shared" si="0"/>
        <v>27.11</v>
      </c>
      <c r="F62" s="318">
        <f>$E$16/($E$17+E62)*E62</f>
        <v>2.4107518189167338</v>
      </c>
      <c r="G62" s="318">
        <f>ROUND((F62*1000),2)</f>
        <v>2410.75</v>
      </c>
      <c r="H62" s="318">
        <f>ROUNDDOWN(G62/$I$10,0)</f>
        <v>2992</v>
      </c>
      <c r="J62" s="318">
        <f>H62/G62</f>
        <v>1.2411075391475681</v>
      </c>
    </row>
    <row r="63" spans="3:10">
      <c r="C63" s="318">
        <v>1</v>
      </c>
      <c r="D63" s="412">
        <v>25990</v>
      </c>
      <c r="E63" s="318">
        <f t="shared" si="0"/>
        <v>25.99</v>
      </c>
      <c r="F63" s="318">
        <f t="shared" ref="F63:F126" si="5">$E$16/($E$17+E63)*E63</f>
        <v>2.3830786329535982</v>
      </c>
      <c r="G63" s="318">
        <f t="shared" ref="G63:G126" si="6">ROUND((F63*1000),2)</f>
        <v>2383.08</v>
      </c>
      <c r="H63" s="318">
        <f t="shared" ref="H63:H126" si="7">ROUNDDOWN(G63/$I$10,0)</f>
        <v>2957</v>
      </c>
      <c r="J63" s="318">
        <f t="shared" ref="J63:J126" si="8">H63/G63</f>
        <v>1.2408311932457157</v>
      </c>
    </row>
    <row r="64" spans="3:10">
      <c r="C64" s="318">
        <v>2</v>
      </c>
      <c r="D64" s="412">
        <v>24920</v>
      </c>
      <c r="E64" s="318">
        <f t="shared" si="0"/>
        <v>24.92</v>
      </c>
      <c r="F64" s="318">
        <f t="shared" si="5"/>
        <v>2.3549828178694154</v>
      </c>
      <c r="G64" s="318">
        <f t="shared" si="6"/>
        <v>2354.98</v>
      </c>
      <c r="H64" s="318">
        <f t="shared" si="7"/>
        <v>2923</v>
      </c>
      <c r="J64" s="318">
        <f t="shared" si="8"/>
        <v>1.2411995006327017</v>
      </c>
    </row>
    <row r="65" spans="3:10">
      <c r="C65" s="318">
        <v>3</v>
      </c>
      <c r="D65" s="412">
        <v>23900</v>
      </c>
      <c r="E65" s="318">
        <f t="shared" si="0"/>
        <v>23.9</v>
      </c>
      <c r="F65" s="318">
        <f t="shared" si="5"/>
        <v>2.3265486725663713</v>
      </c>
      <c r="G65" s="318">
        <f t="shared" si="6"/>
        <v>2326.5500000000002</v>
      </c>
      <c r="H65" s="318">
        <f t="shared" si="7"/>
        <v>2887</v>
      </c>
      <c r="J65" s="318">
        <f t="shared" si="8"/>
        <v>1.2408931679955297</v>
      </c>
    </row>
    <row r="66" spans="3:10">
      <c r="C66" s="318">
        <v>4</v>
      </c>
      <c r="D66" s="412">
        <v>22920</v>
      </c>
      <c r="E66" s="318">
        <f t="shared" si="0"/>
        <v>22.92</v>
      </c>
      <c r="F66" s="318">
        <f t="shared" si="5"/>
        <v>2.2975698663426485</v>
      </c>
      <c r="G66" s="318">
        <f t="shared" si="6"/>
        <v>2297.5700000000002</v>
      </c>
      <c r="H66" s="318">
        <f t="shared" si="7"/>
        <v>2851</v>
      </c>
      <c r="J66" s="318">
        <f t="shared" si="8"/>
        <v>1.2408762301039793</v>
      </c>
    </row>
    <row r="67" spans="3:10">
      <c r="C67" s="318">
        <v>5</v>
      </c>
      <c r="D67" s="412">
        <v>21990</v>
      </c>
      <c r="E67" s="318">
        <f t="shared" si="0"/>
        <v>21.99</v>
      </c>
      <c r="F67" s="318">
        <f t="shared" si="5"/>
        <v>2.2684276336355111</v>
      </c>
      <c r="G67" s="318">
        <f t="shared" si="6"/>
        <v>2268.4299999999998</v>
      </c>
      <c r="H67" s="318">
        <f t="shared" si="7"/>
        <v>2815</v>
      </c>
      <c r="J67" s="318">
        <f t="shared" si="8"/>
        <v>1.2409463814179853</v>
      </c>
    </row>
    <row r="68" spans="3:10">
      <c r="C68" s="318">
        <v>6</v>
      </c>
      <c r="D68" s="412">
        <v>21100</v>
      </c>
      <c r="E68" s="318">
        <f t="shared" si="0"/>
        <v>21.1</v>
      </c>
      <c r="F68" s="318">
        <f t="shared" si="5"/>
        <v>2.2389067524115758</v>
      </c>
      <c r="G68" s="318">
        <f t="shared" si="6"/>
        <v>2238.91</v>
      </c>
      <c r="H68" s="318">
        <f t="shared" si="7"/>
        <v>2778</v>
      </c>
      <c r="J68" s="318">
        <f t="shared" si="8"/>
        <v>1.2407823449803701</v>
      </c>
    </row>
    <row r="69" spans="3:10">
      <c r="C69" s="318">
        <v>7</v>
      </c>
      <c r="D69" s="412">
        <v>20250</v>
      </c>
      <c r="E69" s="318">
        <f t="shared" si="0"/>
        <v>20.25</v>
      </c>
      <c r="F69" s="318">
        <f t="shared" si="5"/>
        <v>2.209090909090909</v>
      </c>
      <c r="G69" s="318">
        <f t="shared" si="6"/>
        <v>2209.09</v>
      </c>
      <c r="H69" s="318">
        <f t="shared" si="7"/>
        <v>2741</v>
      </c>
      <c r="J69" s="318">
        <f t="shared" si="8"/>
        <v>1.2407824036141577</v>
      </c>
    </row>
    <row r="70" spans="3:10">
      <c r="C70" s="318">
        <v>8</v>
      </c>
      <c r="D70" s="412">
        <v>19440</v>
      </c>
      <c r="E70" s="318">
        <f t="shared" si="0"/>
        <v>19.440000000000001</v>
      </c>
      <c r="F70" s="318">
        <f t="shared" si="5"/>
        <v>2.1790760869565218</v>
      </c>
      <c r="G70" s="318">
        <f t="shared" si="6"/>
        <v>2179.08</v>
      </c>
      <c r="H70" s="318">
        <f t="shared" si="7"/>
        <v>2704</v>
      </c>
      <c r="J70" s="318">
        <f t="shared" si="8"/>
        <v>1.2408906511004645</v>
      </c>
    </row>
    <row r="71" spans="3:10">
      <c r="C71" s="318">
        <v>9</v>
      </c>
      <c r="D71" s="412">
        <v>18660</v>
      </c>
      <c r="E71" s="318">
        <f t="shared" si="0"/>
        <v>18.66</v>
      </c>
      <c r="F71" s="318">
        <f t="shared" si="5"/>
        <v>2.1485694347522677</v>
      </c>
      <c r="G71" s="318">
        <f t="shared" si="6"/>
        <v>2148.5700000000002</v>
      </c>
      <c r="H71" s="318">
        <f t="shared" si="7"/>
        <v>2666</v>
      </c>
      <c r="J71" s="318">
        <f t="shared" si="8"/>
        <v>1.2408252931019235</v>
      </c>
    </row>
    <row r="72" spans="3:10">
      <c r="C72" s="318">
        <v>10</v>
      </c>
      <c r="D72" s="412">
        <v>17920</v>
      </c>
      <c r="E72" s="318">
        <f t="shared" si="0"/>
        <v>17.920000000000002</v>
      </c>
      <c r="F72" s="318">
        <f t="shared" si="5"/>
        <v>2.1180515759312319</v>
      </c>
      <c r="G72" s="318">
        <f t="shared" si="6"/>
        <v>2118.0500000000002</v>
      </c>
      <c r="H72" s="318">
        <f t="shared" si="7"/>
        <v>2628</v>
      </c>
      <c r="J72" s="318">
        <f t="shared" si="8"/>
        <v>1.24076391020042</v>
      </c>
    </row>
    <row r="73" spans="3:10">
      <c r="C73" s="318">
        <v>11</v>
      </c>
      <c r="D73" s="412">
        <v>17220</v>
      </c>
      <c r="E73" s="318">
        <f t="shared" si="0"/>
        <v>17.22</v>
      </c>
      <c r="F73" s="318">
        <f t="shared" si="5"/>
        <v>2.0876561351947096</v>
      </c>
      <c r="G73" s="318">
        <f t="shared" si="6"/>
        <v>2087.66</v>
      </c>
      <c r="H73" s="318">
        <f t="shared" si="7"/>
        <v>2591</v>
      </c>
      <c r="J73" s="318">
        <f t="shared" si="8"/>
        <v>1.2411024783729152</v>
      </c>
    </row>
    <row r="74" spans="3:10">
      <c r="C74" s="318">
        <v>12</v>
      </c>
      <c r="D74" s="412">
        <v>16540</v>
      </c>
      <c r="E74" s="318">
        <f t="shared" si="0"/>
        <v>16.54</v>
      </c>
      <c r="F74" s="318">
        <f t="shared" si="5"/>
        <v>2.0565938206480783</v>
      </c>
      <c r="G74" s="318">
        <f t="shared" si="6"/>
        <v>2056.59</v>
      </c>
      <c r="H74" s="318">
        <f t="shared" si="7"/>
        <v>2552</v>
      </c>
      <c r="J74" s="318">
        <f t="shared" si="8"/>
        <v>1.2408890444862613</v>
      </c>
    </row>
    <row r="75" spans="3:10">
      <c r="C75" s="318">
        <v>13</v>
      </c>
      <c r="D75" s="412">
        <v>15890</v>
      </c>
      <c r="E75" s="318">
        <f t="shared" si="0"/>
        <v>15.89</v>
      </c>
      <c r="F75" s="318">
        <f t="shared" si="5"/>
        <v>2.0253765932792582</v>
      </c>
      <c r="G75" s="318">
        <f t="shared" si="6"/>
        <v>2025.38</v>
      </c>
      <c r="H75" s="318">
        <f t="shared" si="7"/>
        <v>2513</v>
      </c>
      <c r="J75" s="318">
        <f t="shared" si="8"/>
        <v>1.240754821317481</v>
      </c>
    </row>
    <row r="76" spans="3:10">
      <c r="C76" s="318">
        <v>14</v>
      </c>
      <c r="D76" s="412">
        <v>15270</v>
      </c>
      <c r="E76" s="318">
        <f t="shared" si="0"/>
        <v>15.27</v>
      </c>
      <c r="F76" s="318">
        <f t="shared" si="5"/>
        <v>1.9941036802532646</v>
      </c>
      <c r="G76" s="318">
        <f t="shared" si="6"/>
        <v>1994.1</v>
      </c>
      <c r="H76" s="318">
        <f t="shared" si="7"/>
        <v>2475</v>
      </c>
      <c r="J76" s="318">
        <f t="shared" si="8"/>
        <v>1.2411614262073116</v>
      </c>
    </row>
    <row r="77" spans="3:10">
      <c r="C77" s="318">
        <v>15</v>
      </c>
      <c r="D77" s="412">
        <v>14680</v>
      </c>
      <c r="E77" s="318">
        <f t="shared" si="0"/>
        <v>14.68</v>
      </c>
      <c r="F77" s="318">
        <f t="shared" si="5"/>
        <v>1.9628849270664503</v>
      </c>
      <c r="G77" s="318">
        <f t="shared" si="6"/>
        <v>1962.88</v>
      </c>
      <c r="H77" s="318">
        <f t="shared" si="7"/>
        <v>2436</v>
      </c>
      <c r="J77" s="318">
        <f t="shared" si="8"/>
        <v>1.2410335833061623</v>
      </c>
    </row>
    <row r="78" spans="3:10">
      <c r="C78" s="318">
        <v>16</v>
      </c>
      <c r="D78" s="412">
        <v>14120</v>
      </c>
      <c r="E78" s="318">
        <f t="shared" si="0"/>
        <v>14.12</v>
      </c>
      <c r="F78" s="318">
        <f t="shared" si="5"/>
        <v>1.9318407960199007</v>
      </c>
      <c r="G78" s="318">
        <f t="shared" si="6"/>
        <v>1931.84</v>
      </c>
      <c r="H78" s="318">
        <f t="shared" si="7"/>
        <v>2397</v>
      </c>
      <c r="J78" s="318">
        <f t="shared" si="8"/>
        <v>1.2407859864170947</v>
      </c>
    </row>
    <row r="79" spans="3:10">
      <c r="C79" s="318">
        <v>17</v>
      </c>
      <c r="D79" s="412">
        <v>13580</v>
      </c>
      <c r="E79" s="318">
        <f t="shared" si="0"/>
        <v>13.58</v>
      </c>
      <c r="F79" s="318">
        <f t="shared" si="5"/>
        <v>1.9005089058524174</v>
      </c>
      <c r="G79" s="318">
        <f t="shared" si="6"/>
        <v>1900.51</v>
      </c>
      <c r="H79" s="318">
        <f t="shared" si="7"/>
        <v>2358</v>
      </c>
      <c r="J79" s="318">
        <f t="shared" si="8"/>
        <v>1.2407195963188828</v>
      </c>
    </row>
    <row r="80" spans="3:10">
      <c r="C80" s="318">
        <v>18</v>
      </c>
      <c r="D80" s="412">
        <v>13060</v>
      </c>
      <c r="E80" s="318">
        <f t="shared" si="0"/>
        <v>13.06</v>
      </c>
      <c r="F80" s="318">
        <f t="shared" si="5"/>
        <v>1.8689505637467474</v>
      </c>
      <c r="G80" s="318">
        <f t="shared" si="6"/>
        <v>1868.95</v>
      </c>
      <c r="H80" s="318">
        <f t="shared" si="7"/>
        <v>2319</v>
      </c>
      <c r="J80" s="318">
        <f t="shared" si="8"/>
        <v>1.2408036598089836</v>
      </c>
    </row>
    <row r="81" spans="3:10">
      <c r="C81" s="318">
        <v>19</v>
      </c>
      <c r="D81" s="412">
        <v>12560</v>
      </c>
      <c r="E81" s="318">
        <f t="shared" si="0"/>
        <v>12.56</v>
      </c>
      <c r="F81" s="318">
        <f t="shared" si="5"/>
        <v>1.8372340425531912</v>
      </c>
      <c r="G81" s="318">
        <f t="shared" si="6"/>
        <v>1837.23</v>
      </c>
      <c r="H81" s="318">
        <f t="shared" si="7"/>
        <v>2280</v>
      </c>
      <c r="J81" s="318">
        <f t="shared" si="8"/>
        <v>1.2409986773566728</v>
      </c>
    </row>
    <row r="82" spans="3:10">
      <c r="C82" s="318">
        <v>20</v>
      </c>
      <c r="D82" s="412">
        <v>12090</v>
      </c>
      <c r="E82" s="318">
        <f t="shared" si="0"/>
        <v>12.09</v>
      </c>
      <c r="F82" s="318">
        <f t="shared" si="5"/>
        <v>1.8061113626075147</v>
      </c>
      <c r="G82" s="318">
        <f t="shared" si="6"/>
        <v>1806.11</v>
      </c>
      <c r="H82" s="318">
        <f t="shared" si="7"/>
        <v>2241</v>
      </c>
      <c r="J82" s="318">
        <f t="shared" si="8"/>
        <v>1.2407882133424875</v>
      </c>
    </row>
    <row r="83" spans="3:10">
      <c r="C83" s="318">
        <v>21</v>
      </c>
      <c r="D83" s="412">
        <v>11630</v>
      </c>
      <c r="E83" s="318">
        <f t="shared" si="0"/>
        <v>11.63</v>
      </c>
      <c r="F83" s="318">
        <f t="shared" si="5"/>
        <v>1.7743411927877943</v>
      </c>
      <c r="G83" s="318">
        <f t="shared" si="6"/>
        <v>1774.34</v>
      </c>
      <c r="H83" s="318">
        <f t="shared" si="7"/>
        <v>2202</v>
      </c>
      <c r="J83" s="318">
        <f t="shared" si="8"/>
        <v>1.2410248317684323</v>
      </c>
    </row>
    <row r="84" spans="3:10">
      <c r="C84" s="318">
        <v>22</v>
      </c>
      <c r="D84" s="412">
        <v>11200</v>
      </c>
      <c r="E84" s="318">
        <f t="shared" si="0"/>
        <v>11.2</v>
      </c>
      <c r="F84" s="318">
        <f t="shared" si="5"/>
        <v>1.7433962264150942</v>
      </c>
      <c r="G84" s="318">
        <f t="shared" si="6"/>
        <v>1743.4</v>
      </c>
      <c r="H84" s="318">
        <f t="shared" si="7"/>
        <v>2163</v>
      </c>
      <c r="J84" s="318">
        <f t="shared" si="8"/>
        <v>1.24067913272915</v>
      </c>
    </row>
    <row r="85" spans="3:10">
      <c r="C85" s="318">
        <v>23</v>
      </c>
      <c r="D85" s="412">
        <v>10780</v>
      </c>
      <c r="E85" s="318">
        <f t="shared" si="0"/>
        <v>10.78</v>
      </c>
      <c r="F85" s="318">
        <f t="shared" si="5"/>
        <v>1.7119345524542826</v>
      </c>
      <c r="G85" s="318">
        <f t="shared" si="6"/>
        <v>1711.93</v>
      </c>
      <c r="H85" s="318">
        <f t="shared" si="7"/>
        <v>2124</v>
      </c>
      <c r="J85" s="318">
        <f t="shared" si="8"/>
        <v>1.2407049353653479</v>
      </c>
    </row>
    <row r="86" spans="3:10">
      <c r="C86" s="318">
        <v>24</v>
      </c>
      <c r="D86" s="412">
        <v>10380</v>
      </c>
      <c r="E86" s="318">
        <f t="shared" ref="E86:E149" si="9">D86/1000</f>
        <v>10.38</v>
      </c>
      <c r="F86" s="318">
        <f t="shared" si="5"/>
        <v>1.6807654563297347</v>
      </c>
      <c r="G86" s="318">
        <f t="shared" si="6"/>
        <v>1680.77</v>
      </c>
      <c r="H86" s="318">
        <f t="shared" si="7"/>
        <v>2086</v>
      </c>
      <c r="J86" s="318">
        <f t="shared" si="8"/>
        <v>1.2410978301611761</v>
      </c>
    </row>
    <row r="87" spans="3:10">
      <c r="C87" s="318">
        <v>25</v>
      </c>
      <c r="D87" s="412">
        <v>10000</v>
      </c>
      <c r="E87" s="318">
        <f t="shared" si="9"/>
        <v>10</v>
      </c>
      <c r="F87" s="318">
        <f t="shared" si="5"/>
        <v>1.65</v>
      </c>
      <c r="G87" s="318">
        <f t="shared" si="6"/>
        <v>1650</v>
      </c>
      <c r="H87" s="318">
        <f t="shared" si="7"/>
        <v>2048</v>
      </c>
      <c r="J87" s="318">
        <f t="shared" si="8"/>
        <v>1.2412121212121212</v>
      </c>
    </row>
    <row r="88" spans="3:10">
      <c r="C88" s="318">
        <v>26</v>
      </c>
      <c r="D88" s="412">
        <v>9634</v>
      </c>
      <c r="E88" s="318">
        <f t="shared" si="9"/>
        <v>9.6340000000000003</v>
      </c>
      <c r="F88" s="318">
        <f t="shared" si="5"/>
        <v>1.6192421309972496</v>
      </c>
      <c r="G88" s="318">
        <f t="shared" si="6"/>
        <v>1619.24</v>
      </c>
      <c r="H88" s="318">
        <f t="shared" si="7"/>
        <v>2009</v>
      </c>
      <c r="J88" s="318">
        <f t="shared" si="8"/>
        <v>1.2407055161680789</v>
      </c>
    </row>
    <row r="89" spans="3:10">
      <c r="C89" s="318">
        <v>27</v>
      </c>
      <c r="D89" s="412">
        <v>9283</v>
      </c>
      <c r="E89" s="318">
        <f t="shared" si="9"/>
        <v>9.2829999999999995</v>
      </c>
      <c r="F89" s="318">
        <f t="shared" si="5"/>
        <v>1.5886480319452365</v>
      </c>
      <c r="G89" s="318">
        <f t="shared" si="6"/>
        <v>1588.65</v>
      </c>
      <c r="H89" s="318">
        <f t="shared" si="7"/>
        <v>1971</v>
      </c>
      <c r="J89" s="318">
        <f t="shared" si="8"/>
        <v>1.2406760456991786</v>
      </c>
    </row>
    <row r="90" spans="3:10">
      <c r="C90" s="318">
        <v>28</v>
      </c>
      <c r="D90" s="412">
        <v>8946</v>
      </c>
      <c r="E90" s="318">
        <f t="shared" si="9"/>
        <v>8.9459999999999997</v>
      </c>
      <c r="F90" s="318">
        <f t="shared" si="5"/>
        <v>1.5582075372110209</v>
      </c>
      <c r="G90" s="318">
        <f t="shared" si="6"/>
        <v>1558.21</v>
      </c>
      <c r="H90" s="318">
        <f t="shared" si="7"/>
        <v>1934</v>
      </c>
      <c r="J90" s="318">
        <f t="shared" si="8"/>
        <v>1.2411677501748801</v>
      </c>
    </row>
    <row r="91" spans="3:10">
      <c r="C91" s="318">
        <v>29</v>
      </c>
      <c r="D91" s="412">
        <v>8623</v>
      </c>
      <c r="E91" s="318">
        <f t="shared" si="9"/>
        <v>8.6229999999999993</v>
      </c>
      <c r="F91" s="318">
        <f t="shared" si="5"/>
        <v>1.5279976373301831</v>
      </c>
      <c r="G91" s="318">
        <f t="shared" si="6"/>
        <v>1528</v>
      </c>
      <c r="H91" s="318">
        <f t="shared" si="7"/>
        <v>1896</v>
      </c>
      <c r="J91" s="318">
        <f t="shared" si="8"/>
        <v>1.2408376963350785</v>
      </c>
    </row>
    <row r="92" spans="3:10">
      <c r="C92" s="318">
        <v>30</v>
      </c>
      <c r="D92" s="412">
        <v>8314</v>
      </c>
      <c r="E92" s="318">
        <f t="shared" si="9"/>
        <v>8.3140000000000001</v>
      </c>
      <c r="F92" s="318">
        <f t="shared" si="5"/>
        <v>1.4980998143496778</v>
      </c>
      <c r="G92" s="318">
        <f t="shared" si="6"/>
        <v>1498.1</v>
      </c>
      <c r="H92" s="318">
        <f t="shared" si="7"/>
        <v>1859</v>
      </c>
      <c r="J92" s="318">
        <f t="shared" si="8"/>
        <v>1.240905146518924</v>
      </c>
    </row>
    <row r="93" spans="3:10">
      <c r="C93" s="318">
        <v>31</v>
      </c>
      <c r="D93" s="412">
        <v>8017</v>
      </c>
      <c r="E93" s="318">
        <f t="shared" si="9"/>
        <v>8.0169999999999995</v>
      </c>
      <c r="F93" s="318">
        <f t="shared" si="5"/>
        <v>1.4683965144030637</v>
      </c>
      <c r="G93" s="318">
        <f t="shared" si="6"/>
        <v>1468.4</v>
      </c>
      <c r="H93" s="318">
        <f t="shared" si="7"/>
        <v>1822</v>
      </c>
      <c r="J93" s="318">
        <f t="shared" si="8"/>
        <v>1.2408063198038681</v>
      </c>
    </row>
    <row r="94" spans="3:10">
      <c r="C94" s="318">
        <v>32</v>
      </c>
      <c r="D94" s="412">
        <v>7733</v>
      </c>
      <c r="E94" s="318">
        <f t="shared" si="9"/>
        <v>7.7329999999999997</v>
      </c>
      <c r="F94" s="318">
        <f t="shared" si="5"/>
        <v>1.4390627643376754</v>
      </c>
      <c r="G94" s="318">
        <f t="shared" si="6"/>
        <v>1439.06</v>
      </c>
      <c r="H94" s="318">
        <f t="shared" si="7"/>
        <v>1786</v>
      </c>
      <c r="J94" s="318">
        <f t="shared" si="8"/>
        <v>1.241087932400317</v>
      </c>
    </row>
    <row r="95" spans="3:10">
      <c r="C95" s="318">
        <v>33</v>
      </c>
      <c r="D95" s="412">
        <v>7460</v>
      </c>
      <c r="E95" s="318">
        <f t="shared" si="9"/>
        <v>7.46</v>
      </c>
      <c r="F95" s="318">
        <f t="shared" si="5"/>
        <v>1.4099656357388313</v>
      </c>
      <c r="G95" s="318">
        <f t="shared" si="6"/>
        <v>1409.97</v>
      </c>
      <c r="H95" s="318">
        <f t="shared" si="7"/>
        <v>1750</v>
      </c>
      <c r="J95" s="318">
        <f t="shared" si="8"/>
        <v>1.2411611594572933</v>
      </c>
    </row>
    <row r="96" spans="3:10">
      <c r="C96" s="318">
        <v>34</v>
      </c>
      <c r="D96" s="412">
        <v>7198</v>
      </c>
      <c r="E96" s="318">
        <f t="shared" si="9"/>
        <v>7.1980000000000004</v>
      </c>
      <c r="F96" s="318">
        <f t="shared" si="5"/>
        <v>1.3811722293289916</v>
      </c>
      <c r="G96" s="318">
        <f t="shared" si="6"/>
        <v>1381.17</v>
      </c>
      <c r="H96" s="318">
        <f t="shared" si="7"/>
        <v>1714</v>
      </c>
      <c r="J96" s="318">
        <f t="shared" si="8"/>
        <v>1.2409768529579994</v>
      </c>
    </row>
    <row r="97" spans="3:10">
      <c r="C97" s="318">
        <v>35</v>
      </c>
      <c r="D97" s="412">
        <v>6946</v>
      </c>
      <c r="E97" s="318">
        <f t="shared" si="9"/>
        <v>6.9459999999999997</v>
      </c>
      <c r="F97" s="318">
        <f t="shared" si="5"/>
        <v>1.352637790629057</v>
      </c>
      <c r="G97" s="318">
        <f t="shared" si="6"/>
        <v>1352.64</v>
      </c>
      <c r="H97" s="318">
        <f t="shared" si="7"/>
        <v>1678</v>
      </c>
      <c r="J97" s="318">
        <f t="shared" si="8"/>
        <v>1.2405370238940145</v>
      </c>
    </row>
    <row r="98" spans="3:10">
      <c r="C98" s="318">
        <v>36</v>
      </c>
      <c r="D98" s="412">
        <v>6705</v>
      </c>
      <c r="E98" s="318">
        <f t="shared" si="9"/>
        <v>6.7050000000000001</v>
      </c>
      <c r="F98" s="318">
        <f t="shared" si="5"/>
        <v>1.3245435498353788</v>
      </c>
      <c r="G98" s="318">
        <f t="shared" si="6"/>
        <v>1324.54</v>
      </c>
      <c r="H98" s="318">
        <f t="shared" si="7"/>
        <v>1644</v>
      </c>
      <c r="J98" s="318">
        <f t="shared" si="8"/>
        <v>1.2411856191583492</v>
      </c>
    </row>
    <row r="99" spans="3:10">
      <c r="C99" s="318">
        <v>37</v>
      </c>
      <c r="D99" s="412">
        <v>6474</v>
      </c>
      <c r="E99" s="318">
        <f t="shared" si="9"/>
        <v>6.4740000000000002</v>
      </c>
      <c r="F99" s="318">
        <f t="shared" si="5"/>
        <v>1.2968435109870098</v>
      </c>
      <c r="G99" s="318">
        <f t="shared" si="6"/>
        <v>1296.8399999999999</v>
      </c>
      <c r="H99" s="318">
        <f t="shared" si="7"/>
        <v>1609</v>
      </c>
      <c r="J99" s="318">
        <f t="shared" si="8"/>
        <v>1.2407081829678295</v>
      </c>
    </row>
    <row r="100" spans="3:10">
      <c r="C100" s="318">
        <v>38</v>
      </c>
      <c r="D100" s="412">
        <v>6251</v>
      </c>
      <c r="E100" s="318">
        <f t="shared" si="9"/>
        <v>6.2510000000000003</v>
      </c>
      <c r="F100" s="318">
        <f t="shared" si="5"/>
        <v>1.2693557319549567</v>
      </c>
      <c r="G100" s="318">
        <f t="shared" si="6"/>
        <v>1269.3599999999999</v>
      </c>
      <c r="H100" s="318">
        <f t="shared" si="7"/>
        <v>1575</v>
      </c>
      <c r="J100" s="318">
        <f t="shared" si="8"/>
        <v>1.240782756664776</v>
      </c>
    </row>
    <row r="101" spans="3:10">
      <c r="C101" s="318">
        <v>39</v>
      </c>
      <c r="D101" s="412">
        <v>6038</v>
      </c>
      <c r="E101" s="318">
        <f t="shared" si="9"/>
        <v>6.0380000000000003</v>
      </c>
      <c r="F101" s="318">
        <f t="shared" si="5"/>
        <v>1.24238683127572</v>
      </c>
      <c r="G101" s="318">
        <f t="shared" si="6"/>
        <v>1242.3900000000001</v>
      </c>
      <c r="H101" s="318">
        <f t="shared" si="7"/>
        <v>1542</v>
      </c>
      <c r="J101" s="318">
        <f t="shared" si="8"/>
        <v>1.2411561586941298</v>
      </c>
    </row>
    <row r="102" spans="3:10">
      <c r="C102" s="318">
        <v>40</v>
      </c>
      <c r="D102" s="412">
        <v>5832</v>
      </c>
      <c r="E102" s="318">
        <f t="shared" si="9"/>
        <v>5.8319999999999999</v>
      </c>
      <c r="F102" s="318">
        <f t="shared" si="5"/>
        <v>1.2156139464375946</v>
      </c>
      <c r="G102" s="318">
        <f t="shared" si="6"/>
        <v>1215.6099999999999</v>
      </c>
      <c r="H102" s="318">
        <f t="shared" si="7"/>
        <v>1508</v>
      </c>
      <c r="J102" s="318">
        <f t="shared" si="8"/>
        <v>1.2405294461217002</v>
      </c>
    </row>
    <row r="103" spans="3:10">
      <c r="C103" s="318">
        <v>41</v>
      </c>
      <c r="D103" s="412">
        <v>5635</v>
      </c>
      <c r="E103" s="318">
        <f t="shared" si="9"/>
        <v>5.6349999999999998</v>
      </c>
      <c r="F103" s="318">
        <f t="shared" si="5"/>
        <v>1.1893508154780938</v>
      </c>
      <c r="G103" s="318">
        <f t="shared" si="6"/>
        <v>1189.3499999999999</v>
      </c>
      <c r="H103" s="318">
        <f t="shared" si="7"/>
        <v>1476</v>
      </c>
      <c r="J103" s="318">
        <f t="shared" si="8"/>
        <v>1.2410139992432843</v>
      </c>
    </row>
    <row r="104" spans="3:10">
      <c r="C104" s="318">
        <v>42</v>
      </c>
      <c r="D104" s="412">
        <v>5446</v>
      </c>
      <c r="E104" s="318">
        <f t="shared" si="9"/>
        <v>5.4459999999999997</v>
      </c>
      <c r="F104" s="318">
        <f t="shared" si="5"/>
        <v>1.1635245370969829</v>
      </c>
      <c r="G104" s="318">
        <f t="shared" si="6"/>
        <v>1163.52</v>
      </c>
      <c r="H104" s="318">
        <f t="shared" si="7"/>
        <v>1444</v>
      </c>
      <c r="J104" s="318">
        <f t="shared" si="8"/>
        <v>1.2410616061606161</v>
      </c>
    </row>
    <row r="105" spans="3:10">
      <c r="C105" s="318">
        <v>43</v>
      </c>
      <c r="D105" s="412">
        <v>5264</v>
      </c>
      <c r="E105" s="318">
        <f t="shared" si="9"/>
        <v>5.2640000000000002</v>
      </c>
      <c r="F105" s="318">
        <f t="shared" si="5"/>
        <v>1.1380503144654088</v>
      </c>
      <c r="G105" s="318">
        <f t="shared" si="6"/>
        <v>1138.05</v>
      </c>
      <c r="H105" s="318">
        <f t="shared" si="7"/>
        <v>1412</v>
      </c>
      <c r="J105" s="318">
        <f t="shared" si="8"/>
        <v>1.2407187733403628</v>
      </c>
    </row>
    <row r="106" spans="3:10">
      <c r="C106" s="318">
        <v>44</v>
      </c>
      <c r="D106" s="412">
        <v>5089</v>
      </c>
      <c r="E106" s="318">
        <f t="shared" si="9"/>
        <v>5.0890000000000004</v>
      </c>
      <c r="F106" s="318">
        <f t="shared" si="5"/>
        <v>1.1129763403804096</v>
      </c>
      <c r="G106" s="318">
        <f t="shared" si="6"/>
        <v>1112.98</v>
      </c>
      <c r="H106" s="318">
        <f t="shared" si="7"/>
        <v>1381</v>
      </c>
      <c r="J106" s="318">
        <f t="shared" si="8"/>
        <v>1.2408129526137037</v>
      </c>
    </row>
    <row r="107" spans="3:10">
      <c r="C107" s="318">
        <v>45</v>
      </c>
      <c r="D107" s="412">
        <v>4921</v>
      </c>
      <c r="E107" s="318">
        <f t="shared" si="9"/>
        <v>4.9210000000000003</v>
      </c>
      <c r="F107" s="318">
        <f t="shared" si="5"/>
        <v>1.0883519871322298</v>
      </c>
      <c r="G107" s="318">
        <f t="shared" si="6"/>
        <v>1088.3499999999999</v>
      </c>
      <c r="H107" s="318">
        <f t="shared" si="7"/>
        <v>1350</v>
      </c>
      <c r="J107" s="318">
        <f t="shared" si="8"/>
        <v>1.2404097946432675</v>
      </c>
    </row>
    <row r="108" spans="3:10">
      <c r="C108" s="318">
        <v>46</v>
      </c>
      <c r="D108" s="412">
        <v>4759</v>
      </c>
      <c r="E108" s="318">
        <f t="shared" si="9"/>
        <v>4.7590000000000003</v>
      </c>
      <c r="F108" s="318">
        <f t="shared" si="5"/>
        <v>1.0640761569212007</v>
      </c>
      <c r="G108" s="318">
        <f t="shared" si="6"/>
        <v>1064.08</v>
      </c>
      <c r="H108" s="318">
        <f t="shared" si="7"/>
        <v>1320</v>
      </c>
      <c r="J108" s="318">
        <f t="shared" si="8"/>
        <v>1.2405082324637247</v>
      </c>
    </row>
    <row r="109" spans="3:10">
      <c r="C109" s="318">
        <v>47</v>
      </c>
      <c r="D109" s="412">
        <v>4603</v>
      </c>
      <c r="E109" s="318">
        <f t="shared" si="9"/>
        <v>4.6029999999999998</v>
      </c>
      <c r="F109" s="318">
        <f t="shared" si="5"/>
        <v>1.0401903718414023</v>
      </c>
      <c r="G109" s="318">
        <f t="shared" si="6"/>
        <v>1040.19</v>
      </c>
      <c r="H109" s="318">
        <f t="shared" si="7"/>
        <v>1291</v>
      </c>
      <c r="J109" s="318">
        <f t="shared" si="8"/>
        <v>1.2411194108768591</v>
      </c>
    </row>
    <row r="110" spans="3:10">
      <c r="C110" s="318">
        <v>48</v>
      </c>
      <c r="D110" s="412">
        <v>4454</v>
      </c>
      <c r="E110" s="318">
        <f t="shared" si="9"/>
        <v>4.4539999999999997</v>
      </c>
      <c r="F110" s="318">
        <f t="shared" si="5"/>
        <v>1.0168949771689497</v>
      </c>
      <c r="G110" s="318">
        <f t="shared" si="6"/>
        <v>1016.89</v>
      </c>
      <c r="H110" s="318">
        <f t="shared" si="7"/>
        <v>1262</v>
      </c>
      <c r="J110" s="318">
        <f t="shared" si="8"/>
        <v>1.2410388537599937</v>
      </c>
    </row>
    <row r="111" spans="3:10">
      <c r="C111" s="318">
        <v>49</v>
      </c>
      <c r="D111" s="412">
        <v>4310</v>
      </c>
      <c r="E111" s="318">
        <f t="shared" si="9"/>
        <v>4.3099999999999996</v>
      </c>
      <c r="F111" s="318">
        <f t="shared" si="5"/>
        <v>0.99392033542976932</v>
      </c>
      <c r="G111" s="318">
        <f t="shared" si="6"/>
        <v>993.92</v>
      </c>
      <c r="H111" s="318">
        <f t="shared" si="7"/>
        <v>1233</v>
      </c>
      <c r="J111" s="318">
        <f t="shared" si="8"/>
        <v>1.2405424983902125</v>
      </c>
    </row>
    <row r="112" spans="3:10">
      <c r="C112" s="318">
        <v>50</v>
      </c>
      <c r="D112" s="412">
        <v>4171</v>
      </c>
      <c r="E112" s="318">
        <f t="shared" si="9"/>
        <v>4.1710000000000003</v>
      </c>
      <c r="F112" s="318">
        <f t="shared" si="5"/>
        <v>0.9713005433632067</v>
      </c>
      <c r="G112" s="318">
        <f t="shared" si="6"/>
        <v>971.3</v>
      </c>
      <c r="H112" s="318">
        <f t="shared" si="7"/>
        <v>1205</v>
      </c>
      <c r="J112" s="318">
        <f t="shared" si="8"/>
        <v>1.2406053742407084</v>
      </c>
    </row>
    <row r="113" spans="3:10">
      <c r="C113" s="318">
        <v>51</v>
      </c>
      <c r="D113" s="412">
        <v>4037</v>
      </c>
      <c r="E113" s="318">
        <f t="shared" si="9"/>
        <v>4.0369999999999999</v>
      </c>
      <c r="F113" s="318">
        <f t="shared" si="5"/>
        <v>0.94907031416969434</v>
      </c>
      <c r="G113" s="318">
        <f t="shared" si="6"/>
        <v>949.07</v>
      </c>
      <c r="H113" s="318">
        <f t="shared" si="7"/>
        <v>1177</v>
      </c>
      <c r="J113" s="318">
        <f t="shared" si="8"/>
        <v>1.2401614211807348</v>
      </c>
    </row>
    <row r="114" spans="3:10">
      <c r="C114" s="318">
        <v>52</v>
      </c>
      <c r="D114" s="412">
        <v>3909</v>
      </c>
      <c r="E114" s="318">
        <f t="shared" si="9"/>
        <v>3.9089999999999998</v>
      </c>
      <c r="F114" s="318">
        <f t="shared" si="5"/>
        <v>0.92743547343446686</v>
      </c>
      <c r="G114" s="318">
        <f t="shared" si="6"/>
        <v>927.44</v>
      </c>
      <c r="H114" s="318">
        <f t="shared" si="7"/>
        <v>1151</v>
      </c>
      <c r="J114" s="318">
        <f t="shared" si="8"/>
        <v>1.2410506340032779</v>
      </c>
    </row>
    <row r="115" spans="3:10">
      <c r="C115" s="318">
        <v>53</v>
      </c>
      <c r="D115" s="412">
        <v>3785</v>
      </c>
      <c r="E115" s="318">
        <f t="shared" si="9"/>
        <v>3.7850000000000001</v>
      </c>
      <c r="F115" s="318">
        <f t="shared" si="5"/>
        <v>0.90609357997823725</v>
      </c>
      <c r="G115" s="318">
        <f t="shared" si="6"/>
        <v>906.09</v>
      </c>
      <c r="H115" s="318">
        <f t="shared" si="7"/>
        <v>1124</v>
      </c>
      <c r="J115" s="318">
        <f t="shared" si="8"/>
        <v>1.24049487357768</v>
      </c>
    </row>
    <row r="116" spans="3:10">
      <c r="C116" s="318">
        <v>54</v>
      </c>
      <c r="D116" s="412">
        <v>3666</v>
      </c>
      <c r="E116" s="318">
        <f t="shared" si="9"/>
        <v>3.6659999999999999</v>
      </c>
      <c r="F116" s="318">
        <f t="shared" si="5"/>
        <v>0.88524806088101848</v>
      </c>
      <c r="G116" s="318">
        <f t="shared" si="6"/>
        <v>885.25</v>
      </c>
      <c r="H116" s="318">
        <f t="shared" si="7"/>
        <v>1098</v>
      </c>
      <c r="J116" s="318">
        <f t="shared" si="8"/>
        <v>1.2403275910759672</v>
      </c>
    </row>
    <row r="117" spans="3:10">
      <c r="C117" s="318">
        <v>55</v>
      </c>
      <c r="D117" s="412">
        <v>3551</v>
      </c>
      <c r="E117" s="318">
        <f t="shared" si="9"/>
        <v>3.5510000000000002</v>
      </c>
      <c r="F117" s="318">
        <f t="shared" si="5"/>
        <v>0.86475536860748281</v>
      </c>
      <c r="G117" s="318">
        <f t="shared" si="6"/>
        <v>864.76</v>
      </c>
      <c r="H117" s="318">
        <f t="shared" si="7"/>
        <v>1073</v>
      </c>
      <c r="J117" s="318">
        <f t="shared" si="8"/>
        <v>1.2408066978121097</v>
      </c>
    </row>
    <row r="118" spans="3:10">
      <c r="C118" s="318">
        <v>56</v>
      </c>
      <c r="D118" s="412">
        <v>3440</v>
      </c>
      <c r="E118" s="318">
        <f t="shared" si="9"/>
        <v>3.44</v>
      </c>
      <c r="F118" s="318">
        <f t="shared" si="5"/>
        <v>0.84464285714285714</v>
      </c>
      <c r="G118" s="318">
        <f t="shared" si="6"/>
        <v>844.64</v>
      </c>
      <c r="H118" s="318">
        <f t="shared" si="7"/>
        <v>1048</v>
      </c>
      <c r="J118" s="318">
        <f t="shared" si="8"/>
        <v>1.2407652964576625</v>
      </c>
    </row>
    <row r="119" spans="3:10">
      <c r="C119" s="318">
        <v>57</v>
      </c>
      <c r="D119" s="412">
        <v>3334</v>
      </c>
      <c r="E119" s="318">
        <f t="shared" si="9"/>
        <v>3.3340000000000001</v>
      </c>
      <c r="F119" s="318">
        <f t="shared" si="5"/>
        <v>0.8251237438128094</v>
      </c>
      <c r="G119" s="318">
        <f t="shared" si="6"/>
        <v>825.12</v>
      </c>
      <c r="H119" s="318">
        <f t="shared" si="7"/>
        <v>1024</v>
      </c>
      <c r="J119" s="318">
        <f t="shared" si="8"/>
        <v>1.2410316075237542</v>
      </c>
    </row>
    <row r="120" spans="3:10">
      <c r="C120" s="318">
        <v>58</v>
      </c>
      <c r="D120" s="412">
        <v>3231</v>
      </c>
      <c r="E120" s="318">
        <f t="shared" si="9"/>
        <v>3.2309999999999999</v>
      </c>
      <c r="F120" s="318">
        <f t="shared" si="5"/>
        <v>0.80585745597460501</v>
      </c>
      <c r="G120" s="318">
        <f t="shared" si="6"/>
        <v>805.86</v>
      </c>
      <c r="H120" s="318">
        <f t="shared" si="7"/>
        <v>1000</v>
      </c>
      <c r="J120" s="318">
        <f t="shared" si="8"/>
        <v>1.2409103318194228</v>
      </c>
    </row>
    <row r="121" spans="3:10">
      <c r="C121" s="318">
        <v>59</v>
      </c>
      <c r="D121" s="412">
        <v>3132</v>
      </c>
      <c r="E121" s="318">
        <f t="shared" si="9"/>
        <v>3.1320000000000001</v>
      </c>
      <c r="F121" s="318">
        <f t="shared" si="5"/>
        <v>0.7870545233018581</v>
      </c>
      <c r="G121" s="318">
        <f t="shared" si="6"/>
        <v>787.05</v>
      </c>
      <c r="H121" s="318">
        <f t="shared" si="7"/>
        <v>976</v>
      </c>
      <c r="J121" s="318">
        <f t="shared" si="8"/>
        <v>1.2400736929038816</v>
      </c>
    </row>
    <row r="122" spans="3:10">
      <c r="C122" s="318">
        <v>60</v>
      </c>
      <c r="D122" s="412">
        <v>3036</v>
      </c>
      <c r="E122" s="318">
        <f t="shared" si="9"/>
        <v>3.036</v>
      </c>
      <c r="F122" s="318">
        <f t="shared" si="5"/>
        <v>0.76854863455047551</v>
      </c>
      <c r="G122" s="318">
        <f t="shared" si="6"/>
        <v>768.55</v>
      </c>
      <c r="H122" s="318">
        <f t="shared" si="7"/>
        <v>953</v>
      </c>
      <c r="J122" s="318">
        <f t="shared" si="8"/>
        <v>1.2399973976969618</v>
      </c>
    </row>
    <row r="123" spans="3:10">
      <c r="C123" s="318">
        <v>61</v>
      </c>
      <c r="D123" s="412">
        <v>2944</v>
      </c>
      <c r="E123" s="318">
        <f t="shared" si="9"/>
        <v>2.944</v>
      </c>
      <c r="F123" s="318">
        <f t="shared" si="5"/>
        <v>0.75055624227441287</v>
      </c>
      <c r="G123" s="318">
        <f t="shared" si="6"/>
        <v>750.56</v>
      </c>
      <c r="H123" s="318">
        <f t="shared" si="7"/>
        <v>931</v>
      </c>
      <c r="J123" s="318">
        <f t="shared" si="8"/>
        <v>1.2404071626518867</v>
      </c>
    </row>
    <row r="124" spans="3:10">
      <c r="C124" s="318">
        <v>62</v>
      </c>
      <c r="D124" s="412">
        <v>2855</v>
      </c>
      <c r="E124" s="318">
        <f t="shared" si="9"/>
        <v>2.855</v>
      </c>
      <c r="F124" s="318">
        <f t="shared" si="5"/>
        <v>0.73290548424737456</v>
      </c>
      <c r="G124" s="318">
        <f t="shared" si="6"/>
        <v>732.91</v>
      </c>
      <c r="H124" s="318">
        <f t="shared" si="7"/>
        <v>909</v>
      </c>
      <c r="J124" s="318">
        <f t="shared" si="8"/>
        <v>1.2402614236400105</v>
      </c>
    </row>
    <row r="125" spans="3:10">
      <c r="C125" s="318">
        <v>63</v>
      </c>
      <c r="D125" s="412">
        <v>2769</v>
      </c>
      <c r="E125" s="318">
        <f t="shared" si="9"/>
        <v>2.7690000000000001</v>
      </c>
      <c r="F125" s="318">
        <f t="shared" si="5"/>
        <v>0.7156159448664734</v>
      </c>
      <c r="G125" s="318">
        <f t="shared" si="6"/>
        <v>715.62</v>
      </c>
      <c r="H125" s="318">
        <f t="shared" si="7"/>
        <v>888</v>
      </c>
      <c r="J125" s="318">
        <f t="shared" si="8"/>
        <v>1.240882032363545</v>
      </c>
    </row>
    <row r="126" spans="3:10">
      <c r="C126" s="318">
        <v>64</v>
      </c>
      <c r="D126" s="412">
        <v>2686</v>
      </c>
      <c r="E126" s="318">
        <f t="shared" si="9"/>
        <v>2.6859999999999999</v>
      </c>
      <c r="F126" s="318">
        <f t="shared" si="5"/>
        <v>0.69870723632350618</v>
      </c>
      <c r="G126" s="318">
        <f t="shared" si="6"/>
        <v>698.71</v>
      </c>
      <c r="H126" s="318">
        <f t="shared" si="7"/>
        <v>867</v>
      </c>
      <c r="J126" s="318">
        <f t="shared" si="8"/>
        <v>1.2408581528817391</v>
      </c>
    </row>
    <row r="127" spans="3:10">
      <c r="C127" s="318">
        <v>65</v>
      </c>
      <c r="D127" s="412">
        <v>2606</v>
      </c>
      <c r="E127" s="318">
        <f t="shared" si="9"/>
        <v>2.6059999999999999</v>
      </c>
      <c r="F127" s="318">
        <f t="shared" ref="F127:F162" si="10">$E$16/($E$17+E127)*E127</f>
        <v>0.6821989528795811</v>
      </c>
      <c r="G127" s="318">
        <f t="shared" ref="G127:G162" si="11">ROUND((F127*1000),2)</f>
        <v>682.2</v>
      </c>
      <c r="H127" s="318">
        <f t="shared" ref="H127:H162" si="12">ROUNDDOWN(G127/$I$10,0)</f>
        <v>846</v>
      </c>
      <c r="J127" s="318">
        <f t="shared" ref="J127:J162" si="13">H127/G127</f>
        <v>1.2401055408970976</v>
      </c>
    </row>
    <row r="128" spans="3:10">
      <c r="C128" s="318">
        <v>66</v>
      </c>
      <c r="D128" s="412">
        <v>2529</v>
      </c>
      <c r="E128" s="318">
        <f t="shared" si="9"/>
        <v>2.5289999999999999</v>
      </c>
      <c r="F128" s="318">
        <f t="shared" si="10"/>
        <v>0.6661106233538191</v>
      </c>
      <c r="G128" s="318">
        <f t="shared" si="11"/>
        <v>666.11</v>
      </c>
      <c r="H128" s="318">
        <f t="shared" si="12"/>
        <v>826</v>
      </c>
      <c r="J128" s="318">
        <f t="shared" si="13"/>
        <v>1.2400354295837024</v>
      </c>
    </row>
    <row r="129" spans="3:10">
      <c r="C129" s="318">
        <v>67</v>
      </c>
      <c r="D129" s="412">
        <v>2454</v>
      </c>
      <c r="E129" s="318">
        <f t="shared" si="9"/>
        <v>2.4540000000000002</v>
      </c>
      <c r="F129" s="318">
        <f t="shared" si="10"/>
        <v>0.65024891601092027</v>
      </c>
      <c r="G129" s="318">
        <f t="shared" si="11"/>
        <v>650.25</v>
      </c>
      <c r="H129" s="318">
        <f t="shared" si="12"/>
        <v>807</v>
      </c>
      <c r="J129" s="318">
        <f t="shared" si="13"/>
        <v>1.2410611303344867</v>
      </c>
    </row>
    <row r="130" spans="3:10">
      <c r="C130" s="318">
        <v>68</v>
      </c>
      <c r="D130" s="412">
        <v>2382</v>
      </c>
      <c r="E130" s="318">
        <f t="shared" si="9"/>
        <v>2.3820000000000001</v>
      </c>
      <c r="F130" s="318">
        <f t="shared" si="10"/>
        <v>0.63484089807785493</v>
      </c>
      <c r="G130" s="318">
        <f t="shared" si="11"/>
        <v>634.84</v>
      </c>
      <c r="H130" s="318">
        <f t="shared" si="12"/>
        <v>787</v>
      </c>
      <c r="J130" s="318">
        <f t="shared" si="13"/>
        <v>1.239682439669838</v>
      </c>
    </row>
    <row r="131" spans="3:10">
      <c r="C131" s="318">
        <v>69</v>
      </c>
      <c r="D131" s="412">
        <v>2313</v>
      </c>
      <c r="E131" s="318">
        <f t="shared" si="9"/>
        <v>2.3130000000000002</v>
      </c>
      <c r="F131" s="318">
        <f t="shared" si="10"/>
        <v>0.61990579062779172</v>
      </c>
      <c r="G131" s="318">
        <f t="shared" si="11"/>
        <v>619.91</v>
      </c>
      <c r="H131" s="318">
        <f t="shared" si="12"/>
        <v>769</v>
      </c>
      <c r="J131" s="318">
        <f t="shared" si="13"/>
        <v>1.2405026536110082</v>
      </c>
    </row>
    <row r="132" spans="3:10">
      <c r="C132" s="318">
        <v>70</v>
      </c>
      <c r="D132" s="412">
        <v>2245</v>
      </c>
      <c r="E132" s="318">
        <f t="shared" si="9"/>
        <v>2.2450000000000001</v>
      </c>
      <c r="F132" s="318">
        <f t="shared" si="10"/>
        <v>0.60502245814618205</v>
      </c>
      <c r="G132" s="318">
        <f t="shared" si="11"/>
        <v>605.02</v>
      </c>
      <c r="H132" s="318">
        <f t="shared" si="12"/>
        <v>750</v>
      </c>
      <c r="J132" s="318">
        <f t="shared" si="13"/>
        <v>1.2396284420349741</v>
      </c>
    </row>
    <row r="133" spans="3:10">
      <c r="C133" s="318">
        <v>71</v>
      </c>
      <c r="D133" s="412">
        <v>2181</v>
      </c>
      <c r="E133" s="318">
        <f t="shared" si="9"/>
        <v>2.181</v>
      </c>
      <c r="F133" s="318">
        <f t="shared" si="10"/>
        <v>0.5908628191445694</v>
      </c>
      <c r="G133" s="318">
        <f t="shared" si="11"/>
        <v>590.86</v>
      </c>
      <c r="H133" s="318">
        <f t="shared" si="12"/>
        <v>733</v>
      </c>
      <c r="J133" s="318">
        <f t="shared" si="13"/>
        <v>1.240564600751447</v>
      </c>
    </row>
    <row r="134" spans="3:10">
      <c r="C134" s="318">
        <v>72</v>
      </c>
      <c r="D134" s="412">
        <v>2118</v>
      </c>
      <c r="E134" s="318">
        <f t="shared" si="9"/>
        <v>2.1179999999999999</v>
      </c>
      <c r="F134" s="318">
        <f t="shared" si="10"/>
        <v>0.57677834626175928</v>
      </c>
      <c r="G134" s="318">
        <f t="shared" si="11"/>
        <v>576.78</v>
      </c>
      <c r="H134" s="318">
        <f t="shared" si="12"/>
        <v>715</v>
      </c>
      <c r="J134" s="318">
        <f t="shared" si="13"/>
        <v>1.2396407642428655</v>
      </c>
    </row>
    <row r="135" spans="3:10">
      <c r="C135" s="318">
        <v>73</v>
      </c>
      <c r="D135" s="412">
        <v>2057</v>
      </c>
      <c r="E135" s="318">
        <f t="shared" si="9"/>
        <v>2.0569999999999999</v>
      </c>
      <c r="F135" s="318">
        <f t="shared" si="10"/>
        <v>0.56300074645434184</v>
      </c>
      <c r="G135" s="318">
        <f t="shared" si="11"/>
        <v>563</v>
      </c>
      <c r="H135" s="318">
        <f t="shared" si="12"/>
        <v>698</v>
      </c>
      <c r="J135" s="318">
        <f t="shared" si="13"/>
        <v>1.2397868561278864</v>
      </c>
    </row>
    <row r="136" spans="3:10">
      <c r="C136" s="318">
        <v>74</v>
      </c>
      <c r="D136" s="412">
        <v>1999</v>
      </c>
      <c r="E136" s="318">
        <f t="shared" si="9"/>
        <v>1.9990000000000001</v>
      </c>
      <c r="F136" s="318">
        <f t="shared" si="10"/>
        <v>0.54977081423451957</v>
      </c>
      <c r="G136" s="318">
        <f t="shared" si="11"/>
        <v>549.77</v>
      </c>
      <c r="H136" s="318">
        <f t="shared" si="12"/>
        <v>682</v>
      </c>
      <c r="J136" s="318">
        <f t="shared" si="13"/>
        <v>1.2405187623915457</v>
      </c>
    </row>
    <row r="137" spans="3:10">
      <c r="C137" s="318">
        <v>75</v>
      </c>
      <c r="D137" s="412">
        <v>1942</v>
      </c>
      <c r="E137" s="318">
        <f t="shared" si="9"/>
        <v>1.9419999999999999</v>
      </c>
      <c r="F137" s="318">
        <f t="shared" si="10"/>
        <v>0.5366437782615977</v>
      </c>
      <c r="G137" s="318">
        <f t="shared" si="11"/>
        <v>536.64</v>
      </c>
      <c r="H137" s="318">
        <f t="shared" si="12"/>
        <v>666</v>
      </c>
      <c r="J137" s="318">
        <f t="shared" si="13"/>
        <v>1.2410554561717353</v>
      </c>
    </row>
    <row r="138" spans="3:10">
      <c r="C138" s="318">
        <v>76</v>
      </c>
      <c r="D138" s="412">
        <v>1887</v>
      </c>
      <c r="E138" s="318">
        <f t="shared" si="9"/>
        <v>1.887</v>
      </c>
      <c r="F138" s="318">
        <f t="shared" si="10"/>
        <v>0.52385799613022632</v>
      </c>
      <c r="G138" s="318">
        <f t="shared" si="11"/>
        <v>523.86</v>
      </c>
      <c r="H138" s="318">
        <f t="shared" si="12"/>
        <v>650</v>
      </c>
      <c r="J138" s="318">
        <f t="shared" si="13"/>
        <v>1.2407895239186042</v>
      </c>
    </row>
    <row r="139" spans="3:10">
      <c r="C139" s="318">
        <v>77</v>
      </c>
      <c r="D139" s="412">
        <v>1834</v>
      </c>
      <c r="E139" s="318">
        <f t="shared" si="9"/>
        <v>1.8340000000000001</v>
      </c>
      <c r="F139" s="318">
        <f t="shared" si="10"/>
        <v>0.51142470846712862</v>
      </c>
      <c r="G139" s="318">
        <f t="shared" si="11"/>
        <v>511.42</v>
      </c>
      <c r="H139" s="318">
        <f t="shared" si="12"/>
        <v>634</v>
      </c>
      <c r="J139" s="318">
        <f t="shared" si="13"/>
        <v>1.239685581322592</v>
      </c>
    </row>
    <row r="140" spans="3:10">
      <c r="C140" s="318">
        <v>78</v>
      </c>
      <c r="D140" s="412">
        <v>1783</v>
      </c>
      <c r="E140" s="318">
        <f t="shared" si="9"/>
        <v>1.7829999999999999</v>
      </c>
      <c r="F140" s="318">
        <f t="shared" si="10"/>
        <v>0.49935500297038099</v>
      </c>
      <c r="G140" s="318">
        <f t="shared" si="11"/>
        <v>499.36</v>
      </c>
      <c r="H140" s="318">
        <f t="shared" si="12"/>
        <v>619</v>
      </c>
      <c r="J140" s="318">
        <f t="shared" si="13"/>
        <v>1.2395866709388017</v>
      </c>
    </row>
    <row r="141" spans="3:10">
      <c r="C141" s="318">
        <v>79</v>
      </c>
      <c r="D141" s="412">
        <v>1734</v>
      </c>
      <c r="E141" s="318">
        <f t="shared" si="9"/>
        <v>1.734</v>
      </c>
      <c r="F141" s="318">
        <f t="shared" si="10"/>
        <v>0.4876597920572695</v>
      </c>
      <c r="G141" s="318">
        <f t="shared" si="11"/>
        <v>487.66</v>
      </c>
      <c r="H141" s="318">
        <f t="shared" si="12"/>
        <v>605</v>
      </c>
      <c r="J141" s="318">
        <f t="shared" si="13"/>
        <v>1.2406184636837141</v>
      </c>
    </row>
    <row r="142" spans="3:10">
      <c r="C142" s="318">
        <v>80</v>
      </c>
      <c r="D142" s="412">
        <v>1686</v>
      </c>
      <c r="E142" s="318">
        <f t="shared" si="9"/>
        <v>1.6859999999999999</v>
      </c>
      <c r="F142" s="318">
        <f t="shared" si="10"/>
        <v>0.47610816361458147</v>
      </c>
      <c r="G142" s="318">
        <f t="shared" si="11"/>
        <v>476.11</v>
      </c>
      <c r="H142" s="318">
        <f t="shared" si="12"/>
        <v>590</v>
      </c>
      <c r="J142" s="318">
        <f t="shared" si="13"/>
        <v>1.2392094263930604</v>
      </c>
    </row>
    <row r="143" spans="3:10">
      <c r="C143" s="318">
        <v>81</v>
      </c>
      <c r="D143" s="412">
        <v>1640</v>
      </c>
      <c r="E143" s="318">
        <f t="shared" si="9"/>
        <v>1.64</v>
      </c>
      <c r="F143" s="318">
        <f t="shared" si="10"/>
        <v>0.46494845360824738</v>
      </c>
      <c r="G143" s="318">
        <f t="shared" si="11"/>
        <v>464.95</v>
      </c>
      <c r="H143" s="318">
        <f t="shared" si="12"/>
        <v>577</v>
      </c>
      <c r="J143" s="318">
        <f t="shared" si="13"/>
        <v>1.2409936552317453</v>
      </c>
    </row>
    <row r="144" spans="3:10">
      <c r="C144" s="318">
        <v>82</v>
      </c>
      <c r="D144" s="412">
        <v>1595</v>
      </c>
      <c r="E144" s="318">
        <f t="shared" si="9"/>
        <v>1.595</v>
      </c>
      <c r="F144" s="318">
        <f t="shared" si="10"/>
        <v>0.45394566623544624</v>
      </c>
      <c r="G144" s="318">
        <f t="shared" si="11"/>
        <v>453.95</v>
      </c>
      <c r="H144" s="318">
        <f t="shared" si="12"/>
        <v>563</v>
      </c>
      <c r="J144" s="318">
        <f t="shared" si="13"/>
        <v>1.240224694349598</v>
      </c>
    </row>
    <row r="145" spans="3:10">
      <c r="C145" s="318">
        <v>83</v>
      </c>
      <c r="D145" s="412">
        <v>1552</v>
      </c>
      <c r="E145" s="318">
        <f t="shared" si="9"/>
        <v>1.552</v>
      </c>
      <c r="F145" s="318">
        <f t="shared" si="10"/>
        <v>0.44335180055401668</v>
      </c>
      <c r="G145" s="318">
        <f t="shared" si="11"/>
        <v>443.35</v>
      </c>
      <c r="H145" s="318">
        <f t="shared" si="12"/>
        <v>550</v>
      </c>
      <c r="J145" s="318">
        <f t="shared" si="13"/>
        <v>1.2405548663584076</v>
      </c>
    </row>
    <row r="146" spans="3:10">
      <c r="C146" s="318">
        <v>84</v>
      </c>
      <c r="D146" s="412">
        <v>1510</v>
      </c>
      <c r="E146" s="318">
        <f t="shared" si="9"/>
        <v>1.51</v>
      </c>
      <c r="F146" s="318">
        <f t="shared" si="10"/>
        <v>0.43292788879235444</v>
      </c>
      <c r="G146" s="318">
        <f t="shared" si="11"/>
        <v>432.93</v>
      </c>
      <c r="H146" s="318">
        <f t="shared" si="12"/>
        <v>537</v>
      </c>
      <c r="J146" s="318">
        <f t="shared" si="13"/>
        <v>1.240385281685261</v>
      </c>
    </row>
    <row r="147" spans="3:10">
      <c r="C147" s="318">
        <v>85</v>
      </c>
      <c r="D147" s="412">
        <v>1469</v>
      </c>
      <c r="E147" s="318">
        <f t="shared" si="9"/>
        <v>1.4690000000000001</v>
      </c>
      <c r="F147" s="318">
        <f t="shared" si="10"/>
        <v>0.42267852471880724</v>
      </c>
      <c r="G147" s="318">
        <f t="shared" si="11"/>
        <v>422.68</v>
      </c>
      <c r="H147" s="318">
        <f t="shared" si="12"/>
        <v>524</v>
      </c>
      <c r="J147" s="318">
        <f t="shared" si="13"/>
        <v>1.2397085265449039</v>
      </c>
    </row>
    <row r="148" spans="3:10">
      <c r="C148" s="318">
        <v>86</v>
      </c>
      <c r="D148" s="412">
        <v>1430</v>
      </c>
      <c r="E148" s="318">
        <f t="shared" si="9"/>
        <v>1.43</v>
      </c>
      <c r="F148" s="318">
        <f t="shared" si="10"/>
        <v>0.41286089238845136</v>
      </c>
      <c r="G148" s="318">
        <f t="shared" si="11"/>
        <v>412.86</v>
      </c>
      <c r="H148" s="318">
        <f t="shared" si="12"/>
        <v>512</v>
      </c>
      <c r="J148" s="318">
        <f t="shared" si="13"/>
        <v>1.2401298260911688</v>
      </c>
    </row>
    <row r="149" spans="3:10">
      <c r="C149" s="318">
        <v>87</v>
      </c>
      <c r="D149" s="412">
        <v>1392</v>
      </c>
      <c r="E149" s="318">
        <f t="shared" si="9"/>
        <v>1.3919999999999999</v>
      </c>
      <c r="F149" s="318">
        <f t="shared" si="10"/>
        <v>0.40323033707865169</v>
      </c>
      <c r="G149" s="318">
        <f t="shared" si="11"/>
        <v>403.23</v>
      </c>
      <c r="H149" s="318">
        <f t="shared" si="12"/>
        <v>500</v>
      </c>
      <c r="J149" s="318">
        <f t="shared" si="13"/>
        <v>1.2399871041341171</v>
      </c>
    </row>
    <row r="150" spans="3:10">
      <c r="C150" s="318">
        <v>88</v>
      </c>
      <c r="D150" s="412">
        <v>1355</v>
      </c>
      <c r="E150" s="318">
        <f t="shared" ref="E150:E162" si="14">D150/1000</f>
        <v>1.355</v>
      </c>
      <c r="F150" s="318">
        <f t="shared" si="10"/>
        <v>0.39379128137384406</v>
      </c>
      <c r="G150" s="318">
        <f t="shared" si="11"/>
        <v>393.79</v>
      </c>
      <c r="H150" s="318">
        <f t="shared" si="12"/>
        <v>488</v>
      </c>
      <c r="J150" s="318">
        <f t="shared" si="13"/>
        <v>1.2392391883999085</v>
      </c>
    </row>
    <row r="151" spans="3:10">
      <c r="C151" s="318">
        <v>89</v>
      </c>
      <c r="D151" s="412">
        <v>1319</v>
      </c>
      <c r="E151" s="318">
        <f t="shared" si="14"/>
        <v>1.319</v>
      </c>
      <c r="F151" s="318">
        <f t="shared" si="10"/>
        <v>0.38454810495626823</v>
      </c>
      <c r="G151" s="318">
        <f t="shared" si="11"/>
        <v>384.55</v>
      </c>
      <c r="H151" s="318">
        <f t="shared" si="12"/>
        <v>477</v>
      </c>
      <c r="J151" s="318">
        <f t="shared" si="13"/>
        <v>1.2404108698478742</v>
      </c>
    </row>
    <row r="152" spans="3:10">
      <c r="C152" s="318">
        <v>90</v>
      </c>
      <c r="D152" s="412">
        <v>1285</v>
      </c>
      <c r="E152" s="318">
        <f t="shared" si="14"/>
        <v>1.2849999999999999</v>
      </c>
      <c r="F152" s="318">
        <f t="shared" si="10"/>
        <v>0.3757642888790429</v>
      </c>
      <c r="G152" s="318">
        <f t="shared" si="11"/>
        <v>375.76</v>
      </c>
      <c r="H152" s="318">
        <f t="shared" si="12"/>
        <v>466</v>
      </c>
      <c r="J152" s="318">
        <f t="shared" si="13"/>
        <v>1.2401532893336171</v>
      </c>
    </row>
    <row r="153" spans="3:10">
      <c r="C153" s="318">
        <v>91</v>
      </c>
      <c r="D153" s="412">
        <v>1251</v>
      </c>
      <c r="E153" s="318">
        <f t="shared" si="14"/>
        <v>1.2509999999999999</v>
      </c>
      <c r="F153" s="318">
        <f t="shared" si="10"/>
        <v>0.36692738423251264</v>
      </c>
      <c r="G153" s="318">
        <f t="shared" si="11"/>
        <v>366.93</v>
      </c>
      <c r="H153" s="318">
        <f t="shared" si="12"/>
        <v>455</v>
      </c>
      <c r="J153" s="318">
        <f t="shared" si="13"/>
        <v>1.2400185321450958</v>
      </c>
    </row>
    <row r="154" spans="3:10">
      <c r="C154" s="318">
        <v>92</v>
      </c>
      <c r="D154" s="412">
        <v>1219</v>
      </c>
      <c r="E154" s="318">
        <f t="shared" si="14"/>
        <v>1.2190000000000001</v>
      </c>
      <c r="F154" s="318">
        <f t="shared" si="10"/>
        <v>0.35856136910598091</v>
      </c>
      <c r="G154" s="318">
        <f t="shared" si="11"/>
        <v>358.56</v>
      </c>
      <c r="H154" s="318">
        <f t="shared" si="12"/>
        <v>445</v>
      </c>
      <c r="J154" s="318">
        <f t="shared" si="13"/>
        <v>1.2410754127621597</v>
      </c>
    </row>
    <row r="155" spans="3:10">
      <c r="C155" s="318">
        <v>93</v>
      </c>
      <c r="D155" s="412">
        <v>1187</v>
      </c>
      <c r="E155" s="318">
        <f t="shared" si="14"/>
        <v>1.1870000000000001</v>
      </c>
      <c r="F155" s="318">
        <f t="shared" si="10"/>
        <v>0.35014749262536876</v>
      </c>
      <c r="G155" s="318">
        <f t="shared" si="11"/>
        <v>350.15</v>
      </c>
      <c r="H155" s="318">
        <f t="shared" si="12"/>
        <v>434</v>
      </c>
      <c r="J155" s="318">
        <f t="shared" si="13"/>
        <v>1.239468799086106</v>
      </c>
    </row>
    <row r="156" spans="3:10">
      <c r="C156" s="318">
        <v>94</v>
      </c>
      <c r="D156" s="412">
        <v>1157</v>
      </c>
      <c r="E156" s="318">
        <f t="shared" si="14"/>
        <v>1.157</v>
      </c>
      <c r="F156" s="318">
        <f t="shared" si="10"/>
        <v>0.34221564936810972</v>
      </c>
      <c r="G156" s="318">
        <f t="shared" si="11"/>
        <v>342.22</v>
      </c>
      <c r="H156" s="318">
        <f t="shared" si="12"/>
        <v>424</v>
      </c>
      <c r="J156" s="318">
        <f t="shared" si="13"/>
        <v>1.2389690842148324</v>
      </c>
    </row>
    <row r="157" spans="3:10">
      <c r="C157" s="318">
        <v>95</v>
      </c>
      <c r="D157" s="412">
        <v>1127</v>
      </c>
      <c r="E157" s="318">
        <f t="shared" si="14"/>
        <v>1.127</v>
      </c>
      <c r="F157" s="318">
        <f t="shared" si="10"/>
        <v>0.33424103531949312</v>
      </c>
      <c r="G157" s="318">
        <f t="shared" si="11"/>
        <v>334.24</v>
      </c>
      <c r="H157" s="318">
        <f t="shared" si="12"/>
        <v>414</v>
      </c>
      <c r="J157" s="318">
        <f t="shared" si="13"/>
        <v>1.2386309238870272</v>
      </c>
    </row>
    <row r="158" spans="3:10">
      <c r="C158" s="318">
        <v>96</v>
      </c>
      <c r="D158" s="412">
        <v>1099</v>
      </c>
      <c r="E158" s="318">
        <f t="shared" si="14"/>
        <v>1.099</v>
      </c>
      <c r="F158" s="318">
        <f t="shared" si="10"/>
        <v>0.32675916749256684</v>
      </c>
      <c r="G158" s="318">
        <f t="shared" si="11"/>
        <v>326.76</v>
      </c>
      <c r="H158" s="318">
        <f t="shared" si="12"/>
        <v>405</v>
      </c>
      <c r="J158" s="318">
        <f t="shared" si="13"/>
        <v>1.239441792141021</v>
      </c>
    </row>
    <row r="159" spans="3:10">
      <c r="C159" s="318">
        <v>97</v>
      </c>
      <c r="D159" s="412">
        <v>1071</v>
      </c>
      <c r="E159" s="318">
        <f t="shared" si="14"/>
        <v>1.071</v>
      </c>
      <c r="F159" s="318">
        <f t="shared" si="10"/>
        <v>0.31923945443049406</v>
      </c>
      <c r="G159" s="318">
        <f t="shared" si="11"/>
        <v>319.24</v>
      </c>
      <c r="H159" s="318">
        <f t="shared" si="12"/>
        <v>396</v>
      </c>
      <c r="J159" s="318">
        <f t="shared" si="13"/>
        <v>1.2404460593910538</v>
      </c>
    </row>
    <row r="160" spans="3:10">
      <c r="C160" s="318">
        <v>98</v>
      </c>
      <c r="D160" s="412">
        <v>1044</v>
      </c>
      <c r="E160" s="318">
        <f t="shared" si="14"/>
        <v>1.044</v>
      </c>
      <c r="F160" s="318">
        <f t="shared" si="10"/>
        <v>0.31195219123505974</v>
      </c>
      <c r="G160" s="318">
        <f t="shared" si="11"/>
        <v>311.95</v>
      </c>
      <c r="H160" s="318">
        <f t="shared" si="12"/>
        <v>387</v>
      </c>
      <c r="J160" s="318">
        <f t="shared" si="13"/>
        <v>1.240583426831223</v>
      </c>
    </row>
    <row r="161" spans="3:10">
      <c r="C161" s="318">
        <v>99</v>
      </c>
      <c r="D161" s="412">
        <v>1018</v>
      </c>
      <c r="E161" s="318">
        <f t="shared" si="14"/>
        <v>1.018</v>
      </c>
      <c r="F161" s="318">
        <f t="shared" si="10"/>
        <v>0.30490107097476854</v>
      </c>
      <c r="G161" s="318">
        <f t="shared" si="11"/>
        <v>304.89999999999998</v>
      </c>
      <c r="H161" s="318">
        <f t="shared" si="12"/>
        <v>378</v>
      </c>
      <c r="J161" s="318">
        <f t="shared" si="13"/>
        <v>1.239750737946868</v>
      </c>
    </row>
    <row r="162" spans="3:10">
      <c r="C162" s="318">
        <v>100</v>
      </c>
      <c r="D162" s="412">
        <v>992.4</v>
      </c>
      <c r="E162" s="318">
        <f t="shared" si="14"/>
        <v>0.99239999999999995</v>
      </c>
      <c r="F162" s="318">
        <f t="shared" si="10"/>
        <v>0.29792583967104541</v>
      </c>
      <c r="G162" s="318">
        <f t="shared" si="11"/>
        <v>297.93</v>
      </c>
      <c r="H162" s="318">
        <f t="shared" si="12"/>
        <v>369</v>
      </c>
      <c r="J162" s="318">
        <f t="shared" si="13"/>
        <v>1.2385459671734971</v>
      </c>
    </row>
  </sheetData>
  <sheetProtection password="EE63" sheet="1" objects="1" scenarios="1"/>
  <mergeCells count="5">
    <mergeCell ref="O14:P15"/>
    <mergeCell ref="O16:P17"/>
    <mergeCell ref="H15:I15"/>
    <mergeCell ref="H16:I16"/>
    <mergeCell ref="H17:I17"/>
  </mergeCells>
  <phoneticPr fontId="1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0"/>
  <dimension ref="A1:T132"/>
  <sheetViews>
    <sheetView topLeftCell="A97" zoomScale="85" zoomScaleNormal="85" workbookViewId="0">
      <selection activeCell="F110" sqref="F110"/>
    </sheetView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192</v>
      </c>
    </row>
    <row r="2" spans="1:20">
      <c r="A2" t="s">
        <v>38</v>
      </c>
      <c r="F2" t="s">
        <v>2010</v>
      </c>
    </row>
    <row r="3" spans="1:20" ht="21.75" thickBot="1">
      <c r="A3" t="s">
        <v>39</v>
      </c>
      <c r="F3" s="82" t="s">
        <v>2009</v>
      </c>
    </row>
    <row r="4" spans="1:20" ht="21">
      <c r="A4" t="s">
        <v>197</v>
      </c>
      <c r="F4" s="83" t="s">
        <v>2011</v>
      </c>
    </row>
    <row r="5" spans="1:20">
      <c r="A5" t="s">
        <v>197</v>
      </c>
    </row>
    <row r="6" spans="1:20">
      <c r="A6" t="s">
        <v>50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53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107"/>
      <c r="J14" s="104">
        <v>-10</v>
      </c>
      <c r="K14" s="107" t="s">
        <v>241</v>
      </c>
      <c r="L14" s="91"/>
      <c r="O14" s="932" t="s">
        <v>236</v>
      </c>
      <c r="P14" s="933"/>
      <c r="Q14" s="85" t="s">
        <v>245</v>
      </c>
      <c r="R14" s="85"/>
      <c r="S14" s="85"/>
      <c r="T14" s="86"/>
    </row>
    <row r="15" spans="1:20" ht="17.25" thickBot="1">
      <c r="H15" s="936" t="s">
        <v>111</v>
      </c>
      <c r="I15" s="937"/>
      <c r="J15" s="87">
        <f>VLOOKUP(J14,D22:J132,5)</f>
        <v>3330</v>
      </c>
      <c r="K15" s="812" t="s">
        <v>242</v>
      </c>
      <c r="L15" s="15"/>
      <c r="O15" s="934"/>
      <c r="P15" s="935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6" t="s">
        <v>104</v>
      </c>
      <c r="I16" s="937"/>
      <c r="J16" s="811">
        <v>2900</v>
      </c>
      <c r="K16" s="812"/>
      <c r="L16" s="15"/>
      <c r="M16" t="s">
        <v>243</v>
      </c>
      <c r="O16" s="932" t="s">
        <v>236</v>
      </c>
      <c r="P16" s="933"/>
      <c r="Q16" s="85" t="s">
        <v>246</v>
      </c>
      <c r="R16" s="85"/>
      <c r="S16" s="85"/>
      <c r="T16" s="86"/>
    </row>
    <row r="17" spans="4:20" ht="17.25" thickBot="1">
      <c r="D17" t="s">
        <v>2</v>
      </c>
      <c r="E17" s="64">
        <v>10</v>
      </c>
      <c r="F17" t="s">
        <v>5</v>
      </c>
      <c r="H17" s="936" t="s">
        <v>105</v>
      </c>
      <c r="I17" s="937"/>
      <c r="J17" s="812">
        <f>J16-J15</f>
        <v>-430</v>
      </c>
      <c r="K17" s="812" t="s">
        <v>106</v>
      </c>
      <c r="L17" s="15"/>
      <c r="M17" s="92" t="str">
        <f>DEC2HEX(J17)</f>
        <v>FFFFFFFE52</v>
      </c>
      <c r="N17" s="92"/>
      <c r="O17" s="934"/>
      <c r="P17" s="935"/>
      <c r="Q17" s="88" t="s">
        <v>247</v>
      </c>
      <c r="R17" s="88" t="s">
        <v>239</v>
      </c>
      <c r="S17" s="88"/>
      <c r="T17" s="89"/>
    </row>
    <row r="18" spans="4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4:20" ht="17.25" thickTop="1"/>
    <row r="21" spans="4:20">
      <c r="D21" t="s">
        <v>42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4:20">
      <c r="D22" s="63">
        <v>-10</v>
      </c>
      <c r="E22" s="63">
        <v>43.499000000000002</v>
      </c>
      <c r="F22">
        <f t="shared" ref="F22:F61" si="0">$E$16/($E$17+E22)*E22</f>
        <v>2.6831660404867379</v>
      </c>
      <c r="G22">
        <f t="shared" ref="G22:G61" si="1">ROUND((F22*1000),2)</f>
        <v>2683.17</v>
      </c>
      <c r="H22">
        <f t="shared" ref="H22:H61" si="2">ROUNDDOWN(G22/$I$10,0)</f>
        <v>3330</v>
      </c>
      <c r="J22">
        <f t="shared" ref="J22:J61" si="3">H22/G22</f>
        <v>1.2410693321705295</v>
      </c>
    </row>
    <row r="23" spans="4:20">
      <c r="D23" s="63">
        <v>-9</v>
      </c>
      <c r="E23" s="63">
        <v>41.518000000000001</v>
      </c>
      <c r="F23">
        <f t="shared" si="0"/>
        <v>2.6594471835086764</v>
      </c>
      <c r="G23">
        <f t="shared" si="1"/>
        <v>2659.45</v>
      </c>
      <c r="H23">
        <f t="shared" si="2"/>
        <v>3300</v>
      </c>
      <c r="J23">
        <f t="shared" si="3"/>
        <v>1.2408580721577771</v>
      </c>
    </row>
    <row r="24" spans="4:20">
      <c r="D24" s="63">
        <v>-8</v>
      </c>
      <c r="E24" s="63">
        <v>39.640999999999998</v>
      </c>
      <c r="F24">
        <f t="shared" si="0"/>
        <v>2.6352269293527528</v>
      </c>
      <c r="G24">
        <f t="shared" si="1"/>
        <v>2635.23</v>
      </c>
      <c r="H24">
        <f t="shared" si="2"/>
        <v>3270</v>
      </c>
      <c r="J24">
        <f t="shared" si="3"/>
        <v>1.240878405300486</v>
      </c>
    </row>
    <row r="25" spans="4:20">
      <c r="D25" s="63">
        <v>-7</v>
      </c>
      <c r="E25" s="63">
        <v>37.860999999999997</v>
      </c>
      <c r="F25">
        <f t="shared" si="0"/>
        <v>2.6105033325672258</v>
      </c>
      <c r="G25">
        <f t="shared" si="1"/>
        <v>2610.5</v>
      </c>
      <c r="H25">
        <f t="shared" si="2"/>
        <v>3240</v>
      </c>
      <c r="J25">
        <f t="shared" si="3"/>
        <v>1.2411415437655622</v>
      </c>
    </row>
    <row r="26" spans="4:20">
      <c r="D26" s="63">
        <v>-6</v>
      </c>
      <c r="E26" s="63">
        <v>36.171999999999997</v>
      </c>
      <c r="F26">
        <f t="shared" si="0"/>
        <v>2.5852811227583814</v>
      </c>
      <c r="G26">
        <f t="shared" si="1"/>
        <v>2585.2800000000002</v>
      </c>
      <c r="H26">
        <f t="shared" si="2"/>
        <v>3208</v>
      </c>
      <c r="J26">
        <f t="shared" si="3"/>
        <v>1.2408713949746255</v>
      </c>
    </row>
    <row r="27" spans="4:20">
      <c r="D27" s="63">
        <v>-5</v>
      </c>
      <c r="E27" s="63">
        <v>34.569000000000003</v>
      </c>
      <c r="F27">
        <f t="shared" si="0"/>
        <v>2.559575040947744</v>
      </c>
      <c r="G27">
        <f t="shared" si="1"/>
        <v>2559.58</v>
      </c>
      <c r="H27">
        <f t="shared" si="2"/>
        <v>3176</v>
      </c>
      <c r="J27">
        <f t="shared" si="3"/>
        <v>1.2408285734378297</v>
      </c>
    </row>
    <row r="28" spans="4:20">
      <c r="D28" s="63">
        <v>-4</v>
      </c>
      <c r="E28" s="63">
        <v>33.046999999999997</v>
      </c>
      <c r="F28">
        <f t="shared" si="0"/>
        <v>2.533396055474249</v>
      </c>
      <c r="G28">
        <f t="shared" si="1"/>
        <v>2533.4</v>
      </c>
      <c r="H28">
        <f t="shared" si="2"/>
        <v>3144</v>
      </c>
      <c r="J28">
        <f t="shared" si="3"/>
        <v>1.2410199731586011</v>
      </c>
    </row>
    <row r="29" spans="4:20">
      <c r="D29" s="63">
        <v>-3</v>
      </c>
      <c r="E29" s="63">
        <v>31.600999999999999</v>
      </c>
      <c r="F29">
        <f t="shared" si="0"/>
        <v>2.5067498377442852</v>
      </c>
      <c r="G29">
        <f t="shared" si="1"/>
        <v>2506.75</v>
      </c>
      <c r="H29">
        <f t="shared" si="2"/>
        <v>3111</v>
      </c>
      <c r="J29">
        <f t="shared" si="3"/>
        <v>1.2410491672484292</v>
      </c>
    </row>
    <row r="30" spans="4:20">
      <c r="D30" s="63">
        <v>-2</v>
      </c>
      <c r="E30" s="63">
        <v>30.227</v>
      </c>
      <c r="F30">
        <f t="shared" si="0"/>
        <v>2.4796554552912222</v>
      </c>
      <c r="G30">
        <f t="shared" si="1"/>
        <v>2479.66</v>
      </c>
      <c r="H30">
        <f t="shared" si="2"/>
        <v>3077</v>
      </c>
      <c r="J30">
        <f t="shared" si="3"/>
        <v>1.2408959292806272</v>
      </c>
    </row>
    <row r="31" spans="4:20">
      <c r="D31" s="63">
        <v>-1</v>
      </c>
      <c r="E31" s="63">
        <v>28.920999999999999</v>
      </c>
      <c r="F31">
        <f t="shared" si="0"/>
        <v>2.4521286708974586</v>
      </c>
      <c r="G31">
        <f t="shared" si="1"/>
        <v>2452.13</v>
      </c>
      <c r="H31">
        <f t="shared" si="2"/>
        <v>3043</v>
      </c>
      <c r="J31">
        <f t="shared" si="3"/>
        <v>1.2409619392120319</v>
      </c>
    </row>
    <row r="32" spans="4:20">
      <c r="D32" s="63">
        <v>0</v>
      </c>
      <c r="E32" s="63">
        <v>27.68</v>
      </c>
      <c r="F32">
        <f t="shared" si="0"/>
        <v>2.4242038216560506</v>
      </c>
      <c r="G32">
        <f t="shared" si="1"/>
        <v>2424.1999999999998</v>
      </c>
      <c r="H32">
        <f t="shared" si="2"/>
        <v>3008</v>
      </c>
      <c r="J32">
        <f t="shared" si="3"/>
        <v>1.2408217143800018</v>
      </c>
    </row>
    <row r="33" spans="4:10">
      <c r="D33" s="63">
        <v>1</v>
      </c>
      <c r="E33" s="63">
        <v>26.498999999999999</v>
      </c>
      <c r="F33">
        <f t="shared" si="0"/>
        <v>2.3958656401545246</v>
      </c>
      <c r="G33">
        <f t="shared" si="1"/>
        <v>2395.87</v>
      </c>
      <c r="H33">
        <f t="shared" si="2"/>
        <v>2973</v>
      </c>
      <c r="J33">
        <f t="shared" si="3"/>
        <v>1.2408853568849729</v>
      </c>
    </row>
    <row r="34" spans="4:10">
      <c r="D34" s="63">
        <v>2</v>
      </c>
      <c r="E34" s="63">
        <v>25.375</v>
      </c>
      <c r="F34">
        <f t="shared" si="0"/>
        <v>2.367137809187279</v>
      </c>
      <c r="G34">
        <f t="shared" si="1"/>
        <v>2367.14</v>
      </c>
      <c r="H34">
        <f t="shared" si="2"/>
        <v>2938</v>
      </c>
      <c r="J34">
        <f t="shared" si="3"/>
        <v>1.2411602186604933</v>
      </c>
    </row>
    <row r="35" spans="4:10">
      <c r="D35" s="63">
        <v>3</v>
      </c>
      <c r="E35" s="63">
        <v>24.305</v>
      </c>
      <c r="F35">
        <f t="shared" si="0"/>
        <v>2.3380411018801923</v>
      </c>
      <c r="G35">
        <f t="shared" si="1"/>
        <v>2338.04</v>
      </c>
      <c r="H35">
        <f t="shared" si="2"/>
        <v>2902</v>
      </c>
      <c r="J35">
        <f t="shared" si="3"/>
        <v>1.2412105866452243</v>
      </c>
    </row>
    <row r="36" spans="4:10">
      <c r="D36" s="63">
        <v>4</v>
      </c>
      <c r="E36" s="63">
        <v>23.286000000000001</v>
      </c>
      <c r="F36">
        <f t="shared" si="0"/>
        <v>2.3085922009253141</v>
      </c>
      <c r="G36">
        <f t="shared" si="1"/>
        <v>2308.59</v>
      </c>
      <c r="H36">
        <f t="shared" si="2"/>
        <v>2865</v>
      </c>
      <c r="J36">
        <f t="shared" si="3"/>
        <v>1.2410172442919702</v>
      </c>
    </row>
    <row r="37" spans="4:10">
      <c r="D37" s="63">
        <v>5</v>
      </c>
      <c r="E37" s="63">
        <v>22.315999999999999</v>
      </c>
      <c r="F37">
        <f t="shared" si="0"/>
        <v>2.2788340141106569</v>
      </c>
      <c r="G37">
        <f t="shared" si="1"/>
        <v>2278.83</v>
      </c>
      <c r="H37">
        <f t="shared" si="2"/>
        <v>2828</v>
      </c>
      <c r="J37">
        <f t="shared" si="3"/>
        <v>1.2409876998284208</v>
      </c>
    </row>
    <row r="38" spans="4:10">
      <c r="D38" s="63">
        <v>6</v>
      </c>
      <c r="E38" s="63">
        <v>21.390999999999998</v>
      </c>
      <c r="F38">
        <f t="shared" si="0"/>
        <v>2.248743270364117</v>
      </c>
      <c r="G38">
        <f t="shared" si="1"/>
        <v>2248.7399999999998</v>
      </c>
      <c r="H38">
        <f t="shared" si="2"/>
        <v>2791</v>
      </c>
      <c r="J38">
        <f t="shared" si="3"/>
        <v>1.2411394825546751</v>
      </c>
    </row>
    <row r="39" spans="4:10">
      <c r="D39" s="63">
        <v>7</v>
      </c>
      <c r="E39" s="63">
        <v>20.51</v>
      </c>
      <c r="F39">
        <f t="shared" si="0"/>
        <v>2.2183874139626352</v>
      </c>
      <c r="G39">
        <f t="shared" si="1"/>
        <v>2218.39</v>
      </c>
      <c r="H39">
        <f t="shared" si="2"/>
        <v>2753</v>
      </c>
      <c r="J39">
        <f t="shared" si="3"/>
        <v>1.2409900874057314</v>
      </c>
    </row>
    <row r="40" spans="4:10">
      <c r="D40" s="63">
        <v>8</v>
      </c>
      <c r="E40" s="63">
        <v>19.670000000000002</v>
      </c>
      <c r="F40">
        <f t="shared" si="0"/>
        <v>2.1877654196157734</v>
      </c>
      <c r="G40">
        <f t="shared" si="1"/>
        <v>2187.77</v>
      </c>
      <c r="H40">
        <f t="shared" si="2"/>
        <v>2715</v>
      </c>
      <c r="J40">
        <f t="shared" si="3"/>
        <v>1.2409896835590579</v>
      </c>
    </row>
    <row r="41" spans="4:10">
      <c r="D41" s="63">
        <v>9</v>
      </c>
      <c r="E41" s="63">
        <v>18.869</v>
      </c>
      <c r="F41">
        <f t="shared" si="0"/>
        <v>2.1569053309778652</v>
      </c>
      <c r="G41">
        <f t="shared" si="1"/>
        <v>2156.91</v>
      </c>
      <c r="H41">
        <f t="shared" si="2"/>
        <v>2677</v>
      </c>
      <c r="J41">
        <f t="shared" si="3"/>
        <v>1.2411273534825282</v>
      </c>
    </row>
    <row r="42" spans="4:10">
      <c r="D42" s="63">
        <v>10</v>
      </c>
      <c r="E42" s="63">
        <v>18.103999999999999</v>
      </c>
      <c r="F42">
        <f t="shared" si="0"/>
        <v>2.1257899231426132</v>
      </c>
      <c r="G42">
        <f t="shared" si="1"/>
        <v>2125.79</v>
      </c>
      <c r="H42">
        <f t="shared" si="2"/>
        <v>2638</v>
      </c>
      <c r="J42">
        <f t="shared" si="3"/>
        <v>1.2409504231368103</v>
      </c>
    </row>
    <row r="43" spans="4:10">
      <c r="D43" s="63">
        <v>11</v>
      </c>
      <c r="E43" s="63">
        <v>17.375</v>
      </c>
      <c r="F43">
        <f t="shared" si="0"/>
        <v>2.0945205479452054</v>
      </c>
      <c r="G43">
        <f t="shared" si="1"/>
        <v>2094.52</v>
      </c>
      <c r="H43">
        <f t="shared" si="2"/>
        <v>2599</v>
      </c>
      <c r="J43">
        <f t="shared" si="3"/>
        <v>1.2408570937494032</v>
      </c>
    </row>
    <row r="44" spans="4:10">
      <c r="D44" s="63">
        <v>12</v>
      </c>
      <c r="E44" s="63">
        <v>16.678999999999998</v>
      </c>
      <c r="F44">
        <f t="shared" si="0"/>
        <v>2.063072079163387</v>
      </c>
      <c r="G44">
        <f t="shared" si="1"/>
        <v>2063.0700000000002</v>
      </c>
      <c r="H44">
        <f t="shared" si="2"/>
        <v>2560</v>
      </c>
      <c r="J44">
        <f t="shared" si="3"/>
        <v>1.240869190090496</v>
      </c>
    </row>
    <row r="45" spans="4:10">
      <c r="D45" s="63">
        <v>13</v>
      </c>
      <c r="E45" s="63">
        <v>16.013999999999999</v>
      </c>
      <c r="F45">
        <f t="shared" si="0"/>
        <v>2.0314522949181208</v>
      </c>
      <c r="G45">
        <f t="shared" si="1"/>
        <v>2031.45</v>
      </c>
      <c r="H45">
        <f t="shared" si="2"/>
        <v>2521</v>
      </c>
      <c r="J45">
        <f t="shared" si="3"/>
        <v>1.2409855029658619</v>
      </c>
    </row>
    <row r="46" spans="4:10">
      <c r="D46" s="63">
        <v>14</v>
      </c>
      <c r="E46" s="63">
        <v>15.379</v>
      </c>
      <c r="F46">
        <f t="shared" si="0"/>
        <v>1.9997123606131055</v>
      </c>
      <c r="G46">
        <f t="shared" si="1"/>
        <v>1999.71</v>
      </c>
      <c r="H46">
        <f t="shared" si="2"/>
        <v>2482</v>
      </c>
      <c r="J46">
        <f t="shared" si="3"/>
        <v>1.2411799710958089</v>
      </c>
    </row>
    <row r="47" spans="4:10">
      <c r="D47" s="63">
        <v>15</v>
      </c>
      <c r="E47" s="63">
        <v>14.773</v>
      </c>
      <c r="F47">
        <f t="shared" si="0"/>
        <v>1.967904573527631</v>
      </c>
      <c r="G47">
        <f t="shared" si="1"/>
        <v>1967.9</v>
      </c>
      <c r="H47">
        <f t="shared" si="2"/>
        <v>2442</v>
      </c>
      <c r="J47">
        <f t="shared" si="3"/>
        <v>1.2409167132476242</v>
      </c>
    </row>
    <row r="48" spans="4:10">
      <c r="D48" s="63">
        <v>16</v>
      </c>
      <c r="E48" s="63">
        <v>14.194000000000001</v>
      </c>
      <c r="F48">
        <f t="shared" si="0"/>
        <v>1.9360254608580638</v>
      </c>
      <c r="G48">
        <f t="shared" si="1"/>
        <v>1936.03</v>
      </c>
      <c r="H48">
        <f t="shared" si="2"/>
        <v>2403</v>
      </c>
      <c r="J48">
        <f t="shared" si="3"/>
        <v>1.2411997747968782</v>
      </c>
    </row>
    <row r="49" spans="4:10">
      <c r="D49" s="63">
        <v>17</v>
      </c>
      <c r="E49" s="63">
        <v>13.64</v>
      </c>
      <c r="F49">
        <f t="shared" si="0"/>
        <v>1.9040609137055839</v>
      </c>
      <c r="G49">
        <f t="shared" si="1"/>
        <v>1904.06</v>
      </c>
      <c r="H49">
        <f t="shared" si="2"/>
        <v>2363</v>
      </c>
      <c r="J49">
        <f t="shared" si="3"/>
        <v>1.2410323204100711</v>
      </c>
    </row>
    <row r="50" spans="4:10">
      <c r="D50" s="63">
        <v>18</v>
      </c>
      <c r="E50" s="63">
        <v>13.111000000000001</v>
      </c>
      <c r="F50">
        <f t="shared" si="0"/>
        <v>1.8721085197524987</v>
      </c>
      <c r="G50">
        <f t="shared" si="1"/>
        <v>1872.11</v>
      </c>
      <c r="H50">
        <f t="shared" si="2"/>
        <v>2323</v>
      </c>
      <c r="J50">
        <f t="shared" si="3"/>
        <v>1.2408458904658382</v>
      </c>
    </row>
    <row r="51" spans="4:10">
      <c r="D51" s="63">
        <v>19</v>
      </c>
      <c r="E51" s="63">
        <v>12.605</v>
      </c>
      <c r="F51">
        <f t="shared" si="0"/>
        <v>1.8401459854014597</v>
      </c>
      <c r="G51">
        <f t="shared" si="1"/>
        <v>1840.15</v>
      </c>
      <c r="H51">
        <f t="shared" si="2"/>
        <v>2284</v>
      </c>
      <c r="J51">
        <f t="shared" si="3"/>
        <v>1.2412031627856424</v>
      </c>
    </row>
    <row r="52" spans="4:10">
      <c r="D52" s="63">
        <v>20</v>
      </c>
      <c r="E52" s="63">
        <v>12.122</v>
      </c>
      <c r="F52">
        <f t="shared" si="0"/>
        <v>1.808272308109574</v>
      </c>
      <c r="G52">
        <f t="shared" si="1"/>
        <v>1808.27</v>
      </c>
      <c r="H52">
        <f t="shared" si="2"/>
        <v>2244</v>
      </c>
      <c r="J52">
        <f t="shared" si="3"/>
        <v>1.2409651213590891</v>
      </c>
    </row>
    <row r="53" spans="4:10">
      <c r="D53" s="63">
        <v>21</v>
      </c>
      <c r="E53" s="63">
        <v>11.659000000000001</v>
      </c>
      <c r="F53">
        <f t="shared" si="0"/>
        <v>1.7763839512442865</v>
      </c>
      <c r="G53">
        <f t="shared" si="1"/>
        <v>1776.38</v>
      </c>
      <c r="H53">
        <f t="shared" si="2"/>
        <v>2204</v>
      </c>
      <c r="J53">
        <f t="shared" si="3"/>
        <v>1.2407255204404462</v>
      </c>
    </row>
    <row r="54" spans="4:10">
      <c r="D54" s="63">
        <v>22</v>
      </c>
      <c r="E54" s="63">
        <v>11.217000000000001</v>
      </c>
      <c r="F54">
        <f t="shared" si="0"/>
        <v>1.7446434462930669</v>
      </c>
      <c r="G54">
        <f t="shared" si="1"/>
        <v>1744.64</v>
      </c>
      <c r="H54">
        <f t="shared" si="2"/>
        <v>2165</v>
      </c>
      <c r="J54">
        <f t="shared" si="3"/>
        <v>1.240943690388848</v>
      </c>
    </row>
    <row r="55" spans="4:10">
      <c r="D55" s="63">
        <v>23</v>
      </c>
      <c r="E55" s="63">
        <v>10.792999999999999</v>
      </c>
      <c r="F55">
        <f t="shared" si="0"/>
        <v>1.7129274274996391</v>
      </c>
      <c r="G55">
        <f t="shared" si="1"/>
        <v>1712.93</v>
      </c>
      <c r="H55">
        <f t="shared" si="2"/>
        <v>2126</v>
      </c>
      <c r="J55">
        <f t="shared" si="3"/>
        <v>1.2411482080411926</v>
      </c>
    </row>
    <row r="56" spans="4:10">
      <c r="D56" s="63">
        <v>24</v>
      </c>
      <c r="E56" s="63">
        <v>10.388</v>
      </c>
      <c r="F56">
        <f t="shared" si="0"/>
        <v>1.681400824014126</v>
      </c>
      <c r="G56">
        <f t="shared" si="1"/>
        <v>1681.4</v>
      </c>
      <c r="H56">
        <f t="shared" si="2"/>
        <v>2086</v>
      </c>
      <c r="J56">
        <f t="shared" si="3"/>
        <v>1.240632805995004</v>
      </c>
    </row>
    <row r="57" spans="4:10">
      <c r="D57" s="63">
        <v>25</v>
      </c>
      <c r="E57" s="63">
        <v>10</v>
      </c>
      <c r="F57">
        <f t="shared" si="0"/>
        <v>1.65</v>
      </c>
      <c r="G57">
        <f t="shared" si="1"/>
        <v>1650</v>
      </c>
      <c r="H57">
        <f t="shared" si="2"/>
        <v>2048</v>
      </c>
      <c r="J57">
        <f t="shared" si="3"/>
        <v>1.2412121212121212</v>
      </c>
    </row>
    <row r="58" spans="4:10">
      <c r="D58" s="63">
        <v>26</v>
      </c>
      <c r="E58" s="63">
        <v>9.6286000000000005</v>
      </c>
      <c r="F58">
        <f t="shared" si="0"/>
        <v>1.6187797397674824</v>
      </c>
      <c r="G58">
        <f t="shared" si="1"/>
        <v>1618.78</v>
      </c>
      <c r="H58">
        <f t="shared" si="2"/>
        <v>2009</v>
      </c>
      <c r="J58">
        <f t="shared" si="3"/>
        <v>1.2410580807768814</v>
      </c>
    </row>
    <row r="59" spans="4:10">
      <c r="D59" s="63">
        <v>27</v>
      </c>
      <c r="E59" s="63">
        <v>9.2729999999999997</v>
      </c>
      <c r="F59">
        <f t="shared" si="0"/>
        <v>1.5877600788668085</v>
      </c>
      <c r="G59">
        <f t="shared" si="1"/>
        <v>1587.76</v>
      </c>
      <c r="H59">
        <f t="shared" si="2"/>
        <v>1970</v>
      </c>
      <c r="J59">
        <f t="shared" si="3"/>
        <v>1.2407416738046053</v>
      </c>
    </row>
    <row r="60" spans="4:10">
      <c r="D60" s="63">
        <v>28</v>
      </c>
      <c r="E60" s="63">
        <v>8.9324999999999992</v>
      </c>
      <c r="F60">
        <f t="shared" si="0"/>
        <v>1.5569655354549057</v>
      </c>
      <c r="G60">
        <f t="shared" si="1"/>
        <v>1556.97</v>
      </c>
      <c r="H60">
        <f t="shared" si="2"/>
        <v>1932</v>
      </c>
      <c r="J60">
        <f t="shared" si="3"/>
        <v>1.240871693096206</v>
      </c>
    </row>
    <row r="61" spans="4:10">
      <c r="D61" s="63">
        <v>29</v>
      </c>
      <c r="E61" s="63">
        <v>8.6061999999999994</v>
      </c>
      <c r="F61">
        <f t="shared" si="0"/>
        <v>1.5263976523954379</v>
      </c>
      <c r="G61">
        <f t="shared" si="1"/>
        <v>1526.4</v>
      </c>
      <c r="H61">
        <f t="shared" si="2"/>
        <v>1894</v>
      </c>
      <c r="J61">
        <f t="shared" si="3"/>
        <v>1.2408280922431865</v>
      </c>
    </row>
    <row r="62" spans="4:10">
      <c r="D62" s="62">
        <v>30</v>
      </c>
      <c r="E62" s="62">
        <v>8.2936999999999994</v>
      </c>
      <c r="F62">
        <f>$E$16/($E$17+E62)*E62</f>
        <v>1.4961002968234962</v>
      </c>
      <c r="G62">
        <f>ROUND((F62*1000),2)</f>
        <v>1496.1</v>
      </c>
      <c r="H62">
        <f>ROUNDDOWN(G62/$I$10,0)</f>
        <v>1856</v>
      </c>
      <c r="J62">
        <f>H62/G62</f>
        <v>1.2405587861773946</v>
      </c>
    </row>
    <row r="63" spans="4:10">
      <c r="D63" s="62">
        <v>31</v>
      </c>
      <c r="E63" s="62">
        <v>7.9941000000000004</v>
      </c>
      <c r="F63">
        <f t="shared" ref="F63:F126" si="4">$E$16/($E$17+E63)*E63</f>
        <v>1.4660655437059926</v>
      </c>
      <c r="G63">
        <f t="shared" ref="G63:G126" si="5">ROUND((F63*1000),2)</f>
        <v>1466.07</v>
      </c>
      <c r="H63">
        <f t="shared" ref="H63:H126" si="6">ROUNDDOWN(G63/$I$10,0)</f>
        <v>1819</v>
      </c>
      <c r="J63">
        <f t="shared" ref="J63:J126" si="7">H63/G63</f>
        <v>1.240732025073837</v>
      </c>
    </row>
    <row r="64" spans="4:10">
      <c r="D64" s="62">
        <v>32</v>
      </c>
      <c r="E64" s="62">
        <v>7.7069999999999999</v>
      </c>
      <c r="F64">
        <f t="shared" si="4"/>
        <v>1.4363302648670015</v>
      </c>
      <c r="G64">
        <f t="shared" si="5"/>
        <v>1436.33</v>
      </c>
      <c r="H64">
        <f t="shared" si="6"/>
        <v>1782</v>
      </c>
      <c r="J64">
        <f t="shared" si="7"/>
        <v>1.2406619648687975</v>
      </c>
    </row>
    <row r="65" spans="4:10">
      <c r="D65" s="62">
        <v>33</v>
      </c>
      <c r="E65" s="62">
        <v>7.4318</v>
      </c>
      <c r="F65">
        <f t="shared" si="4"/>
        <v>1.406908064571645</v>
      </c>
      <c r="G65">
        <f t="shared" si="5"/>
        <v>1406.91</v>
      </c>
      <c r="H65">
        <f t="shared" si="6"/>
        <v>1746</v>
      </c>
      <c r="J65">
        <f t="shared" si="7"/>
        <v>1.2410175490969571</v>
      </c>
    </row>
    <row r="66" spans="4:10">
      <c r="D66" s="62">
        <v>34</v>
      </c>
      <c r="E66" s="62">
        <v>7.1679000000000004</v>
      </c>
      <c r="F66">
        <f t="shared" si="4"/>
        <v>1.3778080021435355</v>
      </c>
      <c r="G66">
        <f t="shared" si="5"/>
        <v>1377.81</v>
      </c>
      <c r="H66">
        <f t="shared" si="6"/>
        <v>1710</v>
      </c>
      <c r="J66">
        <f t="shared" si="7"/>
        <v>1.2411000065321054</v>
      </c>
    </row>
    <row r="67" spans="4:10">
      <c r="D67" s="62">
        <v>35</v>
      </c>
      <c r="E67" s="62">
        <v>6.9147999999999996</v>
      </c>
      <c r="F67">
        <f t="shared" si="4"/>
        <v>1.3490458060396811</v>
      </c>
      <c r="G67">
        <f t="shared" si="5"/>
        <v>1349.05</v>
      </c>
      <c r="H67">
        <f t="shared" si="6"/>
        <v>1674</v>
      </c>
      <c r="J67">
        <f t="shared" si="7"/>
        <v>1.2408732070716431</v>
      </c>
    </row>
    <row r="68" spans="4:10">
      <c r="D68" s="62">
        <v>36</v>
      </c>
      <c r="E68" s="62">
        <v>6.6721000000000004</v>
      </c>
      <c r="F68">
        <f t="shared" si="4"/>
        <v>1.3206452696420967</v>
      </c>
      <c r="G68">
        <f t="shared" si="5"/>
        <v>1320.65</v>
      </c>
      <c r="H68">
        <f t="shared" si="6"/>
        <v>1639</v>
      </c>
      <c r="J68">
        <f t="shared" si="7"/>
        <v>1.241055540832166</v>
      </c>
    </row>
    <row r="69" spans="4:10">
      <c r="D69" s="62">
        <v>37</v>
      </c>
      <c r="E69" s="62">
        <v>6.4391999999999996</v>
      </c>
      <c r="F69">
        <f t="shared" si="4"/>
        <v>1.2926030463769527</v>
      </c>
      <c r="G69">
        <f t="shared" si="5"/>
        <v>1292.5999999999999</v>
      </c>
      <c r="H69">
        <f t="shared" si="6"/>
        <v>1604</v>
      </c>
      <c r="J69">
        <f t="shared" si="7"/>
        <v>1.2409097942132137</v>
      </c>
    </row>
    <row r="70" spans="4:10">
      <c r="D70" s="62">
        <v>38</v>
      </c>
      <c r="E70" s="62">
        <v>6.2157</v>
      </c>
      <c r="F70">
        <f t="shared" si="4"/>
        <v>1.2649352171044113</v>
      </c>
      <c r="G70">
        <f t="shared" si="5"/>
        <v>1264.94</v>
      </c>
      <c r="H70">
        <f t="shared" si="6"/>
        <v>1570</v>
      </c>
      <c r="J70">
        <f t="shared" si="7"/>
        <v>1.2411655888816859</v>
      </c>
    </row>
    <row r="71" spans="4:10">
      <c r="D71" s="62">
        <v>39</v>
      </c>
      <c r="E71" s="62">
        <v>6.0011999999999999</v>
      </c>
      <c r="F71">
        <f t="shared" si="4"/>
        <v>1.2376546758993074</v>
      </c>
      <c r="G71">
        <f t="shared" si="5"/>
        <v>1237.6500000000001</v>
      </c>
      <c r="H71">
        <f t="shared" si="6"/>
        <v>1536</v>
      </c>
      <c r="J71">
        <f t="shared" si="7"/>
        <v>1.2410616894921827</v>
      </c>
    </row>
    <row r="72" spans="4:10">
      <c r="D72" s="62">
        <v>40</v>
      </c>
      <c r="E72" s="62">
        <v>5.7953999999999999</v>
      </c>
      <c r="F72">
        <f t="shared" si="4"/>
        <v>1.2107841523481517</v>
      </c>
      <c r="G72">
        <f t="shared" si="5"/>
        <v>1210.78</v>
      </c>
      <c r="H72">
        <f t="shared" si="6"/>
        <v>1502</v>
      </c>
      <c r="J72">
        <f t="shared" si="7"/>
        <v>1.2405226382992782</v>
      </c>
    </row>
    <row r="73" spans="4:10">
      <c r="D73" s="62">
        <v>41</v>
      </c>
      <c r="E73" s="62">
        <v>5.5976999999999997</v>
      </c>
      <c r="F73">
        <f t="shared" si="4"/>
        <v>1.1843034549965699</v>
      </c>
      <c r="G73">
        <f t="shared" si="5"/>
        <v>1184.3</v>
      </c>
      <c r="H73">
        <f t="shared" si="6"/>
        <v>1469</v>
      </c>
      <c r="J73">
        <f t="shared" si="7"/>
        <v>1.2403951701427003</v>
      </c>
    </row>
    <row r="74" spans="4:10">
      <c r="D74" s="62">
        <v>42</v>
      </c>
      <c r="E74" s="62">
        <v>5.4078999999999997</v>
      </c>
      <c r="F74">
        <f t="shared" si="4"/>
        <v>1.158241551411938</v>
      </c>
      <c r="G74">
        <f t="shared" si="5"/>
        <v>1158.24</v>
      </c>
      <c r="H74">
        <f t="shared" si="6"/>
        <v>1437</v>
      </c>
      <c r="J74">
        <f t="shared" si="7"/>
        <v>1.2406755076668048</v>
      </c>
    </row>
    <row r="75" spans="4:10">
      <c r="D75" s="62">
        <v>43</v>
      </c>
      <c r="E75" s="62">
        <v>5.2255000000000003</v>
      </c>
      <c r="F75">
        <f t="shared" si="4"/>
        <v>1.1325834947949165</v>
      </c>
      <c r="G75">
        <f t="shared" si="5"/>
        <v>1132.58</v>
      </c>
      <c r="H75">
        <f t="shared" si="6"/>
        <v>1405</v>
      </c>
      <c r="J75">
        <f t="shared" si="7"/>
        <v>1.240530470253757</v>
      </c>
    </row>
    <row r="76" spans="4:10">
      <c r="D76" s="62">
        <v>44</v>
      </c>
      <c r="E76" s="62">
        <v>5.0503999999999998</v>
      </c>
      <c r="F76">
        <f t="shared" si="4"/>
        <v>1.1073672460532609</v>
      </c>
      <c r="G76">
        <f t="shared" si="5"/>
        <v>1107.3699999999999</v>
      </c>
      <c r="H76">
        <f t="shared" si="6"/>
        <v>1374</v>
      </c>
      <c r="J76">
        <f t="shared" si="7"/>
        <v>1.2407776985108863</v>
      </c>
    </row>
    <row r="77" spans="4:10">
      <c r="D77" s="62">
        <v>45</v>
      </c>
      <c r="E77" s="62">
        <v>4.8819999999999997</v>
      </c>
      <c r="F77">
        <f t="shared" si="4"/>
        <v>1.0825561080499932</v>
      </c>
      <c r="G77">
        <f t="shared" si="5"/>
        <v>1082.56</v>
      </c>
      <c r="H77">
        <f t="shared" si="6"/>
        <v>1343</v>
      </c>
      <c r="J77">
        <f t="shared" si="7"/>
        <v>1.2405778894472363</v>
      </c>
    </row>
    <row r="78" spans="4:10">
      <c r="D78" s="62">
        <v>46</v>
      </c>
      <c r="E78" s="62">
        <v>4.7202999999999999</v>
      </c>
      <c r="F78">
        <f t="shared" si="4"/>
        <v>1.0581978628152959</v>
      </c>
      <c r="G78">
        <f t="shared" si="5"/>
        <v>1058.2</v>
      </c>
      <c r="H78">
        <f t="shared" si="6"/>
        <v>1313</v>
      </c>
      <c r="J78">
        <f t="shared" si="7"/>
        <v>1.2407862407862407</v>
      </c>
    </row>
    <row r="79" spans="4:10">
      <c r="D79" s="62">
        <v>47</v>
      </c>
      <c r="E79" s="62">
        <v>4.5648</v>
      </c>
      <c r="F79">
        <f t="shared" si="4"/>
        <v>1.0342634296385806</v>
      </c>
      <c r="G79">
        <f t="shared" si="5"/>
        <v>1034.26</v>
      </c>
      <c r="H79">
        <f t="shared" si="6"/>
        <v>1283</v>
      </c>
      <c r="J79">
        <f t="shared" si="7"/>
        <v>1.2405004544311875</v>
      </c>
    </row>
    <row r="80" spans="4:10">
      <c r="D80" s="62">
        <v>48</v>
      </c>
      <c r="E80" s="62">
        <v>4.4151999999999996</v>
      </c>
      <c r="F80">
        <f t="shared" si="4"/>
        <v>1.0107497641378544</v>
      </c>
      <c r="G80">
        <f t="shared" si="5"/>
        <v>1010.75</v>
      </c>
      <c r="H80">
        <f t="shared" si="6"/>
        <v>1254</v>
      </c>
      <c r="J80">
        <f t="shared" si="7"/>
        <v>1.2406628741033885</v>
      </c>
    </row>
    <row r="81" spans="4:10">
      <c r="D81" s="62">
        <v>49</v>
      </c>
      <c r="E81" s="62">
        <v>4.2713999999999999</v>
      </c>
      <c r="F81">
        <f t="shared" si="4"/>
        <v>0.98768305842454129</v>
      </c>
      <c r="G81">
        <f t="shared" si="5"/>
        <v>987.68</v>
      </c>
      <c r="H81">
        <f t="shared" si="6"/>
        <v>1225</v>
      </c>
      <c r="J81">
        <f t="shared" si="7"/>
        <v>1.2402802527134296</v>
      </c>
    </row>
    <row r="82" spans="4:10">
      <c r="D82" s="62">
        <v>50</v>
      </c>
      <c r="E82" s="62">
        <v>4.1330999999999998</v>
      </c>
      <c r="F82">
        <f t="shared" si="4"/>
        <v>0.96505579101541772</v>
      </c>
      <c r="G82">
        <f t="shared" si="5"/>
        <v>965.06</v>
      </c>
      <c r="H82">
        <f t="shared" si="6"/>
        <v>1197</v>
      </c>
      <c r="J82">
        <f t="shared" si="7"/>
        <v>1.2403373883489111</v>
      </c>
    </row>
    <row r="83" spans="4:10">
      <c r="D83" s="62">
        <v>51</v>
      </c>
      <c r="E83" s="62">
        <v>4</v>
      </c>
      <c r="F83">
        <f t="shared" si="4"/>
        <v>0.94285714285714284</v>
      </c>
      <c r="G83">
        <f t="shared" si="5"/>
        <v>942.86</v>
      </c>
      <c r="H83">
        <f t="shared" si="6"/>
        <v>1170</v>
      </c>
      <c r="J83">
        <f t="shared" si="7"/>
        <v>1.2409053305899074</v>
      </c>
    </row>
    <row r="84" spans="4:10">
      <c r="D84" s="62">
        <v>52</v>
      </c>
      <c r="E84" s="62">
        <v>3.8719999999999999</v>
      </c>
      <c r="F84">
        <f t="shared" si="4"/>
        <v>0.92110726643598606</v>
      </c>
      <c r="G84">
        <f t="shared" si="5"/>
        <v>921.11</v>
      </c>
      <c r="H84">
        <f t="shared" si="6"/>
        <v>1143</v>
      </c>
      <c r="J84">
        <f t="shared" si="7"/>
        <v>1.2408941385936534</v>
      </c>
    </row>
    <row r="85" spans="4:10">
      <c r="D85" s="62">
        <v>53</v>
      </c>
      <c r="E85" s="62">
        <v>3.7486999999999999</v>
      </c>
      <c r="F85">
        <f t="shared" si="4"/>
        <v>0.89977306945383928</v>
      </c>
      <c r="G85">
        <f t="shared" si="5"/>
        <v>899.77</v>
      </c>
      <c r="H85">
        <f t="shared" si="6"/>
        <v>1116</v>
      </c>
      <c r="J85">
        <f t="shared" si="7"/>
        <v>1.2403169698923058</v>
      </c>
    </row>
    <row r="86" spans="4:10">
      <c r="D86" s="62">
        <v>54</v>
      </c>
      <c r="E86" s="62">
        <v>3.6301000000000001</v>
      </c>
      <c r="F86">
        <f t="shared" si="4"/>
        <v>0.87888790250988613</v>
      </c>
      <c r="G86">
        <f t="shared" si="5"/>
        <v>878.89</v>
      </c>
      <c r="H86">
        <f t="shared" si="6"/>
        <v>1090</v>
      </c>
      <c r="J86">
        <f t="shared" si="7"/>
        <v>1.2402007077108625</v>
      </c>
    </row>
    <row r="87" spans="4:10">
      <c r="D87" s="62">
        <v>55</v>
      </c>
      <c r="E87" s="62">
        <v>3.5158</v>
      </c>
      <c r="F87">
        <f t="shared" si="4"/>
        <v>0.85841311650068808</v>
      </c>
      <c r="G87">
        <f t="shared" si="5"/>
        <v>858.41</v>
      </c>
      <c r="H87">
        <f t="shared" si="6"/>
        <v>1065</v>
      </c>
      <c r="J87">
        <f t="shared" si="7"/>
        <v>1.24066588227071</v>
      </c>
    </row>
    <row r="88" spans="4:10">
      <c r="D88" s="62">
        <v>56</v>
      </c>
      <c r="E88" s="62">
        <v>3.4058000000000002</v>
      </c>
      <c r="F88">
        <f t="shared" si="4"/>
        <v>0.83837891062077619</v>
      </c>
      <c r="G88">
        <f t="shared" si="5"/>
        <v>838.38</v>
      </c>
      <c r="H88">
        <f t="shared" si="6"/>
        <v>1040</v>
      </c>
      <c r="J88">
        <f t="shared" si="7"/>
        <v>1.240487607051695</v>
      </c>
    </row>
    <row r="89" spans="4:10">
      <c r="D89" s="62">
        <v>57</v>
      </c>
      <c r="E89" s="62">
        <v>3.2997000000000001</v>
      </c>
      <c r="F89">
        <f t="shared" si="4"/>
        <v>0.81874102423362927</v>
      </c>
      <c r="G89">
        <f t="shared" si="5"/>
        <v>818.74</v>
      </c>
      <c r="H89">
        <f t="shared" si="6"/>
        <v>1016</v>
      </c>
      <c r="J89">
        <f t="shared" si="7"/>
        <v>1.2409311869457949</v>
      </c>
    </row>
    <row r="90" spans="4:10">
      <c r="D90" s="62">
        <v>58</v>
      </c>
      <c r="E90" s="62">
        <v>3.1976</v>
      </c>
      <c r="F90">
        <f t="shared" si="4"/>
        <v>0.79954537188579744</v>
      </c>
      <c r="G90">
        <f t="shared" si="5"/>
        <v>799.55</v>
      </c>
      <c r="H90">
        <f t="shared" si="6"/>
        <v>992</v>
      </c>
      <c r="J90">
        <f t="shared" si="7"/>
        <v>1.2406978925645678</v>
      </c>
    </row>
    <row r="91" spans="4:10">
      <c r="D91" s="62">
        <v>59</v>
      </c>
      <c r="E91" s="62">
        <v>3.0991</v>
      </c>
      <c r="F91">
        <f t="shared" si="4"/>
        <v>0.78074295180584918</v>
      </c>
      <c r="G91">
        <f t="shared" si="5"/>
        <v>780.74</v>
      </c>
      <c r="H91">
        <f t="shared" si="6"/>
        <v>969</v>
      </c>
      <c r="J91">
        <f t="shared" si="7"/>
        <v>1.241130209800958</v>
      </c>
    </row>
    <row r="92" spans="4:10">
      <c r="D92" s="62">
        <v>60</v>
      </c>
      <c r="E92" s="62">
        <v>3.0043000000000002</v>
      </c>
      <c r="F92">
        <f t="shared" si="4"/>
        <v>0.76237782887198846</v>
      </c>
      <c r="G92">
        <f t="shared" si="5"/>
        <v>762.38</v>
      </c>
      <c r="H92">
        <f t="shared" si="6"/>
        <v>946</v>
      </c>
      <c r="J92">
        <f t="shared" si="7"/>
        <v>1.2408510191767885</v>
      </c>
    </row>
    <row r="93" spans="4:10">
      <c r="D93" s="62">
        <v>61</v>
      </c>
      <c r="E93" s="62">
        <v>2.9127999999999998</v>
      </c>
      <c r="F93">
        <f t="shared" si="4"/>
        <v>0.74439625797658127</v>
      </c>
      <c r="G93">
        <f t="shared" si="5"/>
        <v>744.4</v>
      </c>
      <c r="H93">
        <f t="shared" si="6"/>
        <v>923</v>
      </c>
      <c r="J93">
        <f t="shared" si="7"/>
        <v>1.239924771628157</v>
      </c>
    </row>
    <row r="94" spans="4:10">
      <c r="D94" s="62">
        <v>62</v>
      </c>
      <c r="E94" s="62">
        <v>2.8245</v>
      </c>
      <c r="F94">
        <f t="shared" si="4"/>
        <v>0.72680026511754847</v>
      </c>
      <c r="G94">
        <f t="shared" si="5"/>
        <v>726.8</v>
      </c>
      <c r="H94">
        <f t="shared" si="6"/>
        <v>902</v>
      </c>
      <c r="J94">
        <f t="shared" si="7"/>
        <v>1.2410566868464503</v>
      </c>
    </row>
    <row r="95" spans="4:10">
      <c r="D95" s="62">
        <v>63</v>
      </c>
      <c r="E95" s="62">
        <v>2.7393999999999998</v>
      </c>
      <c r="F95">
        <f t="shared" si="4"/>
        <v>0.70961112768262236</v>
      </c>
      <c r="G95">
        <f t="shared" si="5"/>
        <v>709.61</v>
      </c>
      <c r="H95">
        <f t="shared" si="6"/>
        <v>880</v>
      </c>
      <c r="J95">
        <f t="shared" si="7"/>
        <v>1.2401178111920632</v>
      </c>
    </row>
    <row r="96" spans="4:10">
      <c r="D96" s="62">
        <v>64</v>
      </c>
      <c r="E96" s="62">
        <v>2.6573000000000002</v>
      </c>
      <c r="F96">
        <f t="shared" si="4"/>
        <v>0.69280889289184899</v>
      </c>
      <c r="G96">
        <f t="shared" si="5"/>
        <v>692.81</v>
      </c>
      <c r="H96">
        <f t="shared" si="6"/>
        <v>859</v>
      </c>
      <c r="J96">
        <f t="shared" si="7"/>
        <v>1.2398781772780416</v>
      </c>
    </row>
    <row r="97" spans="4:10">
      <c r="D97" s="62">
        <v>65</v>
      </c>
      <c r="E97" s="62">
        <v>2.5781000000000001</v>
      </c>
      <c r="F97">
        <f t="shared" si="4"/>
        <v>0.67639230090395208</v>
      </c>
      <c r="G97">
        <f t="shared" si="5"/>
        <v>676.39</v>
      </c>
      <c r="H97">
        <f t="shared" si="6"/>
        <v>839</v>
      </c>
      <c r="J97">
        <f t="shared" si="7"/>
        <v>1.240408639985807</v>
      </c>
    </row>
    <row r="98" spans="4:10">
      <c r="D98" s="62">
        <v>66</v>
      </c>
      <c r="E98" s="62">
        <v>2.5015999999999998</v>
      </c>
      <c r="F98">
        <f t="shared" si="4"/>
        <v>0.66033787675177569</v>
      </c>
      <c r="G98">
        <f t="shared" si="5"/>
        <v>660.34</v>
      </c>
      <c r="H98">
        <f t="shared" si="6"/>
        <v>819</v>
      </c>
      <c r="J98">
        <f t="shared" si="7"/>
        <v>1.2402701638549838</v>
      </c>
    </row>
    <row r="99" spans="4:10">
      <c r="D99" s="62">
        <v>67</v>
      </c>
      <c r="E99" s="62">
        <v>2.4278</v>
      </c>
      <c r="F99">
        <f t="shared" si="4"/>
        <v>0.6446627721720658</v>
      </c>
      <c r="G99">
        <f t="shared" si="5"/>
        <v>644.66</v>
      </c>
      <c r="H99">
        <f t="shared" si="6"/>
        <v>800</v>
      </c>
      <c r="J99">
        <f t="shared" si="7"/>
        <v>1.2409642292060932</v>
      </c>
    </row>
    <row r="100" spans="4:10">
      <c r="D100" s="62">
        <v>68</v>
      </c>
      <c r="E100" s="62">
        <v>2.3565</v>
      </c>
      <c r="F100">
        <f t="shared" si="4"/>
        <v>0.62934083276008568</v>
      </c>
      <c r="G100">
        <f t="shared" si="5"/>
        <v>629.34</v>
      </c>
      <c r="H100">
        <f t="shared" si="6"/>
        <v>781</v>
      </c>
      <c r="J100">
        <f t="shared" si="7"/>
        <v>1.2409826167095688</v>
      </c>
    </row>
    <row r="101" spans="4:10">
      <c r="D101" s="62">
        <v>69</v>
      </c>
      <c r="E101" s="62">
        <v>2.2877000000000001</v>
      </c>
      <c r="F101">
        <f t="shared" si="4"/>
        <v>0.61438755828999725</v>
      </c>
      <c r="G101">
        <f t="shared" si="5"/>
        <v>614.39</v>
      </c>
      <c r="H101">
        <f t="shared" si="6"/>
        <v>762</v>
      </c>
      <c r="J101">
        <f t="shared" si="7"/>
        <v>1.2402545614349192</v>
      </c>
    </row>
    <row r="102" spans="4:10">
      <c r="D102" s="62">
        <v>70</v>
      </c>
      <c r="E102" s="62">
        <v>2.2212000000000001</v>
      </c>
      <c r="F102">
        <f t="shared" si="4"/>
        <v>0.59977416292999053</v>
      </c>
      <c r="G102">
        <f t="shared" si="5"/>
        <v>599.77</v>
      </c>
      <c r="H102">
        <f t="shared" si="6"/>
        <v>744</v>
      </c>
      <c r="J102">
        <f t="shared" si="7"/>
        <v>1.2404755156143188</v>
      </c>
    </row>
    <row r="103" spans="4:10">
      <c r="D103" s="62">
        <v>71</v>
      </c>
      <c r="E103" s="62">
        <v>2.157</v>
      </c>
      <c r="F103">
        <f t="shared" si="4"/>
        <v>0.58551451838446988</v>
      </c>
      <c r="G103">
        <f t="shared" si="5"/>
        <v>585.51</v>
      </c>
      <c r="H103">
        <f t="shared" si="6"/>
        <v>726</v>
      </c>
      <c r="J103">
        <f t="shared" si="7"/>
        <v>1.2399446636265821</v>
      </c>
    </row>
    <row r="104" spans="4:10">
      <c r="D104" s="62">
        <v>72</v>
      </c>
      <c r="E104" s="62">
        <v>2.0949</v>
      </c>
      <c r="F104">
        <f t="shared" si="4"/>
        <v>0.57157727637268596</v>
      </c>
      <c r="G104">
        <f t="shared" si="5"/>
        <v>571.58000000000004</v>
      </c>
      <c r="H104">
        <f t="shared" si="6"/>
        <v>709</v>
      </c>
      <c r="J104">
        <f t="shared" si="7"/>
        <v>1.2404212883585848</v>
      </c>
    </row>
    <row r="105" spans="4:10">
      <c r="D105" s="62">
        <v>73</v>
      </c>
      <c r="E105" s="62">
        <v>2.0348999999999999</v>
      </c>
      <c r="F105">
        <f t="shared" si="4"/>
        <v>0.55797472351245125</v>
      </c>
      <c r="G105">
        <f t="shared" si="5"/>
        <v>557.97</v>
      </c>
      <c r="H105">
        <f t="shared" si="6"/>
        <v>692</v>
      </c>
      <c r="J105">
        <f t="shared" si="7"/>
        <v>1.2402100471351505</v>
      </c>
    </row>
    <row r="106" spans="4:10">
      <c r="D106" s="62">
        <v>74</v>
      </c>
      <c r="E106" s="62">
        <v>1.9769000000000001</v>
      </c>
      <c r="F106">
        <f t="shared" si="4"/>
        <v>0.54469603987676274</v>
      </c>
      <c r="G106">
        <f t="shared" si="5"/>
        <v>544.70000000000005</v>
      </c>
      <c r="H106">
        <f t="shared" si="6"/>
        <v>676</v>
      </c>
      <c r="J106">
        <f t="shared" si="7"/>
        <v>1.241050119331742</v>
      </c>
    </row>
    <row r="107" spans="4:10">
      <c r="D107" s="62">
        <v>75</v>
      </c>
      <c r="E107" s="62">
        <v>1.9209000000000001</v>
      </c>
      <c r="F107">
        <f t="shared" si="4"/>
        <v>0.53175263612646695</v>
      </c>
      <c r="G107">
        <f t="shared" si="5"/>
        <v>531.75</v>
      </c>
      <c r="H107">
        <f t="shared" si="6"/>
        <v>660</v>
      </c>
      <c r="J107">
        <f t="shared" si="7"/>
        <v>1.2411847672778562</v>
      </c>
    </row>
    <row r="108" spans="4:10">
      <c r="D108" s="62">
        <v>76</v>
      </c>
      <c r="E108" s="62">
        <v>1.8667</v>
      </c>
      <c r="F108">
        <f t="shared" si="4"/>
        <v>0.51910893508726097</v>
      </c>
      <c r="G108">
        <f t="shared" si="5"/>
        <v>519.11</v>
      </c>
      <c r="H108">
        <f t="shared" si="6"/>
        <v>644</v>
      </c>
      <c r="J108">
        <f t="shared" si="7"/>
        <v>1.2405848471422241</v>
      </c>
    </row>
    <row r="109" spans="4:10">
      <c r="D109" s="62">
        <v>77</v>
      </c>
      <c r="E109" s="62">
        <v>1.8142</v>
      </c>
      <c r="F109">
        <f t="shared" si="4"/>
        <v>0.50675119771122878</v>
      </c>
      <c r="G109">
        <f t="shared" si="5"/>
        <v>506.75</v>
      </c>
      <c r="H109">
        <f t="shared" si="6"/>
        <v>628</v>
      </c>
      <c r="J109">
        <f t="shared" si="7"/>
        <v>1.2392698569314258</v>
      </c>
    </row>
    <row r="110" spans="4:10">
      <c r="D110" s="62">
        <v>78</v>
      </c>
      <c r="E110" s="62">
        <v>1.7635000000000001</v>
      </c>
      <c r="F110">
        <f t="shared" si="4"/>
        <v>0.4947124580269478</v>
      </c>
      <c r="G110">
        <f t="shared" si="5"/>
        <v>494.71</v>
      </c>
      <c r="H110">
        <f t="shared" si="6"/>
        <v>614</v>
      </c>
      <c r="J110">
        <f t="shared" si="7"/>
        <v>1.2411311677548462</v>
      </c>
    </row>
    <row r="111" spans="4:10">
      <c r="D111" s="62">
        <v>79</v>
      </c>
      <c r="E111" s="62">
        <v>1.7143999999999999</v>
      </c>
      <c r="F111">
        <f t="shared" si="4"/>
        <v>0.48295431264085226</v>
      </c>
      <c r="G111">
        <f t="shared" si="5"/>
        <v>482.95</v>
      </c>
      <c r="H111">
        <f t="shared" si="6"/>
        <v>599</v>
      </c>
      <c r="J111">
        <f t="shared" si="7"/>
        <v>1.2402940262967181</v>
      </c>
    </row>
    <row r="112" spans="4:10">
      <c r="D112" s="62">
        <v>80</v>
      </c>
      <c r="E112" s="62">
        <v>1.6669</v>
      </c>
      <c r="F112">
        <f t="shared" si="4"/>
        <v>0.47148514172573691</v>
      </c>
      <c r="G112">
        <f t="shared" si="5"/>
        <v>471.49</v>
      </c>
      <c r="H112">
        <f t="shared" si="6"/>
        <v>585</v>
      </c>
      <c r="J112">
        <f t="shared" si="7"/>
        <v>1.2407474177607161</v>
      </c>
    </row>
    <row r="113" spans="4:10">
      <c r="D113" s="62">
        <v>81</v>
      </c>
      <c r="E113" s="62">
        <v>1.621</v>
      </c>
      <c r="F113">
        <f t="shared" si="4"/>
        <v>0.46031322605627734</v>
      </c>
      <c r="G113">
        <f t="shared" si="5"/>
        <v>460.31</v>
      </c>
      <c r="H113">
        <f t="shared" si="6"/>
        <v>571</v>
      </c>
      <c r="J113">
        <f t="shared" si="7"/>
        <v>1.2404683800047793</v>
      </c>
    </row>
    <row r="114" spans="4:10">
      <c r="D114" s="62">
        <v>82</v>
      </c>
      <c r="E114" s="62">
        <v>1.5765</v>
      </c>
      <c r="F114">
        <f t="shared" si="4"/>
        <v>0.44939748628687426</v>
      </c>
      <c r="G114">
        <f t="shared" si="5"/>
        <v>449.4</v>
      </c>
      <c r="H114">
        <f t="shared" si="6"/>
        <v>557</v>
      </c>
      <c r="J114">
        <f t="shared" si="7"/>
        <v>1.2394303515798843</v>
      </c>
    </row>
    <row r="115" spans="4:10">
      <c r="D115" s="62">
        <v>83</v>
      </c>
      <c r="E115" s="62">
        <v>1.5334000000000001</v>
      </c>
      <c r="F115">
        <f t="shared" si="4"/>
        <v>0.43874486274645808</v>
      </c>
      <c r="G115">
        <f t="shared" si="5"/>
        <v>438.74</v>
      </c>
      <c r="H115">
        <f t="shared" si="6"/>
        <v>544</v>
      </c>
      <c r="J115">
        <f t="shared" si="7"/>
        <v>1.2399143000410267</v>
      </c>
    </row>
    <row r="116" spans="4:10">
      <c r="D116" s="62">
        <v>84</v>
      </c>
      <c r="E116" s="62">
        <v>1.4917</v>
      </c>
      <c r="F116">
        <f t="shared" si="4"/>
        <v>0.42836220924667368</v>
      </c>
      <c r="G116">
        <f t="shared" si="5"/>
        <v>428.36</v>
      </c>
      <c r="H116">
        <f t="shared" si="6"/>
        <v>531</v>
      </c>
      <c r="J116">
        <f t="shared" si="7"/>
        <v>1.2396115416939022</v>
      </c>
    </row>
    <row r="117" spans="4:10">
      <c r="D117" s="62">
        <v>85</v>
      </c>
      <c r="E117" s="62">
        <v>1.4513</v>
      </c>
      <c r="F117">
        <f t="shared" si="4"/>
        <v>0.41823111786434725</v>
      </c>
      <c r="G117">
        <f t="shared" si="5"/>
        <v>418.23</v>
      </c>
      <c r="H117">
        <f t="shared" si="6"/>
        <v>519</v>
      </c>
      <c r="J117">
        <f t="shared" si="7"/>
        <v>1.2409439781938167</v>
      </c>
    </row>
    <row r="118" spans="4:10">
      <c r="D118" s="62">
        <v>86</v>
      </c>
      <c r="E118" s="62">
        <v>1.4121999999999999</v>
      </c>
      <c r="F118">
        <f t="shared" si="4"/>
        <v>0.40835772243739149</v>
      </c>
      <c r="G118">
        <f t="shared" si="5"/>
        <v>408.36</v>
      </c>
      <c r="H118">
        <f t="shared" si="6"/>
        <v>506</v>
      </c>
      <c r="J118">
        <f t="shared" si="7"/>
        <v>1.2391027524733078</v>
      </c>
    </row>
    <row r="119" spans="4:10">
      <c r="D119" s="62">
        <v>87</v>
      </c>
      <c r="E119" s="62">
        <v>1.3744000000000001</v>
      </c>
      <c r="F119">
        <f t="shared" si="4"/>
        <v>0.39874806583204392</v>
      </c>
      <c r="G119">
        <f t="shared" si="5"/>
        <v>398.75</v>
      </c>
      <c r="H119">
        <f t="shared" si="6"/>
        <v>494</v>
      </c>
      <c r="J119">
        <f t="shared" si="7"/>
        <v>1.2388714733542319</v>
      </c>
    </row>
    <row r="120" spans="4:10">
      <c r="D120" s="62">
        <v>88</v>
      </c>
      <c r="E120" s="62">
        <v>1.3375999999999999</v>
      </c>
      <c r="F120">
        <f t="shared" si="4"/>
        <v>0.38933107535986444</v>
      </c>
      <c r="G120">
        <f t="shared" si="5"/>
        <v>389.33</v>
      </c>
      <c r="H120">
        <f t="shared" si="6"/>
        <v>483</v>
      </c>
      <c r="J120">
        <f t="shared" si="7"/>
        <v>1.2405928132946344</v>
      </c>
    </row>
    <row r="121" spans="4:10">
      <c r="D121" s="62">
        <v>89</v>
      </c>
      <c r="E121" s="62">
        <v>1.3021</v>
      </c>
      <c r="F121">
        <f t="shared" si="4"/>
        <v>0.38018863750984333</v>
      </c>
      <c r="G121">
        <f t="shared" si="5"/>
        <v>380.19</v>
      </c>
      <c r="H121">
        <f t="shared" si="6"/>
        <v>471</v>
      </c>
      <c r="J121">
        <f t="shared" si="7"/>
        <v>1.2388542570819854</v>
      </c>
    </row>
    <row r="122" spans="4:10">
      <c r="D122" s="62">
        <v>90</v>
      </c>
      <c r="E122" s="62">
        <v>1.2676000000000001</v>
      </c>
      <c r="F122">
        <f t="shared" si="4"/>
        <v>0.37124853562426785</v>
      </c>
      <c r="G122">
        <f t="shared" si="5"/>
        <v>371.25</v>
      </c>
      <c r="H122">
        <f t="shared" si="6"/>
        <v>460</v>
      </c>
      <c r="J122">
        <f t="shared" si="7"/>
        <v>1.239057239057239</v>
      </c>
    </row>
    <row r="123" spans="4:10">
      <c r="D123" s="62">
        <v>91</v>
      </c>
      <c r="E123" s="62">
        <v>1.2342</v>
      </c>
      <c r="F123">
        <f t="shared" si="4"/>
        <v>0.36254116893058691</v>
      </c>
      <c r="G123">
        <f t="shared" si="5"/>
        <v>362.54</v>
      </c>
      <c r="H123">
        <f t="shared" si="6"/>
        <v>449</v>
      </c>
      <c r="J123">
        <f t="shared" si="7"/>
        <v>1.2384840293484856</v>
      </c>
    </row>
    <row r="124" spans="4:10">
      <c r="D124" s="62">
        <v>92</v>
      </c>
      <c r="E124" s="62">
        <v>1.2019</v>
      </c>
      <c r="F124">
        <f t="shared" si="4"/>
        <v>0.35407118435265439</v>
      </c>
      <c r="G124">
        <f t="shared" si="5"/>
        <v>354.07</v>
      </c>
      <c r="H124">
        <f t="shared" si="6"/>
        <v>439</v>
      </c>
      <c r="J124">
        <f t="shared" si="7"/>
        <v>1.2398678227469144</v>
      </c>
    </row>
    <row r="125" spans="4:10">
      <c r="D125" s="62">
        <v>93</v>
      </c>
      <c r="E125" s="62">
        <v>1.1705000000000001</v>
      </c>
      <c r="F125">
        <f t="shared" si="4"/>
        <v>0.34579025110782863</v>
      </c>
      <c r="G125">
        <f t="shared" si="5"/>
        <v>345.79</v>
      </c>
      <c r="H125">
        <f t="shared" si="6"/>
        <v>429</v>
      </c>
      <c r="J125">
        <f t="shared" si="7"/>
        <v>1.2406373810694351</v>
      </c>
    </row>
    <row r="126" spans="4:10">
      <c r="D126" s="62">
        <v>94</v>
      </c>
      <c r="E126" s="62">
        <v>1.1400999999999999</v>
      </c>
      <c r="F126">
        <f t="shared" si="4"/>
        <v>0.33772856617086017</v>
      </c>
      <c r="G126">
        <f t="shared" si="5"/>
        <v>337.73</v>
      </c>
      <c r="H126">
        <f t="shared" si="6"/>
        <v>419</v>
      </c>
      <c r="J126">
        <f t="shared" si="7"/>
        <v>1.2406360110147159</v>
      </c>
    </row>
    <row r="127" spans="4:10">
      <c r="D127" s="62">
        <v>95</v>
      </c>
      <c r="E127" s="62">
        <v>1.1106</v>
      </c>
      <c r="F127">
        <f t="shared" ref="F127:F132" si="8">$E$16/($E$17+E127)*E127</f>
        <v>0.32986337371519087</v>
      </c>
      <c r="G127">
        <f t="shared" ref="G127:G132" si="9">ROUND((F127*1000),2)</f>
        <v>329.86</v>
      </c>
      <c r="H127">
        <f t="shared" ref="H127:H132" si="10">ROUNDDOWN(G127/$I$10,0)</f>
        <v>409</v>
      </c>
      <c r="J127">
        <f t="shared" ref="J127:J132" si="11">H127/G127</f>
        <v>1.2399199660462015</v>
      </c>
    </row>
    <row r="128" spans="4:10">
      <c r="D128" s="62">
        <v>96</v>
      </c>
      <c r="E128" s="62">
        <v>1.0820000000000001</v>
      </c>
      <c r="F128">
        <f t="shared" si="8"/>
        <v>0.32219815917704381</v>
      </c>
      <c r="G128">
        <f t="shared" si="9"/>
        <v>322.2</v>
      </c>
      <c r="H128">
        <f t="shared" si="10"/>
        <v>399</v>
      </c>
      <c r="J128">
        <f t="shared" si="11"/>
        <v>1.2383612662942272</v>
      </c>
    </row>
    <row r="129" spans="4:10">
      <c r="D129" s="62">
        <v>97</v>
      </c>
      <c r="E129" s="62">
        <v>1.0543</v>
      </c>
      <c r="F129">
        <f t="shared" si="8"/>
        <v>0.31473634694191405</v>
      </c>
      <c r="G129">
        <f t="shared" si="9"/>
        <v>314.74</v>
      </c>
      <c r="H129">
        <f t="shared" si="10"/>
        <v>390</v>
      </c>
      <c r="J129">
        <f t="shared" si="11"/>
        <v>1.2391180021605135</v>
      </c>
    </row>
    <row r="130" spans="4:10">
      <c r="D130" s="62">
        <v>98</v>
      </c>
      <c r="E130" s="62">
        <v>1.0274000000000001</v>
      </c>
      <c r="F130">
        <f t="shared" si="8"/>
        <v>0.30745415963871808</v>
      </c>
      <c r="G130">
        <f t="shared" si="9"/>
        <v>307.45</v>
      </c>
      <c r="H130">
        <f t="shared" si="10"/>
        <v>381</v>
      </c>
      <c r="J130">
        <f t="shared" si="11"/>
        <v>1.239225890388681</v>
      </c>
    </row>
    <row r="131" spans="4:10">
      <c r="D131" s="62">
        <v>99</v>
      </c>
      <c r="E131" s="62">
        <v>1.0013000000000001</v>
      </c>
      <c r="F131">
        <f t="shared" si="8"/>
        <v>0.30035450355867033</v>
      </c>
      <c r="G131">
        <f t="shared" si="9"/>
        <v>300.35000000000002</v>
      </c>
      <c r="H131">
        <f t="shared" si="10"/>
        <v>372</v>
      </c>
      <c r="J131">
        <f t="shared" si="11"/>
        <v>1.2385550191443315</v>
      </c>
    </row>
    <row r="132" spans="4:10">
      <c r="D132" s="62">
        <v>100</v>
      </c>
      <c r="E132" s="62">
        <v>0.97599000000000002</v>
      </c>
      <c r="F132">
        <f t="shared" si="8"/>
        <v>0.29343749402104047</v>
      </c>
      <c r="G132">
        <f t="shared" si="9"/>
        <v>293.44</v>
      </c>
      <c r="H132">
        <f t="shared" si="10"/>
        <v>364</v>
      </c>
      <c r="J132">
        <f t="shared" si="11"/>
        <v>1.2404580152671756</v>
      </c>
    </row>
  </sheetData>
  <mergeCells count="5">
    <mergeCell ref="O14:P15"/>
    <mergeCell ref="H15:I15"/>
    <mergeCell ref="H16:I16"/>
    <mergeCell ref="O16:P17"/>
    <mergeCell ref="H17:I17"/>
  </mergeCells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1"/>
  <dimension ref="A1:I24"/>
  <sheetViews>
    <sheetView topLeftCell="A10" workbookViewId="0">
      <selection activeCell="B19" sqref="B19"/>
    </sheetView>
  </sheetViews>
  <sheetFormatPr defaultRowHeight="16.5"/>
  <cols>
    <col min="1" max="1" width="9" style="226"/>
    <col min="2" max="2" width="12.5" style="226" bestFit="1" customWidth="1"/>
    <col min="3" max="3" width="9" style="226"/>
    <col min="4" max="4" width="8.375" style="226" bestFit="1" customWidth="1"/>
    <col min="5" max="5" width="12.5" style="226" bestFit="1" customWidth="1"/>
    <col min="6" max="6" width="9" style="226"/>
    <col min="7" max="7" width="9.375" style="226" bestFit="1" customWidth="1"/>
    <col min="8" max="8" width="12.5" style="226" bestFit="1" customWidth="1"/>
    <col min="9" max="16384" width="9" style="226"/>
  </cols>
  <sheetData>
    <row r="1" spans="1:9">
      <c r="A1" s="227" t="s">
        <v>757</v>
      </c>
      <c r="B1" s="228"/>
      <c r="C1" s="420"/>
      <c r="D1" s="227" t="s">
        <v>756</v>
      </c>
      <c r="E1" s="228"/>
      <c r="F1" s="229"/>
      <c r="G1" s="420" t="s">
        <v>755</v>
      </c>
      <c r="H1" s="420"/>
      <c r="I1" s="421"/>
    </row>
    <row r="2" spans="1:9">
      <c r="A2" s="230" t="s">
        <v>754</v>
      </c>
      <c r="B2" s="231" t="s">
        <v>753</v>
      </c>
      <c r="C2" s="422" t="s">
        <v>758</v>
      </c>
      <c r="D2" s="230" t="s">
        <v>754</v>
      </c>
      <c r="E2" s="231" t="s">
        <v>753</v>
      </c>
      <c r="F2" s="232" t="s">
        <v>758</v>
      </c>
      <c r="G2" s="231" t="s">
        <v>754</v>
      </c>
      <c r="H2" s="231" t="s">
        <v>753</v>
      </c>
      <c r="I2" s="232" t="s">
        <v>758</v>
      </c>
    </row>
    <row r="3" spans="1:9" ht="18.75">
      <c r="A3" s="230" t="s">
        <v>752</v>
      </c>
      <c r="B3" s="231">
        <v>28000</v>
      </c>
      <c r="C3" s="422">
        <f>B3/10</f>
        <v>2800</v>
      </c>
      <c r="D3" s="230" t="s">
        <v>752</v>
      </c>
      <c r="E3" s="231">
        <f>B3/10*7</f>
        <v>19600</v>
      </c>
      <c r="F3" s="232">
        <f>E3/7</f>
        <v>2800</v>
      </c>
      <c r="G3" s="231" t="s">
        <v>752</v>
      </c>
      <c r="H3" s="231">
        <f>B3/10*13</f>
        <v>36400</v>
      </c>
      <c r="I3" s="232">
        <f>H3/13</f>
        <v>2800</v>
      </c>
    </row>
    <row r="4" spans="1:9" ht="18.75">
      <c r="A4" s="230" t="s">
        <v>751</v>
      </c>
      <c r="B4" s="231">
        <v>29000</v>
      </c>
      <c r="C4" s="422">
        <f t="shared" ref="C4:C6" si="0">B4/10</f>
        <v>2900</v>
      </c>
      <c r="D4" s="230" t="s">
        <v>751</v>
      </c>
      <c r="E4" s="231">
        <f>B4/10*7</f>
        <v>20300</v>
      </c>
      <c r="F4" s="232">
        <f t="shared" ref="F4:F6" si="1">E4/7</f>
        <v>2900</v>
      </c>
      <c r="G4" s="231" t="s">
        <v>751</v>
      </c>
      <c r="H4" s="231">
        <f>B4/10*13</f>
        <v>37700</v>
      </c>
      <c r="I4" s="232">
        <f t="shared" ref="I4:I6" si="2">H4/13</f>
        <v>2900</v>
      </c>
    </row>
    <row r="5" spans="1:9" ht="18.75">
      <c r="A5" s="230" t="s">
        <v>750</v>
      </c>
      <c r="B5" s="231">
        <v>30000</v>
      </c>
      <c r="C5" s="422">
        <f t="shared" si="0"/>
        <v>3000</v>
      </c>
      <c r="D5" s="230" t="s">
        <v>750</v>
      </c>
      <c r="E5" s="231">
        <f>B5/10*7</f>
        <v>21000</v>
      </c>
      <c r="F5" s="232">
        <f t="shared" si="1"/>
        <v>3000</v>
      </c>
      <c r="G5" s="231" t="s">
        <v>750</v>
      </c>
      <c r="H5" s="231">
        <f>B5/10*13</f>
        <v>39000</v>
      </c>
      <c r="I5" s="232">
        <f t="shared" si="2"/>
        <v>3000</v>
      </c>
    </row>
    <row r="6" spans="1:9" ht="18.75">
      <c r="A6" s="233" t="s">
        <v>749</v>
      </c>
      <c r="B6" s="234">
        <v>30000</v>
      </c>
      <c r="C6" s="423">
        <f t="shared" si="0"/>
        <v>3000</v>
      </c>
      <c r="D6" s="233" t="s">
        <v>749</v>
      </c>
      <c r="E6" s="234">
        <f>B6/10*7</f>
        <v>21000</v>
      </c>
      <c r="F6" s="235">
        <f t="shared" si="1"/>
        <v>3000</v>
      </c>
      <c r="G6" s="234" t="s">
        <v>749</v>
      </c>
      <c r="H6" s="234">
        <f>B6/10*13</f>
        <v>39000</v>
      </c>
      <c r="I6" s="235">
        <f t="shared" si="2"/>
        <v>3000</v>
      </c>
    </row>
    <row r="7" spans="1:9">
      <c r="A7" s="427"/>
      <c r="B7" s="428"/>
      <c r="C7" s="421"/>
      <c r="D7" s="427"/>
      <c r="E7" s="428"/>
      <c r="F7" s="421"/>
      <c r="G7" s="427"/>
      <c r="H7" s="428"/>
      <c r="I7" s="421"/>
    </row>
    <row r="8" spans="1:9">
      <c r="A8" s="429" t="s">
        <v>1189</v>
      </c>
      <c r="B8" s="424"/>
      <c r="C8" s="430"/>
      <c r="D8" s="429" t="s">
        <v>1189</v>
      </c>
      <c r="E8" s="424"/>
      <c r="F8" s="430"/>
      <c r="G8" s="429" t="s">
        <v>1189</v>
      </c>
      <c r="H8" s="424"/>
      <c r="I8" s="430"/>
    </row>
    <row r="9" spans="1:9">
      <c r="A9" s="431"/>
      <c r="B9" s="231" t="s">
        <v>1193</v>
      </c>
      <c r="C9" s="430"/>
      <c r="D9" s="431"/>
      <c r="E9" s="231" t="s">
        <v>1192</v>
      </c>
      <c r="F9" s="430"/>
      <c r="G9" s="431"/>
      <c r="H9" s="231" t="s">
        <v>1190</v>
      </c>
      <c r="I9" s="430"/>
    </row>
    <row r="10" spans="1:9">
      <c r="A10" s="432"/>
      <c r="B10" s="433" t="s">
        <v>1191</v>
      </c>
      <c r="C10" s="434"/>
      <c r="D10" s="432"/>
      <c r="E10" s="433" t="s">
        <v>1191</v>
      </c>
      <c r="F10" s="434"/>
      <c r="G10" s="432"/>
      <c r="H10" s="433" t="s">
        <v>1191</v>
      </c>
      <c r="I10" s="434"/>
    </row>
    <row r="14" spans="1:9">
      <c r="B14" s="666" t="s">
        <v>1905</v>
      </c>
    </row>
    <row r="15" spans="1:9">
      <c r="B15" s="667" t="s">
        <v>1906</v>
      </c>
    </row>
    <row r="16" spans="1:9" ht="18">
      <c r="B16" s="667" t="s">
        <v>1907</v>
      </c>
    </row>
    <row r="17" spans="2:2" ht="18">
      <c r="B17" s="667" t="s">
        <v>1908</v>
      </c>
    </row>
    <row r="18" spans="2:2" ht="18">
      <c r="B18" s="667" t="s">
        <v>1909</v>
      </c>
    </row>
    <row r="19" spans="2:2" ht="18">
      <c r="B19" s="667" t="s">
        <v>1910</v>
      </c>
    </row>
    <row r="20" spans="2:2">
      <c r="B20" s="667" t="s">
        <v>1911</v>
      </c>
    </row>
    <row r="21" spans="2:2" ht="18">
      <c r="B21" s="667" t="s">
        <v>1912</v>
      </c>
    </row>
    <row r="22" spans="2:2" ht="18">
      <c r="B22" s="667" t="s">
        <v>1913</v>
      </c>
    </row>
    <row r="23" spans="2:2" ht="18">
      <c r="B23" s="667" t="s">
        <v>1914</v>
      </c>
    </row>
    <row r="24" spans="2:2" ht="18">
      <c r="B24" s="667" t="s">
        <v>1915</v>
      </c>
    </row>
  </sheetData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2"/>
  <dimension ref="A1:I16"/>
  <sheetViews>
    <sheetView workbookViewId="0">
      <selection activeCell="I18" sqref="I18"/>
    </sheetView>
  </sheetViews>
  <sheetFormatPr defaultRowHeight="16.5"/>
  <cols>
    <col min="1" max="1" width="9" style="226"/>
    <col min="2" max="2" width="9" style="226" customWidth="1"/>
    <col min="3" max="3" width="9" style="226"/>
    <col min="4" max="5" width="9" style="226" customWidth="1"/>
    <col min="6" max="6" width="9" style="226"/>
    <col min="7" max="8" width="9" style="226" customWidth="1"/>
    <col min="9" max="16384" width="9" style="226"/>
  </cols>
  <sheetData>
    <row r="1" spans="1:9">
      <c r="A1" s="231"/>
      <c r="B1" s="231"/>
      <c r="C1" s="422"/>
      <c r="D1" s="231"/>
      <c r="E1" s="231"/>
      <c r="F1" s="422"/>
      <c r="G1" s="422"/>
      <c r="H1" s="422"/>
      <c r="I1" s="424"/>
    </row>
    <row r="2" spans="1:9">
      <c r="A2" s="231" t="s">
        <v>1167</v>
      </c>
      <c r="B2" s="231"/>
      <c r="C2" s="422"/>
      <c r="D2" s="231"/>
      <c r="E2" s="231"/>
      <c r="F2" s="422"/>
      <c r="G2" s="231"/>
      <c r="H2" s="231"/>
      <c r="I2" s="422"/>
    </row>
    <row r="3" spans="1:9">
      <c r="A3" s="231"/>
      <c r="B3" s="231"/>
      <c r="C3" s="422"/>
      <c r="D3" s="231"/>
      <c r="E3" s="231"/>
      <c r="F3" s="422"/>
      <c r="G3" s="231"/>
      <c r="H3" s="231"/>
      <c r="I3" s="422"/>
    </row>
    <row r="4" spans="1:9">
      <c r="A4" s="231" t="s">
        <v>1168</v>
      </c>
      <c r="B4" s="231"/>
      <c r="C4" s="422"/>
      <c r="D4" s="231"/>
      <c r="E4" s="231"/>
      <c r="F4" s="422"/>
      <c r="G4" s="231"/>
      <c r="H4" s="231"/>
      <c r="I4" s="422"/>
    </row>
    <row r="5" spans="1:9">
      <c r="A5" s="226" t="s">
        <v>1169</v>
      </c>
    </row>
    <row r="6" spans="1:9">
      <c r="A6" s="226" t="s">
        <v>1170</v>
      </c>
    </row>
    <row r="7" spans="1:9">
      <c r="A7" s="226" t="s">
        <v>1171</v>
      </c>
    </row>
    <row r="8" spans="1:9">
      <c r="A8" s="226" t="s">
        <v>1172</v>
      </c>
    </row>
    <row r="9" spans="1:9">
      <c r="A9" s="226" t="s">
        <v>1173</v>
      </c>
    </row>
    <row r="10" spans="1:9">
      <c r="A10" s="226" t="s">
        <v>1174</v>
      </c>
    </row>
    <row r="11" spans="1:9">
      <c r="A11" s="226" t="s">
        <v>1175</v>
      </c>
    </row>
    <row r="13" spans="1:9">
      <c r="A13" s="226" t="s">
        <v>1176</v>
      </c>
      <c r="G13" s="425" t="s">
        <v>1180</v>
      </c>
      <c r="H13" s="426" t="s">
        <v>1181</v>
      </c>
    </row>
    <row r="14" spans="1:9">
      <c r="A14" s="226" t="s">
        <v>1177</v>
      </c>
      <c r="G14" s="425" t="s">
        <v>1182</v>
      </c>
      <c r="H14" s="426" t="s">
        <v>1183</v>
      </c>
    </row>
    <row r="15" spans="1:9">
      <c r="A15" s="226" t="s">
        <v>1178</v>
      </c>
      <c r="G15" s="425" t="s">
        <v>1184</v>
      </c>
      <c r="H15" s="426" t="s">
        <v>1185</v>
      </c>
    </row>
    <row r="16" spans="1:9">
      <c r="A16" s="226" t="s">
        <v>1179</v>
      </c>
      <c r="G16" s="425" t="s">
        <v>1186</v>
      </c>
      <c r="H16" s="426" t="s">
        <v>1187</v>
      </c>
    </row>
  </sheetData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3"/>
  <dimension ref="A1:C19"/>
  <sheetViews>
    <sheetView workbookViewId="0">
      <selection activeCell="B8" sqref="B8"/>
    </sheetView>
  </sheetViews>
  <sheetFormatPr defaultRowHeight="16.5"/>
  <cols>
    <col min="1" max="1" width="20.125" style="110" customWidth="1"/>
    <col min="2" max="2" width="52.625" style="110" customWidth="1"/>
    <col min="3" max="3" width="50.625" style="110" customWidth="1"/>
    <col min="4" max="16384" width="9" style="109"/>
  </cols>
  <sheetData>
    <row r="1" spans="1:3" ht="17.25" thickTop="1">
      <c r="A1" s="121"/>
      <c r="B1" s="120" t="s">
        <v>392</v>
      </c>
      <c r="C1" s="119" t="s">
        <v>391</v>
      </c>
    </row>
    <row r="2" spans="1:3">
      <c r="A2" s="116" t="s">
        <v>390</v>
      </c>
      <c r="B2" s="115" t="s">
        <v>389</v>
      </c>
      <c r="C2" s="114" t="s">
        <v>388</v>
      </c>
    </row>
    <row r="3" spans="1:3">
      <c r="A3" s="116" t="s">
        <v>387</v>
      </c>
      <c r="B3" s="115" t="s">
        <v>386</v>
      </c>
      <c r="C3" s="114" t="s">
        <v>385</v>
      </c>
    </row>
    <row r="4" spans="1:3">
      <c r="A4" s="116" t="s">
        <v>384</v>
      </c>
      <c r="B4" s="115" t="s">
        <v>383</v>
      </c>
      <c r="C4" s="114" t="s">
        <v>382</v>
      </c>
    </row>
    <row r="5" spans="1:3">
      <c r="A5" s="116" t="s">
        <v>381</v>
      </c>
      <c r="B5" s="115" t="s">
        <v>380</v>
      </c>
      <c r="C5" s="114" t="s">
        <v>379</v>
      </c>
    </row>
    <row r="6" spans="1:3">
      <c r="A6" s="116" t="s">
        <v>378</v>
      </c>
      <c r="B6" s="115" t="s">
        <v>377</v>
      </c>
      <c r="C6" s="114"/>
    </row>
    <row r="7" spans="1:3">
      <c r="A7" s="116" t="s">
        <v>376</v>
      </c>
      <c r="B7" s="115" t="s">
        <v>375</v>
      </c>
      <c r="C7" s="114"/>
    </row>
    <row r="8" spans="1:3">
      <c r="A8" s="116" t="s">
        <v>374</v>
      </c>
      <c r="B8" s="115"/>
      <c r="C8" s="114" t="s">
        <v>373</v>
      </c>
    </row>
    <row r="9" spans="1:3">
      <c r="A9" s="116" t="s">
        <v>372</v>
      </c>
      <c r="B9" s="115"/>
      <c r="C9" s="118" t="s">
        <v>371</v>
      </c>
    </row>
    <row r="10" spans="1:3">
      <c r="A10" s="116" t="s">
        <v>370</v>
      </c>
      <c r="B10" s="115"/>
      <c r="C10" s="114" t="s">
        <v>369</v>
      </c>
    </row>
    <row r="11" spans="1:3">
      <c r="A11" s="116" t="s">
        <v>368</v>
      </c>
      <c r="B11" s="115" t="s">
        <v>366</v>
      </c>
      <c r="C11" s="114"/>
    </row>
    <row r="12" spans="1:3">
      <c r="A12" s="116" t="s">
        <v>367</v>
      </c>
      <c r="B12" s="115" t="s">
        <v>366</v>
      </c>
      <c r="C12" s="114"/>
    </row>
    <row r="13" spans="1:3">
      <c r="A13" s="116" t="s">
        <v>365</v>
      </c>
      <c r="B13" s="115" t="s">
        <v>364</v>
      </c>
      <c r="C13" s="114"/>
    </row>
    <row r="14" spans="1:3" ht="35.25" customHeight="1">
      <c r="A14" s="116" t="s">
        <v>363</v>
      </c>
      <c r="B14" s="117" t="s">
        <v>393</v>
      </c>
      <c r="C14" s="114"/>
    </row>
    <row r="15" spans="1:3" ht="36.75" customHeight="1">
      <c r="A15" s="116" t="s">
        <v>362</v>
      </c>
      <c r="B15" s="117" t="s">
        <v>361</v>
      </c>
      <c r="C15" s="114"/>
    </row>
    <row r="16" spans="1:3">
      <c r="A16" s="116" t="s">
        <v>360</v>
      </c>
      <c r="B16" s="115" t="s">
        <v>394</v>
      </c>
      <c r="C16" s="114"/>
    </row>
    <row r="17" spans="1:3">
      <c r="A17" s="116" t="s">
        <v>359</v>
      </c>
      <c r="B17" s="115" t="s">
        <v>395</v>
      </c>
      <c r="C17" s="114"/>
    </row>
    <row r="18" spans="1:3" ht="17.25" thickBot="1">
      <c r="A18" s="113" t="s">
        <v>358</v>
      </c>
      <c r="B18" s="112" t="s">
        <v>357</v>
      </c>
      <c r="C18" s="111"/>
    </row>
    <row r="19" spans="1:3" ht="17.25" thickTop="1"/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4"/>
  <dimension ref="A1:T163"/>
  <sheetViews>
    <sheetView zoomScale="85" zoomScaleNormal="85" workbookViewId="0">
      <selection activeCell="F15" sqref="F15"/>
    </sheetView>
  </sheetViews>
  <sheetFormatPr defaultRowHeight="16.5"/>
  <cols>
    <col min="3" max="3" width="13.375" customWidth="1"/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194</v>
      </c>
    </row>
    <row r="2" spans="1:20" ht="21">
      <c r="A2" t="s">
        <v>38</v>
      </c>
      <c r="F2" s="84" t="s">
        <v>225</v>
      </c>
    </row>
    <row r="3" spans="1:20">
      <c r="A3" t="s">
        <v>39</v>
      </c>
      <c r="F3" t="s">
        <v>226</v>
      </c>
    </row>
    <row r="4" spans="1:20">
      <c r="A4" t="s">
        <v>197</v>
      </c>
      <c r="F4" t="s">
        <v>227</v>
      </c>
    </row>
    <row r="5" spans="1:20">
      <c r="A5" t="s">
        <v>197</v>
      </c>
    </row>
    <row r="6" spans="1:20">
      <c r="A6" t="s">
        <v>50</v>
      </c>
      <c r="H6" t="s">
        <v>195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53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79"/>
      <c r="J14" s="104">
        <v>25</v>
      </c>
      <c r="K14" s="79" t="s">
        <v>241</v>
      </c>
      <c r="L14" s="91"/>
      <c r="O14" s="932" t="s">
        <v>236</v>
      </c>
      <c r="P14" s="933"/>
      <c r="Q14" s="85" t="s">
        <v>245</v>
      </c>
      <c r="R14" s="85"/>
      <c r="S14" s="85"/>
      <c r="T14" s="86"/>
    </row>
    <row r="15" spans="1:20" ht="17.25" thickBot="1">
      <c r="H15" s="936" t="s">
        <v>111</v>
      </c>
      <c r="I15" s="937"/>
      <c r="J15" s="87">
        <f>VLOOKUP(J14,C22:J162,6)</f>
        <v>2048</v>
      </c>
      <c r="K15" s="81" t="s">
        <v>242</v>
      </c>
      <c r="L15" s="15"/>
      <c r="O15" s="934"/>
      <c r="P15" s="935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6" t="s">
        <v>104</v>
      </c>
      <c r="I16" s="937"/>
      <c r="J16" s="80">
        <v>2000</v>
      </c>
      <c r="K16" s="81"/>
      <c r="L16" s="15"/>
      <c r="M16" t="s">
        <v>243</v>
      </c>
      <c r="O16" s="932" t="s">
        <v>236</v>
      </c>
      <c r="P16" s="933"/>
      <c r="Q16" s="85" t="s">
        <v>246</v>
      </c>
      <c r="R16" s="85"/>
      <c r="S16" s="85"/>
      <c r="T16" s="86"/>
    </row>
    <row r="17" spans="3:20" ht="17.25" thickBot="1">
      <c r="D17" t="s">
        <v>2</v>
      </c>
      <c r="E17" s="64">
        <v>10</v>
      </c>
      <c r="F17" t="s">
        <v>5</v>
      </c>
      <c r="H17" s="936" t="s">
        <v>105</v>
      </c>
      <c r="I17" s="937"/>
      <c r="J17" s="81">
        <f>J16-J15</f>
        <v>-48</v>
      </c>
      <c r="K17" s="81" t="s">
        <v>106</v>
      </c>
      <c r="L17" s="15"/>
      <c r="M17" s="92" t="str">
        <f>DEC2HEX(J17)</f>
        <v>FFFFFFFFD0</v>
      </c>
      <c r="N17" s="92"/>
      <c r="O17" s="934"/>
      <c r="P17" s="935"/>
      <c r="Q17" s="88" t="s">
        <v>247</v>
      </c>
      <c r="R17" s="88" t="s">
        <v>239</v>
      </c>
      <c r="S17" s="88"/>
      <c r="T17" s="89"/>
    </row>
    <row r="18" spans="3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3:20" ht="17.25" thickTop="1"/>
    <row r="21" spans="3:20">
      <c r="C21" t="s">
        <v>42</v>
      </c>
      <c r="D21" t="s">
        <v>199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3:20">
      <c r="C22">
        <v>-40</v>
      </c>
      <c r="D22" s="68">
        <v>190900</v>
      </c>
      <c r="E22">
        <f t="shared" ref="E22:E85" si="0">D22/1000</f>
        <v>190.9</v>
      </c>
      <c r="F22">
        <f t="shared" ref="F22:F61" si="1">$E$16/($E$17+E22)*E22</f>
        <v>3.1357391737182678</v>
      </c>
      <c r="G22">
        <f t="shared" ref="G22:G61" si="2">ROUND((F22*1000),2)</f>
        <v>3135.74</v>
      </c>
      <c r="H22">
        <f t="shared" ref="H22:H61" si="3">ROUNDDOWN(G22/$I$10,0)</f>
        <v>3892</v>
      </c>
      <c r="J22">
        <f t="shared" ref="J22:J61" si="4">H22/G22</f>
        <v>1.2411743320555915</v>
      </c>
    </row>
    <row r="23" spans="3:20">
      <c r="C23">
        <v>-39</v>
      </c>
      <c r="D23" s="68">
        <v>180900</v>
      </c>
      <c r="E23">
        <f t="shared" si="0"/>
        <v>180.9</v>
      </c>
      <c r="F23">
        <f t="shared" si="1"/>
        <v>3.1271346254583547</v>
      </c>
      <c r="G23">
        <f t="shared" si="2"/>
        <v>3127.13</v>
      </c>
      <c r="H23">
        <f t="shared" si="3"/>
        <v>3881</v>
      </c>
      <c r="J23">
        <f t="shared" si="4"/>
        <v>1.2410740839044108</v>
      </c>
    </row>
    <row r="24" spans="3:20">
      <c r="C24">
        <v>-38</v>
      </c>
      <c r="D24" s="68">
        <v>171400</v>
      </c>
      <c r="E24">
        <f t="shared" si="0"/>
        <v>171.4</v>
      </c>
      <c r="F24">
        <f t="shared" si="1"/>
        <v>3.1180815876515986</v>
      </c>
      <c r="G24">
        <f t="shared" si="2"/>
        <v>3118.08</v>
      </c>
      <c r="H24">
        <f t="shared" si="3"/>
        <v>3870</v>
      </c>
      <c r="J24">
        <f t="shared" si="4"/>
        <v>1.2411483990147782</v>
      </c>
    </row>
    <row r="25" spans="3:20">
      <c r="C25">
        <v>-37</v>
      </c>
      <c r="D25" s="68">
        <v>162600</v>
      </c>
      <c r="E25">
        <f t="shared" si="0"/>
        <v>162.6</v>
      </c>
      <c r="F25">
        <f t="shared" si="1"/>
        <v>3.1088064889918887</v>
      </c>
      <c r="G25">
        <f t="shared" si="2"/>
        <v>3108.81</v>
      </c>
      <c r="H25">
        <f t="shared" si="3"/>
        <v>3858</v>
      </c>
      <c r="J25">
        <f t="shared" si="4"/>
        <v>1.2409893174558755</v>
      </c>
    </row>
    <row r="26" spans="3:20">
      <c r="C26">
        <v>-36</v>
      </c>
      <c r="D26" s="68">
        <v>154300</v>
      </c>
      <c r="E26">
        <f t="shared" si="0"/>
        <v>154.30000000000001</v>
      </c>
      <c r="F26">
        <f t="shared" si="1"/>
        <v>3.0991479001825928</v>
      </c>
      <c r="G26">
        <f t="shared" si="2"/>
        <v>3099.15</v>
      </c>
      <c r="H26">
        <f t="shared" si="3"/>
        <v>3846</v>
      </c>
      <c r="J26">
        <f t="shared" si="4"/>
        <v>1.2409854314892792</v>
      </c>
    </row>
    <row r="27" spans="3:20">
      <c r="C27">
        <v>-35</v>
      </c>
      <c r="D27" s="68">
        <v>146500</v>
      </c>
      <c r="E27">
        <f t="shared" si="0"/>
        <v>146.5</v>
      </c>
      <c r="F27">
        <f t="shared" si="1"/>
        <v>3.0891373801916928</v>
      </c>
      <c r="G27">
        <f t="shared" si="2"/>
        <v>3089.14</v>
      </c>
      <c r="H27">
        <f t="shared" si="3"/>
        <v>3834</v>
      </c>
      <c r="J27">
        <f t="shared" si="4"/>
        <v>1.2411221246042587</v>
      </c>
    </row>
    <row r="28" spans="3:20">
      <c r="C28">
        <v>-34</v>
      </c>
      <c r="D28" s="68">
        <v>139200</v>
      </c>
      <c r="E28">
        <f t="shared" si="0"/>
        <v>139.19999999999999</v>
      </c>
      <c r="F28">
        <f t="shared" si="1"/>
        <v>3.0788203753351207</v>
      </c>
      <c r="G28">
        <f t="shared" si="2"/>
        <v>3078.82</v>
      </c>
      <c r="H28">
        <f t="shared" si="3"/>
        <v>3821</v>
      </c>
      <c r="J28">
        <f t="shared" si="4"/>
        <v>1.2410598865799234</v>
      </c>
    </row>
    <row r="29" spans="3:20">
      <c r="C29">
        <v>-33</v>
      </c>
      <c r="D29" s="68">
        <v>132300</v>
      </c>
      <c r="E29">
        <f t="shared" si="0"/>
        <v>132.30000000000001</v>
      </c>
      <c r="F29">
        <f t="shared" si="1"/>
        <v>3.0680955727336614</v>
      </c>
      <c r="G29">
        <f t="shared" si="2"/>
        <v>3068.1</v>
      </c>
      <c r="H29">
        <f t="shared" si="3"/>
        <v>3808</v>
      </c>
      <c r="J29">
        <f t="shared" si="4"/>
        <v>1.2411590234998859</v>
      </c>
    </row>
    <row r="30" spans="3:20">
      <c r="C30">
        <v>-32</v>
      </c>
      <c r="D30" s="68">
        <v>125800</v>
      </c>
      <c r="E30">
        <f t="shared" si="0"/>
        <v>125.8</v>
      </c>
      <c r="F30">
        <f t="shared" si="1"/>
        <v>3.0569955817378491</v>
      </c>
      <c r="G30">
        <f t="shared" si="2"/>
        <v>3057</v>
      </c>
      <c r="H30">
        <f t="shared" si="3"/>
        <v>3794</v>
      </c>
      <c r="J30">
        <f t="shared" si="4"/>
        <v>1.2410860320575727</v>
      </c>
    </row>
    <row r="31" spans="3:20">
      <c r="C31">
        <v>-31</v>
      </c>
      <c r="D31" s="68">
        <v>119600</v>
      </c>
      <c r="E31">
        <f t="shared" si="0"/>
        <v>119.6</v>
      </c>
      <c r="F31">
        <f t="shared" si="1"/>
        <v>3.0453703703703701</v>
      </c>
      <c r="G31">
        <f t="shared" si="2"/>
        <v>3045.37</v>
      </c>
      <c r="H31">
        <f t="shared" si="3"/>
        <v>3779</v>
      </c>
      <c r="J31">
        <f t="shared" si="4"/>
        <v>1.2409001205108083</v>
      </c>
    </row>
    <row r="32" spans="3:20">
      <c r="C32">
        <v>-30</v>
      </c>
      <c r="D32" s="68">
        <v>113900</v>
      </c>
      <c r="E32">
        <f t="shared" si="0"/>
        <v>113.9</v>
      </c>
      <c r="F32">
        <f t="shared" si="1"/>
        <v>3.0336561743341401</v>
      </c>
      <c r="G32">
        <f t="shared" si="2"/>
        <v>3033.66</v>
      </c>
      <c r="H32">
        <f t="shared" si="3"/>
        <v>3765</v>
      </c>
      <c r="J32">
        <f t="shared" si="4"/>
        <v>1.2410751369632722</v>
      </c>
    </row>
    <row r="33" spans="3:10">
      <c r="C33">
        <v>-29</v>
      </c>
      <c r="D33" s="68">
        <v>108600</v>
      </c>
      <c r="E33">
        <f t="shared" si="0"/>
        <v>108.6</v>
      </c>
      <c r="F33">
        <f t="shared" si="1"/>
        <v>3.0217537942664419</v>
      </c>
      <c r="G33">
        <f t="shared" si="2"/>
        <v>3021.75</v>
      </c>
      <c r="H33">
        <f t="shared" si="3"/>
        <v>3750</v>
      </c>
      <c r="J33">
        <f t="shared" si="4"/>
        <v>1.2410027302060065</v>
      </c>
    </row>
    <row r="34" spans="3:10">
      <c r="C34">
        <v>-28</v>
      </c>
      <c r="D34" s="68">
        <v>103500</v>
      </c>
      <c r="E34">
        <f t="shared" si="0"/>
        <v>103.5</v>
      </c>
      <c r="F34">
        <f t="shared" si="1"/>
        <v>3.0092511013215857</v>
      </c>
      <c r="G34">
        <f t="shared" si="2"/>
        <v>3009.25</v>
      </c>
      <c r="H34">
        <f t="shared" si="3"/>
        <v>3735</v>
      </c>
      <c r="J34">
        <f t="shared" si="4"/>
        <v>1.2411730497632301</v>
      </c>
    </row>
    <row r="35" spans="3:10">
      <c r="C35">
        <v>-27</v>
      </c>
      <c r="D35" s="68">
        <v>98730</v>
      </c>
      <c r="E35">
        <f t="shared" si="0"/>
        <v>98.73</v>
      </c>
      <c r="F35">
        <f t="shared" si="1"/>
        <v>2.9964959072932955</v>
      </c>
      <c r="G35">
        <f t="shared" si="2"/>
        <v>2996.5</v>
      </c>
      <c r="H35">
        <f t="shared" si="3"/>
        <v>3719</v>
      </c>
      <c r="J35">
        <f t="shared" si="4"/>
        <v>1.2411146337393626</v>
      </c>
    </row>
    <row r="36" spans="3:10">
      <c r="C36">
        <v>-26</v>
      </c>
      <c r="D36" s="68">
        <v>94150</v>
      </c>
      <c r="E36">
        <f t="shared" si="0"/>
        <v>94.15</v>
      </c>
      <c r="F36">
        <f t="shared" si="1"/>
        <v>2.9831493038886219</v>
      </c>
      <c r="G36">
        <f t="shared" si="2"/>
        <v>2983.15</v>
      </c>
      <c r="H36">
        <f t="shared" si="3"/>
        <v>3702</v>
      </c>
      <c r="J36">
        <f t="shared" si="4"/>
        <v>1.240970115481957</v>
      </c>
    </row>
    <row r="37" spans="3:10">
      <c r="C37">
        <v>-25</v>
      </c>
      <c r="D37" s="68">
        <v>89780</v>
      </c>
      <c r="E37">
        <f t="shared" si="0"/>
        <v>89.78</v>
      </c>
      <c r="F37">
        <f t="shared" si="1"/>
        <v>2.9692723992784122</v>
      </c>
      <c r="G37">
        <f t="shared" si="2"/>
        <v>2969.27</v>
      </c>
      <c r="H37">
        <f t="shared" si="3"/>
        <v>3685</v>
      </c>
      <c r="J37">
        <f t="shared" si="4"/>
        <v>1.2410457789288276</v>
      </c>
    </row>
    <row r="38" spans="3:10">
      <c r="C38">
        <v>-24</v>
      </c>
      <c r="D38" s="68">
        <v>85610</v>
      </c>
      <c r="E38">
        <f t="shared" si="0"/>
        <v>85.61</v>
      </c>
      <c r="F38">
        <f t="shared" si="1"/>
        <v>2.9548478192657672</v>
      </c>
      <c r="G38">
        <f t="shared" si="2"/>
        <v>2954.85</v>
      </c>
      <c r="H38">
        <f t="shared" si="3"/>
        <v>3667</v>
      </c>
      <c r="J38">
        <f t="shared" si="4"/>
        <v>1.2410105419902873</v>
      </c>
    </row>
    <row r="39" spans="3:10">
      <c r="C39">
        <v>-23</v>
      </c>
      <c r="D39" s="68">
        <v>81640</v>
      </c>
      <c r="E39">
        <f t="shared" si="0"/>
        <v>81.64</v>
      </c>
      <c r="F39">
        <f t="shared" si="1"/>
        <v>2.939895242252291</v>
      </c>
      <c r="G39">
        <f t="shared" si="2"/>
        <v>2939.9</v>
      </c>
      <c r="H39">
        <f t="shared" si="3"/>
        <v>3649</v>
      </c>
      <c r="J39">
        <f t="shared" si="4"/>
        <v>1.2411986802272186</v>
      </c>
    </row>
    <row r="40" spans="3:10">
      <c r="C40">
        <v>-22</v>
      </c>
      <c r="D40" s="68">
        <v>77850</v>
      </c>
      <c r="E40">
        <f t="shared" si="0"/>
        <v>77.849999999999994</v>
      </c>
      <c r="F40">
        <f t="shared" si="1"/>
        <v>2.9243597040409788</v>
      </c>
      <c r="G40">
        <f t="shared" si="2"/>
        <v>2924.36</v>
      </c>
      <c r="H40">
        <f t="shared" si="3"/>
        <v>3629</v>
      </c>
      <c r="J40">
        <f t="shared" si="4"/>
        <v>1.2409552859429072</v>
      </c>
    </row>
    <row r="41" spans="3:10">
      <c r="C41">
        <v>-21</v>
      </c>
      <c r="D41" s="68">
        <v>74240</v>
      </c>
      <c r="E41">
        <f t="shared" si="0"/>
        <v>74.239999999999995</v>
      </c>
      <c r="F41">
        <f t="shared" si="1"/>
        <v>2.9082621082621078</v>
      </c>
      <c r="G41">
        <f t="shared" si="2"/>
        <v>2908.26</v>
      </c>
      <c r="H41">
        <f t="shared" si="3"/>
        <v>3609</v>
      </c>
      <c r="J41">
        <f t="shared" si="4"/>
        <v>1.2409481958284334</v>
      </c>
    </row>
    <row r="42" spans="3:10">
      <c r="C42">
        <v>-20</v>
      </c>
      <c r="D42" s="68">
        <v>70810</v>
      </c>
      <c r="E42">
        <f t="shared" si="0"/>
        <v>70.81</v>
      </c>
      <c r="F42">
        <f t="shared" si="1"/>
        <v>2.8916346986759063</v>
      </c>
      <c r="G42">
        <f t="shared" si="2"/>
        <v>2891.63</v>
      </c>
      <c r="H42">
        <f t="shared" si="3"/>
        <v>3589</v>
      </c>
      <c r="J42">
        <f t="shared" si="4"/>
        <v>1.24116847591151</v>
      </c>
    </row>
    <row r="43" spans="3:10">
      <c r="C43">
        <v>-19</v>
      </c>
      <c r="D43" s="68">
        <v>67530</v>
      </c>
      <c r="E43">
        <f t="shared" si="0"/>
        <v>67.53</v>
      </c>
      <c r="F43">
        <f t="shared" si="1"/>
        <v>2.8743583129111312</v>
      </c>
      <c r="G43">
        <f t="shared" si="2"/>
        <v>2874.36</v>
      </c>
      <c r="H43">
        <f t="shared" si="3"/>
        <v>3567</v>
      </c>
      <c r="J43">
        <f t="shared" si="4"/>
        <v>1.2409719033106499</v>
      </c>
    </row>
    <row r="44" spans="3:10">
      <c r="C44">
        <v>-18</v>
      </c>
      <c r="D44" s="68">
        <v>64420</v>
      </c>
      <c r="E44">
        <f t="shared" si="0"/>
        <v>64.42</v>
      </c>
      <c r="F44">
        <f t="shared" si="1"/>
        <v>2.8565708142972319</v>
      </c>
      <c r="G44">
        <f t="shared" si="2"/>
        <v>2856.57</v>
      </c>
      <c r="H44">
        <f t="shared" si="3"/>
        <v>3545</v>
      </c>
      <c r="J44">
        <f t="shared" si="4"/>
        <v>1.2409988202634628</v>
      </c>
    </row>
    <row r="45" spans="3:10">
      <c r="C45">
        <v>-17</v>
      </c>
      <c r="D45" s="68">
        <v>61450</v>
      </c>
      <c r="E45">
        <f t="shared" si="0"/>
        <v>61.45</v>
      </c>
      <c r="F45">
        <f t="shared" si="1"/>
        <v>2.8381385584324703</v>
      </c>
      <c r="G45">
        <f t="shared" si="2"/>
        <v>2838.14</v>
      </c>
      <c r="H45">
        <f t="shared" si="3"/>
        <v>3522</v>
      </c>
      <c r="J45">
        <f t="shared" si="4"/>
        <v>1.2409535822757158</v>
      </c>
    </row>
    <row r="46" spans="3:10">
      <c r="C46">
        <v>-16</v>
      </c>
      <c r="D46" s="68">
        <v>58620</v>
      </c>
      <c r="E46">
        <f t="shared" si="0"/>
        <v>58.62</v>
      </c>
      <c r="F46">
        <f t="shared" si="1"/>
        <v>2.8190906441270762</v>
      </c>
      <c r="G46">
        <f t="shared" si="2"/>
        <v>2819.09</v>
      </c>
      <c r="H46">
        <f t="shared" si="3"/>
        <v>3499</v>
      </c>
      <c r="J46">
        <f t="shared" si="4"/>
        <v>1.2411806646825747</v>
      </c>
    </row>
    <row r="47" spans="3:10">
      <c r="C47">
        <v>-15</v>
      </c>
      <c r="D47" s="68">
        <v>55930</v>
      </c>
      <c r="E47">
        <f t="shared" si="0"/>
        <v>55.93</v>
      </c>
      <c r="F47">
        <f t="shared" si="1"/>
        <v>2.7994691339299256</v>
      </c>
      <c r="G47">
        <f t="shared" si="2"/>
        <v>2799.47</v>
      </c>
      <c r="H47">
        <f t="shared" si="3"/>
        <v>3474</v>
      </c>
      <c r="J47">
        <f t="shared" si="4"/>
        <v>1.2409491796661511</v>
      </c>
    </row>
    <row r="48" spans="3:10">
      <c r="C48">
        <v>-14</v>
      </c>
      <c r="D48" s="68">
        <v>53360</v>
      </c>
      <c r="E48">
        <f t="shared" si="0"/>
        <v>53.36</v>
      </c>
      <c r="F48">
        <f t="shared" si="1"/>
        <v>2.7791666666666663</v>
      </c>
      <c r="G48">
        <f t="shared" si="2"/>
        <v>2779.17</v>
      </c>
      <c r="H48">
        <f t="shared" si="3"/>
        <v>3449</v>
      </c>
      <c r="J48">
        <f t="shared" si="4"/>
        <v>1.241018001777509</v>
      </c>
    </row>
    <row r="49" spans="3:10">
      <c r="C49">
        <v>-13</v>
      </c>
      <c r="D49" s="68">
        <v>50920</v>
      </c>
      <c r="E49">
        <f t="shared" si="0"/>
        <v>50.92</v>
      </c>
      <c r="F49">
        <f t="shared" si="1"/>
        <v>2.7583059750492449</v>
      </c>
      <c r="G49">
        <f t="shared" si="2"/>
        <v>2758.31</v>
      </c>
      <c r="H49">
        <f t="shared" si="3"/>
        <v>3423</v>
      </c>
      <c r="J49">
        <f t="shared" si="4"/>
        <v>1.2409772650644779</v>
      </c>
    </row>
    <row r="50" spans="3:10">
      <c r="C50">
        <v>-12</v>
      </c>
      <c r="D50" s="68">
        <v>48590</v>
      </c>
      <c r="E50">
        <f t="shared" si="0"/>
        <v>48.59</v>
      </c>
      <c r="F50">
        <f t="shared" si="1"/>
        <v>2.7367639528929848</v>
      </c>
      <c r="G50">
        <f t="shared" si="2"/>
        <v>2736.76</v>
      </c>
      <c r="H50">
        <f t="shared" si="3"/>
        <v>3396</v>
      </c>
      <c r="J50">
        <f t="shared" si="4"/>
        <v>1.2408833803475641</v>
      </c>
    </row>
    <row r="51" spans="3:10">
      <c r="C51">
        <v>-11</v>
      </c>
      <c r="D51" s="68">
        <v>46380</v>
      </c>
      <c r="E51">
        <f t="shared" si="0"/>
        <v>46.38</v>
      </c>
      <c r="F51">
        <f t="shared" si="1"/>
        <v>2.7146860588861297</v>
      </c>
      <c r="G51">
        <f t="shared" si="2"/>
        <v>2714.69</v>
      </c>
      <c r="H51">
        <f t="shared" si="3"/>
        <v>3369</v>
      </c>
      <c r="J51">
        <f t="shared" si="4"/>
        <v>1.2410256788067882</v>
      </c>
    </row>
    <row r="52" spans="3:10">
      <c r="C52">
        <v>-10</v>
      </c>
      <c r="D52" s="68">
        <v>44270</v>
      </c>
      <c r="E52">
        <f t="shared" si="0"/>
        <v>44.27</v>
      </c>
      <c r="F52">
        <f t="shared" si="1"/>
        <v>2.6919292426755113</v>
      </c>
      <c r="G52">
        <f t="shared" si="2"/>
        <v>2691.93</v>
      </c>
      <c r="H52">
        <f t="shared" si="3"/>
        <v>3341</v>
      </c>
      <c r="J52">
        <f t="shared" si="4"/>
        <v>1.2411169681232426</v>
      </c>
    </row>
    <row r="53" spans="3:10">
      <c r="C53">
        <v>-9</v>
      </c>
      <c r="D53" s="68">
        <v>42230</v>
      </c>
      <c r="E53">
        <f t="shared" si="0"/>
        <v>42.23</v>
      </c>
      <c r="F53">
        <f t="shared" si="1"/>
        <v>2.6681792073520962</v>
      </c>
      <c r="G53">
        <f t="shared" si="2"/>
        <v>2668.18</v>
      </c>
      <c r="H53">
        <f t="shared" si="3"/>
        <v>3311</v>
      </c>
      <c r="J53">
        <f t="shared" si="4"/>
        <v>1.2409207774587923</v>
      </c>
    </row>
    <row r="54" spans="3:10">
      <c r="C54">
        <v>-8</v>
      </c>
      <c r="D54" s="68">
        <v>40310</v>
      </c>
      <c r="E54">
        <f t="shared" si="0"/>
        <v>40.31</v>
      </c>
      <c r="F54">
        <f t="shared" si="1"/>
        <v>2.6440667859272509</v>
      </c>
      <c r="G54">
        <f t="shared" si="2"/>
        <v>2644.07</v>
      </c>
      <c r="H54">
        <f t="shared" si="3"/>
        <v>3281</v>
      </c>
      <c r="J54">
        <f t="shared" si="4"/>
        <v>1.2408899915660325</v>
      </c>
    </row>
    <row r="55" spans="3:10">
      <c r="C55">
        <v>-7</v>
      </c>
      <c r="D55" s="68">
        <v>38480</v>
      </c>
      <c r="E55">
        <f t="shared" si="0"/>
        <v>38.479999999999997</v>
      </c>
      <c r="F55">
        <f t="shared" si="1"/>
        <v>2.6193069306930692</v>
      </c>
      <c r="G55">
        <f t="shared" si="2"/>
        <v>2619.31</v>
      </c>
      <c r="H55">
        <f t="shared" si="3"/>
        <v>3251</v>
      </c>
      <c r="J55">
        <f t="shared" si="4"/>
        <v>1.2411665667675837</v>
      </c>
    </row>
    <row r="56" spans="3:10">
      <c r="C56">
        <v>-6</v>
      </c>
      <c r="D56" s="68">
        <v>36740</v>
      </c>
      <c r="E56">
        <f t="shared" si="0"/>
        <v>36.74</v>
      </c>
      <c r="F56">
        <f t="shared" si="1"/>
        <v>2.5939666238767649</v>
      </c>
      <c r="G56">
        <f t="shared" si="2"/>
        <v>2593.9699999999998</v>
      </c>
      <c r="H56">
        <f t="shared" si="3"/>
        <v>3219</v>
      </c>
      <c r="J56">
        <f t="shared" si="4"/>
        <v>1.2409549840591836</v>
      </c>
    </row>
    <row r="57" spans="3:10">
      <c r="C57">
        <v>-5</v>
      </c>
      <c r="D57" s="68">
        <v>35100</v>
      </c>
      <c r="E57">
        <f t="shared" si="0"/>
        <v>35.1</v>
      </c>
      <c r="F57">
        <f t="shared" si="1"/>
        <v>2.5682926829268293</v>
      </c>
      <c r="G57">
        <f t="shared" si="2"/>
        <v>2568.29</v>
      </c>
      <c r="H57">
        <f t="shared" si="3"/>
        <v>3187</v>
      </c>
      <c r="J57">
        <f t="shared" si="4"/>
        <v>1.2409034805259531</v>
      </c>
    </row>
    <row r="58" spans="3:10">
      <c r="C58">
        <v>-4</v>
      </c>
      <c r="D58" s="68">
        <v>33540</v>
      </c>
      <c r="E58">
        <f t="shared" si="0"/>
        <v>33.54</v>
      </c>
      <c r="F58">
        <f t="shared" si="1"/>
        <v>2.5420762517225541</v>
      </c>
      <c r="G58">
        <f t="shared" si="2"/>
        <v>2542.08</v>
      </c>
      <c r="H58">
        <f t="shared" si="3"/>
        <v>3155</v>
      </c>
      <c r="J58">
        <f t="shared" si="4"/>
        <v>1.2411096424974823</v>
      </c>
    </row>
    <row r="59" spans="3:10">
      <c r="C59">
        <v>-3</v>
      </c>
      <c r="D59" s="68">
        <v>32060</v>
      </c>
      <c r="E59">
        <f t="shared" si="0"/>
        <v>32.06</v>
      </c>
      <c r="F59">
        <f t="shared" si="1"/>
        <v>2.5154065620542081</v>
      </c>
      <c r="G59">
        <f t="shared" si="2"/>
        <v>2515.41</v>
      </c>
      <c r="H59">
        <f t="shared" si="3"/>
        <v>3122</v>
      </c>
      <c r="J59">
        <f t="shared" si="4"/>
        <v>1.2411495541482305</v>
      </c>
    </row>
    <row r="60" spans="3:10">
      <c r="C60">
        <v>-2</v>
      </c>
      <c r="D60" s="68">
        <v>30660</v>
      </c>
      <c r="E60">
        <f t="shared" si="0"/>
        <v>30.66</v>
      </c>
      <c r="F60">
        <f t="shared" si="1"/>
        <v>2.4883915395966554</v>
      </c>
      <c r="G60">
        <f t="shared" si="2"/>
        <v>2488.39</v>
      </c>
      <c r="H60">
        <f t="shared" si="3"/>
        <v>3088</v>
      </c>
      <c r="J60">
        <f t="shared" si="4"/>
        <v>1.2409630323221039</v>
      </c>
    </row>
    <row r="61" spans="3:10">
      <c r="C61">
        <v>-1</v>
      </c>
      <c r="D61" s="68">
        <v>29320</v>
      </c>
      <c r="E61">
        <f t="shared" si="0"/>
        <v>29.32</v>
      </c>
      <c r="F61">
        <f t="shared" si="1"/>
        <v>2.4607324516785347</v>
      </c>
      <c r="G61">
        <f t="shared" si="2"/>
        <v>2460.73</v>
      </c>
      <c r="H61">
        <f t="shared" si="3"/>
        <v>3054</v>
      </c>
      <c r="J61">
        <f t="shared" si="4"/>
        <v>1.2410951221791908</v>
      </c>
    </row>
    <row r="62" spans="3:10">
      <c r="C62">
        <v>0</v>
      </c>
      <c r="D62" s="68">
        <v>28050</v>
      </c>
      <c r="E62">
        <f t="shared" si="0"/>
        <v>28.05</v>
      </c>
      <c r="F62">
        <f>$E$16/($E$17+E62)*E62</f>
        <v>2.4327201051248357</v>
      </c>
      <c r="G62">
        <f>ROUND((F62*1000),2)</f>
        <v>2432.7199999999998</v>
      </c>
      <c r="H62">
        <f>ROUNDDOWN(G62/$I$10,0)</f>
        <v>3019</v>
      </c>
      <c r="J62">
        <f>H62/G62</f>
        <v>1.2409977309349207</v>
      </c>
    </row>
    <row r="63" spans="3:10">
      <c r="C63">
        <v>1</v>
      </c>
      <c r="D63" s="68">
        <v>26850</v>
      </c>
      <c r="E63">
        <f t="shared" si="0"/>
        <v>26.85</v>
      </c>
      <c r="F63">
        <f t="shared" ref="F63:F126" si="5">$E$16/($E$17+E63)*E63</f>
        <v>2.4044776119402984</v>
      </c>
      <c r="G63">
        <f t="shared" ref="G63:G126" si="6">ROUND((F63*1000),2)</f>
        <v>2404.48</v>
      </c>
      <c r="H63">
        <f t="shared" ref="H63:H126" si="7">ROUNDDOWN(G63/$I$10,0)</f>
        <v>2984</v>
      </c>
      <c r="J63">
        <f t="shared" ref="J63:J126" si="8">H63/G63</f>
        <v>1.2410167686984297</v>
      </c>
    </row>
    <row r="64" spans="3:10">
      <c r="C64">
        <v>2</v>
      </c>
      <c r="D64" s="68">
        <v>25710</v>
      </c>
      <c r="E64">
        <f t="shared" si="0"/>
        <v>25.71</v>
      </c>
      <c r="F64">
        <f t="shared" si="5"/>
        <v>2.375889106692803</v>
      </c>
      <c r="G64">
        <f t="shared" si="6"/>
        <v>2375.89</v>
      </c>
      <c r="H64">
        <f t="shared" si="7"/>
        <v>2948</v>
      </c>
      <c r="J64">
        <f t="shared" si="8"/>
        <v>1.2407981851011622</v>
      </c>
    </row>
    <row r="65" spans="3:10">
      <c r="C65">
        <v>3</v>
      </c>
      <c r="D65" s="68">
        <v>24620</v>
      </c>
      <c r="E65">
        <f t="shared" si="0"/>
        <v>24.62</v>
      </c>
      <c r="F65">
        <f t="shared" si="5"/>
        <v>2.346793760831889</v>
      </c>
      <c r="G65">
        <f t="shared" si="6"/>
        <v>2346.79</v>
      </c>
      <c r="H65">
        <f t="shared" si="7"/>
        <v>2912</v>
      </c>
      <c r="J65">
        <f t="shared" si="8"/>
        <v>1.2408438761031026</v>
      </c>
    </row>
    <row r="66" spans="3:10">
      <c r="C66">
        <v>4</v>
      </c>
      <c r="D66" s="68">
        <v>23590</v>
      </c>
      <c r="E66">
        <f t="shared" si="0"/>
        <v>23.59</v>
      </c>
      <c r="F66">
        <f t="shared" si="5"/>
        <v>2.3175647514141109</v>
      </c>
      <c r="G66">
        <f t="shared" si="6"/>
        <v>2317.56</v>
      </c>
      <c r="H66">
        <f t="shared" si="7"/>
        <v>2876</v>
      </c>
      <c r="J66">
        <f t="shared" si="8"/>
        <v>1.2409603203369062</v>
      </c>
    </row>
    <row r="67" spans="3:10">
      <c r="C67">
        <v>5</v>
      </c>
      <c r="D67" s="68">
        <v>22590</v>
      </c>
      <c r="E67">
        <f t="shared" si="0"/>
        <v>22.59</v>
      </c>
      <c r="F67">
        <f t="shared" si="5"/>
        <v>2.2874194538201897</v>
      </c>
      <c r="G67">
        <f t="shared" si="6"/>
        <v>2287.42</v>
      </c>
      <c r="H67">
        <f t="shared" si="7"/>
        <v>2839</v>
      </c>
      <c r="J67">
        <f t="shared" si="8"/>
        <v>1.2411363020346067</v>
      </c>
    </row>
    <row r="68" spans="3:10">
      <c r="C68">
        <v>6</v>
      </c>
      <c r="D68" s="68">
        <v>21650</v>
      </c>
      <c r="E68">
        <f t="shared" si="0"/>
        <v>21.65</v>
      </c>
      <c r="F68">
        <f t="shared" si="5"/>
        <v>2.2573459715639808</v>
      </c>
      <c r="G68">
        <f t="shared" si="6"/>
        <v>2257.35</v>
      </c>
      <c r="H68">
        <f t="shared" si="7"/>
        <v>2801</v>
      </c>
      <c r="J68">
        <f t="shared" si="8"/>
        <v>1.2408354929452676</v>
      </c>
    </row>
    <row r="69" spans="3:10">
      <c r="C69">
        <v>7</v>
      </c>
      <c r="D69" s="68">
        <v>20750</v>
      </c>
      <c r="E69">
        <f t="shared" si="0"/>
        <v>20.75</v>
      </c>
      <c r="F69">
        <f t="shared" si="5"/>
        <v>2.2268292682926827</v>
      </c>
      <c r="G69">
        <f t="shared" si="6"/>
        <v>2226.83</v>
      </c>
      <c r="H69">
        <f t="shared" si="7"/>
        <v>2763</v>
      </c>
      <c r="J69">
        <f t="shared" si="8"/>
        <v>1.2407772483754935</v>
      </c>
    </row>
    <row r="70" spans="3:10">
      <c r="C70">
        <v>8</v>
      </c>
      <c r="D70" s="68">
        <v>19890</v>
      </c>
      <c r="E70">
        <f t="shared" si="0"/>
        <v>19.89</v>
      </c>
      <c r="F70">
        <f t="shared" si="5"/>
        <v>2.1959518233522917</v>
      </c>
      <c r="G70">
        <f t="shared" si="6"/>
        <v>2195.9499999999998</v>
      </c>
      <c r="H70">
        <f t="shared" si="7"/>
        <v>2725</v>
      </c>
      <c r="J70">
        <f t="shared" si="8"/>
        <v>1.2409207859923952</v>
      </c>
    </row>
    <row r="71" spans="3:10">
      <c r="C71">
        <v>9</v>
      </c>
      <c r="D71" s="68">
        <v>19060</v>
      </c>
      <c r="E71">
        <f t="shared" si="0"/>
        <v>19.059999999999999</v>
      </c>
      <c r="F71">
        <f t="shared" si="5"/>
        <v>2.1644184445973846</v>
      </c>
      <c r="G71">
        <f t="shared" si="6"/>
        <v>2164.42</v>
      </c>
      <c r="H71">
        <f t="shared" si="7"/>
        <v>2686</v>
      </c>
      <c r="J71">
        <f t="shared" si="8"/>
        <v>1.2409791075669232</v>
      </c>
    </row>
    <row r="72" spans="3:10">
      <c r="C72">
        <v>10</v>
      </c>
      <c r="D72" s="68">
        <v>18280</v>
      </c>
      <c r="E72">
        <f t="shared" si="0"/>
        <v>18.28</v>
      </c>
      <c r="F72">
        <f t="shared" si="5"/>
        <v>2.1330975954738332</v>
      </c>
      <c r="G72">
        <f t="shared" si="6"/>
        <v>2133.1</v>
      </c>
      <c r="H72">
        <f t="shared" si="7"/>
        <v>2647</v>
      </c>
      <c r="J72">
        <f t="shared" si="8"/>
        <v>1.2409169752941729</v>
      </c>
    </row>
    <row r="73" spans="3:10">
      <c r="C73">
        <v>11</v>
      </c>
      <c r="D73" s="68">
        <v>17530</v>
      </c>
      <c r="E73">
        <f t="shared" si="0"/>
        <v>17.53</v>
      </c>
      <c r="F73">
        <f t="shared" si="5"/>
        <v>2.1013076643661459</v>
      </c>
      <c r="G73">
        <f t="shared" si="6"/>
        <v>2101.31</v>
      </c>
      <c r="H73">
        <f t="shared" si="7"/>
        <v>2608</v>
      </c>
      <c r="J73">
        <f t="shared" si="8"/>
        <v>1.2411305328580742</v>
      </c>
    </row>
    <row r="74" spans="3:10">
      <c r="C74">
        <v>12</v>
      </c>
      <c r="D74" s="68">
        <v>16810</v>
      </c>
      <c r="E74">
        <f t="shared" si="0"/>
        <v>16.809999999999999</v>
      </c>
      <c r="F74">
        <f t="shared" si="5"/>
        <v>2.0691160014919805</v>
      </c>
      <c r="G74">
        <f t="shared" si="6"/>
        <v>2069.12</v>
      </c>
      <c r="H74">
        <f t="shared" si="7"/>
        <v>2568</v>
      </c>
      <c r="J74">
        <f t="shared" si="8"/>
        <v>1.2411073306526446</v>
      </c>
    </row>
    <row r="75" spans="3:10">
      <c r="C75">
        <v>13</v>
      </c>
      <c r="D75" s="68">
        <v>16130</v>
      </c>
      <c r="E75">
        <f t="shared" si="0"/>
        <v>16.13</v>
      </c>
      <c r="F75">
        <f t="shared" si="5"/>
        <v>2.0370838117106769</v>
      </c>
      <c r="G75">
        <f t="shared" si="6"/>
        <v>2037.08</v>
      </c>
      <c r="H75">
        <f t="shared" si="7"/>
        <v>2528</v>
      </c>
      <c r="J75">
        <f t="shared" si="8"/>
        <v>1.240992008168555</v>
      </c>
    </row>
    <row r="76" spans="3:10">
      <c r="C76">
        <v>14</v>
      </c>
      <c r="D76" s="68">
        <v>15480</v>
      </c>
      <c r="E76">
        <f t="shared" si="0"/>
        <v>15.48</v>
      </c>
      <c r="F76">
        <f t="shared" si="5"/>
        <v>2.0048665620094188</v>
      </c>
      <c r="G76">
        <f t="shared" si="6"/>
        <v>2004.87</v>
      </c>
      <c r="H76">
        <f t="shared" si="7"/>
        <v>2488</v>
      </c>
      <c r="J76">
        <f t="shared" si="8"/>
        <v>1.2409782180390749</v>
      </c>
    </row>
    <row r="77" spans="3:10">
      <c r="C77">
        <v>15</v>
      </c>
      <c r="D77" s="68">
        <v>14860</v>
      </c>
      <c r="E77">
        <f t="shared" si="0"/>
        <v>14.86</v>
      </c>
      <c r="F77">
        <f t="shared" si="5"/>
        <v>1.9725663716814157</v>
      </c>
      <c r="G77">
        <f t="shared" si="6"/>
        <v>1972.57</v>
      </c>
      <c r="H77">
        <f t="shared" si="7"/>
        <v>2448</v>
      </c>
      <c r="J77">
        <f t="shared" si="8"/>
        <v>1.2410205974946391</v>
      </c>
    </row>
    <row r="78" spans="3:10">
      <c r="C78">
        <v>16</v>
      </c>
      <c r="D78" s="68">
        <v>14270</v>
      </c>
      <c r="E78">
        <f t="shared" si="0"/>
        <v>14.27</v>
      </c>
      <c r="F78">
        <f t="shared" si="5"/>
        <v>1.9402966625463531</v>
      </c>
      <c r="G78">
        <f t="shared" si="6"/>
        <v>1940.3</v>
      </c>
      <c r="H78">
        <f t="shared" si="7"/>
        <v>2408</v>
      </c>
      <c r="J78">
        <f t="shared" si="8"/>
        <v>1.2410451991960005</v>
      </c>
    </row>
    <row r="79" spans="3:10">
      <c r="C79">
        <v>17</v>
      </c>
      <c r="D79" s="68">
        <v>13700</v>
      </c>
      <c r="E79">
        <f t="shared" si="0"/>
        <v>13.7</v>
      </c>
      <c r="F79">
        <f t="shared" si="5"/>
        <v>1.9075949367088605</v>
      </c>
      <c r="G79">
        <f t="shared" si="6"/>
        <v>1907.59</v>
      </c>
      <c r="H79">
        <f t="shared" si="7"/>
        <v>2367</v>
      </c>
      <c r="J79">
        <f t="shared" si="8"/>
        <v>1.2408326736877422</v>
      </c>
    </row>
    <row r="80" spans="3:10">
      <c r="C80">
        <v>18</v>
      </c>
      <c r="D80" s="68">
        <v>13160</v>
      </c>
      <c r="E80">
        <f t="shared" si="0"/>
        <v>13.16</v>
      </c>
      <c r="F80">
        <f t="shared" si="5"/>
        <v>1.8751295336787561</v>
      </c>
      <c r="G80">
        <f t="shared" si="6"/>
        <v>1875.13</v>
      </c>
      <c r="H80">
        <f t="shared" si="7"/>
        <v>2327</v>
      </c>
      <c r="J80">
        <f t="shared" si="8"/>
        <v>1.2409806253433096</v>
      </c>
    </row>
    <row r="81" spans="3:10">
      <c r="C81">
        <v>19</v>
      </c>
      <c r="D81" s="68">
        <v>12650</v>
      </c>
      <c r="E81">
        <f t="shared" si="0"/>
        <v>12.65</v>
      </c>
      <c r="F81">
        <f t="shared" si="5"/>
        <v>1.843046357615894</v>
      </c>
      <c r="G81">
        <f t="shared" si="6"/>
        <v>1843.05</v>
      </c>
      <c r="H81">
        <f t="shared" si="7"/>
        <v>2287</v>
      </c>
      <c r="J81">
        <f t="shared" si="8"/>
        <v>1.2408778926236401</v>
      </c>
    </row>
    <row r="82" spans="3:10">
      <c r="C82">
        <v>20</v>
      </c>
      <c r="D82" s="68">
        <v>12150</v>
      </c>
      <c r="E82">
        <f t="shared" si="0"/>
        <v>12.15</v>
      </c>
      <c r="F82">
        <f t="shared" si="5"/>
        <v>1.8101580135440181</v>
      </c>
      <c r="G82">
        <f t="shared" si="6"/>
        <v>1810.16</v>
      </c>
      <c r="H82">
        <f t="shared" si="7"/>
        <v>2246</v>
      </c>
      <c r="J82">
        <f t="shared" si="8"/>
        <v>1.2407742961948114</v>
      </c>
    </row>
    <row r="83" spans="3:10">
      <c r="C83">
        <v>21</v>
      </c>
      <c r="D83" s="68">
        <v>11680</v>
      </c>
      <c r="E83">
        <f t="shared" si="0"/>
        <v>11.68</v>
      </c>
      <c r="F83">
        <f t="shared" si="5"/>
        <v>1.7778597785977859</v>
      </c>
      <c r="G83">
        <f t="shared" si="6"/>
        <v>1777.86</v>
      </c>
      <c r="H83">
        <f t="shared" si="7"/>
        <v>2206</v>
      </c>
      <c r="J83">
        <f t="shared" si="8"/>
        <v>1.2408176121854364</v>
      </c>
    </row>
    <row r="84" spans="3:10">
      <c r="C84">
        <v>22</v>
      </c>
      <c r="D84" s="68">
        <v>11230</v>
      </c>
      <c r="E84">
        <f t="shared" si="0"/>
        <v>11.23</v>
      </c>
      <c r="F84">
        <f t="shared" si="5"/>
        <v>1.7455958549222799</v>
      </c>
      <c r="G84">
        <f t="shared" si="6"/>
        <v>1745.6</v>
      </c>
      <c r="H84">
        <f t="shared" si="7"/>
        <v>2166</v>
      </c>
      <c r="J84">
        <f t="shared" si="8"/>
        <v>1.2408340971585703</v>
      </c>
    </row>
    <row r="85" spans="3:10">
      <c r="C85">
        <v>23</v>
      </c>
      <c r="D85" s="68">
        <v>10800</v>
      </c>
      <c r="E85">
        <f t="shared" si="0"/>
        <v>10.8</v>
      </c>
      <c r="F85">
        <f t="shared" si="5"/>
        <v>1.7134615384615386</v>
      </c>
      <c r="G85">
        <f t="shared" si="6"/>
        <v>1713.46</v>
      </c>
      <c r="H85">
        <f t="shared" si="7"/>
        <v>2126</v>
      </c>
      <c r="J85">
        <f t="shared" si="8"/>
        <v>1.2407643014718757</v>
      </c>
    </row>
    <row r="86" spans="3:10">
      <c r="C86">
        <v>24</v>
      </c>
      <c r="D86" s="68">
        <v>10390</v>
      </c>
      <c r="E86">
        <f t="shared" ref="E86:E149" si="9">D86/1000</f>
        <v>10.39</v>
      </c>
      <c r="F86">
        <f t="shared" si="5"/>
        <v>1.6815595880333496</v>
      </c>
      <c r="G86">
        <f t="shared" si="6"/>
        <v>1681.56</v>
      </c>
      <c r="H86">
        <f t="shared" si="7"/>
        <v>2087</v>
      </c>
      <c r="J86">
        <f t="shared" si="8"/>
        <v>1.2411094459906278</v>
      </c>
    </row>
    <row r="87" spans="3:10">
      <c r="C87">
        <v>25</v>
      </c>
      <c r="D87" s="68">
        <v>10000</v>
      </c>
      <c r="E87">
        <f t="shared" si="9"/>
        <v>10</v>
      </c>
      <c r="F87">
        <f t="shared" si="5"/>
        <v>1.65</v>
      </c>
      <c r="G87">
        <f t="shared" si="6"/>
        <v>1650</v>
      </c>
      <c r="H87">
        <f t="shared" si="7"/>
        <v>2048</v>
      </c>
      <c r="J87">
        <f t="shared" si="8"/>
        <v>1.2412121212121212</v>
      </c>
    </row>
    <row r="88" spans="3:10">
      <c r="C88">
        <v>26</v>
      </c>
      <c r="D88" s="68">
        <v>9624</v>
      </c>
      <c r="E88">
        <f t="shared" si="9"/>
        <v>9.6240000000000006</v>
      </c>
      <c r="F88">
        <f t="shared" si="5"/>
        <v>1.6183856502242149</v>
      </c>
      <c r="G88">
        <f t="shared" si="6"/>
        <v>1618.39</v>
      </c>
      <c r="H88">
        <f t="shared" si="7"/>
        <v>2008</v>
      </c>
      <c r="J88">
        <f t="shared" si="8"/>
        <v>1.2407392532084354</v>
      </c>
    </row>
    <row r="89" spans="3:10">
      <c r="C89">
        <v>27</v>
      </c>
      <c r="D89" s="68">
        <v>9264</v>
      </c>
      <c r="E89">
        <f t="shared" si="9"/>
        <v>9.2639999999999993</v>
      </c>
      <c r="F89">
        <f t="shared" si="5"/>
        <v>1.5869601328903653</v>
      </c>
      <c r="G89">
        <f t="shared" si="6"/>
        <v>1586.96</v>
      </c>
      <c r="H89">
        <f t="shared" si="7"/>
        <v>1969</v>
      </c>
      <c r="J89">
        <f t="shared" si="8"/>
        <v>1.240737006603821</v>
      </c>
    </row>
    <row r="90" spans="3:10">
      <c r="C90">
        <v>28</v>
      </c>
      <c r="D90" s="68">
        <v>8919</v>
      </c>
      <c r="E90">
        <f t="shared" si="9"/>
        <v>8.9190000000000005</v>
      </c>
      <c r="F90">
        <f t="shared" si="5"/>
        <v>1.5557217611924521</v>
      </c>
      <c r="G90">
        <f t="shared" si="6"/>
        <v>1555.72</v>
      </c>
      <c r="H90">
        <f t="shared" si="7"/>
        <v>1930</v>
      </c>
      <c r="J90">
        <f t="shared" si="8"/>
        <v>1.2405831383539454</v>
      </c>
    </row>
    <row r="91" spans="3:10">
      <c r="C91">
        <v>29</v>
      </c>
      <c r="D91" s="68">
        <v>8589</v>
      </c>
      <c r="E91">
        <f t="shared" si="9"/>
        <v>8.5890000000000004</v>
      </c>
      <c r="F91">
        <f t="shared" si="5"/>
        <v>1.5247565764699553</v>
      </c>
      <c r="G91">
        <f t="shared" si="6"/>
        <v>1524.76</v>
      </c>
      <c r="H91">
        <f t="shared" si="7"/>
        <v>1892</v>
      </c>
      <c r="J91">
        <f t="shared" si="8"/>
        <v>1.2408510191767885</v>
      </c>
    </row>
    <row r="92" spans="3:10">
      <c r="C92">
        <v>30</v>
      </c>
      <c r="D92" s="68">
        <v>8274</v>
      </c>
      <c r="E92">
        <f t="shared" si="9"/>
        <v>8.2739999999999991</v>
      </c>
      <c r="F92">
        <f t="shared" si="5"/>
        <v>1.4941556309510777</v>
      </c>
      <c r="G92">
        <f t="shared" si="6"/>
        <v>1494.16</v>
      </c>
      <c r="H92">
        <f t="shared" si="7"/>
        <v>1854</v>
      </c>
      <c r="J92">
        <f t="shared" si="8"/>
        <v>1.2408309685709695</v>
      </c>
    </row>
    <row r="93" spans="3:10">
      <c r="C93">
        <v>31</v>
      </c>
      <c r="D93" s="68">
        <v>7971</v>
      </c>
      <c r="E93">
        <f t="shared" si="9"/>
        <v>7.9710000000000001</v>
      </c>
      <c r="F93">
        <f t="shared" si="5"/>
        <v>1.4637081965388681</v>
      </c>
      <c r="G93">
        <f t="shared" si="6"/>
        <v>1463.71</v>
      </c>
      <c r="H93">
        <f t="shared" si="7"/>
        <v>1816</v>
      </c>
      <c r="J93">
        <f t="shared" si="8"/>
        <v>1.2406829221635434</v>
      </c>
    </row>
    <row r="94" spans="3:10">
      <c r="C94">
        <v>32</v>
      </c>
      <c r="D94" s="68">
        <v>7681</v>
      </c>
      <c r="E94">
        <f t="shared" si="9"/>
        <v>7.681</v>
      </c>
      <c r="F94">
        <f t="shared" si="5"/>
        <v>1.4335897290877211</v>
      </c>
      <c r="G94">
        <f t="shared" si="6"/>
        <v>1433.59</v>
      </c>
      <c r="H94">
        <f t="shared" si="7"/>
        <v>1779</v>
      </c>
      <c r="J94">
        <f t="shared" si="8"/>
        <v>1.2409405757573644</v>
      </c>
    </row>
    <row r="95" spans="3:10">
      <c r="C95">
        <v>33</v>
      </c>
      <c r="D95" s="68">
        <v>7404</v>
      </c>
      <c r="E95">
        <f t="shared" si="9"/>
        <v>7.4039999999999999</v>
      </c>
      <c r="F95">
        <f t="shared" si="5"/>
        <v>1.4038841645598712</v>
      </c>
      <c r="G95">
        <f t="shared" si="6"/>
        <v>1403.88</v>
      </c>
      <c r="H95">
        <f t="shared" si="7"/>
        <v>1742</v>
      </c>
      <c r="J95">
        <f t="shared" si="8"/>
        <v>1.2408467960224521</v>
      </c>
    </row>
    <row r="96" spans="3:10">
      <c r="C96">
        <v>34</v>
      </c>
      <c r="D96" s="68">
        <v>7137</v>
      </c>
      <c r="E96">
        <f t="shared" si="9"/>
        <v>7.1369999999999996</v>
      </c>
      <c r="F96">
        <f t="shared" si="5"/>
        <v>1.3743420668728481</v>
      </c>
      <c r="G96">
        <f t="shared" si="6"/>
        <v>1374.34</v>
      </c>
      <c r="H96">
        <f t="shared" si="7"/>
        <v>1705</v>
      </c>
      <c r="J96">
        <f t="shared" si="8"/>
        <v>1.2405954858332</v>
      </c>
    </row>
    <row r="97" spans="3:10">
      <c r="C97">
        <v>35</v>
      </c>
      <c r="D97" s="68">
        <v>6882</v>
      </c>
      <c r="E97">
        <f t="shared" si="9"/>
        <v>6.8819999999999997</v>
      </c>
      <c r="F97">
        <f t="shared" si="5"/>
        <v>1.3452553015045612</v>
      </c>
      <c r="G97">
        <f t="shared" si="6"/>
        <v>1345.26</v>
      </c>
      <c r="H97">
        <f t="shared" si="7"/>
        <v>1669</v>
      </c>
      <c r="J97">
        <f t="shared" si="8"/>
        <v>1.2406523645986649</v>
      </c>
    </row>
    <row r="98" spans="3:10">
      <c r="C98">
        <v>36</v>
      </c>
      <c r="D98" s="68">
        <v>6638</v>
      </c>
      <c r="E98">
        <f t="shared" si="9"/>
        <v>6.6379999999999999</v>
      </c>
      <c r="F98">
        <f t="shared" si="5"/>
        <v>1.316588532275514</v>
      </c>
      <c r="G98">
        <f t="shared" si="6"/>
        <v>1316.59</v>
      </c>
      <c r="H98">
        <f t="shared" si="7"/>
        <v>1634</v>
      </c>
      <c r="J98">
        <f t="shared" si="8"/>
        <v>1.2410849239322796</v>
      </c>
    </row>
    <row r="99" spans="3:10">
      <c r="C99">
        <v>37</v>
      </c>
      <c r="D99" s="68">
        <v>6403</v>
      </c>
      <c r="E99">
        <f t="shared" si="9"/>
        <v>6.4029999999999996</v>
      </c>
      <c r="F99">
        <f t="shared" si="5"/>
        <v>1.288172895202097</v>
      </c>
      <c r="G99">
        <f t="shared" si="6"/>
        <v>1288.17</v>
      </c>
      <c r="H99">
        <f t="shared" si="7"/>
        <v>1598</v>
      </c>
      <c r="J99">
        <f t="shared" si="8"/>
        <v>1.2405194966502868</v>
      </c>
    </row>
    <row r="100" spans="3:10">
      <c r="C100">
        <v>38</v>
      </c>
      <c r="D100" s="68">
        <v>6178</v>
      </c>
      <c r="E100">
        <f t="shared" si="9"/>
        <v>6.1779999999999999</v>
      </c>
      <c r="F100">
        <f t="shared" si="5"/>
        <v>1.2601928544937568</v>
      </c>
      <c r="G100">
        <f t="shared" si="6"/>
        <v>1260.19</v>
      </c>
      <c r="H100">
        <f t="shared" si="7"/>
        <v>1564</v>
      </c>
      <c r="J100">
        <f t="shared" si="8"/>
        <v>1.2410826938794943</v>
      </c>
    </row>
    <row r="101" spans="3:10">
      <c r="C101">
        <v>39</v>
      </c>
      <c r="D101" s="68">
        <v>5962</v>
      </c>
      <c r="E101">
        <f t="shared" si="9"/>
        <v>5.9619999999999997</v>
      </c>
      <c r="F101">
        <f t="shared" si="5"/>
        <v>1.2325899010149102</v>
      </c>
      <c r="G101">
        <f t="shared" si="6"/>
        <v>1232.5899999999999</v>
      </c>
      <c r="H101">
        <f t="shared" si="7"/>
        <v>1529</v>
      </c>
      <c r="J101">
        <f t="shared" si="8"/>
        <v>1.2404773687925426</v>
      </c>
    </row>
    <row r="102" spans="3:10">
      <c r="C102">
        <v>40</v>
      </c>
      <c r="D102" s="68">
        <v>5755</v>
      </c>
      <c r="E102">
        <f t="shared" si="9"/>
        <v>5.7549999999999999</v>
      </c>
      <c r="F102">
        <f t="shared" si="5"/>
        <v>1.2054268486194859</v>
      </c>
      <c r="G102">
        <f t="shared" si="6"/>
        <v>1205.43</v>
      </c>
      <c r="H102">
        <f t="shared" si="7"/>
        <v>1496</v>
      </c>
      <c r="J102">
        <f t="shared" si="8"/>
        <v>1.2410509112930654</v>
      </c>
    </row>
    <row r="103" spans="3:10">
      <c r="C103">
        <v>41</v>
      </c>
      <c r="D103" s="68">
        <v>5556</v>
      </c>
      <c r="E103">
        <f t="shared" si="9"/>
        <v>5.556</v>
      </c>
      <c r="F103">
        <f t="shared" si="5"/>
        <v>1.1786320390845975</v>
      </c>
      <c r="G103">
        <f t="shared" si="6"/>
        <v>1178.6300000000001</v>
      </c>
      <c r="H103">
        <f t="shared" si="7"/>
        <v>1462</v>
      </c>
      <c r="J103">
        <f t="shared" si="8"/>
        <v>1.2404232032105069</v>
      </c>
    </row>
    <row r="104" spans="3:10">
      <c r="C104">
        <v>42</v>
      </c>
      <c r="D104" s="68">
        <v>5365</v>
      </c>
      <c r="E104">
        <f t="shared" si="9"/>
        <v>5.3650000000000002</v>
      </c>
      <c r="F104">
        <f t="shared" si="5"/>
        <v>1.152261633582818</v>
      </c>
      <c r="G104">
        <f t="shared" si="6"/>
        <v>1152.26</v>
      </c>
      <c r="H104">
        <f t="shared" si="7"/>
        <v>1430</v>
      </c>
      <c r="J104">
        <f t="shared" si="8"/>
        <v>1.2410393487580929</v>
      </c>
    </row>
    <row r="105" spans="3:10">
      <c r="C105">
        <v>43</v>
      </c>
      <c r="D105" s="68">
        <v>5182</v>
      </c>
      <c r="E105">
        <f t="shared" si="9"/>
        <v>5.1820000000000004</v>
      </c>
      <c r="F105">
        <f t="shared" si="5"/>
        <v>1.1263733368462654</v>
      </c>
      <c r="G105">
        <f t="shared" si="6"/>
        <v>1126.3699999999999</v>
      </c>
      <c r="H105">
        <f t="shared" si="7"/>
        <v>1398</v>
      </c>
      <c r="J105">
        <f t="shared" si="8"/>
        <v>1.2411552154265473</v>
      </c>
    </row>
    <row r="106" spans="3:10">
      <c r="C106">
        <v>44</v>
      </c>
      <c r="D106" s="68">
        <v>5006</v>
      </c>
      <c r="E106">
        <f t="shared" si="9"/>
        <v>5.0060000000000002</v>
      </c>
      <c r="F106">
        <f t="shared" si="5"/>
        <v>1.1008796481407437</v>
      </c>
      <c r="G106">
        <f t="shared" si="6"/>
        <v>1100.8800000000001</v>
      </c>
      <c r="H106">
        <f t="shared" si="7"/>
        <v>1366</v>
      </c>
      <c r="J106">
        <f t="shared" si="8"/>
        <v>1.2408255214010608</v>
      </c>
    </row>
    <row r="107" spans="3:10">
      <c r="C107">
        <v>45</v>
      </c>
      <c r="D107" s="68">
        <v>4837</v>
      </c>
      <c r="E107">
        <f t="shared" si="9"/>
        <v>4.8369999999999997</v>
      </c>
      <c r="F107">
        <f t="shared" si="5"/>
        <v>1.075830693536429</v>
      </c>
      <c r="G107">
        <f t="shared" si="6"/>
        <v>1075.83</v>
      </c>
      <c r="H107">
        <f t="shared" si="7"/>
        <v>1335</v>
      </c>
      <c r="J107">
        <f t="shared" si="8"/>
        <v>1.2409023730515045</v>
      </c>
    </row>
    <row r="108" spans="3:10">
      <c r="C108">
        <v>46</v>
      </c>
      <c r="D108" s="68">
        <v>4675</v>
      </c>
      <c r="E108">
        <f t="shared" si="9"/>
        <v>4.6749999999999998</v>
      </c>
      <c r="F108">
        <f t="shared" si="5"/>
        <v>1.0512776831345825</v>
      </c>
      <c r="G108">
        <f t="shared" si="6"/>
        <v>1051.28</v>
      </c>
      <c r="H108">
        <f t="shared" si="7"/>
        <v>1304</v>
      </c>
      <c r="J108">
        <f t="shared" si="8"/>
        <v>1.2403926641808083</v>
      </c>
    </row>
    <row r="109" spans="3:10">
      <c r="C109">
        <v>47</v>
      </c>
      <c r="D109" s="68">
        <v>4519</v>
      </c>
      <c r="E109">
        <f t="shared" si="9"/>
        <v>4.5190000000000001</v>
      </c>
      <c r="F109">
        <f t="shared" si="5"/>
        <v>1.0271161925752463</v>
      </c>
      <c r="G109">
        <f t="shared" si="6"/>
        <v>1027.1199999999999</v>
      </c>
      <c r="H109">
        <f t="shared" si="7"/>
        <v>1274</v>
      </c>
      <c r="J109">
        <f t="shared" si="8"/>
        <v>1.2403613988628399</v>
      </c>
    </row>
    <row r="110" spans="3:10">
      <c r="C110">
        <v>48</v>
      </c>
      <c r="D110" s="68">
        <v>4368</v>
      </c>
      <c r="E110">
        <f t="shared" si="9"/>
        <v>4.3680000000000003</v>
      </c>
      <c r="F110">
        <f t="shared" si="5"/>
        <v>1.0032293986636971</v>
      </c>
      <c r="G110">
        <f t="shared" si="6"/>
        <v>1003.23</v>
      </c>
      <c r="H110">
        <f t="shared" si="7"/>
        <v>1245</v>
      </c>
      <c r="J110">
        <f t="shared" si="8"/>
        <v>1.2409915971412337</v>
      </c>
    </row>
    <row r="111" spans="3:10">
      <c r="C111">
        <v>49</v>
      </c>
      <c r="D111" s="68">
        <v>4224</v>
      </c>
      <c r="E111">
        <f t="shared" si="9"/>
        <v>4.2240000000000002</v>
      </c>
      <c r="F111">
        <f t="shared" si="5"/>
        <v>0.97997750281214846</v>
      </c>
      <c r="G111">
        <f t="shared" si="6"/>
        <v>979.98</v>
      </c>
      <c r="H111">
        <f t="shared" si="7"/>
        <v>1216</v>
      </c>
      <c r="J111">
        <f t="shared" si="8"/>
        <v>1.2408416498295884</v>
      </c>
    </row>
    <row r="112" spans="3:10">
      <c r="C112">
        <v>50</v>
      </c>
      <c r="D112" s="68">
        <v>4085</v>
      </c>
      <c r="E112">
        <f t="shared" si="9"/>
        <v>4.085</v>
      </c>
      <c r="F112">
        <f t="shared" si="5"/>
        <v>0.95708200212992534</v>
      </c>
      <c r="G112">
        <f t="shared" si="6"/>
        <v>957.08</v>
      </c>
      <c r="H112">
        <f t="shared" si="7"/>
        <v>1187</v>
      </c>
      <c r="J112">
        <f t="shared" si="8"/>
        <v>1.2402307017177248</v>
      </c>
    </row>
    <row r="113" spans="3:10">
      <c r="C113">
        <v>51</v>
      </c>
      <c r="D113" s="68">
        <v>3952</v>
      </c>
      <c r="E113">
        <f t="shared" si="9"/>
        <v>3.952</v>
      </c>
      <c r="F113">
        <f t="shared" si="5"/>
        <v>0.93474770642201832</v>
      </c>
      <c r="G113">
        <f t="shared" si="6"/>
        <v>934.75</v>
      </c>
      <c r="H113">
        <f t="shared" si="7"/>
        <v>1160</v>
      </c>
      <c r="J113">
        <f t="shared" si="8"/>
        <v>1.2409735223321743</v>
      </c>
    </row>
    <row r="114" spans="3:10">
      <c r="C114">
        <v>52</v>
      </c>
      <c r="D114" s="68">
        <v>3823</v>
      </c>
      <c r="E114">
        <f t="shared" si="9"/>
        <v>3.823</v>
      </c>
      <c r="F114">
        <f t="shared" si="5"/>
        <v>0.91267452796064519</v>
      </c>
      <c r="G114">
        <f t="shared" si="6"/>
        <v>912.67</v>
      </c>
      <c r="H114">
        <f t="shared" si="7"/>
        <v>1132</v>
      </c>
      <c r="J114">
        <f t="shared" si="8"/>
        <v>1.2403168724730735</v>
      </c>
    </row>
    <row r="115" spans="3:10">
      <c r="C115">
        <v>53</v>
      </c>
      <c r="D115" s="68">
        <v>3699</v>
      </c>
      <c r="E115">
        <f t="shared" si="9"/>
        <v>3.6989999999999998</v>
      </c>
      <c r="F115">
        <f t="shared" si="5"/>
        <v>0.8910650412438863</v>
      </c>
      <c r="G115">
        <f t="shared" si="6"/>
        <v>891.07</v>
      </c>
      <c r="H115">
        <f t="shared" si="7"/>
        <v>1106</v>
      </c>
      <c r="J115">
        <f t="shared" si="8"/>
        <v>1.2412043947164644</v>
      </c>
    </row>
    <row r="116" spans="3:10">
      <c r="C116">
        <v>54</v>
      </c>
      <c r="D116" s="68">
        <v>3580</v>
      </c>
      <c r="E116">
        <f t="shared" si="9"/>
        <v>3.58</v>
      </c>
      <c r="F116">
        <f t="shared" si="5"/>
        <v>0.86995581737849781</v>
      </c>
      <c r="G116">
        <f t="shared" si="6"/>
        <v>869.96</v>
      </c>
      <c r="H116">
        <f t="shared" si="7"/>
        <v>1079</v>
      </c>
      <c r="J116">
        <f t="shared" si="8"/>
        <v>1.2402869097429767</v>
      </c>
    </row>
    <row r="117" spans="3:10">
      <c r="C117">
        <v>55</v>
      </c>
      <c r="D117" s="68">
        <v>3466</v>
      </c>
      <c r="E117">
        <f t="shared" si="9"/>
        <v>3.4660000000000002</v>
      </c>
      <c r="F117">
        <f t="shared" si="5"/>
        <v>0.84938363285311147</v>
      </c>
      <c r="G117">
        <f t="shared" si="6"/>
        <v>849.38</v>
      </c>
      <c r="H117">
        <f t="shared" si="7"/>
        <v>1054</v>
      </c>
      <c r="J117">
        <f t="shared" si="8"/>
        <v>1.2409051308012904</v>
      </c>
    </row>
    <row r="118" spans="3:10">
      <c r="C118">
        <v>56</v>
      </c>
      <c r="D118" s="68">
        <v>3356</v>
      </c>
      <c r="E118">
        <f t="shared" si="9"/>
        <v>3.3559999999999999</v>
      </c>
      <c r="F118">
        <f t="shared" si="5"/>
        <v>0.82920035938903858</v>
      </c>
      <c r="G118">
        <f t="shared" si="6"/>
        <v>829.2</v>
      </c>
      <c r="H118">
        <f t="shared" si="7"/>
        <v>1029</v>
      </c>
      <c r="J118">
        <f t="shared" si="8"/>
        <v>1.2409551374819101</v>
      </c>
    </row>
    <row r="119" spans="3:10">
      <c r="C119">
        <v>57</v>
      </c>
      <c r="D119" s="68">
        <v>3249</v>
      </c>
      <c r="E119">
        <f t="shared" si="9"/>
        <v>3.2490000000000001</v>
      </c>
      <c r="F119">
        <f t="shared" si="5"/>
        <v>0.80924598082874177</v>
      </c>
      <c r="G119">
        <f t="shared" si="6"/>
        <v>809.25</v>
      </c>
      <c r="H119">
        <f t="shared" si="7"/>
        <v>1004</v>
      </c>
      <c r="J119">
        <f t="shared" si="8"/>
        <v>1.2406549274019154</v>
      </c>
    </row>
    <row r="120" spans="3:10">
      <c r="C120">
        <v>58</v>
      </c>
      <c r="D120" s="68">
        <v>3147</v>
      </c>
      <c r="E120">
        <f t="shared" si="9"/>
        <v>3.1469999999999998</v>
      </c>
      <c r="F120">
        <f t="shared" si="5"/>
        <v>0.78992165513044788</v>
      </c>
      <c r="G120">
        <f t="shared" si="6"/>
        <v>789.92</v>
      </c>
      <c r="H120">
        <f t="shared" si="7"/>
        <v>980</v>
      </c>
      <c r="J120">
        <f t="shared" si="8"/>
        <v>1.2406319627304032</v>
      </c>
    </row>
    <row r="121" spans="3:10">
      <c r="C121">
        <v>59</v>
      </c>
      <c r="D121" s="68">
        <v>3049</v>
      </c>
      <c r="E121">
        <f t="shared" si="9"/>
        <v>3.0489999999999999</v>
      </c>
      <c r="F121">
        <f t="shared" si="5"/>
        <v>0.77107058012108209</v>
      </c>
      <c r="G121">
        <f t="shared" si="6"/>
        <v>771.07</v>
      </c>
      <c r="H121">
        <f t="shared" si="7"/>
        <v>957</v>
      </c>
      <c r="J121">
        <f t="shared" si="8"/>
        <v>1.241132452306535</v>
      </c>
    </row>
    <row r="122" spans="3:10">
      <c r="C122">
        <v>60</v>
      </c>
      <c r="D122" s="68">
        <v>2954</v>
      </c>
      <c r="E122">
        <f t="shared" si="9"/>
        <v>2.9540000000000002</v>
      </c>
      <c r="F122">
        <f t="shared" si="5"/>
        <v>0.75252431681333942</v>
      </c>
      <c r="G122">
        <f t="shared" si="6"/>
        <v>752.52</v>
      </c>
      <c r="H122">
        <f t="shared" si="7"/>
        <v>934</v>
      </c>
      <c r="J122">
        <f t="shared" si="8"/>
        <v>1.2411630255674269</v>
      </c>
    </row>
    <row r="123" spans="3:10">
      <c r="C123">
        <v>61</v>
      </c>
      <c r="D123" s="68">
        <v>2862</v>
      </c>
      <c r="E123">
        <f t="shared" si="9"/>
        <v>2.8620000000000001</v>
      </c>
      <c r="F123">
        <f t="shared" si="5"/>
        <v>0.73430259679676568</v>
      </c>
      <c r="G123">
        <f t="shared" si="6"/>
        <v>734.3</v>
      </c>
      <c r="H123">
        <f t="shared" si="7"/>
        <v>911</v>
      </c>
      <c r="J123">
        <f t="shared" si="8"/>
        <v>1.2406373416859595</v>
      </c>
    </row>
    <row r="124" spans="3:10">
      <c r="C124">
        <v>62</v>
      </c>
      <c r="D124" s="68">
        <v>2774</v>
      </c>
      <c r="E124">
        <f t="shared" si="9"/>
        <v>2.774</v>
      </c>
      <c r="F124">
        <f t="shared" si="5"/>
        <v>0.71662752465946444</v>
      </c>
      <c r="G124">
        <f t="shared" si="6"/>
        <v>716.63</v>
      </c>
      <c r="H124">
        <f t="shared" si="7"/>
        <v>889</v>
      </c>
      <c r="J124">
        <f t="shared" si="8"/>
        <v>1.240528585183428</v>
      </c>
    </row>
    <row r="125" spans="3:10">
      <c r="C125">
        <v>63</v>
      </c>
      <c r="D125" s="68">
        <v>2689</v>
      </c>
      <c r="E125">
        <f t="shared" si="9"/>
        <v>2.6890000000000001</v>
      </c>
      <c r="F125">
        <f t="shared" si="5"/>
        <v>0.69932224761604544</v>
      </c>
      <c r="G125">
        <f t="shared" si="6"/>
        <v>699.32</v>
      </c>
      <c r="H125">
        <f t="shared" si="7"/>
        <v>868</v>
      </c>
      <c r="J125">
        <f t="shared" si="8"/>
        <v>1.2412057427215009</v>
      </c>
    </row>
    <row r="126" spans="3:10">
      <c r="C126">
        <v>64</v>
      </c>
      <c r="D126" s="68">
        <v>2607</v>
      </c>
      <c r="E126">
        <f t="shared" si="9"/>
        <v>2.6070000000000002</v>
      </c>
      <c r="F126">
        <f t="shared" si="5"/>
        <v>0.6824065995082097</v>
      </c>
      <c r="G126">
        <f t="shared" si="6"/>
        <v>682.41</v>
      </c>
      <c r="H126">
        <f t="shared" si="7"/>
        <v>847</v>
      </c>
      <c r="J126">
        <f t="shared" si="8"/>
        <v>1.241189314341818</v>
      </c>
    </row>
    <row r="127" spans="3:10">
      <c r="C127">
        <v>65</v>
      </c>
      <c r="D127" s="68">
        <v>2528</v>
      </c>
      <c r="E127">
        <f t="shared" si="9"/>
        <v>2.528</v>
      </c>
      <c r="F127">
        <f t="shared" ref="F127:F162" si="10">$E$16/($E$17+E127)*E127</f>
        <v>0.66590038314176248</v>
      </c>
      <c r="G127">
        <f t="shared" ref="G127:G162" si="11">ROUND((F127*1000),2)</f>
        <v>665.9</v>
      </c>
      <c r="H127">
        <f t="shared" ref="H127:H162" si="12">ROUNDDOWN(G127/$I$10,0)</f>
        <v>826</v>
      </c>
      <c r="J127">
        <f t="shared" ref="J127:J162" si="13">H127/G127</f>
        <v>1.2404264904640336</v>
      </c>
    </row>
    <row r="128" spans="3:10">
      <c r="C128">
        <v>66</v>
      </c>
      <c r="D128" s="68">
        <v>2452</v>
      </c>
      <c r="E128">
        <f t="shared" si="9"/>
        <v>2.452</v>
      </c>
      <c r="F128">
        <f t="shared" si="10"/>
        <v>0.64982332155477029</v>
      </c>
      <c r="G128">
        <f t="shared" si="11"/>
        <v>649.82000000000005</v>
      </c>
      <c r="H128">
        <f t="shared" si="12"/>
        <v>806</v>
      </c>
      <c r="J128">
        <f t="shared" si="13"/>
        <v>1.240343479732849</v>
      </c>
    </row>
    <row r="129" spans="3:10">
      <c r="C129">
        <v>67</v>
      </c>
      <c r="D129" s="68">
        <v>2379</v>
      </c>
      <c r="E129">
        <f t="shared" si="9"/>
        <v>2.379</v>
      </c>
      <c r="F129">
        <f t="shared" si="10"/>
        <v>0.63419500767428705</v>
      </c>
      <c r="G129">
        <f t="shared" si="11"/>
        <v>634.20000000000005</v>
      </c>
      <c r="H129">
        <f t="shared" si="12"/>
        <v>787</v>
      </c>
      <c r="J129">
        <f t="shared" si="13"/>
        <v>1.2409334594765058</v>
      </c>
    </row>
    <row r="130" spans="3:10">
      <c r="C130">
        <v>68</v>
      </c>
      <c r="D130" s="68">
        <v>2308</v>
      </c>
      <c r="E130">
        <f t="shared" si="9"/>
        <v>2.3079999999999998</v>
      </c>
      <c r="F130">
        <f t="shared" si="10"/>
        <v>0.61881702957426066</v>
      </c>
      <c r="G130">
        <f t="shared" si="11"/>
        <v>618.82000000000005</v>
      </c>
      <c r="H130">
        <f t="shared" si="12"/>
        <v>768</v>
      </c>
      <c r="J130">
        <f t="shared" si="13"/>
        <v>1.2410717171390711</v>
      </c>
    </row>
    <row r="131" spans="3:10">
      <c r="C131">
        <v>69</v>
      </c>
      <c r="D131" s="68">
        <v>2240</v>
      </c>
      <c r="E131">
        <f t="shared" si="9"/>
        <v>2.2400000000000002</v>
      </c>
      <c r="F131">
        <f t="shared" si="10"/>
        <v>0.60392156862745106</v>
      </c>
      <c r="G131">
        <f t="shared" si="11"/>
        <v>603.91999999999996</v>
      </c>
      <c r="H131">
        <f t="shared" si="12"/>
        <v>749</v>
      </c>
      <c r="J131">
        <f t="shared" si="13"/>
        <v>1.2402304941051796</v>
      </c>
    </row>
    <row r="132" spans="3:10">
      <c r="C132">
        <v>70</v>
      </c>
      <c r="D132" s="68">
        <v>2174</v>
      </c>
      <c r="E132">
        <f t="shared" si="9"/>
        <v>2.1739999999999999</v>
      </c>
      <c r="F132">
        <f t="shared" si="10"/>
        <v>0.58930507639231144</v>
      </c>
      <c r="G132">
        <f t="shared" si="11"/>
        <v>589.30999999999995</v>
      </c>
      <c r="H132">
        <f t="shared" si="12"/>
        <v>731</v>
      </c>
      <c r="J132">
        <f t="shared" si="13"/>
        <v>1.2404337275797119</v>
      </c>
    </row>
    <row r="133" spans="3:10">
      <c r="C133">
        <v>71</v>
      </c>
      <c r="D133" s="68">
        <v>2110</v>
      </c>
      <c r="E133">
        <f t="shared" si="9"/>
        <v>2.11</v>
      </c>
      <c r="F133">
        <f t="shared" si="10"/>
        <v>0.57497935590421134</v>
      </c>
      <c r="G133">
        <f t="shared" si="11"/>
        <v>574.98</v>
      </c>
      <c r="H133">
        <f t="shared" si="12"/>
        <v>713</v>
      </c>
      <c r="J133">
        <f t="shared" si="13"/>
        <v>1.2400431319350238</v>
      </c>
    </row>
    <row r="134" spans="3:10">
      <c r="C134">
        <v>72</v>
      </c>
      <c r="D134" s="68">
        <v>2048</v>
      </c>
      <c r="E134">
        <f t="shared" si="9"/>
        <v>2.048</v>
      </c>
      <c r="F134">
        <f t="shared" si="10"/>
        <v>0.5609561752988047</v>
      </c>
      <c r="G134">
        <f t="shared" si="11"/>
        <v>560.96</v>
      </c>
      <c r="H134">
        <f t="shared" si="12"/>
        <v>696</v>
      </c>
      <c r="J134">
        <f t="shared" si="13"/>
        <v>1.2407301768397032</v>
      </c>
    </row>
    <row r="135" spans="3:10">
      <c r="C135">
        <v>73</v>
      </c>
      <c r="D135" s="68">
        <v>1989</v>
      </c>
      <c r="E135">
        <f t="shared" si="9"/>
        <v>1.9890000000000001</v>
      </c>
      <c r="F135">
        <f t="shared" si="10"/>
        <v>0.547476853782634</v>
      </c>
      <c r="G135">
        <f t="shared" si="11"/>
        <v>547.48</v>
      </c>
      <c r="H135">
        <f t="shared" si="12"/>
        <v>679</v>
      </c>
      <c r="J135">
        <f t="shared" si="13"/>
        <v>1.2402279535325491</v>
      </c>
    </row>
    <row r="136" spans="3:10">
      <c r="C136">
        <v>74</v>
      </c>
      <c r="D136" s="68">
        <v>1931</v>
      </c>
      <c r="E136">
        <f t="shared" si="9"/>
        <v>1.931</v>
      </c>
      <c r="F136">
        <f t="shared" si="10"/>
        <v>0.5340960523007291</v>
      </c>
      <c r="G136">
        <f t="shared" si="11"/>
        <v>534.1</v>
      </c>
      <c r="H136">
        <f t="shared" si="12"/>
        <v>662</v>
      </c>
      <c r="J136">
        <f t="shared" si="13"/>
        <v>1.2394682643699682</v>
      </c>
    </row>
    <row r="137" spans="3:10">
      <c r="C137">
        <v>75</v>
      </c>
      <c r="D137" s="68">
        <v>1876</v>
      </c>
      <c r="E137">
        <f t="shared" si="9"/>
        <v>1.8759999999999999</v>
      </c>
      <c r="F137">
        <f t="shared" si="10"/>
        <v>0.52128662849444252</v>
      </c>
      <c r="G137">
        <f t="shared" si="11"/>
        <v>521.29</v>
      </c>
      <c r="H137">
        <f t="shared" si="12"/>
        <v>647</v>
      </c>
      <c r="J137">
        <f t="shared" si="13"/>
        <v>1.2411517581384643</v>
      </c>
    </row>
    <row r="138" spans="3:10">
      <c r="C138">
        <v>76</v>
      </c>
      <c r="D138" s="68">
        <v>1822</v>
      </c>
      <c r="E138">
        <f t="shared" si="9"/>
        <v>1.8220000000000001</v>
      </c>
      <c r="F138">
        <f t="shared" si="10"/>
        <v>0.50859414650651324</v>
      </c>
      <c r="G138">
        <f t="shared" si="11"/>
        <v>508.59</v>
      </c>
      <c r="H138">
        <f t="shared" si="12"/>
        <v>631</v>
      </c>
      <c r="J138">
        <f t="shared" si="13"/>
        <v>1.2406850311645923</v>
      </c>
    </row>
    <row r="139" spans="3:10">
      <c r="C139">
        <v>77</v>
      </c>
      <c r="D139" s="68">
        <v>1771</v>
      </c>
      <c r="E139">
        <f t="shared" si="9"/>
        <v>1.7709999999999999</v>
      </c>
      <c r="F139">
        <f t="shared" si="10"/>
        <v>0.49649987256817596</v>
      </c>
      <c r="G139">
        <f t="shared" si="11"/>
        <v>496.5</v>
      </c>
      <c r="H139">
        <f t="shared" si="12"/>
        <v>616</v>
      </c>
      <c r="J139">
        <f t="shared" si="13"/>
        <v>1.2406847935548841</v>
      </c>
    </row>
    <row r="140" spans="3:10">
      <c r="C140">
        <v>78</v>
      </c>
      <c r="D140" s="68">
        <v>1721</v>
      </c>
      <c r="E140">
        <f t="shared" si="9"/>
        <v>1.7210000000000001</v>
      </c>
      <c r="F140">
        <f t="shared" si="10"/>
        <v>0.48454056821090352</v>
      </c>
      <c r="G140">
        <f t="shared" si="11"/>
        <v>484.54</v>
      </c>
      <c r="H140">
        <f t="shared" si="12"/>
        <v>601</v>
      </c>
      <c r="J140">
        <f t="shared" si="13"/>
        <v>1.2403516737524249</v>
      </c>
    </row>
    <row r="141" spans="3:10">
      <c r="C141">
        <v>79</v>
      </c>
      <c r="D141" s="68">
        <v>1672</v>
      </c>
      <c r="E141">
        <f t="shared" si="9"/>
        <v>1.6719999999999999</v>
      </c>
      <c r="F141">
        <f t="shared" si="10"/>
        <v>0.47272104180945845</v>
      </c>
      <c r="G141">
        <f t="shared" si="11"/>
        <v>472.72</v>
      </c>
      <c r="H141">
        <f t="shared" si="12"/>
        <v>586</v>
      </c>
      <c r="J141">
        <f t="shared" si="13"/>
        <v>1.2396344559147063</v>
      </c>
    </row>
    <row r="142" spans="3:10">
      <c r="C142">
        <v>80</v>
      </c>
      <c r="D142" s="68">
        <v>1626</v>
      </c>
      <c r="E142">
        <f t="shared" si="9"/>
        <v>1.6259999999999999</v>
      </c>
      <c r="F142">
        <f t="shared" si="10"/>
        <v>0.46153449165663168</v>
      </c>
      <c r="G142">
        <f t="shared" si="11"/>
        <v>461.53</v>
      </c>
      <c r="H142">
        <f t="shared" si="12"/>
        <v>572</v>
      </c>
      <c r="J142">
        <f t="shared" si="13"/>
        <v>1.2393560548610059</v>
      </c>
    </row>
    <row r="143" spans="3:10">
      <c r="C143">
        <v>81</v>
      </c>
      <c r="D143" s="68">
        <v>1580</v>
      </c>
      <c r="E143">
        <f t="shared" si="9"/>
        <v>1.58</v>
      </c>
      <c r="F143">
        <f t="shared" si="10"/>
        <v>0.45025906735751292</v>
      </c>
      <c r="G143">
        <f t="shared" si="11"/>
        <v>450.26</v>
      </c>
      <c r="H143">
        <f t="shared" si="12"/>
        <v>558</v>
      </c>
      <c r="J143">
        <f t="shared" si="13"/>
        <v>1.2392839692622042</v>
      </c>
    </row>
    <row r="144" spans="3:10">
      <c r="C144">
        <v>82</v>
      </c>
      <c r="D144" s="68">
        <v>1537</v>
      </c>
      <c r="E144">
        <f t="shared" si="9"/>
        <v>1.5369999999999999</v>
      </c>
      <c r="F144">
        <f t="shared" si="10"/>
        <v>0.43963768744040915</v>
      </c>
      <c r="G144">
        <f t="shared" si="11"/>
        <v>439.64</v>
      </c>
      <c r="H144">
        <f t="shared" si="12"/>
        <v>545</v>
      </c>
      <c r="J144">
        <f t="shared" si="13"/>
        <v>1.2396506232371942</v>
      </c>
    </row>
    <row r="145" spans="3:10">
      <c r="C145">
        <v>83</v>
      </c>
      <c r="D145" s="68">
        <v>1494</v>
      </c>
      <c r="E145">
        <f t="shared" si="9"/>
        <v>1.494</v>
      </c>
      <c r="F145">
        <f t="shared" si="10"/>
        <v>0.42893683661040538</v>
      </c>
      <c r="G145">
        <f t="shared" si="11"/>
        <v>428.94</v>
      </c>
      <c r="H145">
        <f t="shared" si="12"/>
        <v>532</v>
      </c>
      <c r="J145">
        <f t="shared" si="13"/>
        <v>1.2402667039679209</v>
      </c>
    </row>
    <row r="146" spans="3:10">
      <c r="C146">
        <v>84</v>
      </c>
      <c r="D146" s="68">
        <v>1453</v>
      </c>
      <c r="E146">
        <f t="shared" si="9"/>
        <v>1.4530000000000001</v>
      </c>
      <c r="F146">
        <f t="shared" si="10"/>
        <v>0.41865886667248758</v>
      </c>
      <c r="G146">
        <f t="shared" si="11"/>
        <v>418.66</v>
      </c>
      <c r="H146">
        <f t="shared" si="12"/>
        <v>519</v>
      </c>
      <c r="J146">
        <f t="shared" si="13"/>
        <v>1.2396694214876032</v>
      </c>
    </row>
    <row r="147" spans="3:10">
      <c r="C147">
        <v>85</v>
      </c>
      <c r="D147" s="68">
        <v>1414</v>
      </c>
      <c r="E147">
        <f t="shared" si="9"/>
        <v>1.4139999999999999</v>
      </c>
      <c r="F147">
        <f t="shared" si="10"/>
        <v>0.40881373751533201</v>
      </c>
      <c r="G147">
        <f t="shared" si="11"/>
        <v>408.81</v>
      </c>
      <c r="H147">
        <f t="shared" si="12"/>
        <v>507</v>
      </c>
      <c r="J147">
        <f t="shared" si="13"/>
        <v>1.240184926983195</v>
      </c>
    </row>
    <row r="148" spans="3:10">
      <c r="C148">
        <v>86</v>
      </c>
      <c r="D148" s="68">
        <v>1376</v>
      </c>
      <c r="E148">
        <f t="shared" si="9"/>
        <v>1.3759999999999999</v>
      </c>
      <c r="F148">
        <f t="shared" si="10"/>
        <v>0.39915611814345991</v>
      </c>
      <c r="G148">
        <f t="shared" si="11"/>
        <v>399.16</v>
      </c>
      <c r="H148">
        <f t="shared" si="12"/>
        <v>495</v>
      </c>
      <c r="J148">
        <f t="shared" si="13"/>
        <v>1.2401042188596052</v>
      </c>
    </row>
    <row r="149" spans="3:10">
      <c r="C149">
        <v>87</v>
      </c>
      <c r="D149" s="68">
        <v>1339</v>
      </c>
      <c r="E149">
        <f t="shared" si="9"/>
        <v>1.339</v>
      </c>
      <c r="F149">
        <f t="shared" si="10"/>
        <v>0.38969044889320043</v>
      </c>
      <c r="G149">
        <f t="shared" si="11"/>
        <v>389.69</v>
      </c>
      <c r="H149">
        <f t="shared" si="12"/>
        <v>483</v>
      </c>
      <c r="J149">
        <f t="shared" si="13"/>
        <v>1.2394467397161846</v>
      </c>
    </row>
    <row r="150" spans="3:10">
      <c r="C150">
        <v>88</v>
      </c>
      <c r="D150" s="68">
        <v>1303</v>
      </c>
      <c r="E150">
        <f t="shared" ref="E150:E162" si="14">D150/1000</f>
        <v>1.3029999999999999</v>
      </c>
      <c r="F150">
        <f t="shared" si="10"/>
        <v>0.38042112713438908</v>
      </c>
      <c r="G150">
        <f t="shared" si="11"/>
        <v>380.42</v>
      </c>
      <c r="H150">
        <f t="shared" si="12"/>
        <v>472</v>
      </c>
      <c r="J150">
        <f t="shared" si="13"/>
        <v>1.2407339256611114</v>
      </c>
    </row>
    <row r="151" spans="3:10">
      <c r="C151">
        <v>89</v>
      </c>
      <c r="D151" s="68">
        <v>1268</v>
      </c>
      <c r="E151">
        <f t="shared" si="14"/>
        <v>1.268</v>
      </c>
      <c r="F151">
        <f t="shared" si="10"/>
        <v>0.37135250266240682</v>
      </c>
      <c r="G151">
        <f t="shared" si="11"/>
        <v>371.35</v>
      </c>
      <c r="H151">
        <f t="shared" si="12"/>
        <v>460</v>
      </c>
      <c r="J151">
        <f t="shared" si="13"/>
        <v>1.2387235761411066</v>
      </c>
    </row>
    <row r="152" spans="3:10">
      <c r="C152">
        <v>90</v>
      </c>
      <c r="D152" s="68">
        <v>1234</v>
      </c>
      <c r="E152">
        <f t="shared" si="14"/>
        <v>1.234</v>
      </c>
      <c r="F152">
        <f t="shared" si="10"/>
        <v>0.36248887306391309</v>
      </c>
      <c r="G152">
        <f t="shared" si="11"/>
        <v>362.49</v>
      </c>
      <c r="H152">
        <f t="shared" si="12"/>
        <v>449</v>
      </c>
      <c r="J152">
        <f t="shared" si="13"/>
        <v>1.2386548594443985</v>
      </c>
    </row>
    <row r="153" spans="3:10">
      <c r="C153">
        <v>91</v>
      </c>
      <c r="D153" s="68">
        <v>1202</v>
      </c>
      <c r="E153">
        <f t="shared" si="14"/>
        <v>1.202</v>
      </c>
      <c r="F153">
        <f t="shared" si="10"/>
        <v>0.35409748259239421</v>
      </c>
      <c r="G153">
        <f t="shared" si="11"/>
        <v>354.1</v>
      </c>
      <c r="H153">
        <f t="shared" si="12"/>
        <v>439</v>
      </c>
      <c r="J153">
        <f t="shared" si="13"/>
        <v>1.2397627788760237</v>
      </c>
    </row>
    <row r="154" spans="3:10">
      <c r="C154">
        <v>92</v>
      </c>
      <c r="D154" s="68">
        <v>1170</v>
      </c>
      <c r="E154">
        <f t="shared" si="14"/>
        <v>1.17</v>
      </c>
      <c r="F154">
        <f t="shared" si="10"/>
        <v>0.34565801253357203</v>
      </c>
      <c r="G154">
        <f t="shared" si="11"/>
        <v>345.66</v>
      </c>
      <c r="H154">
        <f t="shared" si="12"/>
        <v>429</v>
      </c>
      <c r="J154">
        <f t="shared" si="13"/>
        <v>1.2411039750043393</v>
      </c>
    </row>
    <row r="155" spans="3:10">
      <c r="C155">
        <v>93</v>
      </c>
      <c r="D155" s="68">
        <v>1139</v>
      </c>
      <c r="E155">
        <f t="shared" si="14"/>
        <v>1.139</v>
      </c>
      <c r="F155">
        <f t="shared" si="10"/>
        <v>0.33743603555076757</v>
      </c>
      <c r="G155">
        <f t="shared" si="11"/>
        <v>337.44</v>
      </c>
      <c r="H155">
        <f t="shared" si="12"/>
        <v>418</v>
      </c>
      <c r="J155">
        <f t="shared" si="13"/>
        <v>1.2387387387387387</v>
      </c>
    </row>
    <row r="156" spans="3:10">
      <c r="C156">
        <v>94</v>
      </c>
      <c r="D156" s="68">
        <v>1110</v>
      </c>
      <c r="E156">
        <f t="shared" si="14"/>
        <v>1.1100000000000001</v>
      </c>
      <c r="F156">
        <f t="shared" si="10"/>
        <v>0.32970297029702972</v>
      </c>
      <c r="G156">
        <f t="shared" si="11"/>
        <v>329.7</v>
      </c>
      <c r="H156">
        <f t="shared" si="12"/>
        <v>409</v>
      </c>
      <c r="J156">
        <f t="shared" si="13"/>
        <v>1.2405216863815591</v>
      </c>
    </row>
    <row r="157" spans="3:10">
      <c r="C157">
        <v>95</v>
      </c>
      <c r="D157" s="68">
        <v>1081</v>
      </c>
      <c r="E157">
        <f t="shared" si="14"/>
        <v>1.081</v>
      </c>
      <c r="F157">
        <f t="shared" si="10"/>
        <v>0.32192942875191766</v>
      </c>
      <c r="G157">
        <f t="shared" si="11"/>
        <v>321.93</v>
      </c>
      <c r="H157">
        <f t="shared" si="12"/>
        <v>399</v>
      </c>
      <c r="J157">
        <f t="shared" si="13"/>
        <v>1.2393998695368558</v>
      </c>
    </row>
    <row r="158" spans="3:10">
      <c r="C158">
        <v>96</v>
      </c>
      <c r="D158" s="68">
        <v>1053</v>
      </c>
      <c r="E158">
        <f t="shared" si="14"/>
        <v>1.0529999999999999</v>
      </c>
      <c r="F158">
        <f t="shared" si="10"/>
        <v>0.31438523477788827</v>
      </c>
      <c r="G158">
        <f t="shared" si="11"/>
        <v>314.39</v>
      </c>
      <c r="H158">
        <f t="shared" si="12"/>
        <v>390</v>
      </c>
      <c r="J158">
        <f t="shared" si="13"/>
        <v>1.2404974712936163</v>
      </c>
    </row>
    <row r="159" spans="3:10">
      <c r="C159">
        <v>97</v>
      </c>
      <c r="D159" s="68">
        <v>1026</v>
      </c>
      <c r="E159">
        <f t="shared" si="14"/>
        <v>1.026</v>
      </c>
      <c r="F159">
        <f t="shared" si="10"/>
        <v>0.30707418828224198</v>
      </c>
      <c r="G159">
        <f t="shared" si="11"/>
        <v>307.07</v>
      </c>
      <c r="H159">
        <f t="shared" si="12"/>
        <v>381</v>
      </c>
      <c r="J159">
        <f t="shared" si="13"/>
        <v>1.2407594359592276</v>
      </c>
    </row>
    <row r="160" spans="3:10">
      <c r="C160">
        <v>98</v>
      </c>
      <c r="D160" s="68">
        <v>999.8</v>
      </c>
      <c r="E160">
        <f t="shared" si="14"/>
        <v>0.99979999999999991</v>
      </c>
      <c r="F160">
        <f t="shared" si="10"/>
        <v>0.29994545355370089</v>
      </c>
      <c r="G160">
        <f t="shared" si="11"/>
        <v>299.95</v>
      </c>
      <c r="H160">
        <f t="shared" si="12"/>
        <v>372</v>
      </c>
      <c r="J160">
        <f t="shared" si="13"/>
        <v>1.2402067011168529</v>
      </c>
    </row>
    <row r="161" spans="3:15">
      <c r="C161">
        <v>99</v>
      </c>
      <c r="D161" s="68">
        <v>974.4</v>
      </c>
      <c r="E161">
        <f t="shared" si="14"/>
        <v>0.97439999999999993</v>
      </c>
      <c r="F161">
        <f t="shared" si="10"/>
        <v>0.29300189532001747</v>
      </c>
      <c r="G161">
        <f t="shared" si="11"/>
        <v>293</v>
      </c>
      <c r="H161">
        <f t="shared" si="12"/>
        <v>363</v>
      </c>
      <c r="J161">
        <f t="shared" si="13"/>
        <v>1.2389078498293515</v>
      </c>
    </row>
    <row r="162" spans="3:15">
      <c r="C162">
        <v>100</v>
      </c>
      <c r="D162" s="68">
        <v>949.8</v>
      </c>
      <c r="E162">
        <f t="shared" si="14"/>
        <v>0.94979999999999998</v>
      </c>
      <c r="F162">
        <f t="shared" si="10"/>
        <v>0.28624632413377415</v>
      </c>
      <c r="G162">
        <f t="shared" si="11"/>
        <v>286.25</v>
      </c>
      <c r="H162">
        <f t="shared" si="12"/>
        <v>355</v>
      </c>
      <c r="J162">
        <f t="shared" si="13"/>
        <v>1.240174672489083</v>
      </c>
      <c r="N162">
        <v>2863</v>
      </c>
      <c r="O162">
        <v>3544</v>
      </c>
    </row>
    <row r="163" spans="3:15">
      <c r="N163">
        <v>2849</v>
      </c>
      <c r="O163">
        <v>3537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5"/>
  <dimension ref="A1:T187"/>
  <sheetViews>
    <sheetView zoomScale="85" zoomScaleNormal="85" workbookViewId="0">
      <selection activeCell="F2" sqref="F2"/>
    </sheetView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192</v>
      </c>
    </row>
    <row r="2" spans="1:20">
      <c r="A2" t="s">
        <v>38</v>
      </c>
      <c r="F2" t="s">
        <v>2007</v>
      </c>
    </row>
    <row r="3" spans="1:20" ht="21.75" thickBot="1">
      <c r="A3" t="s">
        <v>39</v>
      </c>
      <c r="F3" s="82" t="s">
        <v>224</v>
      </c>
    </row>
    <row r="4" spans="1:20" ht="21">
      <c r="A4" t="s">
        <v>197</v>
      </c>
      <c r="F4" s="83" t="s">
        <v>2008</v>
      </c>
    </row>
    <row r="5" spans="1:20">
      <c r="A5" t="s">
        <v>197</v>
      </c>
    </row>
    <row r="6" spans="1:20">
      <c r="A6" t="s">
        <v>50</v>
      </c>
    </row>
    <row r="7" spans="1:20">
      <c r="A7" t="s">
        <v>38</v>
      </c>
      <c r="H7" s="5" t="s">
        <v>14</v>
      </c>
    </row>
    <row r="8" spans="1:20">
      <c r="A8" t="s">
        <v>193</v>
      </c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A9" t="s">
        <v>44</v>
      </c>
      <c r="H9" t="s">
        <v>17</v>
      </c>
      <c r="I9" s="1">
        <v>3.3</v>
      </c>
      <c r="J9" t="s">
        <v>18</v>
      </c>
    </row>
    <row r="10" spans="1:20">
      <c r="A10" t="s">
        <v>45</v>
      </c>
      <c r="H10" t="s">
        <v>20</v>
      </c>
      <c r="I10">
        <f>I9/K8*1000</f>
        <v>0.8056640625</v>
      </c>
      <c r="J10" t="s">
        <v>19</v>
      </c>
    </row>
    <row r="11" spans="1:20">
      <c r="A11" t="s">
        <v>46</v>
      </c>
    </row>
    <row r="12" spans="1:20">
      <c r="A12" t="s">
        <v>47</v>
      </c>
      <c r="G12" t="s">
        <v>53</v>
      </c>
      <c r="H12" s="8" t="s">
        <v>54</v>
      </c>
      <c r="I12">
        <f>1/I10</f>
        <v>1.2412121212121212</v>
      </c>
    </row>
    <row r="13" spans="1:20" ht="17.25" thickBot="1">
      <c r="A13" t="s">
        <v>48</v>
      </c>
    </row>
    <row r="14" spans="1:20" ht="17.25" thickTop="1">
      <c r="A14" t="s">
        <v>49</v>
      </c>
      <c r="H14" s="90" t="s">
        <v>240</v>
      </c>
      <c r="I14" s="79"/>
      <c r="J14" s="104">
        <v>20</v>
      </c>
      <c r="K14" s="79" t="s">
        <v>241</v>
      </c>
      <c r="L14" s="91"/>
      <c r="O14" s="932" t="s">
        <v>236</v>
      </c>
      <c r="P14" s="933"/>
      <c r="Q14" s="85" t="s">
        <v>245</v>
      </c>
      <c r="R14" s="85"/>
      <c r="S14" s="85"/>
      <c r="T14" s="86"/>
    </row>
    <row r="15" spans="1:20" ht="17.25" thickBot="1">
      <c r="H15" s="936" t="s">
        <v>111</v>
      </c>
      <c r="I15" s="937"/>
      <c r="J15" s="87">
        <f>VLOOKUP(J14,D22:J187,5)</f>
        <v>2242</v>
      </c>
      <c r="K15" s="81" t="s">
        <v>242</v>
      </c>
      <c r="L15" s="15"/>
      <c r="O15" s="934"/>
      <c r="P15" s="935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6" t="s">
        <v>104</v>
      </c>
      <c r="I16" s="937"/>
      <c r="J16" s="80">
        <v>2900</v>
      </c>
      <c r="K16" s="81"/>
      <c r="L16" s="15"/>
      <c r="M16" t="s">
        <v>243</v>
      </c>
      <c r="O16" s="932" t="s">
        <v>236</v>
      </c>
      <c r="P16" s="933"/>
      <c r="Q16" s="85" t="s">
        <v>246</v>
      </c>
      <c r="R16" s="85"/>
      <c r="S16" s="85"/>
      <c r="T16" s="86"/>
    </row>
    <row r="17" spans="4:20" ht="17.25" thickBot="1">
      <c r="D17" t="s">
        <v>2</v>
      </c>
      <c r="E17" s="64">
        <v>10</v>
      </c>
      <c r="F17" t="s">
        <v>5</v>
      </c>
      <c r="H17" s="936" t="s">
        <v>105</v>
      </c>
      <c r="I17" s="937"/>
      <c r="J17" s="81">
        <f>J16-J15</f>
        <v>658</v>
      </c>
      <c r="K17" s="81" t="s">
        <v>106</v>
      </c>
      <c r="L17" s="15"/>
      <c r="M17" s="92" t="str">
        <f>DEC2HEX(J17)</f>
        <v>292</v>
      </c>
      <c r="N17" s="92"/>
      <c r="O17" s="934"/>
      <c r="P17" s="935"/>
      <c r="Q17" s="88" t="s">
        <v>247</v>
      </c>
      <c r="R17" s="88" t="s">
        <v>239</v>
      </c>
      <c r="S17" s="88"/>
      <c r="T17" s="89"/>
    </row>
    <row r="18" spans="4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4:20" ht="17.25" thickTop="1"/>
    <row r="21" spans="4:20">
      <c r="D21" t="s">
        <v>42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4:20">
      <c r="D22" s="63">
        <v>-40</v>
      </c>
      <c r="E22" s="63">
        <v>198.21</v>
      </c>
      <c r="F22">
        <f t="shared" ref="F22:F61" si="0">$E$16/($E$17+E22)*E22</f>
        <v>3.1415061716536186</v>
      </c>
      <c r="G22">
        <f t="shared" ref="G22:G61" si="1">ROUND((F22*1000),2)</f>
        <v>3141.51</v>
      </c>
      <c r="H22">
        <f t="shared" ref="H22:H61" si="2">ROUNDDOWN(G22/$I$10,0)</f>
        <v>3899</v>
      </c>
      <c r="J22">
        <f t="shared" ref="J22:J61" si="3">H22/G22</f>
        <v>1.2411228994973753</v>
      </c>
    </row>
    <row r="23" spans="4:20">
      <c r="D23" s="63">
        <v>-39</v>
      </c>
      <c r="E23" s="63">
        <v>187.45</v>
      </c>
      <c r="F23">
        <f t="shared" si="0"/>
        <v>3.1328690807799444</v>
      </c>
      <c r="G23">
        <f t="shared" si="1"/>
        <v>3132.87</v>
      </c>
      <c r="H23">
        <f t="shared" si="2"/>
        <v>3888</v>
      </c>
      <c r="J23">
        <f t="shared" si="3"/>
        <v>1.2410345785174617</v>
      </c>
    </row>
    <row r="24" spans="4:20">
      <c r="D24" s="63">
        <v>-38</v>
      </c>
      <c r="E24" s="63">
        <v>177.37</v>
      </c>
      <c r="F24">
        <f t="shared" si="0"/>
        <v>3.1238778886694774</v>
      </c>
      <c r="G24">
        <f t="shared" si="1"/>
        <v>3123.88</v>
      </c>
      <c r="H24">
        <f t="shared" si="2"/>
        <v>3877</v>
      </c>
      <c r="J24">
        <f t="shared" si="3"/>
        <v>1.2410848047940382</v>
      </c>
    </row>
    <row r="25" spans="4:20">
      <c r="D25" s="63">
        <v>-37</v>
      </c>
      <c r="E25" s="63">
        <v>167.9</v>
      </c>
      <c r="F25">
        <f t="shared" si="0"/>
        <v>3.1145025295109607</v>
      </c>
      <c r="G25">
        <f t="shared" si="1"/>
        <v>3114.5</v>
      </c>
      <c r="H25">
        <f t="shared" si="2"/>
        <v>3865</v>
      </c>
      <c r="J25">
        <f t="shared" si="3"/>
        <v>1.2409696580510516</v>
      </c>
    </row>
    <row r="26" spans="4:20">
      <c r="D26" s="63">
        <v>-36</v>
      </c>
      <c r="E26" s="63">
        <v>159</v>
      </c>
      <c r="F26">
        <f t="shared" si="0"/>
        <v>3.1047337278106508</v>
      </c>
      <c r="G26">
        <f t="shared" si="1"/>
        <v>3104.73</v>
      </c>
      <c r="H26">
        <f t="shared" si="2"/>
        <v>3853</v>
      </c>
      <c r="J26">
        <f t="shared" si="3"/>
        <v>1.2410096852222254</v>
      </c>
    </row>
    <row r="27" spans="4:20">
      <c r="D27" s="63">
        <v>-35</v>
      </c>
      <c r="E27" s="63">
        <v>150.63</v>
      </c>
      <c r="F27">
        <f t="shared" si="0"/>
        <v>3.0945589242358214</v>
      </c>
      <c r="G27">
        <f t="shared" si="1"/>
        <v>3094.56</v>
      </c>
      <c r="H27">
        <f t="shared" si="2"/>
        <v>3841</v>
      </c>
      <c r="J27">
        <f t="shared" si="3"/>
        <v>1.241210382089861</v>
      </c>
    </row>
    <row r="28" spans="4:20">
      <c r="D28" s="63">
        <v>-34</v>
      </c>
      <c r="E28" s="63">
        <v>142.72999999999999</v>
      </c>
      <c r="F28">
        <f t="shared" si="0"/>
        <v>3.0839324297780397</v>
      </c>
      <c r="G28">
        <f t="shared" si="1"/>
        <v>3083.93</v>
      </c>
      <c r="H28">
        <f t="shared" si="2"/>
        <v>3827</v>
      </c>
      <c r="J28">
        <f t="shared" si="3"/>
        <v>1.2409490487786687</v>
      </c>
    </row>
    <row r="29" spans="4:20">
      <c r="D29" s="63">
        <v>-33</v>
      </c>
      <c r="E29" s="63">
        <v>135.29</v>
      </c>
      <c r="F29">
        <f t="shared" si="0"/>
        <v>3.0728680569894693</v>
      </c>
      <c r="G29">
        <f t="shared" si="1"/>
        <v>3072.87</v>
      </c>
      <c r="H29">
        <f t="shared" si="2"/>
        <v>3814</v>
      </c>
      <c r="J29">
        <f t="shared" si="3"/>
        <v>1.2411849508765422</v>
      </c>
    </row>
    <row r="30" spans="4:20">
      <c r="D30" s="63">
        <v>-32</v>
      </c>
      <c r="E30" s="63">
        <v>128.28</v>
      </c>
      <c r="F30">
        <f t="shared" si="0"/>
        <v>3.061353774949378</v>
      </c>
      <c r="G30">
        <f t="shared" si="1"/>
        <v>3061.35</v>
      </c>
      <c r="H30">
        <f t="shared" si="2"/>
        <v>3799</v>
      </c>
      <c r="J30">
        <f t="shared" si="3"/>
        <v>1.24095578747938</v>
      </c>
    </row>
    <row r="31" spans="4:20">
      <c r="D31" s="63">
        <v>-31</v>
      </c>
      <c r="E31" s="63">
        <v>121.66</v>
      </c>
      <c r="F31">
        <f t="shared" si="0"/>
        <v>3.049354397691022</v>
      </c>
      <c r="G31">
        <f t="shared" si="1"/>
        <v>3049.35</v>
      </c>
      <c r="H31">
        <f t="shared" si="2"/>
        <v>3784</v>
      </c>
      <c r="J31">
        <f t="shared" si="3"/>
        <v>1.2409201961073673</v>
      </c>
    </row>
    <row r="32" spans="4:20">
      <c r="D32" s="63">
        <v>-30</v>
      </c>
      <c r="E32" s="63">
        <v>115.41</v>
      </c>
      <c r="F32">
        <f t="shared" si="0"/>
        <v>3.0368630890678574</v>
      </c>
      <c r="G32">
        <f t="shared" si="1"/>
        <v>3036.86</v>
      </c>
      <c r="H32">
        <f t="shared" si="2"/>
        <v>3769</v>
      </c>
      <c r="J32">
        <f t="shared" si="3"/>
        <v>1.2410845412696008</v>
      </c>
    </row>
    <row r="33" spans="4:10">
      <c r="D33" s="63">
        <v>-29</v>
      </c>
      <c r="E33" s="63">
        <v>109.51</v>
      </c>
      <c r="F33">
        <f t="shared" si="0"/>
        <v>3.0238724792904357</v>
      </c>
      <c r="G33">
        <f t="shared" si="1"/>
        <v>3023.87</v>
      </c>
      <c r="H33">
        <f t="shared" si="2"/>
        <v>3753</v>
      </c>
      <c r="J33">
        <f t="shared" si="3"/>
        <v>1.2411247838035366</v>
      </c>
    </row>
    <row r="34" spans="4:10">
      <c r="D34" s="63">
        <v>-28</v>
      </c>
      <c r="E34" s="63">
        <v>103.94</v>
      </c>
      <c r="F34">
        <f t="shared" si="0"/>
        <v>3.0103738809899947</v>
      </c>
      <c r="G34">
        <f t="shared" si="1"/>
        <v>3010.37</v>
      </c>
      <c r="H34">
        <f t="shared" si="2"/>
        <v>3736</v>
      </c>
      <c r="J34">
        <f t="shared" si="3"/>
        <v>1.2410434597740478</v>
      </c>
    </row>
    <row r="35" spans="4:10">
      <c r="D35" s="63">
        <v>-27</v>
      </c>
      <c r="E35" s="63">
        <v>98.686999999999998</v>
      </c>
      <c r="F35">
        <f t="shared" si="0"/>
        <v>2.9963758315161884</v>
      </c>
      <c r="G35">
        <f t="shared" si="1"/>
        <v>2996.38</v>
      </c>
      <c r="H35">
        <f t="shared" si="2"/>
        <v>3719</v>
      </c>
      <c r="J35">
        <f t="shared" si="3"/>
        <v>1.2411643383015505</v>
      </c>
    </row>
    <row r="36" spans="4:10">
      <c r="D36" s="63">
        <v>-26</v>
      </c>
      <c r="E36" s="63">
        <v>93.721000000000004</v>
      </c>
      <c r="F36">
        <f t="shared" si="0"/>
        <v>2.9818387790322114</v>
      </c>
      <c r="G36">
        <f t="shared" si="1"/>
        <v>2981.84</v>
      </c>
      <c r="H36">
        <f t="shared" si="2"/>
        <v>3701</v>
      </c>
      <c r="J36">
        <f t="shared" si="3"/>
        <v>1.2411799425857859</v>
      </c>
    </row>
    <row r="37" spans="4:10">
      <c r="D37" s="63">
        <v>-25</v>
      </c>
      <c r="E37" s="63">
        <v>89.031000000000006</v>
      </c>
      <c r="F37">
        <f t="shared" si="0"/>
        <v>2.9667710110975349</v>
      </c>
      <c r="G37">
        <f t="shared" si="1"/>
        <v>2966.77</v>
      </c>
      <c r="H37">
        <f t="shared" si="2"/>
        <v>3682</v>
      </c>
      <c r="J37">
        <f t="shared" si="3"/>
        <v>1.2410803668636261</v>
      </c>
    </row>
    <row r="38" spans="4:10">
      <c r="D38" s="63">
        <v>-24</v>
      </c>
      <c r="E38" s="63">
        <v>84.600999999999999</v>
      </c>
      <c r="F38">
        <f t="shared" si="0"/>
        <v>2.9511664781556219</v>
      </c>
      <c r="G38">
        <f t="shared" si="1"/>
        <v>2951.17</v>
      </c>
      <c r="H38">
        <f t="shared" si="2"/>
        <v>3663</v>
      </c>
      <c r="J38">
        <f t="shared" si="3"/>
        <v>1.2412026416641535</v>
      </c>
    </row>
    <row r="39" spans="4:10">
      <c r="D39" s="63">
        <v>-23</v>
      </c>
      <c r="E39" s="63">
        <v>80.415999999999997</v>
      </c>
      <c r="F39">
        <f t="shared" si="0"/>
        <v>2.9350203503804635</v>
      </c>
      <c r="G39">
        <f t="shared" si="1"/>
        <v>2935.02</v>
      </c>
      <c r="H39">
        <f t="shared" si="2"/>
        <v>3642</v>
      </c>
      <c r="J39">
        <f t="shared" si="3"/>
        <v>1.2408774045832738</v>
      </c>
    </row>
    <row r="40" spans="4:10">
      <c r="D40" s="63">
        <v>-22</v>
      </c>
      <c r="E40" s="63">
        <v>76.462000000000003</v>
      </c>
      <c r="F40">
        <f t="shared" si="0"/>
        <v>2.918329439522565</v>
      </c>
      <c r="G40">
        <f t="shared" si="1"/>
        <v>2918.33</v>
      </c>
      <c r="H40">
        <f t="shared" si="2"/>
        <v>3622</v>
      </c>
      <c r="J40">
        <f t="shared" si="3"/>
        <v>1.2411207779791869</v>
      </c>
    </row>
    <row r="41" spans="4:10">
      <c r="D41" s="63">
        <v>-21</v>
      </c>
      <c r="E41" s="63">
        <v>72.725999999999999</v>
      </c>
      <c r="F41">
        <f t="shared" si="0"/>
        <v>2.9010927640645017</v>
      </c>
      <c r="G41">
        <f t="shared" si="1"/>
        <v>2901.09</v>
      </c>
      <c r="H41">
        <f t="shared" si="2"/>
        <v>3600</v>
      </c>
      <c r="J41">
        <f t="shared" si="3"/>
        <v>1.2409128982554831</v>
      </c>
    </row>
    <row r="42" spans="4:10">
      <c r="D42" s="63">
        <v>-20</v>
      </c>
      <c r="E42" s="63">
        <v>69.194999999999993</v>
      </c>
      <c r="F42">
        <f t="shared" si="0"/>
        <v>2.8833070269587724</v>
      </c>
      <c r="G42">
        <f t="shared" si="1"/>
        <v>2883.31</v>
      </c>
      <c r="H42">
        <f t="shared" si="2"/>
        <v>3578</v>
      </c>
      <c r="J42">
        <f t="shared" si="3"/>
        <v>1.2409348977390569</v>
      </c>
    </row>
    <row r="43" spans="4:10">
      <c r="D43" s="63">
        <v>-19</v>
      </c>
      <c r="E43" s="63">
        <v>65.855999999999995</v>
      </c>
      <c r="F43">
        <f t="shared" si="0"/>
        <v>2.8649651972157772</v>
      </c>
      <c r="G43">
        <f t="shared" si="1"/>
        <v>2864.97</v>
      </c>
      <c r="H43">
        <f t="shared" si="2"/>
        <v>3556</v>
      </c>
      <c r="J43">
        <f t="shared" si="3"/>
        <v>1.2411997333305411</v>
      </c>
    </row>
    <row r="44" spans="4:10">
      <c r="D44" s="63">
        <v>-18</v>
      </c>
      <c r="E44" s="63">
        <v>62.7</v>
      </c>
      <c r="F44">
        <f t="shared" si="0"/>
        <v>2.8460797799174689</v>
      </c>
      <c r="G44">
        <f t="shared" si="1"/>
        <v>2846.08</v>
      </c>
      <c r="H44">
        <f t="shared" si="2"/>
        <v>3532</v>
      </c>
      <c r="J44">
        <f t="shared" si="3"/>
        <v>1.2410051720260851</v>
      </c>
    </row>
    <row r="45" spans="4:10">
      <c r="D45" s="63">
        <v>-17</v>
      </c>
      <c r="E45" s="63">
        <v>59.715000000000003</v>
      </c>
      <c r="F45">
        <f t="shared" si="0"/>
        <v>2.8266441942193214</v>
      </c>
      <c r="G45">
        <f t="shared" si="1"/>
        <v>2826.64</v>
      </c>
      <c r="H45">
        <f t="shared" si="2"/>
        <v>3508</v>
      </c>
      <c r="J45">
        <f t="shared" si="3"/>
        <v>1.241049443862678</v>
      </c>
    </row>
    <row r="46" spans="4:10">
      <c r="D46" s="63">
        <v>-16</v>
      </c>
      <c r="E46" s="63">
        <v>56.892000000000003</v>
      </c>
      <c r="F46">
        <f t="shared" si="0"/>
        <v>2.8066674639717757</v>
      </c>
      <c r="G46">
        <f t="shared" si="1"/>
        <v>2806.67</v>
      </c>
      <c r="H46">
        <f t="shared" si="2"/>
        <v>3483</v>
      </c>
      <c r="J46">
        <f t="shared" si="3"/>
        <v>1.2409723978950142</v>
      </c>
    </row>
    <row r="47" spans="4:10">
      <c r="D47" s="63">
        <v>-15</v>
      </c>
      <c r="E47" s="63">
        <v>54.22</v>
      </c>
      <c r="F47">
        <f t="shared" si="0"/>
        <v>2.786141388975397</v>
      </c>
      <c r="G47">
        <f t="shared" si="1"/>
        <v>2786.14</v>
      </c>
      <c r="H47">
        <f t="shared" si="2"/>
        <v>3458</v>
      </c>
      <c r="J47">
        <f t="shared" si="3"/>
        <v>1.2411436611225568</v>
      </c>
    </row>
    <row r="48" spans="4:10">
      <c r="D48" s="63">
        <v>-14</v>
      </c>
      <c r="E48" s="63">
        <v>51.691000000000003</v>
      </c>
      <c r="F48">
        <f t="shared" si="0"/>
        <v>2.765075943006273</v>
      </c>
      <c r="G48">
        <f t="shared" si="1"/>
        <v>2765.08</v>
      </c>
      <c r="H48">
        <f t="shared" si="2"/>
        <v>3432</v>
      </c>
      <c r="J48">
        <f t="shared" si="3"/>
        <v>1.2411937448464421</v>
      </c>
    </row>
    <row r="49" spans="4:10">
      <c r="D49" s="63">
        <v>-13</v>
      </c>
      <c r="E49" s="63">
        <v>49.296999999999997</v>
      </c>
      <c r="F49">
        <f t="shared" si="0"/>
        <v>2.7434794340354487</v>
      </c>
      <c r="G49">
        <f t="shared" si="1"/>
        <v>2743.48</v>
      </c>
      <c r="H49">
        <f t="shared" si="2"/>
        <v>3405</v>
      </c>
      <c r="J49">
        <f t="shared" si="3"/>
        <v>1.2411244113315933</v>
      </c>
    </row>
    <row r="50" spans="4:10">
      <c r="D50" s="63">
        <v>-12</v>
      </c>
      <c r="E50" s="63">
        <v>47.029000000000003</v>
      </c>
      <c r="F50">
        <f t="shared" si="0"/>
        <v>2.7213470339651757</v>
      </c>
      <c r="G50">
        <f t="shared" si="1"/>
        <v>2721.35</v>
      </c>
      <c r="H50">
        <f t="shared" si="2"/>
        <v>3377</v>
      </c>
      <c r="J50">
        <f t="shared" si="3"/>
        <v>1.2409282157752586</v>
      </c>
    </row>
    <row r="51" spans="4:10">
      <c r="D51" s="63">
        <v>-11</v>
      </c>
      <c r="E51" s="63">
        <v>44.88</v>
      </c>
      <c r="F51">
        <f t="shared" si="0"/>
        <v>2.6986880466472303</v>
      </c>
      <c r="G51">
        <f t="shared" si="1"/>
        <v>2698.69</v>
      </c>
      <c r="H51">
        <f t="shared" si="2"/>
        <v>3349</v>
      </c>
      <c r="J51">
        <f t="shared" si="3"/>
        <v>1.2409724718289243</v>
      </c>
    </row>
    <row r="52" spans="4:10">
      <c r="D52" s="63">
        <v>-10</v>
      </c>
      <c r="E52" s="63">
        <v>42.844000000000001</v>
      </c>
      <c r="F52">
        <f t="shared" si="0"/>
        <v>2.6755203996669441</v>
      </c>
      <c r="G52">
        <f t="shared" si="1"/>
        <v>2675.52</v>
      </c>
      <c r="H52">
        <f t="shared" si="2"/>
        <v>3320</v>
      </c>
      <c r="J52">
        <f t="shared" si="3"/>
        <v>1.2408802774787704</v>
      </c>
    </row>
    <row r="53" spans="4:10">
      <c r="D53" s="63">
        <v>-9</v>
      </c>
      <c r="E53" s="63">
        <v>40.912999999999997</v>
      </c>
      <c r="F53">
        <f t="shared" si="0"/>
        <v>2.6518354840610452</v>
      </c>
      <c r="G53">
        <f t="shared" si="1"/>
        <v>2651.84</v>
      </c>
      <c r="H53">
        <f t="shared" si="2"/>
        <v>3291</v>
      </c>
      <c r="J53">
        <f t="shared" si="3"/>
        <v>1.2410250995535175</v>
      </c>
    </row>
    <row r="54" spans="4:10">
      <c r="D54" s="63">
        <v>-8</v>
      </c>
      <c r="E54" s="63">
        <v>39.082000000000001</v>
      </c>
      <c r="F54">
        <f t="shared" si="0"/>
        <v>2.6276557597489916</v>
      </c>
      <c r="G54">
        <f t="shared" si="1"/>
        <v>2627.66</v>
      </c>
      <c r="H54">
        <f t="shared" si="2"/>
        <v>3261</v>
      </c>
      <c r="J54">
        <f t="shared" si="3"/>
        <v>1.2410281391047548</v>
      </c>
    </row>
    <row r="55" spans="4:10">
      <c r="D55" s="63">
        <v>-7</v>
      </c>
      <c r="E55" s="63">
        <v>37.344999999999999</v>
      </c>
      <c r="F55">
        <f t="shared" si="0"/>
        <v>2.6029886999683174</v>
      </c>
      <c r="G55">
        <f t="shared" si="1"/>
        <v>2602.9899999999998</v>
      </c>
      <c r="H55">
        <f t="shared" si="2"/>
        <v>3230</v>
      </c>
      <c r="J55">
        <f t="shared" si="3"/>
        <v>1.2408806795262373</v>
      </c>
    </row>
    <row r="56" spans="4:10">
      <c r="D56" s="63">
        <v>-6</v>
      </c>
      <c r="E56" s="63">
        <v>35.695</v>
      </c>
      <c r="F56">
        <f t="shared" si="0"/>
        <v>2.5778203304519094</v>
      </c>
      <c r="G56">
        <f t="shared" si="1"/>
        <v>2577.8200000000002</v>
      </c>
      <c r="H56">
        <f t="shared" si="2"/>
        <v>3199</v>
      </c>
      <c r="J56">
        <f t="shared" si="3"/>
        <v>1.2409710530603377</v>
      </c>
    </row>
    <row r="57" spans="4:10">
      <c r="D57" s="63">
        <v>-5</v>
      </c>
      <c r="E57" s="63">
        <v>34.128999999999998</v>
      </c>
      <c r="F57">
        <f t="shared" si="0"/>
        <v>2.552192435813184</v>
      </c>
      <c r="G57">
        <f t="shared" si="1"/>
        <v>2552.19</v>
      </c>
      <c r="H57">
        <f t="shared" si="2"/>
        <v>3167</v>
      </c>
      <c r="J57">
        <f t="shared" si="3"/>
        <v>1.240895074426277</v>
      </c>
    </row>
    <row r="58" spans="4:10">
      <c r="D58" s="63">
        <v>-4</v>
      </c>
      <c r="E58" s="63">
        <v>32.642000000000003</v>
      </c>
      <c r="F58">
        <f t="shared" si="0"/>
        <v>2.5261150977909099</v>
      </c>
      <c r="G58">
        <f t="shared" si="1"/>
        <v>2526.12</v>
      </c>
      <c r="H58">
        <f t="shared" si="2"/>
        <v>3135</v>
      </c>
      <c r="J58">
        <f t="shared" si="3"/>
        <v>1.2410336801102086</v>
      </c>
    </row>
    <row r="59" spans="4:10">
      <c r="D59" s="63">
        <v>-3</v>
      </c>
      <c r="E59" s="63">
        <v>31.228000000000002</v>
      </c>
      <c r="F59">
        <f t="shared" si="0"/>
        <v>2.4995731056563502</v>
      </c>
      <c r="G59">
        <f t="shared" si="1"/>
        <v>2499.5700000000002</v>
      </c>
      <c r="H59">
        <f t="shared" si="2"/>
        <v>3102</v>
      </c>
      <c r="J59">
        <f t="shared" si="3"/>
        <v>1.241013454314142</v>
      </c>
    </row>
    <row r="60" spans="4:10">
      <c r="D60" s="63">
        <v>-2</v>
      </c>
      <c r="E60" s="63">
        <v>29.884</v>
      </c>
      <c r="F60">
        <f t="shared" si="0"/>
        <v>2.4726005415705545</v>
      </c>
      <c r="G60">
        <f t="shared" si="1"/>
        <v>2472.6</v>
      </c>
      <c r="H60">
        <f t="shared" si="2"/>
        <v>3069</v>
      </c>
      <c r="J60">
        <f t="shared" si="3"/>
        <v>1.2412035913613202</v>
      </c>
    </row>
    <row r="61" spans="4:10">
      <c r="D61" s="63">
        <v>-1</v>
      </c>
      <c r="E61" s="63">
        <v>28.606000000000002</v>
      </c>
      <c r="F61">
        <f t="shared" si="0"/>
        <v>2.4452105890276123</v>
      </c>
      <c r="G61">
        <f t="shared" si="1"/>
        <v>2445.21</v>
      </c>
      <c r="H61">
        <f t="shared" si="2"/>
        <v>3035</v>
      </c>
      <c r="J61">
        <f t="shared" si="3"/>
        <v>1.2412021871332115</v>
      </c>
    </row>
    <row r="62" spans="4:10">
      <c r="D62" s="62">
        <v>0</v>
      </c>
      <c r="E62" s="62">
        <v>27.390999999999998</v>
      </c>
      <c r="F62">
        <f>$E$16/($E$17+E62)*E62</f>
        <v>2.4174346767938806</v>
      </c>
      <c r="G62">
        <f>ROUND((F62*1000),2)</f>
        <v>2417.4299999999998</v>
      </c>
      <c r="H62">
        <f>ROUNDDOWN(G62/$I$10,0)</f>
        <v>3000</v>
      </c>
      <c r="J62">
        <f>H62/G62</f>
        <v>1.2409873295193656</v>
      </c>
    </row>
    <row r="63" spans="4:10">
      <c r="D63" s="62">
        <v>1</v>
      </c>
      <c r="E63" s="62">
        <v>26.234000000000002</v>
      </c>
      <c r="F63">
        <f t="shared" ref="F63:F126" si="4">$E$16/($E$17+E63)*E63</f>
        <v>2.3892531876138432</v>
      </c>
      <c r="G63">
        <f t="shared" ref="G63:G126" si="5">ROUND((F63*1000),2)</f>
        <v>2389.25</v>
      </c>
      <c r="H63">
        <f t="shared" ref="H63:H126" si="6">ROUNDDOWN(G63/$I$10,0)</f>
        <v>2965</v>
      </c>
      <c r="J63">
        <f t="shared" ref="J63:J126" si="7">H63/G63</f>
        <v>1.2409752014230406</v>
      </c>
    </row>
    <row r="64" spans="4:10">
      <c r="D64" s="62">
        <v>2</v>
      </c>
      <c r="E64" s="62">
        <v>25.132000000000001</v>
      </c>
      <c r="F64">
        <f t="shared" si="4"/>
        <v>2.3606854150062619</v>
      </c>
      <c r="G64">
        <f t="shared" si="5"/>
        <v>2360.69</v>
      </c>
      <c r="H64">
        <f t="shared" si="6"/>
        <v>2930</v>
      </c>
      <c r="J64">
        <f t="shared" si="7"/>
        <v>1.2411625414603358</v>
      </c>
    </row>
    <row r="65" spans="4:10">
      <c r="D65" s="62">
        <v>3</v>
      </c>
      <c r="E65" s="62">
        <v>24.082999999999998</v>
      </c>
      <c r="F65">
        <f t="shared" si="4"/>
        <v>2.3317753718862773</v>
      </c>
      <c r="G65">
        <f t="shared" si="5"/>
        <v>2331.7800000000002</v>
      </c>
      <c r="H65">
        <f t="shared" si="6"/>
        <v>2894</v>
      </c>
      <c r="J65">
        <f t="shared" si="7"/>
        <v>1.2411119402344988</v>
      </c>
    </row>
    <row r="66" spans="4:10">
      <c r="D66" s="62">
        <v>4</v>
      </c>
      <c r="E66" s="62">
        <v>23.084</v>
      </c>
      <c r="F66">
        <f t="shared" si="4"/>
        <v>2.3025389916575985</v>
      </c>
      <c r="G66">
        <f t="shared" si="5"/>
        <v>2302.54</v>
      </c>
      <c r="H66">
        <f t="shared" si="6"/>
        <v>2857</v>
      </c>
      <c r="J66">
        <f t="shared" si="7"/>
        <v>1.2408036342473965</v>
      </c>
    </row>
    <row r="67" spans="4:10">
      <c r="D67" s="62">
        <v>5</v>
      </c>
      <c r="E67" s="62">
        <v>22.132000000000001</v>
      </c>
      <c r="F67">
        <f t="shared" si="4"/>
        <v>2.2729864309722392</v>
      </c>
      <c r="G67">
        <f t="shared" si="5"/>
        <v>2272.9899999999998</v>
      </c>
      <c r="H67">
        <f t="shared" si="6"/>
        <v>2821</v>
      </c>
      <c r="J67">
        <f t="shared" si="7"/>
        <v>1.2410965292412199</v>
      </c>
    </row>
    <row r="68" spans="4:10">
      <c r="D68" s="62">
        <v>6</v>
      </c>
      <c r="E68" s="62">
        <v>21.224</v>
      </c>
      <c r="F68">
        <f t="shared" si="4"/>
        <v>2.2431206764027669</v>
      </c>
      <c r="G68">
        <f t="shared" si="5"/>
        <v>2243.12</v>
      </c>
      <c r="H68">
        <f t="shared" si="6"/>
        <v>2784</v>
      </c>
      <c r="J68">
        <f t="shared" si="7"/>
        <v>1.241128428260637</v>
      </c>
    </row>
    <row r="69" spans="4:10">
      <c r="D69" s="62">
        <v>7</v>
      </c>
      <c r="E69" s="62">
        <v>20.359000000000002</v>
      </c>
      <c r="F69">
        <f t="shared" si="4"/>
        <v>2.213007674824599</v>
      </c>
      <c r="G69">
        <f t="shared" si="5"/>
        <v>2213.0100000000002</v>
      </c>
      <c r="H69">
        <f t="shared" si="6"/>
        <v>2746</v>
      </c>
      <c r="J69">
        <f t="shared" si="7"/>
        <v>1.2408439184639923</v>
      </c>
    </row>
    <row r="70" spans="4:10">
      <c r="D70" s="62">
        <v>8</v>
      </c>
      <c r="E70" s="62">
        <v>19.533000000000001</v>
      </c>
      <c r="F70">
        <f t="shared" si="4"/>
        <v>2.1826058984864392</v>
      </c>
      <c r="G70">
        <f t="shared" si="5"/>
        <v>2182.61</v>
      </c>
      <c r="H70">
        <f t="shared" si="6"/>
        <v>2709</v>
      </c>
      <c r="J70">
        <f t="shared" si="7"/>
        <v>1.2411745570669976</v>
      </c>
    </row>
    <row r="71" spans="4:10">
      <c r="D71" s="62">
        <v>9</v>
      </c>
      <c r="E71" s="62">
        <v>18.745000000000001</v>
      </c>
      <c r="F71">
        <f t="shared" si="4"/>
        <v>2.1519742563924162</v>
      </c>
      <c r="G71">
        <f t="shared" si="5"/>
        <v>2151.9699999999998</v>
      </c>
      <c r="H71">
        <f t="shared" si="6"/>
        <v>2671</v>
      </c>
      <c r="J71">
        <f t="shared" si="7"/>
        <v>1.2411883065284368</v>
      </c>
    </row>
    <row r="72" spans="4:10">
      <c r="D72" s="62">
        <v>10</v>
      </c>
      <c r="E72" s="62">
        <v>17.994</v>
      </c>
      <c r="F72">
        <f t="shared" si="4"/>
        <v>2.1211759662784879</v>
      </c>
      <c r="G72">
        <f t="shared" si="5"/>
        <v>2121.1799999999998</v>
      </c>
      <c r="H72">
        <f t="shared" si="6"/>
        <v>2632</v>
      </c>
      <c r="J72">
        <f t="shared" si="7"/>
        <v>1.2408187895416702</v>
      </c>
    </row>
    <row r="73" spans="4:10">
      <c r="D73" s="62">
        <v>11</v>
      </c>
      <c r="E73" s="62">
        <v>17.276</v>
      </c>
      <c r="F73">
        <f t="shared" si="4"/>
        <v>2.0901451825780906</v>
      </c>
      <c r="G73">
        <f t="shared" si="5"/>
        <v>2090.15</v>
      </c>
      <c r="H73">
        <f t="shared" si="6"/>
        <v>2594</v>
      </c>
      <c r="J73">
        <f t="shared" si="7"/>
        <v>1.2410592541205177</v>
      </c>
    </row>
    <row r="74" spans="4:10">
      <c r="D74" s="62">
        <v>12</v>
      </c>
      <c r="E74" s="62">
        <v>16.591000000000001</v>
      </c>
      <c r="F74">
        <f t="shared" si="4"/>
        <v>2.0589786017825578</v>
      </c>
      <c r="G74">
        <f t="shared" si="5"/>
        <v>2058.98</v>
      </c>
      <c r="H74">
        <f t="shared" si="6"/>
        <v>2555</v>
      </c>
      <c r="J74">
        <f t="shared" si="7"/>
        <v>1.2409056911674712</v>
      </c>
    </row>
    <row r="75" spans="4:10">
      <c r="D75" s="62">
        <v>13</v>
      </c>
      <c r="E75" s="62">
        <v>15.936</v>
      </c>
      <c r="F75">
        <f t="shared" si="4"/>
        <v>2.0276372609500308</v>
      </c>
      <c r="G75">
        <f t="shared" si="5"/>
        <v>2027.64</v>
      </c>
      <c r="H75">
        <f t="shared" si="6"/>
        <v>2516</v>
      </c>
      <c r="J75">
        <f t="shared" si="7"/>
        <v>1.240851433193269</v>
      </c>
    </row>
    <row r="76" spans="4:10">
      <c r="D76" s="62">
        <v>14</v>
      </c>
      <c r="E76" s="62">
        <v>15.311</v>
      </c>
      <c r="F76">
        <f t="shared" si="4"/>
        <v>1.9962190352020861</v>
      </c>
      <c r="G76">
        <f t="shared" si="5"/>
        <v>1996.22</v>
      </c>
      <c r="H76">
        <f t="shared" si="6"/>
        <v>2477</v>
      </c>
      <c r="J76">
        <f t="shared" si="7"/>
        <v>1.2408451974231296</v>
      </c>
    </row>
    <row r="77" spans="4:10">
      <c r="D77" s="62">
        <v>15</v>
      </c>
      <c r="E77" s="62">
        <v>14.714</v>
      </c>
      <c r="F77">
        <f t="shared" si="4"/>
        <v>1.964724447681476</v>
      </c>
      <c r="G77">
        <f t="shared" si="5"/>
        <v>1964.72</v>
      </c>
      <c r="H77">
        <f t="shared" si="6"/>
        <v>2438</v>
      </c>
      <c r="J77">
        <f t="shared" si="7"/>
        <v>1.2408892870230872</v>
      </c>
    </row>
    <row r="78" spans="4:10">
      <c r="D78" s="62">
        <v>16</v>
      </c>
      <c r="E78" s="62">
        <v>14.143000000000001</v>
      </c>
      <c r="F78">
        <f t="shared" si="4"/>
        <v>1.9331441825788014</v>
      </c>
      <c r="G78">
        <f t="shared" si="5"/>
        <v>1933.14</v>
      </c>
      <c r="H78">
        <f t="shared" si="6"/>
        <v>2399</v>
      </c>
      <c r="J78">
        <f t="shared" si="7"/>
        <v>1.2409861675822753</v>
      </c>
    </row>
    <row r="79" spans="4:10">
      <c r="D79" s="62">
        <v>17</v>
      </c>
      <c r="E79" s="62">
        <v>13.597</v>
      </c>
      <c r="F79">
        <f t="shared" si="4"/>
        <v>1.9015171420095773</v>
      </c>
      <c r="G79">
        <f t="shared" si="5"/>
        <v>1901.52</v>
      </c>
      <c r="H79">
        <f t="shared" si="6"/>
        <v>2360</v>
      </c>
      <c r="J79">
        <f t="shared" si="7"/>
        <v>1.2411123732592872</v>
      </c>
    </row>
    <row r="80" spans="4:10">
      <c r="D80" s="62">
        <v>18</v>
      </c>
      <c r="E80" s="62">
        <v>13.074999999999999</v>
      </c>
      <c r="F80">
        <f t="shared" si="4"/>
        <v>1.8698808234019499</v>
      </c>
      <c r="G80">
        <f t="shared" si="5"/>
        <v>1869.88</v>
      </c>
      <c r="H80">
        <f t="shared" si="6"/>
        <v>2320</v>
      </c>
      <c r="J80">
        <f t="shared" si="7"/>
        <v>1.2407213297109974</v>
      </c>
    </row>
    <row r="81" spans="4:10">
      <c r="D81" s="62">
        <v>19</v>
      </c>
      <c r="E81" s="62">
        <v>12.574999999999999</v>
      </c>
      <c r="F81">
        <f t="shared" si="4"/>
        <v>1.838205980066445</v>
      </c>
      <c r="G81">
        <f t="shared" si="5"/>
        <v>1838.21</v>
      </c>
      <c r="H81">
        <f t="shared" si="6"/>
        <v>2281</v>
      </c>
      <c r="J81">
        <f t="shared" si="7"/>
        <v>1.2408810745235854</v>
      </c>
    </row>
    <row r="82" spans="4:10">
      <c r="D82" s="62">
        <v>20</v>
      </c>
      <c r="E82" s="62">
        <v>12.098000000000001</v>
      </c>
      <c r="F82">
        <f t="shared" si="4"/>
        <v>1.8066521857181645</v>
      </c>
      <c r="G82">
        <f t="shared" si="5"/>
        <v>1806.65</v>
      </c>
      <c r="H82">
        <f t="shared" si="6"/>
        <v>2242</v>
      </c>
      <c r="J82">
        <f t="shared" si="7"/>
        <v>1.2409708576647385</v>
      </c>
    </row>
    <row r="83" spans="4:10">
      <c r="D83" s="62">
        <v>21</v>
      </c>
      <c r="E83" s="62">
        <v>11.641</v>
      </c>
      <c r="F83">
        <f t="shared" si="4"/>
        <v>1.7751166766785269</v>
      </c>
      <c r="G83">
        <f t="shared" si="5"/>
        <v>1775.12</v>
      </c>
      <c r="H83">
        <f t="shared" si="6"/>
        <v>2203</v>
      </c>
      <c r="J83">
        <f t="shared" si="7"/>
        <v>1.2410428590743161</v>
      </c>
    </row>
    <row r="84" spans="4:10">
      <c r="D84" s="62">
        <v>22</v>
      </c>
      <c r="E84" s="62">
        <v>11.202999999999999</v>
      </c>
      <c r="F84">
        <f t="shared" si="4"/>
        <v>1.7436164693675424</v>
      </c>
      <c r="G84">
        <f t="shared" si="5"/>
        <v>1743.62</v>
      </c>
      <c r="H84">
        <f t="shared" si="6"/>
        <v>2164</v>
      </c>
      <c r="J84">
        <f t="shared" si="7"/>
        <v>1.2410961103910256</v>
      </c>
    </row>
    <row r="85" spans="4:10">
      <c r="D85" s="62">
        <v>23</v>
      </c>
      <c r="E85" s="62">
        <v>10.785</v>
      </c>
      <c r="F85">
        <f t="shared" si="4"/>
        <v>1.7123165744527304</v>
      </c>
      <c r="G85">
        <f t="shared" si="5"/>
        <v>1712.32</v>
      </c>
      <c r="H85">
        <f t="shared" si="6"/>
        <v>2125</v>
      </c>
      <c r="J85">
        <f t="shared" si="7"/>
        <v>1.2410063539525322</v>
      </c>
    </row>
    <row r="86" spans="4:10">
      <c r="D86" s="62">
        <v>24</v>
      </c>
      <c r="E86" s="62">
        <v>10.384</v>
      </c>
      <c r="F86">
        <f t="shared" si="4"/>
        <v>1.6810832025117739</v>
      </c>
      <c r="G86">
        <f t="shared" si="5"/>
        <v>1681.08</v>
      </c>
      <c r="H86">
        <f t="shared" si="6"/>
        <v>2086</v>
      </c>
      <c r="J86">
        <f t="shared" si="7"/>
        <v>1.2408689651890452</v>
      </c>
    </row>
    <row r="87" spans="4:10">
      <c r="D87" s="62">
        <v>25</v>
      </c>
      <c r="E87" s="62">
        <v>10</v>
      </c>
      <c r="F87">
        <f t="shared" si="4"/>
        <v>1.65</v>
      </c>
      <c r="G87">
        <f t="shared" si="5"/>
        <v>1650</v>
      </c>
      <c r="H87">
        <f t="shared" si="6"/>
        <v>2048</v>
      </c>
      <c r="J87">
        <f t="shared" si="7"/>
        <v>1.2412121212121212</v>
      </c>
    </row>
    <row r="88" spans="4:10">
      <c r="D88" s="62">
        <v>26</v>
      </c>
      <c r="E88" s="62">
        <v>9.6324000000000005</v>
      </c>
      <c r="F88">
        <f t="shared" si="4"/>
        <v>1.6191051527067499</v>
      </c>
      <c r="G88">
        <f t="shared" si="5"/>
        <v>1619.11</v>
      </c>
      <c r="H88">
        <f t="shared" si="6"/>
        <v>2009</v>
      </c>
      <c r="J88">
        <f t="shared" si="7"/>
        <v>1.2408051336845551</v>
      </c>
    </row>
    <row r="89" spans="4:10">
      <c r="D89" s="62">
        <v>27</v>
      </c>
      <c r="E89" s="62">
        <v>9.2803000000000004</v>
      </c>
      <c r="F89">
        <f t="shared" si="4"/>
        <v>1.5884083753883496</v>
      </c>
      <c r="G89">
        <f t="shared" si="5"/>
        <v>1588.41</v>
      </c>
      <c r="H89">
        <f t="shared" si="6"/>
        <v>1971</v>
      </c>
      <c r="J89">
        <f t="shared" si="7"/>
        <v>1.2408635050144483</v>
      </c>
    </row>
    <row r="90" spans="4:10">
      <c r="D90" s="62">
        <v>28</v>
      </c>
      <c r="E90" s="62">
        <v>8.9428999999999998</v>
      </c>
      <c r="F90">
        <f t="shared" si="4"/>
        <v>1.5579224933880236</v>
      </c>
      <c r="G90">
        <f t="shared" si="5"/>
        <v>1557.92</v>
      </c>
      <c r="H90">
        <f t="shared" si="6"/>
        <v>1933</v>
      </c>
      <c r="J90">
        <f t="shared" si="7"/>
        <v>1.240756906644757</v>
      </c>
    </row>
    <row r="91" spans="4:10">
      <c r="D91" s="62">
        <v>29</v>
      </c>
      <c r="E91" s="62">
        <v>8.6196000000000002</v>
      </c>
      <c r="F91">
        <f t="shared" si="4"/>
        <v>1.5276740638896649</v>
      </c>
      <c r="G91">
        <f t="shared" si="5"/>
        <v>1527.67</v>
      </c>
      <c r="H91">
        <f t="shared" si="6"/>
        <v>1896</v>
      </c>
      <c r="J91">
        <f t="shared" si="7"/>
        <v>1.2411057361864799</v>
      </c>
    </row>
    <row r="92" spans="4:10">
      <c r="D92" s="62">
        <v>30</v>
      </c>
      <c r="E92" s="62">
        <v>8.3096999999999994</v>
      </c>
      <c r="F92">
        <f t="shared" si="4"/>
        <v>1.4976766413431131</v>
      </c>
      <c r="G92">
        <f t="shared" si="5"/>
        <v>1497.68</v>
      </c>
      <c r="H92">
        <f t="shared" si="6"/>
        <v>1858</v>
      </c>
      <c r="J92">
        <f t="shared" si="7"/>
        <v>1.2405854388120292</v>
      </c>
    </row>
    <row r="93" spans="4:10">
      <c r="D93" s="62">
        <v>31</v>
      </c>
      <c r="E93" s="62">
        <v>8.0126000000000008</v>
      </c>
      <c r="F93">
        <f t="shared" si="4"/>
        <v>1.4679491022950604</v>
      </c>
      <c r="G93">
        <f t="shared" si="5"/>
        <v>1467.95</v>
      </c>
      <c r="H93">
        <f t="shared" si="6"/>
        <v>1822</v>
      </c>
      <c r="J93">
        <f t="shared" si="7"/>
        <v>1.2411866889199223</v>
      </c>
    </row>
    <row r="94" spans="4:10">
      <c r="D94" s="62">
        <v>32</v>
      </c>
      <c r="E94" s="62">
        <v>7.7276999999999996</v>
      </c>
      <c r="F94">
        <f t="shared" si="4"/>
        <v>1.438506405230233</v>
      </c>
      <c r="G94">
        <f t="shared" si="5"/>
        <v>1438.51</v>
      </c>
      <c r="H94">
        <f t="shared" si="6"/>
        <v>1785</v>
      </c>
      <c r="J94">
        <f t="shared" si="7"/>
        <v>1.2408672862892856</v>
      </c>
    </row>
    <row r="95" spans="4:10">
      <c r="D95" s="62">
        <v>33</v>
      </c>
      <c r="E95" s="62">
        <v>7.4546000000000001</v>
      </c>
      <c r="F95">
        <f t="shared" si="4"/>
        <v>1.409380908184662</v>
      </c>
      <c r="G95">
        <f t="shared" si="5"/>
        <v>1409.38</v>
      </c>
      <c r="H95">
        <f t="shared" si="6"/>
        <v>1749</v>
      </c>
      <c r="J95">
        <f t="shared" si="7"/>
        <v>1.240971207197491</v>
      </c>
    </row>
    <row r="96" spans="4:10">
      <c r="D96" s="62">
        <v>34</v>
      </c>
      <c r="E96" s="62">
        <v>7.1925999999999997</v>
      </c>
      <c r="F96">
        <f t="shared" si="4"/>
        <v>1.3805695473634005</v>
      </c>
      <c r="G96">
        <f t="shared" si="5"/>
        <v>1380.57</v>
      </c>
      <c r="H96">
        <f t="shared" si="6"/>
        <v>1713</v>
      </c>
      <c r="J96">
        <f t="shared" si="7"/>
        <v>1.2407918468458681</v>
      </c>
    </row>
    <row r="97" spans="4:10">
      <c r="D97" s="62">
        <v>35</v>
      </c>
      <c r="E97" s="62">
        <v>6.9412000000000003</v>
      </c>
      <c r="F97">
        <f t="shared" si="4"/>
        <v>1.3520860387693903</v>
      </c>
      <c r="G97">
        <f t="shared" si="5"/>
        <v>1352.09</v>
      </c>
      <c r="H97">
        <f t="shared" si="6"/>
        <v>1678</v>
      </c>
      <c r="J97">
        <f t="shared" si="7"/>
        <v>1.2410416466359488</v>
      </c>
    </row>
    <row r="98" spans="4:10">
      <c r="D98" s="62">
        <v>36</v>
      </c>
      <c r="E98" s="62">
        <v>6.7</v>
      </c>
      <c r="F98">
        <f t="shared" si="4"/>
        <v>1.3239520958083832</v>
      </c>
      <c r="G98">
        <f t="shared" si="5"/>
        <v>1323.95</v>
      </c>
      <c r="H98">
        <f t="shared" si="6"/>
        <v>1643</v>
      </c>
      <c r="J98">
        <f t="shared" si="7"/>
        <v>1.2409834208240491</v>
      </c>
    </row>
    <row r="99" spans="4:10">
      <c r="D99" s="62">
        <v>37</v>
      </c>
      <c r="E99" s="62">
        <v>6.4684999999999997</v>
      </c>
      <c r="F99">
        <f t="shared" si="4"/>
        <v>1.2961745149831496</v>
      </c>
      <c r="G99">
        <f t="shared" si="5"/>
        <v>1296.17</v>
      </c>
      <c r="H99">
        <f t="shared" si="6"/>
        <v>1608</v>
      </c>
      <c r="J99">
        <f t="shared" si="7"/>
        <v>1.2405780106004614</v>
      </c>
    </row>
    <row r="100" spans="4:10">
      <c r="D100" s="62">
        <v>38</v>
      </c>
      <c r="E100" s="62">
        <v>6.2462999999999997</v>
      </c>
      <c r="F100">
        <f t="shared" si="4"/>
        <v>1.26876827339148</v>
      </c>
      <c r="G100">
        <f t="shared" si="5"/>
        <v>1268.77</v>
      </c>
      <c r="H100">
        <f t="shared" si="6"/>
        <v>1574</v>
      </c>
      <c r="J100">
        <f t="shared" si="7"/>
        <v>1.2405715771968127</v>
      </c>
    </row>
    <row r="101" spans="4:10">
      <c r="D101" s="62">
        <v>39</v>
      </c>
      <c r="E101" s="62">
        <v>6.0328999999999997</v>
      </c>
      <c r="F101">
        <f t="shared" si="4"/>
        <v>1.2417323129315347</v>
      </c>
      <c r="G101">
        <f t="shared" si="5"/>
        <v>1241.73</v>
      </c>
      <c r="H101">
        <f t="shared" si="6"/>
        <v>1541</v>
      </c>
      <c r="J101">
        <f t="shared" si="7"/>
        <v>1.2410105256376185</v>
      </c>
    </row>
    <row r="102" spans="4:10">
      <c r="D102" s="62">
        <v>40</v>
      </c>
      <c r="E102" s="62">
        <v>5.8281000000000001</v>
      </c>
      <c r="F102">
        <f t="shared" si="4"/>
        <v>1.2151003594872412</v>
      </c>
      <c r="G102">
        <f t="shared" si="5"/>
        <v>1215.0999999999999</v>
      </c>
      <c r="H102">
        <f t="shared" si="6"/>
        <v>1508</v>
      </c>
      <c r="J102">
        <f t="shared" si="7"/>
        <v>1.2410501193317423</v>
      </c>
    </row>
    <row r="103" spans="4:10">
      <c r="D103" s="62">
        <v>41</v>
      </c>
      <c r="E103" s="62">
        <v>5.6313000000000004</v>
      </c>
      <c r="F103">
        <f t="shared" si="4"/>
        <v>1.1888512151900354</v>
      </c>
      <c r="G103">
        <f t="shared" si="5"/>
        <v>1188.8499999999999</v>
      </c>
      <c r="H103">
        <f t="shared" si="6"/>
        <v>1475</v>
      </c>
      <c r="J103">
        <f t="shared" si="7"/>
        <v>1.240694789081886</v>
      </c>
    </row>
    <row r="104" spans="4:10">
      <c r="D104" s="62">
        <v>42</v>
      </c>
      <c r="E104" s="62">
        <v>5.4421999999999997</v>
      </c>
      <c r="F104">
        <f t="shared" si="4"/>
        <v>1.1629987955084118</v>
      </c>
      <c r="G104">
        <f t="shared" si="5"/>
        <v>1163</v>
      </c>
      <c r="H104">
        <f t="shared" si="6"/>
        <v>1443</v>
      </c>
      <c r="J104">
        <f t="shared" si="7"/>
        <v>1.2407566638005159</v>
      </c>
    </row>
    <row r="105" spans="4:10">
      <c r="D105" s="62">
        <v>43</v>
      </c>
      <c r="E105" s="62">
        <v>5.2606000000000002</v>
      </c>
      <c r="F105">
        <f t="shared" si="4"/>
        <v>1.1375686408135983</v>
      </c>
      <c r="G105">
        <f t="shared" si="5"/>
        <v>1137.57</v>
      </c>
      <c r="H105">
        <f t="shared" si="6"/>
        <v>1411</v>
      </c>
      <c r="J105">
        <f t="shared" si="7"/>
        <v>1.240363230394613</v>
      </c>
    </row>
    <row r="106" spans="4:10">
      <c r="D106" s="62">
        <v>44</v>
      </c>
      <c r="E106" s="62">
        <v>5.0861000000000001</v>
      </c>
      <c r="F106">
        <f t="shared" si="4"/>
        <v>1.1125559289677251</v>
      </c>
      <c r="G106">
        <f t="shared" si="5"/>
        <v>1112.56</v>
      </c>
      <c r="H106">
        <f t="shared" si="6"/>
        <v>1380</v>
      </c>
      <c r="J106">
        <f t="shared" si="7"/>
        <v>1.2403825411663192</v>
      </c>
    </row>
    <row r="107" spans="4:10">
      <c r="D107" s="62">
        <v>45</v>
      </c>
      <c r="E107" s="62">
        <v>4.9183000000000003</v>
      </c>
      <c r="F107">
        <f t="shared" si="4"/>
        <v>1.0879517103155185</v>
      </c>
      <c r="G107">
        <f t="shared" si="5"/>
        <v>1087.95</v>
      </c>
      <c r="H107">
        <f t="shared" si="6"/>
        <v>1350</v>
      </c>
      <c r="J107">
        <f t="shared" si="7"/>
        <v>1.2408658486143664</v>
      </c>
    </row>
    <row r="108" spans="4:10">
      <c r="D108" s="62">
        <v>46</v>
      </c>
      <c r="E108" s="62">
        <v>4.7568999999999999</v>
      </c>
      <c r="F108">
        <f t="shared" si="4"/>
        <v>1.0637579708475358</v>
      </c>
      <c r="G108">
        <f t="shared" si="5"/>
        <v>1063.76</v>
      </c>
      <c r="H108">
        <f t="shared" si="6"/>
        <v>1320</v>
      </c>
      <c r="J108">
        <f t="shared" si="7"/>
        <v>1.2408814018199594</v>
      </c>
    </row>
    <row r="109" spans="4:10">
      <c r="D109" s="62">
        <v>47</v>
      </c>
      <c r="E109" s="62">
        <v>4.6017999999999999</v>
      </c>
      <c r="F109">
        <f t="shared" si="4"/>
        <v>1.0400046569601007</v>
      </c>
      <c r="G109">
        <f t="shared" si="5"/>
        <v>1040</v>
      </c>
      <c r="H109">
        <f t="shared" si="6"/>
        <v>1290</v>
      </c>
      <c r="J109">
        <f t="shared" si="7"/>
        <v>1.2403846153846154</v>
      </c>
    </row>
    <row r="110" spans="4:10">
      <c r="D110" s="62">
        <v>48</v>
      </c>
      <c r="E110" s="62">
        <v>4.4526000000000003</v>
      </c>
      <c r="F110">
        <f t="shared" si="4"/>
        <v>1.0166738164759284</v>
      </c>
      <c r="G110">
        <f t="shared" si="5"/>
        <v>1016.67</v>
      </c>
      <c r="H110">
        <f t="shared" si="6"/>
        <v>1261</v>
      </c>
      <c r="J110">
        <f t="shared" si="7"/>
        <v>1.240323802217042</v>
      </c>
    </row>
    <row r="111" spans="4:10">
      <c r="D111" s="62">
        <v>49</v>
      </c>
      <c r="E111" s="62">
        <v>4.3090999999999999</v>
      </c>
      <c r="F111">
        <f t="shared" si="4"/>
        <v>0.99377528985051455</v>
      </c>
      <c r="G111">
        <f t="shared" si="5"/>
        <v>993.78</v>
      </c>
      <c r="H111">
        <f t="shared" si="6"/>
        <v>1233</v>
      </c>
      <c r="J111">
        <f t="shared" si="7"/>
        <v>1.2407172613656947</v>
      </c>
    </row>
    <row r="112" spans="4:10">
      <c r="D112" s="62">
        <v>50</v>
      </c>
      <c r="E112" s="62">
        <v>4.1708999999999996</v>
      </c>
      <c r="F112">
        <f t="shared" si="4"/>
        <v>0.97128411039524643</v>
      </c>
      <c r="G112">
        <f t="shared" si="5"/>
        <v>971.28</v>
      </c>
      <c r="H112">
        <f t="shared" si="6"/>
        <v>1205</v>
      </c>
      <c r="J112">
        <f t="shared" si="7"/>
        <v>1.2406309200230623</v>
      </c>
    </row>
    <row r="113" spans="4:10">
      <c r="D113" s="62">
        <v>51</v>
      </c>
      <c r="E113" s="62">
        <v>4.0380000000000003</v>
      </c>
      <c r="F113">
        <f t="shared" si="4"/>
        <v>0.9492377831599943</v>
      </c>
      <c r="G113">
        <f t="shared" si="5"/>
        <v>949.24</v>
      </c>
      <c r="H113">
        <f t="shared" si="6"/>
        <v>1178</v>
      </c>
      <c r="J113">
        <f t="shared" si="7"/>
        <v>1.2409927942353882</v>
      </c>
    </row>
    <row r="114" spans="4:10">
      <c r="D114" s="62">
        <v>52</v>
      </c>
      <c r="E114" s="62">
        <v>3.9100999999999999</v>
      </c>
      <c r="F114">
        <f t="shared" si="4"/>
        <v>0.92762309401082665</v>
      </c>
      <c r="G114">
        <f t="shared" si="5"/>
        <v>927.62</v>
      </c>
      <c r="H114">
        <f t="shared" si="6"/>
        <v>1151</v>
      </c>
      <c r="J114">
        <f t="shared" si="7"/>
        <v>1.2408098143636404</v>
      </c>
    </row>
    <row r="115" spans="4:10">
      <c r="D115" s="62">
        <v>53</v>
      </c>
      <c r="E115" s="62">
        <v>3.7867999999999999</v>
      </c>
      <c r="F115">
        <f t="shared" si="4"/>
        <v>0.90640612760031336</v>
      </c>
      <c r="G115">
        <f t="shared" si="5"/>
        <v>906.41</v>
      </c>
      <c r="H115">
        <f t="shared" si="6"/>
        <v>1125</v>
      </c>
      <c r="J115">
        <f t="shared" si="7"/>
        <v>1.2411601813748745</v>
      </c>
    </row>
    <row r="116" spans="4:10">
      <c r="D116" s="62">
        <v>54</v>
      </c>
      <c r="E116" s="62">
        <v>3.6682000000000001</v>
      </c>
      <c r="F116">
        <f t="shared" si="4"/>
        <v>0.88563673343966276</v>
      </c>
      <c r="G116">
        <f t="shared" si="5"/>
        <v>885.64</v>
      </c>
      <c r="H116">
        <f t="shared" si="6"/>
        <v>1099</v>
      </c>
      <c r="J116">
        <f t="shared" si="7"/>
        <v>1.2409105279797661</v>
      </c>
    </row>
    <row r="117" spans="4:10">
      <c r="D117" s="62">
        <v>55</v>
      </c>
      <c r="E117" s="62">
        <v>3.5539000000000001</v>
      </c>
      <c r="F117">
        <f t="shared" si="4"/>
        <v>0.86527641490641072</v>
      </c>
      <c r="G117">
        <f t="shared" si="5"/>
        <v>865.28</v>
      </c>
      <c r="H117">
        <f t="shared" si="6"/>
        <v>1073</v>
      </c>
      <c r="J117">
        <f t="shared" si="7"/>
        <v>1.2400610207100593</v>
      </c>
    </row>
    <row r="118" spans="4:10">
      <c r="D118" s="62">
        <v>56</v>
      </c>
      <c r="E118" s="62">
        <v>3.4438</v>
      </c>
      <c r="F118">
        <f t="shared" si="4"/>
        <v>0.84533688391674966</v>
      </c>
      <c r="G118">
        <f t="shared" si="5"/>
        <v>845.34</v>
      </c>
      <c r="H118">
        <f t="shared" si="6"/>
        <v>1049</v>
      </c>
      <c r="J118">
        <f t="shared" si="7"/>
        <v>1.2409208129273428</v>
      </c>
    </row>
    <row r="119" spans="4:10">
      <c r="D119" s="62">
        <v>57</v>
      </c>
      <c r="E119" s="62">
        <v>3.3376999999999999</v>
      </c>
      <c r="F119">
        <f t="shared" si="4"/>
        <v>0.82581029712769061</v>
      </c>
      <c r="G119">
        <f t="shared" si="5"/>
        <v>825.81</v>
      </c>
      <c r="H119">
        <f t="shared" si="6"/>
        <v>1025</v>
      </c>
      <c r="J119">
        <f t="shared" si="7"/>
        <v>1.2412056041946695</v>
      </c>
    </row>
    <row r="120" spans="4:10">
      <c r="D120" s="62">
        <v>58</v>
      </c>
      <c r="E120" s="62">
        <v>3.2353999999999998</v>
      </c>
      <c r="F120">
        <f t="shared" si="4"/>
        <v>0.80668661317376122</v>
      </c>
      <c r="G120">
        <f t="shared" si="5"/>
        <v>806.69</v>
      </c>
      <c r="H120">
        <f t="shared" si="6"/>
        <v>1001</v>
      </c>
      <c r="J120">
        <f t="shared" si="7"/>
        <v>1.2408731978827059</v>
      </c>
    </row>
    <row r="121" spans="4:10">
      <c r="D121" s="62">
        <v>59</v>
      </c>
      <c r="E121" s="62">
        <v>3.1368</v>
      </c>
      <c r="F121">
        <f t="shared" si="4"/>
        <v>0.7879727178612751</v>
      </c>
      <c r="G121">
        <f t="shared" si="5"/>
        <v>787.97</v>
      </c>
      <c r="H121">
        <f t="shared" si="6"/>
        <v>978</v>
      </c>
      <c r="J121">
        <f t="shared" si="7"/>
        <v>1.2411640037057248</v>
      </c>
    </row>
    <row r="122" spans="4:10">
      <c r="D122" s="62">
        <v>60</v>
      </c>
      <c r="E122" s="62">
        <v>3.0417000000000001</v>
      </c>
      <c r="F122">
        <f t="shared" si="4"/>
        <v>0.76965502963570698</v>
      </c>
      <c r="G122">
        <f t="shared" si="5"/>
        <v>769.66</v>
      </c>
      <c r="H122">
        <f t="shared" si="6"/>
        <v>955</v>
      </c>
      <c r="J122">
        <f t="shared" si="7"/>
        <v>1.2408076293428267</v>
      </c>
    </row>
    <row r="123" spans="4:10">
      <c r="D123" s="62">
        <v>61</v>
      </c>
      <c r="E123" s="62">
        <v>2.95</v>
      </c>
      <c r="F123">
        <f t="shared" si="4"/>
        <v>0.75173745173745177</v>
      </c>
      <c r="G123">
        <f t="shared" si="5"/>
        <v>751.74</v>
      </c>
      <c r="H123">
        <f t="shared" si="6"/>
        <v>933</v>
      </c>
      <c r="J123">
        <f t="shared" si="7"/>
        <v>1.2411206002075186</v>
      </c>
    </row>
    <row r="124" spans="4:10">
      <c r="D124" s="62">
        <v>62</v>
      </c>
      <c r="E124" s="62">
        <v>2.8616000000000001</v>
      </c>
      <c r="F124">
        <f t="shared" si="4"/>
        <v>0.73422280276170937</v>
      </c>
      <c r="G124">
        <f t="shared" si="5"/>
        <v>734.22</v>
      </c>
      <c r="H124">
        <f t="shared" si="6"/>
        <v>911</v>
      </c>
      <c r="J124">
        <f t="shared" si="7"/>
        <v>1.2407725204979434</v>
      </c>
    </row>
    <row r="125" spans="4:10">
      <c r="D125" s="62">
        <v>63</v>
      </c>
      <c r="E125" s="62">
        <v>2.7761999999999998</v>
      </c>
      <c r="F125">
        <f t="shared" si="4"/>
        <v>0.71707236893599036</v>
      </c>
      <c r="G125">
        <f t="shared" si="5"/>
        <v>717.07</v>
      </c>
      <c r="H125">
        <f t="shared" si="6"/>
        <v>890</v>
      </c>
      <c r="J125">
        <f t="shared" si="7"/>
        <v>1.2411619507161085</v>
      </c>
    </row>
    <row r="126" spans="4:10">
      <c r="D126" s="62">
        <v>64</v>
      </c>
      <c r="E126" s="62">
        <v>2.6939000000000002</v>
      </c>
      <c r="F126">
        <f t="shared" si="4"/>
        <v>0.70032614090232326</v>
      </c>
      <c r="G126">
        <f t="shared" si="5"/>
        <v>700.33</v>
      </c>
      <c r="H126">
        <f t="shared" si="6"/>
        <v>869</v>
      </c>
      <c r="J126">
        <f t="shared" si="7"/>
        <v>1.2408436023017719</v>
      </c>
    </row>
    <row r="127" spans="4:10">
      <c r="D127" s="62">
        <v>65</v>
      </c>
      <c r="E127" s="62">
        <v>2.6143999999999998</v>
      </c>
      <c r="F127">
        <f t="shared" ref="F127:F187" si="8">$E$16/($E$17+E127)*E127</f>
        <v>0.68394216133942154</v>
      </c>
      <c r="G127">
        <f t="shared" ref="G127:G187" si="9">ROUND((F127*1000),2)</f>
        <v>683.94</v>
      </c>
      <c r="H127">
        <f t="shared" ref="H127:H187" si="10">ROUNDDOWN(G127/$I$10,0)</f>
        <v>848</v>
      </c>
      <c r="J127">
        <f t="shared" ref="J127:J187" si="11">H127/G127</f>
        <v>1.2398748428224697</v>
      </c>
    </row>
    <row r="128" spans="4:10">
      <c r="D128" s="62">
        <v>66</v>
      </c>
      <c r="E128" s="62">
        <v>2.5375999999999999</v>
      </c>
      <c r="F128">
        <f t="shared" si="8"/>
        <v>0.66791730474732003</v>
      </c>
      <c r="G128">
        <f t="shared" si="9"/>
        <v>667.92</v>
      </c>
      <c r="H128">
        <f t="shared" si="10"/>
        <v>829</v>
      </c>
      <c r="J128">
        <f t="shared" si="11"/>
        <v>1.2411666067792551</v>
      </c>
    </row>
    <row r="129" spans="4:10">
      <c r="D129" s="62">
        <v>67</v>
      </c>
      <c r="E129" s="62">
        <v>2.4634999999999998</v>
      </c>
      <c r="F129">
        <f t="shared" si="8"/>
        <v>0.65226862438319888</v>
      </c>
      <c r="G129">
        <f t="shared" si="9"/>
        <v>652.27</v>
      </c>
      <c r="H129">
        <f t="shared" si="10"/>
        <v>809</v>
      </c>
      <c r="J129">
        <f t="shared" si="11"/>
        <v>1.240283931500759</v>
      </c>
    </row>
    <row r="130" spans="4:10">
      <c r="D130" s="62">
        <v>68</v>
      </c>
      <c r="E130" s="62">
        <v>2.3919000000000001</v>
      </c>
      <c r="F130">
        <f t="shared" si="8"/>
        <v>0.63697011757680422</v>
      </c>
      <c r="G130">
        <f t="shared" si="9"/>
        <v>636.97</v>
      </c>
      <c r="H130">
        <f t="shared" si="10"/>
        <v>790</v>
      </c>
      <c r="J130">
        <f t="shared" si="11"/>
        <v>1.2402467934125625</v>
      </c>
    </row>
    <row r="131" spans="4:10">
      <c r="D131" s="62">
        <v>69</v>
      </c>
      <c r="E131" s="62">
        <v>2.3228</v>
      </c>
      <c r="F131">
        <f t="shared" si="8"/>
        <v>0.62203719933781276</v>
      </c>
      <c r="G131">
        <f t="shared" si="9"/>
        <v>622.04</v>
      </c>
      <c r="H131">
        <f t="shared" si="10"/>
        <v>772</v>
      </c>
      <c r="J131">
        <f t="shared" si="11"/>
        <v>1.2410777441965148</v>
      </c>
    </row>
    <row r="132" spans="4:10">
      <c r="D132" s="62">
        <v>70</v>
      </c>
      <c r="E132" s="62">
        <v>2.2559</v>
      </c>
      <c r="F132">
        <f t="shared" si="8"/>
        <v>0.60741928377352949</v>
      </c>
      <c r="G132">
        <f t="shared" si="9"/>
        <v>607.41999999999996</v>
      </c>
      <c r="H132">
        <f t="shared" si="10"/>
        <v>753</v>
      </c>
      <c r="J132">
        <f t="shared" si="11"/>
        <v>1.2396694214876034</v>
      </c>
    </row>
    <row r="133" spans="4:10">
      <c r="D133" s="62">
        <v>71</v>
      </c>
      <c r="E133" s="62">
        <v>2.1913999999999998</v>
      </c>
      <c r="F133">
        <f t="shared" si="8"/>
        <v>0.59317387666715871</v>
      </c>
      <c r="G133">
        <f t="shared" si="9"/>
        <v>593.16999999999996</v>
      </c>
      <c r="H133">
        <f t="shared" si="10"/>
        <v>736</v>
      </c>
      <c r="J133">
        <f t="shared" si="11"/>
        <v>1.2407910042652193</v>
      </c>
    </row>
    <row r="134" spans="4:10">
      <c r="D134" s="62">
        <v>72</v>
      </c>
      <c r="E134" s="62">
        <v>2.129</v>
      </c>
      <c r="F134">
        <f t="shared" si="8"/>
        <v>0.57924808310660392</v>
      </c>
      <c r="G134">
        <f t="shared" si="9"/>
        <v>579.25</v>
      </c>
      <c r="H134">
        <f t="shared" si="10"/>
        <v>718</v>
      </c>
      <c r="J134">
        <f t="shared" si="11"/>
        <v>1.2395338800172637</v>
      </c>
    </row>
    <row r="135" spans="4:10">
      <c r="D135" s="62">
        <v>73</v>
      </c>
      <c r="E135" s="62">
        <v>2.0686</v>
      </c>
      <c r="F135">
        <f t="shared" si="8"/>
        <v>0.56563147341033748</v>
      </c>
      <c r="G135">
        <f t="shared" si="9"/>
        <v>565.63</v>
      </c>
      <c r="H135">
        <f t="shared" si="10"/>
        <v>702</v>
      </c>
      <c r="J135">
        <f t="shared" si="11"/>
        <v>1.2410940013789933</v>
      </c>
    </row>
    <row r="136" spans="4:10">
      <c r="D136" s="62">
        <v>74</v>
      </c>
      <c r="E136" s="62">
        <v>2.0103</v>
      </c>
      <c r="F136">
        <f t="shared" si="8"/>
        <v>0.55235839237987383</v>
      </c>
      <c r="G136">
        <f t="shared" si="9"/>
        <v>552.36</v>
      </c>
      <c r="H136">
        <f t="shared" si="10"/>
        <v>685</v>
      </c>
      <c r="J136">
        <f t="shared" si="11"/>
        <v>1.2401332464334853</v>
      </c>
    </row>
    <row r="137" spans="4:10">
      <c r="D137" s="62">
        <v>75</v>
      </c>
      <c r="E137" s="62">
        <v>1.9538</v>
      </c>
      <c r="F137">
        <f t="shared" si="8"/>
        <v>0.53937158058525325</v>
      </c>
      <c r="G137">
        <f t="shared" si="9"/>
        <v>539.37</v>
      </c>
      <c r="H137">
        <f t="shared" si="10"/>
        <v>669</v>
      </c>
      <c r="J137">
        <f t="shared" si="11"/>
        <v>1.240335947494299</v>
      </c>
    </row>
    <row r="138" spans="4:10">
      <c r="D138" s="62">
        <v>76</v>
      </c>
      <c r="E138" s="62">
        <v>1.8992</v>
      </c>
      <c r="F138">
        <f t="shared" si="8"/>
        <v>0.52670431625655501</v>
      </c>
      <c r="G138">
        <f t="shared" si="9"/>
        <v>526.70000000000005</v>
      </c>
      <c r="H138">
        <f t="shared" si="10"/>
        <v>653</v>
      </c>
      <c r="J138">
        <f t="shared" si="11"/>
        <v>1.2397949496867287</v>
      </c>
    </row>
    <row r="139" spans="4:10">
      <c r="D139" s="62">
        <v>77</v>
      </c>
      <c r="E139" s="62">
        <v>1.8464</v>
      </c>
      <c r="F139">
        <f t="shared" si="8"/>
        <v>0.51434359805510543</v>
      </c>
      <c r="G139">
        <f t="shared" si="9"/>
        <v>514.34</v>
      </c>
      <c r="H139">
        <f t="shared" si="10"/>
        <v>638</v>
      </c>
      <c r="J139">
        <f t="shared" si="11"/>
        <v>1.2404246218454718</v>
      </c>
    </row>
    <row r="140" spans="4:10">
      <c r="D140" s="62">
        <v>78</v>
      </c>
      <c r="E140" s="62">
        <v>1.7952999999999999</v>
      </c>
      <c r="F140">
        <f t="shared" si="8"/>
        <v>0.50227548260747923</v>
      </c>
      <c r="G140">
        <f t="shared" si="9"/>
        <v>502.28</v>
      </c>
      <c r="H140">
        <f t="shared" si="10"/>
        <v>623</v>
      </c>
      <c r="J140">
        <f t="shared" si="11"/>
        <v>1.2403440312176477</v>
      </c>
    </row>
    <row r="141" spans="4:10">
      <c r="D141" s="62">
        <v>79</v>
      </c>
      <c r="E141" s="62">
        <v>1.7459</v>
      </c>
      <c r="F141">
        <f t="shared" si="8"/>
        <v>0.49050902868234864</v>
      </c>
      <c r="G141">
        <f t="shared" si="9"/>
        <v>490.51</v>
      </c>
      <c r="H141">
        <f t="shared" si="10"/>
        <v>608</v>
      </c>
      <c r="J141">
        <f t="shared" si="11"/>
        <v>1.2395262074167703</v>
      </c>
    </row>
    <row r="142" spans="4:10">
      <c r="D142" s="62">
        <v>80</v>
      </c>
      <c r="E142" s="62">
        <v>1.698</v>
      </c>
      <c r="F142">
        <f t="shared" si="8"/>
        <v>0.47900495811249783</v>
      </c>
      <c r="G142">
        <f t="shared" si="9"/>
        <v>479</v>
      </c>
      <c r="H142">
        <f t="shared" si="10"/>
        <v>594</v>
      </c>
      <c r="J142">
        <f t="shared" si="11"/>
        <v>1.2400835073068894</v>
      </c>
    </row>
    <row r="143" spans="4:10">
      <c r="D143" s="62">
        <v>81</v>
      </c>
      <c r="E143" s="62">
        <v>1.6516999999999999</v>
      </c>
      <c r="F143">
        <f t="shared" si="8"/>
        <v>0.46779525734442179</v>
      </c>
      <c r="G143">
        <f t="shared" si="9"/>
        <v>467.8</v>
      </c>
      <c r="H143">
        <f t="shared" si="10"/>
        <v>580</v>
      </c>
      <c r="J143">
        <f t="shared" si="11"/>
        <v>1.2398460880718256</v>
      </c>
    </row>
    <row r="144" spans="4:10">
      <c r="D144" s="62">
        <v>82</v>
      </c>
      <c r="E144" s="62">
        <v>1.6068</v>
      </c>
      <c r="F144">
        <f t="shared" si="8"/>
        <v>0.45683909432401693</v>
      </c>
      <c r="G144">
        <f t="shared" si="9"/>
        <v>456.84</v>
      </c>
      <c r="H144">
        <f t="shared" si="10"/>
        <v>567</v>
      </c>
      <c r="J144">
        <f t="shared" si="11"/>
        <v>1.2411347517730498</v>
      </c>
    </row>
    <row r="145" spans="4:10">
      <c r="D145" s="62">
        <v>83</v>
      </c>
      <c r="E145" s="62">
        <v>1.5633999999999999</v>
      </c>
      <c r="F145">
        <f t="shared" si="8"/>
        <v>0.44616808205199154</v>
      </c>
      <c r="G145">
        <f t="shared" si="9"/>
        <v>446.17</v>
      </c>
      <c r="H145">
        <f t="shared" si="10"/>
        <v>553</v>
      </c>
      <c r="J145">
        <f t="shared" si="11"/>
        <v>1.2394378824214984</v>
      </c>
    </row>
    <row r="146" spans="4:10">
      <c r="D146" s="62">
        <v>84</v>
      </c>
      <c r="E146" s="62">
        <v>1.5213000000000001</v>
      </c>
      <c r="F146">
        <f t="shared" si="8"/>
        <v>0.43573989046374978</v>
      </c>
      <c r="G146">
        <f t="shared" si="9"/>
        <v>435.74</v>
      </c>
      <c r="H146">
        <f t="shared" si="10"/>
        <v>540</v>
      </c>
      <c r="J146">
        <f t="shared" si="11"/>
        <v>1.2392711249827879</v>
      </c>
    </row>
    <row r="147" spans="4:10">
      <c r="D147" s="62">
        <v>85</v>
      </c>
      <c r="E147" s="62">
        <v>1.4804999999999999</v>
      </c>
      <c r="F147">
        <f t="shared" si="8"/>
        <v>0.42556073341753403</v>
      </c>
      <c r="G147">
        <f t="shared" si="9"/>
        <v>425.56</v>
      </c>
      <c r="H147">
        <f t="shared" si="10"/>
        <v>528</v>
      </c>
      <c r="J147">
        <f t="shared" si="11"/>
        <v>1.2407181126045681</v>
      </c>
    </row>
    <row r="148" spans="4:10">
      <c r="D148" s="62">
        <v>86</v>
      </c>
      <c r="E148" s="62">
        <v>1.4410000000000001</v>
      </c>
      <c r="F148">
        <f t="shared" si="8"/>
        <v>0.41563674503976922</v>
      </c>
      <c r="G148">
        <f t="shared" si="9"/>
        <v>415.64</v>
      </c>
      <c r="H148">
        <f t="shared" si="10"/>
        <v>515</v>
      </c>
      <c r="J148">
        <f t="shared" si="11"/>
        <v>1.2390530266576847</v>
      </c>
    </row>
    <row r="149" spans="4:10">
      <c r="D149" s="62">
        <v>87</v>
      </c>
      <c r="E149" s="62">
        <v>1.4028</v>
      </c>
      <c r="F149">
        <f t="shared" si="8"/>
        <v>0.40597397130529345</v>
      </c>
      <c r="G149">
        <f t="shared" si="9"/>
        <v>405.97</v>
      </c>
      <c r="H149">
        <f t="shared" si="10"/>
        <v>503</v>
      </c>
      <c r="J149">
        <f t="shared" si="11"/>
        <v>1.239007808458753</v>
      </c>
    </row>
    <row r="150" spans="4:10">
      <c r="D150" s="62">
        <v>88</v>
      </c>
      <c r="E150" s="62">
        <v>1.3656999999999999</v>
      </c>
      <c r="F150">
        <f t="shared" si="8"/>
        <v>0.39652727064765031</v>
      </c>
      <c r="G150">
        <f t="shared" si="9"/>
        <v>396.53</v>
      </c>
      <c r="H150">
        <f t="shared" si="10"/>
        <v>492</v>
      </c>
      <c r="J150">
        <f t="shared" si="11"/>
        <v>1.2407636244420348</v>
      </c>
    </row>
    <row r="151" spans="4:10">
      <c r="D151" s="62">
        <v>89</v>
      </c>
      <c r="E151" s="62">
        <v>1.3297000000000001</v>
      </c>
      <c r="F151">
        <f t="shared" si="8"/>
        <v>0.38730151725111878</v>
      </c>
      <c r="G151">
        <f t="shared" si="9"/>
        <v>387.3</v>
      </c>
      <c r="H151">
        <f t="shared" si="10"/>
        <v>480</v>
      </c>
      <c r="J151">
        <f t="shared" si="11"/>
        <v>1.2393493415956622</v>
      </c>
    </row>
    <row r="152" spans="4:10">
      <c r="D152" s="62">
        <v>90</v>
      </c>
      <c r="E152" s="62">
        <v>1.2948999999999999</v>
      </c>
      <c r="F152">
        <f t="shared" si="8"/>
        <v>0.37832738669665067</v>
      </c>
      <c r="G152">
        <f t="shared" si="9"/>
        <v>378.33</v>
      </c>
      <c r="H152">
        <f t="shared" si="10"/>
        <v>469</v>
      </c>
      <c r="J152">
        <f t="shared" si="11"/>
        <v>1.2396584991938255</v>
      </c>
    </row>
    <row r="153" spans="4:10">
      <c r="D153" s="62">
        <v>91</v>
      </c>
      <c r="E153" s="62">
        <v>1.2611000000000001</v>
      </c>
      <c r="F153">
        <f t="shared" si="8"/>
        <v>0.36955803607107651</v>
      </c>
      <c r="G153">
        <f t="shared" si="9"/>
        <v>369.56</v>
      </c>
      <c r="H153">
        <f t="shared" si="10"/>
        <v>458</v>
      </c>
      <c r="J153">
        <f t="shared" si="11"/>
        <v>1.2393116138110185</v>
      </c>
    </row>
    <row r="154" spans="4:10">
      <c r="D154" s="62">
        <v>92</v>
      </c>
      <c r="E154" s="62">
        <v>1.2283999999999999</v>
      </c>
      <c r="F154">
        <f t="shared" si="8"/>
        <v>0.36102383242492242</v>
      </c>
      <c r="G154">
        <f t="shared" si="9"/>
        <v>361.02</v>
      </c>
      <c r="H154">
        <f t="shared" si="10"/>
        <v>448</v>
      </c>
      <c r="J154">
        <f t="shared" si="11"/>
        <v>1.2409284804165974</v>
      </c>
    </row>
    <row r="155" spans="4:10">
      <c r="D155" s="62">
        <v>93</v>
      </c>
      <c r="E155" s="62">
        <v>1.1967000000000001</v>
      </c>
      <c r="F155">
        <f t="shared" si="8"/>
        <v>0.35270302857091818</v>
      </c>
      <c r="G155">
        <f t="shared" si="9"/>
        <v>352.7</v>
      </c>
      <c r="H155">
        <f t="shared" si="10"/>
        <v>437</v>
      </c>
      <c r="J155">
        <f t="shared" si="11"/>
        <v>1.2390133257726113</v>
      </c>
    </row>
    <row r="156" spans="4:10">
      <c r="D156" s="62">
        <v>94</v>
      </c>
      <c r="E156" s="62">
        <v>1.1658999999999999</v>
      </c>
      <c r="F156">
        <f t="shared" si="8"/>
        <v>0.34457320950393605</v>
      </c>
      <c r="G156">
        <f t="shared" si="9"/>
        <v>344.57</v>
      </c>
      <c r="H156">
        <f t="shared" si="10"/>
        <v>427</v>
      </c>
      <c r="J156">
        <f t="shared" si="11"/>
        <v>1.2392257015990946</v>
      </c>
    </row>
    <row r="157" spans="4:10">
      <c r="D157" s="62">
        <v>95</v>
      </c>
      <c r="E157" s="62">
        <v>1.1359999999999999</v>
      </c>
      <c r="F157">
        <f t="shared" si="8"/>
        <v>0.3366379310344827</v>
      </c>
      <c r="G157">
        <f t="shared" si="9"/>
        <v>336.64</v>
      </c>
      <c r="H157">
        <f t="shared" si="10"/>
        <v>417</v>
      </c>
      <c r="J157">
        <f t="shared" si="11"/>
        <v>1.2387119771863118</v>
      </c>
    </row>
    <row r="158" spans="4:10">
      <c r="D158" s="62">
        <v>96</v>
      </c>
      <c r="E158" s="62">
        <v>1.1071</v>
      </c>
      <c r="F158">
        <f t="shared" si="8"/>
        <v>0.32892744280685327</v>
      </c>
      <c r="G158">
        <f t="shared" si="9"/>
        <v>328.93</v>
      </c>
      <c r="H158">
        <f t="shared" si="10"/>
        <v>408</v>
      </c>
      <c r="J158">
        <f t="shared" si="11"/>
        <v>1.2403854923539963</v>
      </c>
    </row>
    <row r="159" spans="4:10">
      <c r="D159" s="62">
        <v>97</v>
      </c>
      <c r="E159" s="62">
        <v>1.079</v>
      </c>
      <c r="F159">
        <f t="shared" si="8"/>
        <v>0.32139182236663955</v>
      </c>
      <c r="G159">
        <f t="shared" si="9"/>
        <v>321.39</v>
      </c>
      <c r="H159">
        <f t="shared" si="10"/>
        <v>398</v>
      </c>
      <c r="J159">
        <f t="shared" si="11"/>
        <v>1.2383708267214288</v>
      </c>
    </row>
    <row r="160" spans="4:10">
      <c r="D160" s="62">
        <v>98</v>
      </c>
      <c r="E160" s="62">
        <v>1.0518000000000001</v>
      </c>
      <c r="F160">
        <f t="shared" si="8"/>
        <v>0.3140610579272155</v>
      </c>
      <c r="G160">
        <f t="shared" si="9"/>
        <v>314.06</v>
      </c>
      <c r="H160">
        <f t="shared" si="10"/>
        <v>389</v>
      </c>
      <c r="J160">
        <f t="shared" si="11"/>
        <v>1.2386168248105458</v>
      </c>
    </row>
    <row r="161" spans="4:10">
      <c r="D161" s="62">
        <v>99</v>
      </c>
      <c r="E161" s="62">
        <v>1.0253000000000001</v>
      </c>
      <c r="F161">
        <f t="shared" si="8"/>
        <v>0.30688416641724037</v>
      </c>
      <c r="G161">
        <f t="shared" si="9"/>
        <v>306.88</v>
      </c>
      <c r="H161">
        <f t="shared" si="10"/>
        <v>380</v>
      </c>
      <c r="J161">
        <f t="shared" si="11"/>
        <v>1.2382690302398331</v>
      </c>
    </row>
    <row r="162" spans="4:10">
      <c r="D162" s="62">
        <v>100</v>
      </c>
      <c r="E162" s="62">
        <v>0.99968999999999997</v>
      </c>
      <c r="F162">
        <f t="shared" si="8"/>
        <v>0.29991545216274279</v>
      </c>
      <c r="G162">
        <f t="shared" si="9"/>
        <v>299.92</v>
      </c>
      <c r="H162">
        <f t="shared" si="10"/>
        <v>372</v>
      </c>
      <c r="J162">
        <f t="shared" si="11"/>
        <v>1.2403307548679647</v>
      </c>
    </row>
    <row r="163" spans="4:10">
      <c r="D163" s="62">
        <v>101</v>
      </c>
      <c r="E163" s="62">
        <v>0.97482000000000002</v>
      </c>
      <c r="F163">
        <f t="shared" si="8"/>
        <v>0.29311697139451942</v>
      </c>
      <c r="G163">
        <f t="shared" si="9"/>
        <v>293.12</v>
      </c>
      <c r="H163">
        <f t="shared" si="10"/>
        <v>363</v>
      </c>
      <c r="J163">
        <f t="shared" si="11"/>
        <v>1.2384006550218341</v>
      </c>
    </row>
    <row r="164" spans="4:10">
      <c r="D164" s="62">
        <v>102</v>
      </c>
      <c r="E164" s="62">
        <v>0.95067999999999997</v>
      </c>
      <c r="F164">
        <f t="shared" si="8"/>
        <v>0.28648851030255651</v>
      </c>
      <c r="G164">
        <f t="shared" si="9"/>
        <v>286.49</v>
      </c>
      <c r="H164">
        <f t="shared" si="10"/>
        <v>355</v>
      </c>
      <c r="J164">
        <f t="shared" si="11"/>
        <v>1.2391357464483925</v>
      </c>
    </row>
    <row r="165" spans="4:10">
      <c r="D165" s="62">
        <v>103</v>
      </c>
      <c r="E165" s="62">
        <v>0.92725000000000002</v>
      </c>
      <c r="F165">
        <f t="shared" si="8"/>
        <v>0.28002699672836256</v>
      </c>
      <c r="G165">
        <f t="shared" si="9"/>
        <v>280.02999999999997</v>
      </c>
      <c r="H165">
        <f t="shared" si="10"/>
        <v>347</v>
      </c>
      <c r="J165">
        <f t="shared" si="11"/>
        <v>1.2391529478984395</v>
      </c>
    </row>
    <row r="166" spans="4:10">
      <c r="D166" s="62">
        <v>104</v>
      </c>
      <c r="E166" s="62">
        <v>0.90451999999999999</v>
      </c>
      <c r="F166">
        <f t="shared" si="8"/>
        <v>0.27373199370536255</v>
      </c>
      <c r="G166">
        <f t="shared" si="9"/>
        <v>273.73</v>
      </c>
      <c r="H166">
        <f t="shared" si="10"/>
        <v>339</v>
      </c>
      <c r="J166">
        <f t="shared" si="11"/>
        <v>1.2384466445037079</v>
      </c>
    </row>
    <row r="167" spans="4:10">
      <c r="D167" s="62">
        <v>105</v>
      </c>
      <c r="E167" s="62">
        <v>0.88246000000000002</v>
      </c>
      <c r="F167">
        <f t="shared" si="8"/>
        <v>0.26759739985260683</v>
      </c>
      <c r="G167">
        <f t="shared" si="9"/>
        <v>267.60000000000002</v>
      </c>
      <c r="H167">
        <f t="shared" si="10"/>
        <v>332</v>
      </c>
      <c r="J167">
        <f t="shared" si="11"/>
        <v>1.2406576980568012</v>
      </c>
    </row>
    <row r="168" spans="4:10">
      <c r="D168" s="62">
        <v>106</v>
      </c>
      <c r="E168" s="62">
        <v>0.86104999999999998</v>
      </c>
      <c r="F168">
        <f t="shared" si="8"/>
        <v>0.26161973289875284</v>
      </c>
      <c r="G168">
        <f t="shared" si="9"/>
        <v>261.62</v>
      </c>
      <c r="H168">
        <f t="shared" si="10"/>
        <v>324</v>
      </c>
      <c r="J168">
        <f t="shared" si="11"/>
        <v>1.2384374283311672</v>
      </c>
    </row>
    <row r="169" spans="4:10">
      <c r="D169" s="62">
        <v>107</v>
      </c>
      <c r="E169" s="62">
        <v>0.84026000000000001</v>
      </c>
      <c r="F169">
        <f t="shared" si="8"/>
        <v>0.25579257324086319</v>
      </c>
      <c r="G169">
        <f t="shared" si="9"/>
        <v>255.79</v>
      </c>
      <c r="H169">
        <f t="shared" si="10"/>
        <v>317</v>
      </c>
      <c r="J169">
        <f t="shared" si="11"/>
        <v>1.239297861527034</v>
      </c>
    </row>
    <row r="170" spans="4:10">
      <c r="D170" s="62">
        <v>108</v>
      </c>
      <c r="E170" s="62">
        <v>0.82008999999999999</v>
      </c>
      <c r="F170">
        <f t="shared" si="8"/>
        <v>0.25011779014777136</v>
      </c>
      <c r="G170">
        <f t="shared" si="9"/>
        <v>250.12</v>
      </c>
      <c r="H170">
        <f t="shared" si="10"/>
        <v>310</v>
      </c>
      <c r="J170">
        <f t="shared" si="11"/>
        <v>1.2394050855589316</v>
      </c>
    </row>
    <row r="171" spans="4:10">
      <c r="D171" s="62">
        <v>109</v>
      </c>
      <c r="E171" s="62">
        <v>0.80051000000000005</v>
      </c>
      <c r="F171">
        <f t="shared" si="8"/>
        <v>0.24458872775452273</v>
      </c>
      <c r="G171">
        <f t="shared" si="9"/>
        <v>244.59</v>
      </c>
      <c r="H171">
        <f t="shared" si="10"/>
        <v>303</v>
      </c>
      <c r="J171">
        <f t="shared" si="11"/>
        <v>1.238807800809518</v>
      </c>
    </row>
    <row r="172" spans="4:10">
      <c r="D172" s="62">
        <v>110</v>
      </c>
      <c r="E172" s="62">
        <v>0.78151000000000004</v>
      </c>
      <c r="F172">
        <f t="shared" si="8"/>
        <v>0.23920424875550825</v>
      </c>
      <c r="G172">
        <f t="shared" si="9"/>
        <v>239.2</v>
      </c>
      <c r="H172">
        <f t="shared" si="10"/>
        <v>296</v>
      </c>
      <c r="J172">
        <f t="shared" si="11"/>
        <v>1.2374581939799332</v>
      </c>
    </row>
    <row r="173" spans="4:10">
      <c r="D173" s="62">
        <v>111</v>
      </c>
      <c r="E173" s="62">
        <v>0.76305999999999996</v>
      </c>
      <c r="F173">
        <f t="shared" si="8"/>
        <v>0.2339574433293134</v>
      </c>
      <c r="G173">
        <f t="shared" si="9"/>
        <v>233.96</v>
      </c>
      <c r="H173">
        <f t="shared" si="10"/>
        <v>290</v>
      </c>
      <c r="J173">
        <f t="shared" si="11"/>
        <v>1.2395281244657206</v>
      </c>
    </row>
    <row r="174" spans="4:10">
      <c r="D174" s="62">
        <v>112</v>
      </c>
      <c r="E174" s="62">
        <v>0.74514999999999998</v>
      </c>
      <c r="F174">
        <f t="shared" si="8"/>
        <v>0.22884696816703345</v>
      </c>
      <c r="G174">
        <f t="shared" si="9"/>
        <v>228.85</v>
      </c>
      <c r="H174">
        <f t="shared" si="10"/>
        <v>284</v>
      </c>
      <c r="J174">
        <f t="shared" si="11"/>
        <v>1.2409875464277911</v>
      </c>
    </row>
    <row r="175" spans="4:10">
      <c r="D175" s="62">
        <v>113</v>
      </c>
      <c r="E175" s="62">
        <v>0.72777000000000003</v>
      </c>
      <c r="F175">
        <f t="shared" si="8"/>
        <v>0.22387141036767194</v>
      </c>
      <c r="G175">
        <f t="shared" si="9"/>
        <v>223.87</v>
      </c>
      <c r="H175">
        <f t="shared" si="10"/>
        <v>277</v>
      </c>
      <c r="J175">
        <f t="shared" si="11"/>
        <v>1.2373252333943807</v>
      </c>
    </row>
    <row r="176" spans="4:10">
      <c r="D176" s="62">
        <v>114</v>
      </c>
      <c r="E176" s="62">
        <v>0.71089000000000002</v>
      </c>
      <c r="F176">
        <f t="shared" si="8"/>
        <v>0.21902353585929835</v>
      </c>
      <c r="G176">
        <f t="shared" si="9"/>
        <v>219.02</v>
      </c>
      <c r="H176">
        <f t="shared" si="10"/>
        <v>271</v>
      </c>
      <c r="J176">
        <f t="shared" si="11"/>
        <v>1.2373299242078348</v>
      </c>
    </row>
    <row r="177" spans="4:10">
      <c r="D177" s="62">
        <v>115</v>
      </c>
      <c r="E177" s="62">
        <v>0.69450999999999996</v>
      </c>
      <c r="F177">
        <f t="shared" si="8"/>
        <v>0.21430462919759766</v>
      </c>
      <c r="G177">
        <f t="shared" si="9"/>
        <v>214.3</v>
      </c>
      <c r="H177">
        <f t="shared" si="10"/>
        <v>265</v>
      </c>
      <c r="J177">
        <f t="shared" si="11"/>
        <v>1.236584227718152</v>
      </c>
    </row>
    <row r="178" spans="4:10">
      <c r="D178" s="62">
        <v>116</v>
      </c>
      <c r="E178" s="62">
        <v>0.67861000000000005</v>
      </c>
      <c r="F178">
        <f t="shared" si="8"/>
        <v>0.20971015890644942</v>
      </c>
      <c r="G178">
        <f t="shared" si="9"/>
        <v>209.71</v>
      </c>
      <c r="H178">
        <f t="shared" si="10"/>
        <v>260</v>
      </c>
      <c r="J178">
        <f t="shared" si="11"/>
        <v>1.2398073530113012</v>
      </c>
    </row>
    <row r="179" spans="4:10">
      <c r="D179" s="62">
        <v>117</v>
      </c>
      <c r="E179" s="62">
        <v>0.66317000000000004</v>
      </c>
      <c r="F179">
        <f t="shared" si="8"/>
        <v>0.205235497511528</v>
      </c>
      <c r="G179">
        <f t="shared" si="9"/>
        <v>205.24</v>
      </c>
      <c r="H179">
        <f t="shared" si="10"/>
        <v>254</v>
      </c>
      <c r="J179">
        <f t="shared" si="11"/>
        <v>1.2375755213408692</v>
      </c>
    </row>
    <row r="180" spans="4:10">
      <c r="D180" s="62">
        <v>118</v>
      </c>
      <c r="E180" s="62">
        <v>0.64819000000000004</v>
      </c>
      <c r="F180">
        <f t="shared" si="8"/>
        <v>0.20088174609957185</v>
      </c>
      <c r="G180">
        <f t="shared" si="9"/>
        <v>200.88</v>
      </c>
      <c r="H180">
        <f t="shared" si="10"/>
        <v>249</v>
      </c>
      <c r="J180">
        <f t="shared" si="11"/>
        <v>1.2395459976105139</v>
      </c>
    </row>
    <row r="181" spans="4:10">
      <c r="D181" s="62">
        <v>119</v>
      </c>
      <c r="E181" s="62">
        <v>0.63363999999999998</v>
      </c>
      <c r="F181">
        <f t="shared" si="8"/>
        <v>0.19664122539412654</v>
      </c>
      <c r="G181">
        <f t="shared" si="9"/>
        <v>196.64</v>
      </c>
      <c r="H181">
        <f t="shared" si="10"/>
        <v>244</v>
      </c>
      <c r="J181">
        <f t="shared" si="11"/>
        <v>1.2408462164361269</v>
      </c>
    </row>
    <row r="182" spans="4:10">
      <c r="D182" s="62">
        <v>120</v>
      </c>
      <c r="E182" s="62">
        <v>0.61951000000000001</v>
      </c>
      <c r="F182">
        <f t="shared" si="8"/>
        <v>0.19251198972457298</v>
      </c>
      <c r="G182">
        <f t="shared" si="9"/>
        <v>192.51</v>
      </c>
      <c r="H182">
        <f t="shared" si="10"/>
        <v>238</v>
      </c>
      <c r="J182">
        <f t="shared" si="11"/>
        <v>1.2362994130175056</v>
      </c>
    </row>
    <row r="183" spans="4:10">
      <c r="D183" s="62">
        <v>121</v>
      </c>
      <c r="E183" s="62">
        <v>0.60580999999999996</v>
      </c>
      <c r="F183">
        <f t="shared" si="8"/>
        <v>0.1884979082220028</v>
      </c>
      <c r="G183">
        <f t="shared" si="9"/>
        <v>188.5</v>
      </c>
      <c r="H183">
        <f t="shared" si="10"/>
        <v>233</v>
      </c>
      <c r="J183">
        <f t="shared" si="11"/>
        <v>1.2360742705570291</v>
      </c>
    </row>
    <row r="184" spans="4:10">
      <c r="D184" s="62">
        <v>122</v>
      </c>
      <c r="E184" s="62">
        <v>0.59250000000000003</v>
      </c>
      <c r="F184">
        <f t="shared" si="8"/>
        <v>0.18458815199433562</v>
      </c>
      <c r="G184">
        <f t="shared" si="9"/>
        <v>184.59</v>
      </c>
      <c r="H184">
        <f t="shared" si="10"/>
        <v>229</v>
      </c>
      <c r="J184">
        <f t="shared" si="11"/>
        <v>1.240587247413186</v>
      </c>
    </row>
    <row r="185" spans="4:10">
      <c r="D185" s="62">
        <v>123</v>
      </c>
      <c r="E185" s="62">
        <v>0.57957999999999998</v>
      </c>
      <c r="F185">
        <f t="shared" si="8"/>
        <v>0.18078354717295014</v>
      </c>
      <c r="G185">
        <f t="shared" si="9"/>
        <v>180.78</v>
      </c>
      <c r="H185">
        <f t="shared" si="10"/>
        <v>224</v>
      </c>
      <c r="J185">
        <f t="shared" si="11"/>
        <v>1.2390751189290852</v>
      </c>
    </row>
    <row r="186" spans="4:10">
      <c r="D186" s="62">
        <v>124</v>
      </c>
      <c r="E186" s="62">
        <v>0.56703999999999999</v>
      </c>
      <c r="F186">
        <f t="shared" si="8"/>
        <v>0.17708194536975347</v>
      </c>
      <c r="G186">
        <f t="shared" si="9"/>
        <v>177.08</v>
      </c>
      <c r="H186">
        <f t="shared" si="10"/>
        <v>219</v>
      </c>
      <c r="J186">
        <f t="shared" si="11"/>
        <v>1.2367291619606957</v>
      </c>
    </row>
    <row r="187" spans="4:10">
      <c r="D187" s="62">
        <v>125</v>
      </c>
      <c r="E187" s="62">
        <v>0.55486999999999997</v>
      </c>
      <c r="F187">
        <f t="shared" si="8"/>
        <v>0.17348115135477746</v>
      </c>
      <c r="G187">
        <f t="shared" si="9"/>
        <v>173.48</v>
      </c>
      <c r="H187">
        <f t="shared" si="10"/>
        <v>215</v>
      </c>
      <c r="J187">
        <f t="shared" si="11"/>
        <v>1.2393359465068019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6"/>
  <dimension ref="A1:T163"/>
  <sheetViews>
    <sheetView topLeftCell="A7" zoomScale="85" zoomScaleNormal="85" workbookViewId="0">
      <selection activeCell="J14" sqref="J14"/>
    </sheetView>
  </sheetViews>
  <sheetFormatPr defaultRowHeight="16.5"/>
  <cols>
    <col min="3" max="3" width="13.375" customWidth="1"/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194</v>
      </c>
    </row>
    <row r="2" spans="1:20" ht="21">
      <c r="A2" t="s">
        <v>38</v>
      </c>
      <c r="F2" s="84" t="s">
        <v>225</v>
      </c>
    </row>
    <row r="3" spans="1:20">
      <c r="A3" t="s">
        <v>39</v>
      </c>
      <c r="F3" t="s">
        <v>226</v>
      </c>
    </row>
    <row r="4" spans="1:20">
      <c r="A4" t="s">
        <v>197</v>
      </c>
      <c r="F4" t="s">
        <v>227</v>
      </c>
    </row>
    <row r="5" spans="1:20">
      <c r="A5" t="s">
        <v>197</v>
      </c>
    </row>
    <row r="6" spans="1:20">
      <c r="A6" t="s">
        <v>50</v>
      </c>
      <c r="H6" t="s">
        <v>195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198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79"/>
      <c r="J14" s="104">
        <v>25</v>
      </c>
      <c r="K14" s="79" t="s">
        <v>241</v>
      </c>
      <c r="L14" s="91"/>
      <c r="O14" s="932" t="s">
        <v>236</v>
      </c>
      <c r="P14" s="933"/>
      <c r="Q14" s="85" t="s">
        <v>245</v>
      </c>
      <c r="R14" s="85"/>
      <c r="S14" s="85"/>
      <c r="T14" s="86"/>
    </row>
    <row r="15" spans="1:20" ht="17.25" thickBot="1">
      <c r="H15" s="936" t="s">
        <v>111</v>
      </c>
      <c r="I15" s="937"/>
      <c r="J15" s="87">
        <f>VLOOKUP(J14,C22:J162,6)</f>
        <v>1638</v>
      </c>
      <c r="K15" s="81" t="s">
        <v>242</v>
      </c>
      <c r="L15" s="15"/>
      <c r="O15" s="934"/>
      <c r="P15" s="935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6" t="s">
        <v>104</v>
      </c>
      <c r="I16" s="937"/>
      <c r="J16" s="80">
        <v>1600</v>
      </c>
      <c r="K16" s="81"/>
      <c r="L16" s="15"/>
      <c r="M16" t="s">
        <v>243</v>
      </c>
      <c r="O16" s="932" t="s">
        <v>236</v>
      </c>
      <c r="P16" s="933"/>
      <c r="Q16" s="85" t="s">
        <v>246</v>
      </c>
      <c r="R16" s="85"/>
      <c r="S16" s="85"/>
      <c r="T16" s="86"/>
    </row>
    <row r="17" spans="3:20" ht="17.25" thickBot="1">
      <c r="D17" t="s">
        <v>2</v>
      </c>
      <c r="E17" s="64">
        <v>15</v>
      </c>
      <c r="F17" t="s">
        <v>5</v>
      </c>
      <c r="H17" s="936" t="s">
        <v>105</v>
      </c>
      <c r="I17" s="937"/>
      <c r="J17" s="81">
        <f>J16-J15</f>
        <v>-38</v>
      </c>
      <c r="K17" s="81" t="s">
        <v>106</v>
      </c>
      <c r="L17" s="15"/>
      <c r="M17" s="92" t="str">
        <f>DEC2HEX(J17)</f>
        <v>FFFFFFFFDA</v>
      </c>
      <c r="N17" s="92"/>
      <c r="O17" s="934"/>
      <c r="P17" s="935"/>
      <c r="Q17" s="88" t="s">
        <v>247</v>
      </c>
      <c r="R17" s="88" t="s">
        <v>239</v>
      </c>
      <c r="S17" s="88"/>
      <c r="T17" s="89"/>
    </row>
    <row r="18" spans="3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3:20" ht="17.25" thickTop="1"/>
    <row r="21" spans="3:20">
      <c r="C21" t="s">
        <v>42</v>
      </c>
      <c r="D21" t="s">
        <v>199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3:20">
      <c r="C22">
        <v>-40</v>
      </c>
      <c r="D22" s="68">
        <v>190900</v>
      </c>
      <c r="E22">
        <f t="shared" ref="E22:E85" si="0">D22/1000</f>
        <v>190.9</v>
      </c>
      <c r="F22">
        <f t="shared" ref="F22:F61" si="1">$E$16/($E$17+E22)*E22</f>
        <v>3.0595920349684311</v>
      </c>
      <c r="G22">
        <f t="shared" ref="G22:G61" si="2">ROUND((F22*1000),2)</f>
        <v>3059.59</v>
      </c>
      <c r="H22">
        <f t="shared" ref="H22:H61" si="3">ROUNDDOWN(G22/$I$10,0)</f>
        <v>3797</v>
      </c>
      <c r="J22">
        <f t="shared" ref="J22:J61" si="4">H22/G22</f>
        <v>1.2410159531179012</v>
      </c>
    </row>
    <row r="23" spans="3:20">
      <c r="C23">
        <v>-39</v>
      </c>
      <c r="D23" s="68">
        <v>180900</v>
      </c>
      <c r="E23">
        <f t="shared" si="0"/>
        <v>180.9</v>
      </c>
      <c r="F23">
        <f t="shared" si="1"/>
        <v>3.0473200612557423</v>
      </c>
      <c r="G23">
        <f t="shared" si="2"/>
        <v>3047.32</v>
      </c>
      <c r="H23">
        <f t="shared" si="3"/>
        <v>3782</v>
      </c>
      <c r="J23">
        <f t="shared" si="4"/>
        <v>1.2410905320084533</v>
      </c>
    </row>
    <row r="24" spans="3:20">
      <c r="C24">
        <v>-38</v>
      </c>
      <c r="D24" s="68">
        <v>171400</v>
      </c>
      <c r="E24">
        <f t="shared" si="0"/>
        <v>171.4</v>
      </c>
      <c r="F24">
        <f t="shared" si="1"/>
        <v>3.0344420600858366</v>
      </c>
      <c r="G24">
        <f t="shared" si="2"/>
        <v>3034.44</v>
      </c>
      <c r="H24">
        <f t="shared" si="3"/>
        <v>3766</v>
      </c>
      <c r="J24">
        <f t="shared" si="4"/>
        <v>1.2410856698435295</v>
      </c>
    </row>
    <row r="25" spans="3:20">
      <c r="C25">
        <v>-37</v>
      </c>
      <c r="D25" s="68">
        <v>162600</v>
      </c>
      <c r="E25">
        <f t="shared" si="0"/>
        <v>162.6</v>
      </c>
      <c r="F25">
        <f t="shared" si="1"/>
        <v>3.021283783783784</v>
      </c>
      <c r="G25">
        <f t="shared" si="2"/>
        <v>3021.28</v>
      </c>
      <c r="H25">
        <f t="shared" si="3"/>
        <v>3750</v>
      </c>
      <c r="J25">
        <f t="shared" si="4"/>
        <v>1.2411957845681301</v>
      </c>
    </row>
    <row r="26" spans="3:20">
      <c r="C26">
        <v>-36</v>
      </c>
      <c r="D26" s="68">
        <v>154300</v>
      </c>
      <c r="E26">
        <f t="shared" si="0"/>
        <v>154.30000000000001</v>
      </c>
      <c r="F26">
        <f t="shared" si="1"/>
        <v>3.0076196101594799</v>
      </c>
      <c r="G26">
        <f t="shared" si="2"/>
        <v>3007.62</v>
      </c>
      <c r="H26">
        <f t="shared" si="3"/>
        <v>3733</v>
      </c>
      <c r="J26">
        <f t="shared" si="4"/>
        <v>1.2411807342682919</v>
      </c>
    </row>
    <row r="27" spans="3:20">
      <c r="C27">
        <v>-35</v>
      </c>
      <c r="D27" s="68">
        <v>146500</v>
      </c>
      <c r="E27">
        <f t="shared" si="0"/>
        <v>146.5</v>
      </c>
      <c r="F27">
        <f t="shared" si="1"/>
        <v>2.9934984520123837</v>
      </c>
      <c r="G27">
        <f t="shared" si="2"/>
        <v>2993.5</v>
      </c>
      <c r="H27">
        <f t="shared" si="3"/>
        <v>3715</v>
      </c>
      <c r="J27">
        <f t="shared" si="4"/>
        <v>1.2410222147987306</v>
      </c>
    </row>
    <row r="28" spans="3:20">
      <c r="C28">
        <v>-34</v>
      </c>
      <c r="D28" s="68">
        <v>139200</v>
      </c>
      <c r="E28">
        <f t="shared" si="0"/>
        <v>139.19999999999999</v>
      </c>
      <c r="F28">
        <f t="shared" si="1"/>
        <v>2.9789883268482487</v>
      </c>
      <c r="G28">
        <f t="shared" si="2"/>
        <v>2978.99</v>
      </c>
      <c r="H28">
        <f t="shared" si="3"/>
        <v>3697</v>
      </c>
      <c r="J28">
        <f t="shared" si="4"/>
        <v>1.2410246425802034</v>
      </c>
    </row>
    <row r="29" spans="3:20">
      <c r="C29">
        <v>-33</v>
      </c>
      <c r="D29" s="68">
        <v>132300</v>
      </c>
      <c r="E29">
        <f t="shared" si="0"/>
        <v>132.30000000000001</v>
      </c>
      <c r="F29">
        <f t="shared" si="1"/>
        <v>2.9639511201629327</v>
      </c>
      <c r="G29">
        <f t="shared" si="2"/>
        <v>2963.95</v>
      </c>
      <c r="H29">
        <f t="shared" si="3"/>
        <v>3678</v>
      </c>
      <c r="J29">
        <f t="shared" si="4"/>
        <v>1.2409116213161491</v>
      </c>
    </row>
    <row r="30" spans="3:20">
      <c r="C30">
        <v>-32</v>
      </c>
      <c r="D30" s="68">
        <v>125800</v>
      </c>
      <c r="E30">
        <f t="shared" si="0"/>
        <v>125.8</v>
      </c>
      <c r="F30">
        <f t="shared" si="1"/>
        <v>2.9484374999999994</v>
      </c>
      <c r="G30">
        <f t="shared" si="2"/>
        <v>2948.44</v>
      </c>
      <c r="H30">
        <f t="shared" si="3"/>
        <v>3659</v>
      </c>
      <c r="J30">
        <f t="shared" si="4"/>
        <v>1.2409952381598404</v>
      </c>
    </row>
    <row r="31" spans="3:20">
      <c r="C31">
        <v>-31</v>
      </c>
      <c r="D31" s="68">
        <v>119600</v>
      </c>
      <c r="E31">
        <f t="shared" si="0"/>
        <v>119.6</v>
      </c>
      <c r="F31">
        <f t="shared" si="1"/>
        <v>2.9322436849925704</v>
      </c>
      <c r="G31">
        <f t="shared" si="2"/>
        <v>2932.24</v>
      </c>
      <c r="H31">
        <f t="shared" si="3"/>
        <v>3639</v>
      </c>
      <c r="J31">
        <f t="shared" si="4"/>
        <v>1.2410307478241891</v>
      </c>
    </row>
    <row r="32" spans="3:20">
      <c r="C32">
        <v>-30</v>
      </c>
      <c r="D32" s="68">
        <v>113900</v>
      </c>
      <c r="E32">
        <f t="shared" si="0"/>
        <v>113.9</v>
      </c>
      <c r="F32">
        <f t="shared" si="1"/>
        <v>2.9159813809154382</v>
      </c>
      <c r="G32">
        <f t="shared" si="2"/>
        <v>2915.98</v>
      </c>
      <c r="H32">
        <f t="shared" si="3"/>
        <v>3619</v>
      </c>
      <c r="J32">
        <f t="shared" si="4"/>
        <v>1.241092188560964</v>
      </c>
    </row>
    <row r="33" spans="3:10">
      <c r="C33">
        <v>-29</v>
      </c>
      <c r="D33" s="68">
        <v>108600</v>
      </c>
      <c r="E33">
        <f t="shared" si="0"/>
        <v>108.6</v>
      </c>
      <c r="F33">
        <f t="shared" si="1"/>
        <v>2.8995145631067958</v>
      </c>
      <c r="G33">
        <f t="shared" si="2"/>
        <v>2899.51</v>
      </c>
      <c r="H33">
        <f t="shared" si="3"/>
        <v>3598</v>
      </c>
      <c r="J33">
        <f t="shared" si="4"/>
        <v>1.2408993243686002</v>
      </c>
    </row>
    <row r="34" spans="3:10">
      <c r="C34">
        <v>-28</v>
      </c>
      <c r="D34" s="68">
        <v>103500</v>
      </c>
      <c r="E34">
        <f t="shared" si="0"/>
        <v>103.5</v>
      </c>
      <c r="F34">
        <f t="shared" si="1"/>
        <v>2.882278481012658</v>
      </c>
      <c r="G34">
        <f t="shared" si="2"/>
        <v>2882.28</v>
      </c>
      <c r="H34">
        <f t="shared" si="3"/>
        <v>3577</v>
      </c>
      <c r="J34">
        <f t="shared" si="4"/>
        <v>1.2410314056927154</v>
      </c>
    </row>
    <row r="35" spans="3:10">
      <c r="C35">
        <v>-27</v>
      </c>
      <c r="D35" s="68">
        <v>98730</v>
      </c>
      <c r="E35">
        <f t="shared" si="0"/>
        <v>98.73</v>
      </c>
      <c r="F35">
        <f t="shared" si="1"/>
        <v>2.8647586388815616</v>
      </c>
      <c r="G35">
        <f t="shared" si="2"/>
        <v>2864.76</v>
      </c>
      <c r="H35">
        <f t="shared" si="3"/>
        <v>3555</v>
      </c>
      <c r="J35">
        <f t="shared" si="4"/>
        <v>1.2409416495622669</v>
      </c>
    </row>
    <row r="36" spans="3:10">
      <c r="C36">
        <v>-26</v>
      </c>
      <c r="D36" s="68">
        <v>94150</v>
      </c>
      <c r="E36">
        <f t="shared" si="0"/>
        <v>94.15</v>
      </c>
      <c r="F36">
        <f t="shared" si="1"/>
        <v>2.8464956481905634</v>
      </c>
      <c r="G36">
        <f t="shared" si="2"/>
        <v>2846.5</v>
      </c>
      <c r="H36">
        <f t="shared" si="3"/>
        <v>3533</v>
      </c>
      <c r="J36">
        <f t="shared" si="4"/>
        <v>1.2411733708062533</v>
      </c>
    </row>
    <row r="37" spans="3:10">
      <c r="C37">
        <v>-25</v>
      </c>
      <c r="D37" s="68">
        <v>89780</v>
      </c>
      <c r="E37">
        <f t="shared" si="0"/>
        <v>89.78</v>
      </c>
      <c r="F37">
        <f t="shared" si="1"/>
        <v>2.8275815995418974</v>
      </c>
      <c r="G37">
        <f t="shared" si="2"/>
        <v>2827.58</v>
      </c>
      <c r="H37">
        <f t="shared" si="3"/>
        <v>3509</v>
      </c>
      <c r="J37">
        <f t="shared" si="4"/>
        <v>1.2409905290036003</v>
      </c>
    </row>
    <row r="38" spans="3:10">
      <c r="C38">
        <v>-24</v>
      </c>
      <c r="D38" s="68">
        <v>85610</v>
      </c>
      <c r="E38">
        <f t="shared" si="0"/>
        <v>85.61</v>
      </c>
      <c r="F38">
        <f t="shared" si="1"/>
        <v>2.8080011927243813</v>
      </c>
      <c r="G38">
        <f t="shared" si="2"/>
        <v>2808</v>
      </c>
      <c r="H38">
        <f t="shared" si="3"/>
        <v>3485</v>
      </c>
      <c r="J38">
        <f t="shared" si="4"/>
        <v>1.2410968660968662</v>
      </c>
    </row>
    <row r="39" spans="3:10">
      <c r="C39">
        <v>-23</v>
      </c>
      <c r="D39" s="68">
        <v>81640</v>
      </c>
      <c r="E39">
        <f t="shared" si="0"/>
        <v>81.64</v>
      </c>
      <c r="F39">
        <f t="shared" si="1"/>
        <v>2.7877897350993379</v>
      </c>
      <c r="G39">
        <f t="shared" si="2"/>
        <v>2787.79</v>
      </c>
      <c r="H39">
        <f t="shared" si="3"/>
        <v>3460</v>
      </c>
      <c r="J39">
        <f t="shared" si="4"/>
        <v>1.2411264837021441</v>
      </c>
    </row>
    <row r="40" spans="3:10">
      <c r="C40">
        <v>-22</v>
      </c>
      <c r="D40" s="68">
        <v>77850</v>
      </c>
      <c r="E40">
        <f t="shared" si="0"/>
        <v>77.849999999999994</v>
      </c>
      <c r="F40">
        <f t="shared" si="1"/>
        <v>2.7668820678513733</v>
      </c>
      <c r="G40">
        <f t="shared" si="2"/>
        <v>2766.88</v>
      </c>
      <c r="H40">
        <f t="shared" si="3"/>
        <v>3434</v>
      </c>
      <c r="J40">
        <f t="shared" si="4"/>
        <v>1.2411091192968253</v>
      </c>
    </row>
    <row r="41" spans="3:10">
      <c r="C41">
        <v>-21</v>
      </c>
      <c r="D41" s="68">
        <v>74240</v>
      </c>
      <c r="E41">
        <f t="shared" si="0"/>
        <v>74.239999999999995</v>
      </c>
      <c r="F41">
        <f t="shared" si="1"/>
        <v>2.7453160017929181</v>
      </c>
      <c r="G41">
        <f t="shared" si="2"/>
        <v>2745.32</v>
      </c>
      <c r="H41">
        <f t="shared" si="3"/>
        <v>3407</v>
      </c>
      <c r="J41">
        <f t="shared" si="4"/>
        <v>1.2410210831524193</v>
      </c>
    </row>
    <row r="42" spans="3:10">
      <c r="C42">
        <v>-20</v>
      </c>
      <c r="D42" s="68">
        <v>70810</v>
      </c>
      <c r="E42">
        <f t="shared" si="0"/>
        <v>70.81</v>
      </c>
      <c r="F42">
        <f t="shared" si="1"/>
        <v>2.7231441556928098</v>
      </c>
      <c r="G42">
        <f t="shared" si="2"/>
        <v>2723.14</v>
      </c>
      <c r="H42">
        <f t="shared" si="3"/>
        <v>3379</v>
      </c>
      <c r="J42">
        <f t="shared" si="4"/>
        <v>1.2408469634319206</v>
      </c>
    </row>
    <row r="43" spans="3:10">
      <c r="C43">
        <v>-19</v>
      </c>
      <c r="D43" s="68">
        <v>67530</v>
      </c>
      <c r="E43">
        <f t="shared" si="0"/>
        <v>67.53</v>
      </c>
      <c r="F43">
        <f t="shared" si="1"/>
        <v>2.7002181025081788</v>
      </c>
      <c r="G43">
        <f t="shared" si="2"/>
        <v>2700.22</v>
      </c>
      <c r="H43">
        <f t="shared" si="3"/>
        <v>3351</v>
      </c>
      <c r="J43">
        <f t="shared" si="4"/>
        <v>1.2410099917784478</v>
      </c>
    </row>
    <row r="44" spans="3:10">
      <c r="C44">
        <v>-18</v>
      </c>
      <c r="D44" s="68">
        <v>64420</v>
      </c>
      <c r="E44">
        <f t="shared" si="0"/>
        <v>64.42</v>
      </c>
      <c r="F44">
        <f t="shared" si="1"/>
        <v>2.6767313019390579</v>
      </c>
      <c r="G44">
        <f t="shared" si="2"/>
        <v>2676.73</v>
      </c>
      <c r="H44">
        <f t="shared" si="3"/>
        <v>3322</v>
      </c>
      <c r="J44">
        <f t="shared" si="4"/>
        <v>1.2410665252005244</v>
      </c>
    </row>
    <row r="45" spans="3:10">
      <c r="C45">
        <v>-17</v>
      </c>
      <c r="D45" s="68">
        <v>61450</v>
      </c>
      <c r="E45">
        <f t="shared" si="0"/>
        <v>61.45</v>
      </c>
      <c r="F45">
        <f t="shared" si="1"/>
        <v>2.6525179856115106</v>
      </c>
      <c r="G45">
        <f t="shared" si="2"/>
        <v>2652.52</v>
      </c>
      <c r="H45">
        <f t="shared" si="3"/>
        <v>3292</v>
      </c>
      <c r="J45">
        <f t="shared" si="4"/>
        <v>1.241083950356642</v>
      </c>
    </row>
    <row r="46" spans="3:10">
      <c r="C46">
        <v>-16</v>
      </c>
      <c r="D46" s="68">
        <v>58620</v>
      </c>
      <c r="E46">
        <f t="shared" si="0"/>
        <v>58.62</v>
      </c>
      <c r="F46">
        <f t="shared" si="1"/>
        <v>2.6276283618581902</v>
      </c>
      <c r="G46">
        <f t="shared" si="2"/>
        <v>2627.63</v>
      </c>
      <c r="H46">
        <f t="shared" si="3"/>
        <v>3261</v>
      </c>
      <c r="J46">
        <f t="shared" si="4"/>
        <v>1.2410423080875161</v>
      </c>
    </row>
    <row r="47" spans="3:10">
      <c r="C47">
        <v>-15</v>
      </c>
      <c r="D47" s="68">
        <v>55930</v>
      </c>
      <c r="E47">
        <f t="shared" si="0"/>
        <v>55.93</v>
      </c>
      <c r="F47">
        <f t="shared" si="1"/>
        <v>2.6021288594388827</v>
      </c>
      <c r="G47">
        <f t="shared" si="2"/>
        <v>2602.13</v>
      </c>
      <c r="H47">
        <f t="shared" si="3"/>
        <v>3229</v>
      </c>
      <c r="J47">
        <f t="shared" si="4"/>
        <v>1.2409064881462493</v>
      </c>
    </row>
    <row r="48" spans="3:10">
      <c r="C48">
        <v>-14</v>
      </c>
      <c r="D48" s="68">
        <v>53360</v>
      </c>
      <c r="E48">
        <f t="shared" si="0"/>
        <v>53.36</v>
      </c>
      <c r="F48">
        <f t="shared" si="1"/>
        <v>2.5758923346986542</v>
      </c>
      <c r="G48">
        <f t="shared" si="2"/>
        <v>2575.89</v>
      </c>
      <c r="H48">
        <f t="shared" si="3"/>
        <v>3197</v>
      </c>
      <c r="J48">
        <f t="shared" si="4"/>
        <v>1.2411244268971113</v>
      </c>
    </row>
    <row r="49" spans="3:10">
      <c r="C49">
        <v>-13</v>
      </c>
      <c r="D49" s="68">
        <v>50920</v>
      </c>
      <c r="E49">
        <f t="shared" si="0"/>
        <v>50.92</v>
      </c>
      <c r="F49">
        <f t="shared" si="1"/>
        <v>2.5490898058252429</v>
      </c>
      <c r="G49">
        <f t="shared" si="2"/>
        <v>2549.09</v>
      </c>
      <c r="H49">
        <f t="shared" si="3"/>
        <v>3163</v>
      </c>
      <c r="J49">
        <f t="shared" si="4"/>
        <v>1.2408349646344381</v>
      </c>
    </row>
    <row r="50" spans="3:10">
      <c r="C50">
        <v>-12</v>
      </c>
      <c r="D50" s="68">
        <v>48590</v>
      </c>
      <c r="E50">
        <f t="shared" si="0"/>
        <v>48.59</v>
      </c>
      <c r="F50">
        <f t="shared" si="1"/>
        <v>2.5215757194527439</v>
      </c>
      <c r="G50">
        <f t="shared" si="2"/>
        <v>2521.58</v>
      </c>
      <c r="H50">
        <f t="shared" si="3"/>
        <v>3129</v>
      </c>
      <c r="J50">
        <f t="shared" si="4"/>
        <v>1.240888649180276</v>
      </c>
    </row>
    <row r="51" spans="3:10">
      <c r="C51">
        <v>-11</v>
      </c>
      <c r="D51" s="68">
        <v>46380</v>
      </c>
      <c r="E51">
        <f t="shared" si="0"/>
        <v>46.38</v>
      </c>
      <c r="F51">
        <f t="shared" si="1"/>
        <v>2.4935483870967738</v>
      </c>
      <c r="G51">
        <f t="shared" si="2"/>
        <v>2493.5500000000002</v>
      </c>
      <c r="H51">
        <f t="shared" si="3"/>
        <v>3095</v>
      </c>
      <c r="J51">
        <f t="shared" si="4"/>
        <v>1.2412023019390026</v>
      </c>
    </row>
    <row r="52" spans="3:10">
      <c r="C52">
        <v>-10</v>
      </c>
      <c r="D52" s="68">
        <v>44270</v>
      </c>
      <c r="E52">
        <f t="shared" si="0"/>
        <v>44.27</v>
      </c>
      <c r="F52">
        <f t="shared" si="1"/>
        <v>2.4648388729542767</v>
      </c>
      <c r="G52">
        <f t="shared" si="2"/>
        <v>2464.84</v>
      </c>
      <c r="H52">
        <f t="shared" si="3"/>
        <v>3059</v>
      </c>
      <c r="J52">
        <f t="shared" si="4"/>
        <v>1.2410541860729296</v>
      </c>
    </row>
    <row r="53" spans="3:10">
      <c r="C53">
        <v>-9</v>
      </c>
      <c r="D53" s="68">
        <v>42230</v>
      </c>
      <c r="E53">
        <f t="shared" si="0"/>
        <v>42.23</v>
      </c>
      <c r="F53">
        <f t="shared" si="1"/>
        <v>2.4350690197448888</v>
      </c>
      <c r="G53">
        <f t="shared" si="2"/>
        <v>2435.0700000000002</v>
      </c>
      <c r="H53">
        <f t="shared" si="3"/>
        <v>3022</v>
      </c>
      <c r="J53">
        <f t="shared" si="4"/>
        <v>1.241032085319929</v>
      </c>
    </row>
    <row r="54" spans="3:10">
      <c r="C54">
        <v>-8</v>
      </c>
      <c r="D54" s="68">
        <v>40310</v>
      </c>
      <c r="E54">
        <f t="shared" si="0"/>
        <v>40.31</v>
      </c>
      <c r="F54">
        <f t="shared" si="1"/>
        <v>2.4050442957873801</v>
      </c>
      <c r="G54">
        <f t="shared" si="2"/>
        <v>2405.04</v>
      </c>
      <c r="H54">
        <f t="shared" si="3"/>
        <v>2985</v>
      </c>
      <c r="J54">
        <f t="shared" si="4"/>
        <v>1.241143598443269</v>
      </c>
    </row>
    <row r="55" spans="3:10">
      <c r="C55">
        <v>-7</v>
      </c>
      <c r="D55" s="68">
        <v>38480</v>
      </c>
      <c r="E55">
        <f t="shared" si="0"/>
        <v>38.479999999999997</v>
      </c>
      <c r="F55">
        <f t="shared" si="1"/>
        <v>2.3744203440538518</v>
      </c>
      <c r="G55">
        <f t="shared" si="2"/>
        <v>2374.42</v>
      </c>
      <c r="H55">
        <f t="shared" si="3"/>
        <v>2947</v>
      </c>
      <c r="J55">
        <f t="shared" si="4"/>
        <v>1.2411452059871464</v>
      </c>
    </row>
    <row r="56" spans="3:10">
      <c r="C56">
        <v>-6</v>
      </c>
      <c r="D56" s="68">
        <v>36740</v>
      </c>
      <c r="E56">
        <f t="shared" si="0"/>
        <v>36.74</v>
      </c>
      <c r="F56">
        <f t="shared" si="1"/>
        <v>2.3432933900270583</v>
      </c>
      <c r="G56">
        <f t="shared" si="2"/>
        <v>2343.29</v>
      </c>
      <c r="H56">
        <f t="shared" si="3"/>
        <v>2908</v>
      </c>
      <c r="J56">
        <f t="shared" si="4"/>
        <v>1.240990231682805</v>
      </c>
    </row>
    <row r="57" spans="3:10">
      <c r="C57">
        <v>-5</v>
      </c>
      <c r="D57" s="68">
        <v>35100</v>
      </c>
      <c r="E57">
        <f t="shared" si="0"/>
        <v>35.1</v>
      </c>
      <c r="F57">
        <f t="shared" si="1"/>
        <v>2.3119760479041913</v>
      </c>
      <c r="G57">
        <f t="shared" si="2"/>
        <v>2311.98</v>
      </c>
      <c r="H57">
        <f t="shared" si="3"/>
        <v>2869</v>
      </c>
      <c r="J57">
        <f t="shared" si="4"/>
        <v>1.240927689685897</v>
      </c>
    </row>
    <row r="58" spans="3:10">
      <c r="C58">
        <v>-4</v>
      </c>
      <c r="D58" s="68">
        <v>33540</v>
      </c>
      <c r="E58">
        <f t="shared" si="0"/>
        <v>33.54</v>
      </c>
      <c r="F58">
        <f t="shared" si="1"/>
        <v>2.2802224969097646</v>
      </c>
      <c r="G58">
        <f t="shared" si="2"/>
        <v>2280.2199999999998</v>
      </c>
      <c r="H58">
        <f t="shared" si="3"/>
        <v>2830</v>
      </c>
      <c r="J58">
        <f t="shared" si="4"/>
        <v>1.2411083141100421</v>
      </c>
    </row>
    <row r="59" spans="3:10">
      <c r="C59">
        <v>-3</v>
      </c>
      <c r="D59" s="68">
        <v>32060</v>
      </c>
      <c r="E59">
        <f t="shared" si="0"/>
        <v>32.06</v>
      </c>
      <c r="F59">
        <f t="shared" si="1"/>
        <v>2.2481512962175949</v>
      </c>
      <c r="G59">
        <f t="shared" si="2"/>
        <v>2248.15</v>
      </c>
      <c r="H59">
        <f t="shared" si="3"/>
        <v>2790</v>
      </c>
      <c r="J59">
        <f t="shared" si="4"/>
        <v>1.2410203945466272</v>
      </c>
    </row>
    <row r="60" spans="3:10">
      <c r="C60">
        <v>-2</v>
      </c>
      <c r="D60" s="68">
        <v>30660</v>
      </c>
      <c r="E60">
        <f t="shared" si="0"/>
        <v>30.66</v>
      </c>
      <c r="F60">
        <f t="shared" si="1"/>
        <v>2.2159001314060447</v>
      </c>
      <c r="G60">
        <f t="shared" si="2"/>
        <v>2215.9</v>
      </c>
      <c r="H60">
        <f t="shared" si="3"/>
        <v>2750</v>
      </c>
      <c r="J60">
        <f t="shared" si="4"/>
        <v>1.2410307324337739</v>
      </c>
    </row>
    <row r="61" spans="3:10">
      <c r="C61">
        <v>-1</v>
      </c>
      <c r="D61" s="68">
        <v>29320</v>
      </c>
      <c r="E61">
        <f t="shared" si="0"/>
        <v>29.32</v>
      </c>
      <c r="F61">
        <f t="shared" si="1"/>
        <v>2.18312274368231</v>
      </c>
      <c r="G61">
        <f t="shared" si="2"/>
        <v>2183.12</v>
      </c>
      <c r="H61">
        <f t="shared" si="3"/>
        <v>2709</v>
      </c>
      <c r="J61">
        <f t="shared" si="4"/>
        <v>1.2408846055187073</v>
      </c>
    </row>
    <row r="62" spans="3:10">
      <c r="C62">
        <v>0</v>
      </c>
      <c r="D62" s="68">
        <v>28050</v>
      </c>
      <c r="E62">
        <f t="shared" si="0"/>
        <v>28.05</v>
      </c>
      <c r="F62">
        <f>$E$16/($E$17+E62)*E62</f>
        <v>2.1501742160278745</v>
      </c>
      <c r="G62">
        <f>ROUND((F62*1000),2)</f>
        <v>2150.17</v>
      </c>
      <c r="H62">
        <f>ROUNDDOWN(G62/$I$10,0)</f>
        <v>2668</v>
      </c>
      <c r="J62">
        <f>H62/G62</f>
        <v>1.2408321202509569</v>
      </c>
    </row>
    <row r="63" spans="3:10">
      <c r="C63">
        <v>1</v>
      </c>
      <c r="D63" s="68">
        <v>26850</v>
      </c>
      <c r="E63">
        <f t="shared" si="0"/>
        <v>26.85</v>
      </c>
      <c r="F63">
        <f t="shared" ref="F63:F126" si="5">$E$16/($E$17+E63)*E63</f>
        <v>2.1172043010752688</v>
      </c>
      <c r="G63">
        <f t="shared" ref="G63:G126" si="6">ROUND((F63*1000),2)</f>
        <v>2117.1999999999998</v>
      </c>
      <c r="H63">
        <f t="shared" ref="H63:H126" si="7">ROUNDDOWN(G63/$I$10,0)</f>
        <v>2627</v>
      </c>
      <c r="J63">
        <f t="shared" ref="J63:J126" si="8">H63/G63</f>
        <v>1.2407897222747026</v>
      </c>
    </row>
    <row r="64" spans="3:10">
      <c r="C64">
        <v>2</v>
      </c>
      <c r="D64" s="68">
        <v>25710</v>
      </c>
      <c r="E64">
        <f t="shared" si="0"/>
        <v>25.71</v>
      </c>
      <c r="F64">
        <f t="shared" si="5"/>
        <v>2.0840825350036845</v>
      </c>
      <c r="G64">
        <f t="shared" si="6"/>
        <v>2084.08</v>
      </c>
      <c r="H64">
        <f t="shared" si="7"/>
        <v>2586</v>
      </c>
      <c r="J64">
        <f t="shared" si="8"/>
        <v>1.2408352846339872</v>
      </c>
    </row>
    <row r="65" spans="3:10">
      <c r="C65">
        <v>3</v>
      </c>
      <c r="D65" s="68">
        <v>24620</v>
      </c>
      <c r="E65">
        <f t="shared" si="0"/>
        <v>24.62</v>
      </c>
      <c r="F65">
        <f t="shared" si="5"/>
        <v>2.0506309944472489</v>
      </c>
      <c r="G65">
        <f t="shared" si="6"/>
        <v>2050.63</v>
      </c>
      <c r="H65">
        <f t="shared" si="7"/>
        <v>2545</v>
      </c>
      <c r="J65">
        <f t="shared" si="8"/>
        <v>1.2410820089435928</v>
      </c>
    </row>
    <row r="66" spans="3:10">
      <c r="C66">
        <v>4</v>
      </c>
      <c r="D66" s="68">
        <v>23590</v>
      </c>
      <c r="E66">
        <f t="shared" si="0"/>
        <v>23.59</v>
      </c>
      <c r="F66">
        <f t="shared" si="5"/>
        <v>2.017284270536408</v>
      </c>
      <c r="G66">
        <f t="shared" si="6"/>
        <v>2017.28</v>
      </c>
      <c r="H66">
        <f t="shared" si="7"/>
        <v>2503</v>
      </c>
      <c r="J66">
        <f t="shared" si="8"/>
        <v>1.2407796637055837</v>
      </c>
    </row>
    <row r="67" spans="3:10">
      <c r="C67">
        <v>5</v>
      </c>
      <c r="D67" s="68">
        <v>22590</v>
      </c>
      <c r="E67">
        <f t="shared" si="0"/>
        <v>22.59</v>
      </c>
      <c r="F67">
        <f t="shared" si="5"/>
        <v>1.9831604150039901</v>
      </c>
      <c r="G67">
        <f t="shared" si="6"/>
        <v>1983.16</v>
      </c>
      <c r="H67">
        <f t="shared" si="7"/>
        <v>2461</v>
      </c>
      <c r="J67">
        <f t="shared" si="8"/>
        <v>1.2409487888017103</v>
      </c>
    </row>
    <row r="68" spans="3:10">
      <c r="C68">
        <v>6</v>
      </c>
      <c r="D68" s="68">
        <v>21650</v>
      </c>
      <c r="E68">
        <f t="shared" si="0"/>
        <v>21.65</v>
      </c>
      <c r="F68">
        <f t="shared" si="5"/>
        <v>1.9493860845839017</v>
      </c>
      <c r="G68">
        <f t="shared" si="6"/>
        <v>1949.39</v>
      </c>
      <c r="H68">
        <f t="shared" si="7"/>
        <v>2419</v>
      </c>
      <c r="J68">
        <f t="shared" si="8"/>
        <v>1.2409009997999374</v>
      </c>
    </row>
    <row r="69" spans="3:10">
      <c r="C69">
        <v>7</v>
      </c>
      <c r="D69" s="68">
        <v>20750</v>
      </c>
      <c r="E69">
        <f t="shared" si="0"/>
        <v>20.75</v>
      </c>
      <c r="F69">
        <f t="shared" si="5"/>
        <v>1.9153846153846152</v>
      </c>
      <c r="G69">
        <f t="shared" si="6"/>
        <v>1915.38</v>
      </c>
      <c r="H69">
        <f t="shared" si="7"/>
        <v>2377</v>
      </c>
      <c r="J69">
        <f t="shared" si="8"/>
        <v>1.2410070064425858</v>
      </c>
    </row>
    <row r="70" spans="3:10">
      <c r="C70">
        <v>8</v>
      </c>
      <c r="D70" s="68">
        <v>19890</v>
      </c>
      <c r="E70">
        <f t="shared" si="0"/>
        <v>19.89</v>
      </c>
      <c r="F70">
        <f t="shared" si="5"/>
        <v>1.8812553740326741</v>
      </c>
      <c r="G70">
        <f t="shared" si="6"/>
        <v>1881.26</v>
      </c>
      <c r="H70">
        <f t="shared" si="7"/>
        <v>2335</v>
      </c>
      <c r="J70">
        <f t="shared" si="8"/>
        <v>1.2411894156044354</v>
      </c>
    </row>
    <row r="71" spans="3:10">
      <c r="C71">
        <v>9</v>
      </c>
      <c r="D71" s="68">
        <v>19060</v>
      </c>
      <c r="E71">
        <f t="shared" si="0"/>
        <v>19.059999999999999</v>
      </c>
      <c r="F71">
        <f t="shared" si="5"/>
        <v>1.8466823253082791</v>
      </c>
      <c r="G71">
        <f t="shared" si="6"/>
        <v>1846.68</v>
      </c>
      <c r="H71">
        <f t="shared" si="7"/>
        <v>2292</v>
      </c>
      <c r="J71">
        <f t="shared" si="8"/>
        <v>1.2411462733121059</v>
      </c>
    </row>
    <row r="72" spans="3:10">
      <c r="C72">
        <v>10</v>
      </c>
      <c r="D72" s="68">
        <v>18280</v>
      </c>
      <c r="E72">
        <f t="shared" si="0"/>
        <v>18.28</v>
      </c>
      <c r="F72">
        <f t="shared" si="5"/>
        <v>1.8126201923076923</v>
      </c>
      <c r="G72">
        <f t="shared" si="6"/>
        <v>1812.62</v>
      </c>
      <c r="H72">
        <f t="shared" si="7"/>
        <v>2249</v>
      </c>
      <c r="J72">
        <f t="shared" si="8"/>
        <v>1.2407454403018836</v>
      </c>
    </row>
    <row r="73" spans="3:10">
      <c r="C73">
        <v>11</v>
      </c>
      <c r="D73" s="68">
        <v>17530</v>
      </c>
      <c r="E73">
        <f t="shared" si="0"/>
        <v>17.53</v>
      </c>
      <c r="F73">
        <f t="shared" si="5"/>
        <v>1.7783276975099909</v>
      </c>
      <c r="G73">
        <f t="shared" si="6"/>
        <v>1778.33</v>
      </c>
      <c r="H73">
        <f t="shared" si="7"/>
        <v>2207</v>
      </c>
      <c r="J73">
        <f t="shared" si="8"/>
        <v>1.2410519982230521</v>
      </c>
    </row>
    <row r="74" spans="3:10">
      <c r="C74">
        <v>12</v>
      </c>
      <c r="D74" s="68">
        <v>16810</v>
      </c>
      <c r="E74">
        <f t="shared" si="0"/>
        <v>16.809999999999999</v>
      </c>
      <c r="F74">
        <f t="shared" si="5"/>
        <v>1.7438855705752907</v>
      </c>
      <c r="G74">
        <f t="shared" si="6"/>
        <v>1743.89</v>
      </c>
      <c r="H74">
        <f t="shared" si="7"/>
        <v>2164</v>
      </c>
      <c r="J74">
        <f t="shared" si="8"/>
        <v>1.2409039560981483</v>
      </c>
    </row>
    <row r="75" spans="3:10">
      <c r="C75">
        <v>13</v>
      </c>
      <c r="D75" s="68">
        <v>16130</v>
      </c>
      <c r="E75">
        <f t="shared" si="0"/>
        <v>16.13</v>
      </c>
      <c r="F75">
        <f t="shared" si="5"/>
        <v>1.709893992932862</v>
      </c>
      <c r="G75">
        <f t="shared" si="6"/>
        <v>1709.89</v>
      </c>
      <c r="H75">
        <f t="shared" si="7"/>
        <v>2122</v>
      </c>
      <c r="J75">
        <f t="shared" si="8"/>
        <v>1.2410155039213049</v>
      </c>
    </row>
    <row r="76" spans="3:10">
      <c r="C76">
        <v>14</v>
      </c>
      <c r="D76" s="68">
        <v>15480</v>
      </c>
      <c r="E76">
        <f t="shared" si="0"/>
        <v>15.48</v>
      </c>
      <c r="F76">
        <f t="shared" si="5"/>
        <v>1.6759842519685038</v>
      </c>
      <c r="G76">
        <f t="shared" si="6"/>
        <v>1675.98</v>
      </c>
      <c r="H76">
        <f t="shared" si="7"/>
        <v>2080</v>
      </c>
      <c r="J76">
        <f t="shared" si="8"/>
        <v>1.2410649291757658</v>
      </c>
    </row>
    <row r="77" spans="3:10">
      <c r="C77">
        <v>15</v>
      </c>
      <c r="D77" s="68">
        <v>14860</v>
      </c>
      <c r="E77">
        <f t="shared" si="0"/>
        <v>14.86</v>
      </c>
      <c r="F77">
        <f t="shared" si="5"/>
        <v>1.6422638981915605</v>
      </c>
      <c r="G77">
        <f t="shared" si="6"/>
        <v>1642.26</v>
      </c>
      <c r="H77">
        <f t="shared" si="7"/>
        <v>2038</v>
      </c>
      <c r="J77">
        <f t="shared" si="8"/>
        <v>1.2409728057676617</v>
      </c>
    </row>
    <row r="78" spans="3:10">
      <c r="C78">
        <v>16</v>
      </c>
      <c r="D78" s="68">
        <v>14270</v>
      </c>
      <c r="E78">
        <f t="shared" si="0"/>
        <v>14.27</v>
      </c>
      <c r="F78">
        <f t="shared" si="5"/>
        <v>1.6088486504953878</v>
      </c>
      <c r="G78">
        <f t="shared" si="6"/>
        <v>1608.85</v>
      </c>
      <c r="H78">
        <f t="shared" si="7"/>
        <v>1996</v>
      </c>
      <c r="J78">
        <f t="shared" si="8"/>
        <v>1.2406377225968861</v>
      </c>
    </row>
    <row r="79" spans="3:10">
      <c r="C79">
        <v>17</v>
      </c>
      <c r="D79" s="68">
        <v>13700</v>
      </c>
      <c r="E79">
        <f t="shared" si="0"/>
        <v>13.7</v>
      </c>
      <c r="F79">
        <f t="shared" si="5"/>
        <v>1.5752613240418119</v>
      </c>
      <c r="G79">
        <f t="shared" si="6"/>
        <v>1575.26</v>
      </c>
      <c r="H79">
        <f t="shared" si="7"/>
        <v>1955</v>
      </c>
      <c r="J79">
        <f t="shared" si="8"/>
        <v>1.241064967053058</v>
      </c>
    </row>
    <row r="80" spans="3:10">
      <c r="C80">
        <v>18</v>
      </c>
      <c r="D80" s="68">
        <v>13160</v>
      </c>
      <c r="E80">
        <f t="shared" si="0"/>
        <v>13.16</v>
      </c>
      <c r="F80">
        <f t="shared" si="5"/>
        <v>1.5421875</v>
      </c>
      <c r="G80">
        <f t="shared" si="6"/>
        <v>1542.19</v>
      </c>
      <c r="H80">
        <f t="shared" si="7"/>
        <v>1914</v>
      </c>
      <c r="J80">
        <f t="shared" si="8"/>
        <v>1.2410922130217417</v>
      </c>
    </row>
    <row r="81" spans="3:10">
      <c r="C81">
        <v>19</v>
      </c>
      <c r="D81" s="68">
        <v>12650</v>
      </c>
      <c r="E81">
        <f t="shared" si="0"/>
        <v>12.65</v>
      </c>
      <c r="F81">
        <f t="shared" si="5"/>
        <v>1.5097649186256781</v>
      </c>
      <c r="G81">
        <f t="shared" si="6"/>
        <v>1509.76</v>
      </c>
      <c r="H81">
        <f t="shared" si="7"/>
        <v>1873</v>
      </c>
      <c r="J81">
        <f t="shared" si="8"/>
        <v>1.2405945315811784</v>
      </c>
    </row>
    <row r="82" spans="3:10">
      <c r="C82">
        <v>20</v>
      </c>
      <c r="D82" s="68">
        <v>12150</v>
      </c>
      <c r="E82">
        <f t="shared" si="0"/>
        <v>12.15</v>
      </c>
      <c r="F82">
        <f t="shared" si="5"/>
        <v>1.4767955801104973</v>
      </c>
      <c r="G82">
        <f t="shared" si="6"/>
        <v>1476.8</v>
      </c>
      <c r="H82">
        <f t="shared" si="7"/>
        <v>1833</v>
      </c>
      <c r="J82">
        <f t="shared" si="8"/>
        <v>1.2411971830985915</v>
      </c>
    </row>
    <row r="83" spans="3:10">
      <c r="C83">
        <v>21</v>
      </c>
      <c r="D83" s="68">
        <v>11680</v>
      </c>
      <c r="E83">
        <f t="shared" si="0"/>
        <v>11.68</v>
      </c>
      <c r="F83">
        <f t="shared" si="5"/>
        <v>1.4446776611694152</v>
      </c>
      <c r="G83">
        <f t="shared" si="6"/>
        <v>1444.68</v>
      </c>
      <c r="H83">
        <f t="shared" si="7"/>
        <v>1793</v>
      </c>
      <c r="J83">
        <f t="shared" si="8"/>
        <v>1.241105296674696</v>
      </c>
    </row>
    <row r="84" spans="3:10">
      <c r="C84">
        <v>22</v>
      </c>
      <c r="D84" s="68">
        <v>11230</v>
      </c>
      <c r="E84">
        <f t="shared" si="0"/>
        <v>11.23</v>
      </c>
      <c r="F84">
        <f t="shared" si="5"/>
        <v>1.412847884102173</v>
      </c>
      <c r="G84">
        <f t="shared" si="6"/>
        <v>1412.85</v>
      </c>
      <c r="H84">
        <f t="shared" si="7"/>
        <v>1753</v>
      </c>
      <c r="J84">
        <f t="shared" si="8"/>
        <v>1.2407545033089147</v>
      </c>
    </row>
    <row r="85" spans="3:10">
      <c r="C85">
        <v>23</v>
      </c>
      <c r="D85" s="68">
        <v>10800</v>
      </c>
      <c r="E85">
        <f t="shared" si="0"/>
        <v>10.8</v>
      </c>
      <c r="F85">
        <f t="shared" si="5"/>
        <v>1.381395348837209</v>
      </c>
      <c r="G85">
        <f t="shared" si="6"/>
        <v>1381.4</v>
      </c>
      <c r="H85">
        <f t="shared" si="7"/>
        <v>1714</v>
      </c>
      <c r="J85">
        <f t="shared" si="8"/>
        <v>1.2407702330968582</v>
      </c>
    </row>
    <row r="86" spans="3:10">
      <c r="C86">
        <v>24</v>
      </c>
      <c r="D86" s="68">
        <v>10390</v>
      </c>
      <c r="E86">
        <f t="shared" ref="E86:E149" si="9">D86/1000</f>
        <v>10.39</v>
      </c>
      <c r="F86">
        <f t="shared" si="5"/>
        <v>1.3504135486411974</v>
      </c>
      <c r="G86">
        <f t="shared" si="6"/>
        <v>1350.41</v>
      </c>
      <c r="H86">
        <f t="shared" si="7"/>
        <v>1676</v>
      </c>
      <c r="J86">
        <f t="shared" si="8"/>
        <v>1.2411045534319205</v>
      </c>
    </row>
    <row r="87" spans="3:10">
      <c r="C87">
        <v>25</v>
      </c>
      <c r="D87" s="68">
        <v>10000</v>
      </c>
      <c r="E87">
        <f t="shared" si="9"/>
        <v>10</v>
      </c>
      <c r="F87">
        <f t="shared" si="5"/>
        <v>1.32</v>
      </c>
      <c r="G87">
        <f t="shared" si="6"/>
        <v>1320</v>
      </c>
      <c r="H87">
        <f t="shared" si="7"/>
        <v>1638</v>
      </c>
      <c r="J87">
        <f t="shared" si="8"/>
        <v>1.240909090909091</v>
      </c>
    </row>
    <row r="88" spans="3:10">
      <c r="C88">
        <v>26</v>
      </c>
      <c r="D88" s="68">
        <v>9624</v>
      </c>
      <c r="E88">
        <f t="shared" si="9"/>
        <v>9.6240000000000006</v>
      </c>
      <c r="F88">
        <f t="shared" si="5"/>
        <v>1.289766081871345</v>
      </c>
      <c r="G88">
        <f t="shared" si="6"/>
        <v>1289.77</v>
      </c>
      <c r="H88">
        <f t="shared" si="7"/>
        <v>1600</v>
      </c>
      <c r="J88">
        <f t="shared" si="8"/>
        <v>1.2405312575110292</v>
      </c>
    </row>
    <row r="89" spans="3:10">
      <c r="C89">
        <v>27</v>
      </c>
      <c r="D89" s="68">
        <v>9264</v>
      </c>
      <c r="E89">
        <f t="shared" si="9"/>
        <v>9.2639999999999993</v>
      </c>
      <c r="F89">
        <f t="shared" si="5"/>
        <v>1.2599406528189909</v>
      </c>
      <c r="G89">
        <f t="shared" si="6"/>
        <v>1259.94</v>
      </c>
      <c r="H89">
        <f t="shared" si="7"/>
        <v>1563</v>
      </c>
      <c r="J89">
        <f t="shared" si="8"/>
        <v>1.2405352635839801</v>
      </c>
    </row>
    <row r="90" spans="3:10">
      <c r="C90">
        <v>28</v>
      </c>
      <c r="D90" s="68">
        <v>8919</v>
      </c>
      <c r="E90">
        <f t="shared" si="9"/>
        <v>8.9190000000000005</v>
      </c>
      <c r="F90">
        <f t="shared" si="5"/>
        <v>1.2305154897780008</v>
      </c>
      <c r="G90">
        <f t="shared" si="6"/>
        <v>1230.52</v>
      </c>
      <c r="H90">
        <f t="shared" si="7"/>
        <v>1527</v>
      </c>
      <c r="J90">
        <f t="shared" si="8"/>
        <v>1.2409387901049962</v>
      </c>
    </row>
    <row r="91" spans="3:10">
      <c r="C91">
        <v>29</v>
      </c>
      <c r="D91" s="68">
        <v>8589</v>
      </c>
      <c r="E91">
        <f t="shared" si="9"/>
        <v>8.5890000000000004</v>
      </c>
      <c r="F91">
        <f t="shared" si="5"/>
        <v>1.201564288439527</v>
      </c>
      <c r="G91">
        <f t="shared" si="6"/>
        <v>1201.56</v>
      </c>
      <c r="H91">
        <f t="shared" si="7"/>
        <v>1491</v>
      </c>
      <c r="J91">
        <f t="shared" si="8"/>
        <v>1.2408868470987717</v>
      </c>
    </row>
    <row r="92" spans="3:10">
      <c r="C92">
        <v>30</v>
      </c>
      <c r="D92" s="68">
        <v>8274</v>
      </c>
      <c r="E92">
        <f t="shared" si="9"/>
        <v>8.2739999999999991</v>
      </c>
      <c r="F92">
        <f t="shared" si="5"/>
        <v>1.1731631863882441</v>
      </c>
      <c r="G92">
        <f t="shared" si="6"/>
        <v>1173.1600000000001</v>
      </c>
      <c r="H92">
        <f t="shared" si="7"/>
        <v>1456</v>
      </c>
      <c r="J92">
        <f t="shared" si="8"/>
        <v>1.2410924341095844</v>
      </c>
    </row>
    <row r="93" spans="3:10">
      <c r="C93">
        <v>31</v>
      </c>
      <c r="D93" s="68">
        <v>7971</v>
      </c>
      <c r="E93">
        <f t="shared" si="9"/>
        <v>7.9710000000000001</v>
      </c>
      <c r="F93">
        <f t="shared" si="5"/>
        <v>1.1451090505419876</v>
      </c>
      <c r="G93">
        <f t="shared" si="6"/>
        <v>1145.1099999999999</v>
      </c>
      <c r="H93">
        <f t="shared" si="7"/>
        <v>1421</v>
      </c>
      <c r="J93">
        <f t="shared" si="8"/>
        <v>1.2409288190654173</v>
      </c>
    </row>
    <row r="94" spans="3:10">
      <c r="C94">
        <v>32</v>
      </c>
      <c r="D94" s="68">
        <v>7681</v>
      </c>
      <c r="E94">
        <f t="shared" si="9"/>
        <v>7.681</v>
      </c>
      <c r="F94">
        <f t="shared" si="5"/>
        <v>1.1175565451258762</v>
      </c>
      <c r="G94">
        <f t="shared" si="6"/>
        <v>1117.56</v>
      </c>
      <c r="H94">
        <f t="shared" si="7"/>
        <v>1387</v>
      </c>
      <c r="J94">
        <f t="shared" si="8"/>
        <v>1.241096674898887</v>
      </c>
    </row>
    <row r="95" spans="3:10">
      <c r="C95">
        <v>33</v>
      </c>
      <c r="D95" s="68">
        <v>7404</v>
      </c>
      <c r="E95">
        <f t="shared" si="9"/>
        <v>7.4039999999999999</v>
      </c>
      <c r="F95">
        <f t="shared" si="5"/>
        <v>1.0905731119442956</v>
      </c>
      <c r="G95">
        <f t="shared" si="6"/>
        <v>1090.57</v>
      </c>
      <c r="H95">
        <f t="shared" si="7"/>
        <v>1353</v>
      </c>
      <c r="J95">
        <f t="shared" si="8"/>
        <v>1.2406356309086075</v>
      </c>
    </row>
    <row r="96" spans="3:10">
      <c r="C96">
        <v>34</v>
      </c>
      <c r="D96" s="68">
        <v>7137</v>
      </c>
      <c r="E96">
        <f t="shared" si="9"/>
        <v>7.1369999999999996</v>
      </c>
      <c r="F96">
        <f t="shared" si="5"/>
        <v>1.0639246510367257</v>
      </c>
      <c r="G96">
        <f t="shared" si="6"/>
        <v>1063.92</v>
      </c>
      <c r="H96">
        <f t="shared" si="7"/>
        <v>1320</v>
      </c>
      <c r="J96">
        <f t="shared" si="8"/>
        <v>1.2406947890818858</v>
      </c>
    </row>
    <row r="97" spans="3:10">
      <c r="C97">
        <v>35</v>
      </c>
      <c r="D97" s="68">
        <v>6882</v>
      </c>
      <c r="E97">
        <f t="shared" si="9"/>
        <v>6.8819999999999997</v>
      </c>
      <c r="F97">
        <f t="shared" si="5"/>
        <v>1.0378667397861254</v>
      </c>
      <c r="G97">
        <f t="shared" si="6"/>
        <v>1037.8699999999999</v>
      </c>
      <c r="H97">
        <f t="shared" si="7"/>
        <v>1288</v>
      </c>
      <c r="J97">
        <f t="shared" si="8"/>
        <v>1.2410032084943203</v>
      </c>
    </row>
    <row r="98" spans="3:10">
      <c r="C98">
        <v>36</v>
      </c>
      <c r="D98" s="68">
        <v>6638</v>
      </c>
      <c r="E98">
        <f t="shared" si="9"/>
        <v>6.6379999999999999</v>
      </c>
      <c r="F98">
        <f t="shared" si="5"/>
        <v>1.0123578888991589</v>
      </c>
      <c r="G98">
        <f t="shared" si="6"/>
        <v>1012.36</v>
      </c>
      <c r="H98">
        <f t="shared" si="7"/>
        <v>1256</v>
      </c>
      <c r="J98">
        <f t="shared" si="8"/>
        <v>1.2406653759532182</v>
      </c>
    </row>
    <row r="99" spans="3:10">
      <c r="C99">
        <v>37</v>
      </c>
      <c r="D99" s="68">
        <v>6403</v>
      </c>
      <c r="E99">
        <f t="shared" si="9"/>
        <v>6.4029999999999996</v>
      </c>
      <c r="F99">
        <f t="shared" si="5"/>
        <v>0.98724010652712235</v>
      </c>
      <c r="G99">
        <f t="shared" si="6"/>
        <v>987.24</v>
      </c>
      <c r="H99">
        <f t="shared" si="7"/>
        <v>1225</v>
      </c>
      <c r="J99">
        <f t="shared" si="8"/>
        <v>1.2408330294558567</v>
      </c>
    </row>
    <row r="100" spans="3:10">
      <c r="C100">
        <v>38</v>
      </c>
      <c r="D100" s="68">
        <v>6178</v>
      </c>
      <c r="E100">
        <f t="shared" si="9"/>
        <v>6.1779999999999999</v>
      </c>
      <c r="F100">
        <f t="shared" si="5"/>
        <v>0.96266880725280946</v>
      </c>
      <c r="G100">
        <f t="shared" si="6"/>
        <v>962.67</v>
      </c>
      <c r="H100">
        <f t="shared" si="7"/>
        <v>1194</v>
      </c>
      <c r="J100">
        <f t="shared" si="8"/>
        <v>1.2403004144722491</v>
      </c>
    </row>
    <row r="101" spans="3:10">
      <c r="C101">
        <v>39</v>
      </c>
      <c r="D101" s="68">
        <v>5962</v>
      </c>
      <c r="E101">
        <f t="shared" si="9"/>
        <v>5.9619999999999997</v>
      </c>
      <c r="F101">
        <f t="shared" si="5"/>
        <v>0.93858410457017449</v>
      </c>
      <c r="G101">
        <f t="shared" si="6"/>
        <v>938.58</v>
      </c>
      <c r="H101">
        <f t="shared" si="7"/>
        <v>1164</v>
      </c>
      <c r="J101">
        <f t="shared" si="8"/>
        <v>1.2401713226363229</v>
      </c>
    </row>
    <row r="102" spans="3:10">
      <c r="C102">
        <v>40</v>
      </c>
      <c r="D102" s="68">
        <v>5755</v>
      </c>
      <c r="E102">
        <f t="shared" si="9"/>
        <v>5.7549999999999999</v>
      </c>
      <c r="F102">
        <f t="shared" si="5"/>
        <v>0.91503252228378695</v>
      </c>
      <c r="G102">
        <f t="shared" si="6"/>
        <v>915.03</v>
      </c>
      <c r="H102">
        <f t="shared" si="7"/>
        <v>1135</v>
      </c>
      <c r="J102">
        <f t="shared" si="8"/>
        <v>1.2403964897325772</v>
      </c>
    </row>
    <row r="103" spans="3:10">
      <c r="C103">
        <v>41</v>
      </c>
      <c r="D103" s="68">
        <v>5556</v>
      </c>
      <c r="E103">
        <f t="shared" si="9"/>
        <v>5.556</v>
      </c>
      <c r="F103">
        <f t="shared" si="5"/>
        <v>0.89194395796847625</v>
      </c>
      <c r="G103">
        <f t="shared" si="6"/>
        <v>891.94</v>
      </c>
      <c r="H103">
        <f t="shared" si="7"/>
        <v>1107</v>
      </c>
      <c r="J103">
        <f t="shared" si="8"/>
        <v>1.2411148731977486</v>
      </c>
    </row>
    <row r="104" spans="3:10">
      <c r="C104">
        <v>42</v>
      </c>
      <c r="D104" s="68">
        <v>5365</v>
      </c>
      <c r="E104">
        <f t="shared" si="9"/>
        <v>5.3650000000000002</v>
      </c>
      <c r="F104">
        <f t="shared" si="5"/>
        <v>0.86935919469678358</v>
      </c>
      <c r="G104">
        <f t="shared" si="6"/>
        <v>869.36</v>
      </c>
      <c r="H104">
        <f t="shared" si="7"/>
        <v>1079</v>
      </c>
      <c r="J104">
        <f t="shared" si="8"/>
        <v>1.2411429097266955</v>
      </c>
    </row>
    <row r="105" spans="3:10">
      <c r="C105">
        <v>43</v>
      </c>
      <c r="D105" s="68">
        <v>5182</v>
      </c>
      <c r="E105">
        <f t="shared" si="9"/>
        <v>5.1820000000000004</v>
      </c>
      <c r="F105">
        <f t="shared" si="5"/>
        <v>0.84731939351897723</v>
      </c>
      <c r="G105">
        <f t="shared" si="6"/>
        <v>847.32</v>
      </c>
      <c r="H105">
        <f t="shared" si="7"/>
        <v>1051</v>
      </c>
      <c r="J105">
        <f t="shared" si="8"/>
        <v>1.2403814379455222</v>
      </c>
    </row>
    <row r="106" spans="3:10">
      <c r="C106">
        <v>44</v>
      </c>
      <c r="D106" s="68">
        <v>5006</v>
      </c>
      <c r="E106">
        <f t="shared" si="9"/>
        <v>5.0060000000000002</v>
      </c>
      <c r="F106">
        <f t="shared" si="5"/>
        <v>0.82574227731680494</v>
      </c>
      <c r="G106">
        <f t="shared" si="6"/>
        <v>825.74</v>
      </c>
      <c r="H106">
        <f t="shared" si="7"/>
        <v>1024</v>
      </c>
      <c r="J106">
        <f t="shared" si="8"/>
        <v>1.2400997892799186</v>
      </c>
    </row>
    <row r="107" spans="3:10">
      <c r="C107">
        <v>45</v>
      </c>
      <c r="D107" s="68">
        <v>4837</v>
      </c>
      <c r="E107">
        <f t="shared" si="9"/>
        <v>4.8369999999999997</v>
      </c>
      <c r="F107">
        <f t="shared" si="5"/>
        <v>0.80466300347834852</v>
      </c>
      <c r="G107">
        <f t="shared" si="6"/>
        <v>804.66</v>
      </c>
      <c r="H107">
        <f t="shared" si="7"/>
        <v>998</v>
      </c>
      <c r="J107">
        <f t="shared" si="8"/>
        <v>1.2402753958193524</v>
      </c>
    </row>
    <row r="108" spans="3:10">
      <c r="C108">
        <v>46</v>
      </c>
      <c r="D108" s="68">
        <v>4675</v>
      </c>
      <c r="E108">
        <f t="shared" si="9"/>
        <v>4.6749999999999998</v>
      </c>
      <c r="F108">
        <f t="shared" si="5"/>
        <v>0.78411689961880549</v>
      </c>
      <c r="G108">
        <f t="shared" si="6"/>
        <v>784.12</v>
      </c>
      <c r="H108">
        <f t="shared" si="7"/>
        <v>973</v>
      </c>
      <c r="J108">
        <f t="shared" si="8"/>
        <v>1.2408814977299394</v>
      </c>
    </row>
    <row r="109" spans="3:10">
      <c r="C109">
        <v>47</v>
      </c>
      <c r="D109" s="68">
        <v>4519</v>
      </c>
      <c r="E109">
        <f t="shared" si="9"/>
        <v>4.5190000000000001</v>
      </c>
      <c r="F109">
        <f t="shared" si="5"/>
        <v>0.7640094267124341</v>
      </c>
      <c r="G109">
        <f t="shared" si="6"/>
        <v>764.01</v>
      </c>
      <c r="H109">
        <f t="shared" si="7"/>
        <v>948</v>
      </c>
      <c r="J109">
        <f t="shared" si="8"/>
        <v>1.2408214552165548</v>
      </c>
    </row>
    <row r="110" spans="3:10">
      <c r="C110">
        <v>48</v>
      </c>
      <c r="D110" s="68">
        <v>4368</v>
      </c>
      <c r="E110">
        <f t="shared" si="9"/>
        <v>4.3680000000000003</v>
      </c>
      <c r="F110">
        <f t="shared" si="5"/>
        <v>0.74423791821561336</v>
      </c>
      <c r="G110">
        <f t="shared" si="6"/>
        <v>744.24</v>
      </c>
      <c r="H110">
        <f t="shared" si="7"/>
        <v>923</v>
      </c>
      <c r="J110">
        <f t="shared" si="8"/>
        <v>1.2401913361281307</v>
      </c>
    </row>
    <row r="111" spans="3:10">
      <c r="C111">
        <v>49</v>
      </c>
      <c r="D111" s="68">
        <v>4224</v>
      </c>
      <c r="E111">
        <f t="shared" si="9"/>
        <v>4.2240000000000002</v>
      </c>
      <c r="F111">
        <f t="shared" si="5"/>
        <v>0.72509363295880147</v>
      </c>
      <c r="G111">
        <f t="shared" si="6"/>
        <v>725.09</v>
      </c>
      <c r="H111">
        <f t="shared" si="7"/>
        <v>899</v>
      </c>
      <c r="J111">
        <f t="shared" si="8"/>
        <v>1.2398460880718256</v>
      </c>
    </row>
    <row r="112" spans="3:10">
      <c r="C112">
        <v>50</v>
      </c>
      <c r="D112" s="68">
        <v>4085</v>
      </c>
      <c r="E112">
        <f t="shared" si="9"/>
        <v>4.085</v>
      </c>
      <c r="F112">
        <f t="shared" si="5"/>
        <v>0.70634005763688756</v>
      </c>
      <c r="G112">
        <f t="shared" si="6"/>
        <v>706.34</v>
      </c>
      <c r="H112">
        <f t="shared" si="7"/>
        <v>876</v>
      </c>
      <c r="J112">
        <f t="shared" si="8"/>
        <v>1.2401959396324715</v>
      </c>
    </row>
    <row r="113" spans="3:10">
      <c r="C113">
        <v>51</v>
      </c>
      <c r="D113" s="68">
        <v>3952</v>
      </c>
      <c r="E113">
        <f t="shared" si="9"/>
        <v>3.952</v>
      </c>
      <c r="F113">
        <f t="shared" si="5"/>
        <v>0.68813845504432247</v>
      </c>
      <c r="G113">
        <f t="shared" si="6"/>
        <v>688.14</v>
      </c>
      <c r="H113">
        <f t="shared" si="7"/>
        <v>854</v>
      </c>
      <c r="J113">
        <f t="shared" si="8"/>
        <v>1.2410265352980498</v>
      </c>
    </row>
    <row r="114" spans="3:10">
      <c r="C114">
        <v>52</v>
      </c>
      <c r="D114" s="68">
        <v>3823</v>
      </c>
      <c r="E114">
        <f t="shared" si="9"/>
        <v>3.823</v>
      </c>
      <c r="F114">
        <f t="shared" si="5"/>
        <v>0.67023853795888</v>
      </c>
      <c r="G114">
        <f t="shared" si="6"/>
        <v>670.24</v>
      </c>
      <c r="H114">
        <f t="shared" si="7"/>
        <v>831</v>
      </c>
      <c r="J114">
        <f t="shared" si="8"/>
        <v>1.2398543805204105</v>
      </c>
    </row>
    <row r="115" spans="3:10">
      <c r="C115">
        <v>53</v>
      </c>
      <c r="D115" s="68">
        <v>3699</v>
      </c>
      <c r="E115">
        <f t="shared" si="9"/>
        <v>3.6989999999999998</v>
      </c>
      <c r="F115">
        <f t="shared" si="5"/>
        <v>0.65279961495267125</v>
      </c>
      <c r="G115">
        <f t="shared" si="6"/>
        <v>652.79999999999995</v>
      </c>
      <c r="H115">
        <f t="shared" si="7"/>
        <v>810</v>
      </c>
      <c r="J115">
        <f t="shared" si="8"/>
        <v>1.2408088235294119</v>
      </c>
    </row>
    <row r="116" spans="3:10">
      <c r="C116">
        <v>54</v>
      </c>
      <c r="D116" s="68">
        <v>3580</v>
      </c>
      <c r="E116">
        <f t="shared" si="9"/>
        <v>3.58</v>
      </c>
      <c r="F116">
        <f t="shared" si="5"/>
        <v>0.6358449946178687</v>
      </c>
      <c r="G116">
        <f t="shared" si="6"/>
        <v>635.84</v>
      </c>
      <c r="H116">
        <f t="shared" si="7"/>
        <v>789</v>
      </c>
      <c r="J116">
        <f t="shared" si="8"/>
        <v>1.2408782083543028</v>
      </c>
    </row>
    <row r="117" spans="3:10">
      <c r="C117">
        <v>55</v>
      </c>
      <c r="D117" s="68">
        <v>3466</v>
      </c>
      <c r="E117">
        <f t="shared" si="9"/>
        <v>3.4660000000000002</v>
      </c>
      <c r="F117">
        <f t="shared" si="5"/>
        <v>0.61939781219538603</v>
      </c>
      <c r="G117">
        <f t="shared" si="6"/>
        <v>619.4</v>
      </c>
      <c r="H117">
        <f t="shared" si="7"/>
        <v>768</v>
      </c>
      <c r="J117">
        <f t="shared" si="8"/>
        <v>1.2399095899257346</v>
      </c>
    </row>
    <row r="118" spans="3:10">
      <c r="C118">
        <v>56</v>
      </c>
      <c r="D118" s="68">
        <v>3356</v>
      </c>
      <c r="E118">
        <f t="shared" si="9"/>
        <v>3.3559999999999999</v>
      </c>
      <c r="F118">
        <f t="shared" si="5"/>
        <v>0.60333405970799725</v>
      </c>
      <c r="G118">
        <f t="shared" si="6"/>
        <v>603.33000000000004</v>
      </c>
      <c r="H118">
        <f t="shared" si="7"/>
        <v>748</v>
      </c>
      <c r="J118">
        <f t="shared" si="8"/>
        <v>1.2397858551704706</v>
      </c>
    </row>
    <row r="119" spans="3:10">
      <c r="C119">
        <v>57</v>
      </c>
      <c r="D119" s="68">
        <v>3249</v>
      </c>
      <c r="E119">
        <f t="shared" si="9"/>
        <v>3.2490000000000001</v>
      </c>
      <c r="F119">
        <f t="shared" si="5"/>
        <v>0.58752260397830025</v>
      </c>
      <c r="G119">
        <f t="shared" si="6"/>
        <v>587.52</v>
      </c>
      <c r="H119">
        <f t="shared" si="7"/>
        <v>729</v>
      </c>
      <c r="J119">
        <f t="shared" si="8"/>
        <v>1.2408088235294119</v>
      </c>
    </row>
    <row r="120" spans="3:10">
      <c r="C120">
        <v>58</v>
      </c>
      <c r="D120" s="68">
        <v>3147</v>
      </c>
      <c r="E120">
        <f t="shared" si="9"/>
        <v>3.1469999999999998</v>
      </c>
      <c r="F120">
        <f t="shared" si="5"/>
        <v>0.57227640932385515</v>
      </c>
      <c r="G120">
        <f t="shared" si="6"/>
        <v>572.28</v>
      </c>
      <c r="H120">
        <f t="shared" si="7"/>
        <v>710</v>
      </c>
      <c r="J120">
        <f t="shared" si="8"/>
        <v>1.2406514293702384</v>
      </c>
    </row>
    <row r="121" spans="3:10">
      <c r="C121">
        <v>59</v>
      </c>
      <c r="D121" s="68">
        <v>3049</v>
      </c>
      <c r="E121">
        <f t="shared" si="9"/>
        <v>3.0489999999999999</v>
      </c>
      <c r="F121">
        <f t="shared" si="5"/>
        <v>0.55746578757825915</v>
      </c>
      <c r="G121">
        <f t="shared" si="6"/>
        <v>557.47</v>
      </c>
      <c r="H121">
        <f t="shared" si="7"/>
        <v>691</v>
      </c>
      <c r="J121">
        <f t="shared" si="8"/>
        <v>1.2395285844978206</v>
      </c>
    </row>
    <row r="122" spans="3:10">
      <c r="C122">
        <v>60</v>
      </c>
      <c r="D122" s="68">
        <v>2954</v>
      </c>
      <c r="E122">
        <f t="shared" si="9"/>
        <v>2.9540000000000002</v>
      </c>
      <c r="F122">
        <f t="shared" si="5"/>
        <v>0.54295421633062269</v>
      </c>
      <c r="G122">
        <f t="shared" si="6"/>
        <v>542.95000000000005</v>
      </c>
      <c r="H122">
        <f t="shared" si="7"/>
        <v>673</v>
      </c>
      <c r="J122">
        <f t="shared" si="8"/>
        <v>1.2395248181232157</v>
      </c>
    </row>
    <row r="123" spans="3:10">
      <c r="C123">
        <v>61</v>
      </c>
      <c r="D123" s="68">
        <v>2862</v>
      </c>
      <c r="E123">
        <f t="shared" si="9"/>
        <v>2.8620000000000001</v>
      </c>
      <c r="F123">
        <f t="shared" si="5"/>
        <v>0.5287537789721195</v>
      </c>
      <c r="G123">
        <f t="shared" si="6"/>
        <v>528.75</v>
      </c>
      <c r="H123">
        <f t="shared" si="7"/>
        <v>656</v>
      </c>
      <c r="J123">
        <f t="shared" si="8"/>
        <v>1.240661938534279</v>
      </c>
    </row>
    <row r="124" spans="3:10">
      <c r="C124">
        <v>62</v>
      </c>
      <c r="D124" s="68">
        <v>2774</v>
      </c>
      <c r="E124">
        <f t="shared" si="9"/>
        <v>2.774</v>
      </c>
      <c r="F124">
        <f t="shared" si="5"/>
        <v>0.51503319455384267</v>
      </c>
      <c r="G124">
        <f t="shared" si="6"/>
        <v>515.03</v>
      </c>
      <c r="H124">
        <f t="shared" si="7"/>
        <v>639</v>
      </c>
      <c r="J124">
        <f t="shared" si="8"/>
        <v>1.2407044249849524</v>
      </c>
    </row>
    <row r="125" spans="3:10">
      <c r="C125">
        <v>63</v>
      </c>
      <c r="D125" s="68">
        <v>2689</v>
      </c>
      <c r="E125">
        <f t="shared" si="9"/>
        <v>2.6890000000000001</v>
      </c>
      <c r="F125">
        <f t="shared" si="5"/>
        <v>0.50165074339985294</v>
      </c>
      <c r="G125">
        <f t="shared" si="6"/>
        <v>501.65</v>
      </c>
      <c r="H125">
        <f t="shared" si="7"/>
        <v>622</v>
      </c>
      <c r="J125">
        <f t="shared" si="8"/>
        <v>1.2399083026014155</v>
      </c>
    </row>
    <row r="126" spans="3:10">
      <c r="C126">
        <v>64</v>
      </c>
      <c r="D126" s="68">
        <v>2607</v>
      </c>
      <c r="E126">
        <f t="shared" si="9"/>
        <v>2.6070000000000002</v>
      </c>
      <c r="F126">
        <f t="shared" si="5"/>
        <v>0.48861816323053331</v>
      </c>
      <c r="G126">
        <f t="shared" si="6"/>
        <v>488.62</v>
      </c>
      <c r="H126">
        <f t="shared" si="7"/>
        <v>606</v>
      </c>
      <c r="J126">
        <f t="shared" si="8"/>
        <v>1.2402275797142974</v>
      </c>
    </row>
    <row r="127" spans="3:10">
      <c r="C127">
        <v>65</v>
      </c>
      <c r="D127" s="68">
        <v>2528</v>
      </c>
      <c r="E127">
        <f t="shared" si="9"/>
        <v>2.528</v>
      </c>
      <c r="F127">
        <f t="shared" ref="F127:F162" si="10">$E$16/($E$17+E127)*E127</f>
        <v>0.47594705613874944</v>
      </c>
      <c r="G127">
        <f t="shared" ref="G127:G162" si="11">ROUND((F127*1000),2)</f>
        <v>475.95</v>
      </c>
      <c r="H127">
        <f t="shared" ref="H127:H162" si="12">ROUNDDOWN(G127/$I$10,0)</f>
        <v>590</v>
      </c>
      <c r="J127">
        <f t="shared" ref="J127:J162" si="13">H127/G127</f>
        <v>1.2396260111356234</v>
      </c>
    </row>
    <row r="128" spans="3:10">
      <c r="C128">
        <v>66</v>
      </c>
      <c r="D128" s="68">
        <v>2452</v>
      </c>
      <c r="E128">
        <f t="shared" si="9"/>
        <v>2.452</v>
      </c>
      <c r="F128">
        <f t="shared" si="10"/>
        <v>0.46364886545954614</v>
      </c>
      <c r="G128">
        <f t="shared" si="11"/>
        <v>463.65</v>
      </c>
      <c r="H128">
        <f t="shared" si="12"/>
        <v>575</v>
      </c>
      <c r="J128">
        <f t="shared" si="13"/>
        <v>1.240159603148927</v>
      </c>
    </row>
    <row r="129" spans="3:10">
      <c r="C129">
        <v>67</v>
      </c>
      <c r="D129" s="68">
        <v>2379</v>
      </c>
      <c r="E129">
        <f t="shared" si="9"/>
        <v>2.379</v>
      </c>
      <c r="F129">
        <f t="shared" si="10"/>
        <v>0.45173485240807865</v>
      </c>
      <c r="G129">
        <f t="shared" si="11"/>
        <v>451.73</v>
      </c>
      <c r="H129">
        <f t="shared" si="12"/>
        <v>560</v>
      </c>
      <c r="J129">
        <f t="shared" si="13"/>
        <v>1.2396785690567373</v>
      </c>
    </row>
    <row r="130" spans="3:10">
      <c r="C130">
        <v>68</v>
      </c>
      <c r="D130" s="68">
        <v>2308</v>
      </c>
      <c r="E130">
        <f t="shared" si="9"/>
        <v>2.3079999999999998</v>
      </c>
      <c r="F130">
        <f t="shared" si="10"/>
        <v>0.44005084354055923</v>
      </c>
      <c r="G130">
        <f t="shared" si="11"/>
        <v>440.05</v>
      </c>
      <c r="H130">
        <f t="shared" si="12"/>
        <v>546</v>
      </c>
      <c r="J130">
        <f t="shared" si="13"/>
        <v>1.2407680945347119</v>
      </c>
    </row>
    <row r="131" spans="3:10">
      <c r="C131">
        <v>69</v>
      </c>
      <c r="D131" s="68">
        <v>2240</v>
      </c>
      <c r="E131">
        <f t="shared" si="9"/>
        <v>2.2400000000000002</v>
      </c>
      <c r="F131">
        <f t="shared" si="10"/>
        <v>0.42877030162412988</v>
      </c>
      <c r="G131">
        <f t="shared" si="11"/>
        <v>428.77</v>
      </c>
      <c r="H131">
        <f t="shared" si="12"/>
        <v>532</v>
      </c>
      <c r="J131">
        <f t="shared" si="13"/>
        <v>1.2407584485854888</v>
      </c>
    </row>
    <row r="132" spans="3:10">
      <c r="C132">
        <v>70</v>
      </c>
      <c r="D132" s="68">
        <v>2174</v>
      </c>
      <c r="E132">
        <f t="shared" si="9"/>
        <v>2.1739999999999999</v>
      </c>
      <c r="F132">
        <f t="shared" si="10"/>
        <v>0.41773611272854311</v>
      </c>
      <c r="G132">
        <f t="shared" si="11"/>
        <v>417.74</v>
      </c>
      <c r="H132">
        <f t="shared" si="12"/>
        <v>518</v>
      </c>
      <c r="J132">
        <f t="shared" si="13"/>
        <v>1.2400057452003639</v>
      </c>
    </row>
    <row r="133" spans="3:10">
      <c r="C133">
        <v>71</v>
      </c>
      <c r="D133" s="68">
        <v>2110</v>
      </c>
      <c r="E133">
        <f t="shared" si="9"/>
        <v>2.11</v>
      </c>
      <c r="F133">
        <f t="shared" si="10"/>
        <v>0.40695499707773231</v>
      </c>
      <c r="G133">
        <f t="shared" si="11"/>
        <v>406.95</v>
      </c>
      <c r="H133">
        <f t="shared" si="12"/>
        <v>505</v>
      </c>
      <c r="J133">
        <f t="shared" si="13"/>
        <v>1.2409386902567883</v>
      </c>
    </row>
    <row r="134" spans="3:10">
      <c r="C134">
        <v>72</v>
      </c>
      <c r="D134" s="68">
        <v>2048</v>
      </c>
      <c r="E134">
        <f t="shared" si="9"/>
        <v>2.048</v>
      </c>
      <c r="F134">
        <f t="shared" si="10"/>
        <v>0.3964335992491787</v>
      </c>
      <c r="G134">
        <f t="shared" si="11"/>
        <v>396.43</v>
      </c>
      <c r="H134">
        <f t="shared" si="12"/>
        <v>492</v>
      </c>
      <c r="J134">
        <f t="shared" si="13"/>
        <v>1.2410766087329415</v>
      </c>
    </row>
    <row r="135" spans="3:10">
      <c r="C135">
        <v>73</v>
      </c>
      <c r="D135" s="68">
        <v>1989</v>
      </c>
      <c r="E135">
        <f t="shared" si="9"/>
        <v>1.9890000000000001</v>
      </c>
      <c r="F135">
        <f t="shared" si="10"/>
        <v>0.38634999117075752</v>
      </c>
      <c r="G135">
        <f t="shared" si="11"/>
        <v>386.35</v>
      </c>
      <c r="H135">
        <f t="shared" si="12"/>
        <v>479</v>
      </c>
      <c r="J135">
        <f t="shared" si="13"/>
        <v>1.239808463828135</v>
      </c>
    </row>
    <row r="136" spans="3:10">
      <c r="C136">
        <v>74</v>
      </c>
      <c r="D136" s="68">
        <v>1931</v>
      </c>
      <c r="E136">
        <f t="shared" si="9"/>
        <v>1.931</v>
      </c>
      <c r="F136">
        <f t="shared" si="10"/>
        <v>0.37636879097513432</v>
      </c>
      <c r="G136">
        <f t="shared" si="11"/>
        <v>376.37</v>
      </c>
      <c r="H136">
        <f t="shared" si="12"/>
        <v>467</v>
      </c>
      <c r="J136">
        <f t="shared" si="13"/>
        <v>1.2408002763238302</v>
      </c>
    </row>
    <row r="137" spans="3:10">
      <c r="C137">
        <v>75</v>
      </c>
      <c r="D137" s="68">
        <v>1876</v>
      </c>
      <c r="E137">
        <f t="shared" si="9"/>
        <v>1.8759999999999999</v>
      </c>
      <c r="F137">
        <f t="shared" si="10"/>
        <v>0.36684048352690207</v>
      </c>
      <c r="G137">
        <f t="shared" si="11"/>
        <v>366.84</v>
      </c>
      <c r="H137">
        <f t="shared" si="12"/>
        <v>455</v>
      </c>
      <c r="J137">
        <f t="shared" si="13"/>
        <v>1.240322756515102</v>
      </c>
    </row>
    <row r="138" spans="3:10">
      <c r="C138">
        <v>76</v>
      </c>
      <c r="D138" s="68">
        <v>1822</v>
      </c>
      <c r="E138">
        <f t="shared" si="9"/>
        <v>1.8220000000000001</v>
      </c>
      <c r="F138">
        <f t="shared" si="10"/>
        <v>0.35742480085602191</v>
      </c>
      <c r="G138">
        <f t="shared" si="11"/>
        <v>357.42</v>
      </c>
      <c r="H138">
        <f t="shared" si="12"/>
        <v>443</v>
      </c>
      <c r="J138">
        <f t="shared" si="13"/>
        <v>1.239438195959935</v>
      </c>
    </row>
    <row r="139" spans="3:10">
      <c r="C139">
        <v>77</v>
      </c>
      <c r="D139" s="68">
        <v>1771</v>
      </c>
      <c r="E139">
        <f t="shared" si="9"/>
        <v>1.7709999999999999</v>
      </c>
      <c r="F139">
        <f t="shared" si="10"/>
        <v>0.34847653687913654</v>
      </c>
      <c r="G139">
        <f t="shared" si="11"/>
        <v>348.48</v>
      </c>
      <c r="H139">
        <f t="shared" si="12"/>
        <v>432</v>
      </c>
      <c r="J139">
        <f t="shared" si="13"/>
        <v>1.2396694214876032</v>
      </c>
    </row>
    <row r="140" spans="3:10">
      <c r="C140">
        <v>78</v>
      </c>
      <c r="D140" s="68">
        <v>1721</v>
      </c>
      <c r="E140">
        <f t="shared" si="9"/>
        <v>1.7210000000000001</v>
      </c>
      <c r="F140">
        <f t="shared" si="10"/>
        <v>0.33965073859218947</v>
      </c>
      <c r="G140">
        <f t="shared" si="11"/>
        <v>339.65</v>
      </c>
      <c r="H140">
        <f t="shared" si="12"/>
        <v>421</v>
      </c>
      <c r="J140">
        <f t="shared" si="13"/>
        <v>1.2395112615928163</v>
      </c>
    </row>
    <row r="141" spans="3:10">
      <c r="C141">
        <v>79</v>
      </c>
      <c r="D141" s="68">
        <v>1672</v>
      </c>
      <c r="E141">
        <f t="shared" si="9"/>
        <v>1.6719999999999999</v>
      </c>
      <c r="F141">
        <f t="shared" si="10"/>
        <v>0.33095009596928976</v>
      </c>
      <c r="G141">
        <f t="shared" si="11"/>
        <v>330.95</v>
      </c>
      <c r="H141">
        <f t="shared" si="12"/>
        <v>410</v>
      </c>
      <c r="J141">
        <f t="shared" si="13"/>
        <v>1.2388578335095937</v>
      </c>
    </row>
    <row r="142" spans="3:10">
      <c r="C142">
        <v>80</v>
      </c>
      <c r="D142" s="68">
        <v>1626</v>
      </c>
      <c r="E142">
        <f t="shared" si="9"/>
        <v>1.6259999999999999</v>
      </c>
      <c r="F142">
        <f t="shared" si="10"/>
        <v>0.32273547455792129</v>
      </c>
      <c r="G142">
        <f t="shared" si="11"/>
        <v>322.74</v>
      </c>
      <c r="H142">
        <f t="shared" si="12"/>
        <v>400</v>
      </c>
      <c r="J142">
        <f t="shared" si="13"/>
        <v>1.2393877424552271</v>
      </c>
    </row>
    <row r="143" spans="3:10">
      <c r="C143">
        <v>81</v>
      </c>
      <c r="D143" s="68">
        <v>1580</v>
      </c>
      <c r="E143">
        <f t="shared" si="9"/>
        <v>1.58</v>
      </c>
      <c r="F143">
        <f t="shared" si="10"/>
        <v>0.31447527141133896</v>
      </c>
      <c r="G143">
        <f t="shared" si="11"/>
        <v>314.48</v>
      </c>
      <c r="H143">
        <f t="shared" si="12"/>
        <v>390</v>
      </c>
      <c r="J143">
        <f t="shared" si="13"/>
        <v>1.2401424573899771</v>
      </c>
    </row>
    <row r="144" spans="3:10">
      <c r="C144">
        <v>82</v>
      </c>
      <c r="D144" s="68">
        <v>1537</v>
      </c>
      <c r="E144">
        <f t="shared" si="9"/>
        <v>1.5369999999999999</v>
      </c>
      <c r="F144">
        <f t="shared" si="10"/>
        <v>0.3067122210800024</v>
      </c>
      <c r="G144">
        <f t="shared" si="11"/>
        <v>306.70999999999998</v>
      </c>
      <c r="H144">
        <f t="shared" si="12"/>
        <v>380</v>
      </c>
      <c r="J144">
        <f t="shared" si="13"/>
        <v>1.2389553650027714</v>
      </c>
    </row>
    <row r="145" spans="3:10">
      <c r="C145">
        <v>83</v>
      </c>
      <c r="D145" s="68">
        <v>1494</v>
      </c>
      <c r="E145">
        <f t="shared" si="9"/>
        <v>1.494</v>
      </c>
      <c r="F145">
        <f t="shared" si="10"/>
        <v>0.29890869407057113</v>
      </c>
      <c r="G145">
        <f t="shared" si="11"/>
        <v>298.91000000000003</v>
      </c>
      <c r="H145">
        <f t="shared" si="12"/>
        <v>371</v>
      </c>
      <c r="J145">
        <f t="shared" si="13"/>
        <v>1.2411762737947876</v>
      </c>
    </row>
    <row r="146" spans="3:10">
      <c r="C146">
        <v>84</v>
      </c>
      <c r="D146" s="68">
        <v>1453</v>
      </c>
      <c r="E146">
        <f t="shared" si="9"/>
        <v>1.4530000000000001</v>
      </c>
      <c r="F146">
        <f t="shared" si="10"/>
        <v>0.29143013432200815</v>
      </c>
      <c r="G146">
        <f t="shared" si="11"/>
        <v>291.43</v>
      </c>
      <c r="H146">
        <f t="shared" si="12"/>
        <v>361</v>
      </c>
      <c r="J146">
        <f t="shared" si="13"/>
        <v>1.2387194180420684</v>
      </c>
    </row>
    <row r="147" spans="3:10">
      <c r="C147">
        <v>85</v>
      </c>
      <c r="D147" s="68">
        <v>1414</v>
      </c>
      <c r="E147">
        <f t="shared" si="9"/>
        <v>1.4139999999999999</v>
      </c>
      <c r="F147">
        <f t="shared" si="10"/>
        <v>0.28428171073473857</v>
      </c>
      <c r="G147">
        <f t="shared" si="11"/>
        <v>284.27999999999997</v>
      </c>
      <c r="H147">
        <f t="shared" si="12"/>
        <v>352</v>
      </c>
      <c r="J147">
        <f t="shared" si="13"/>
        <v>1.2382158435345436</v>
      </c>
    </row>
    <row r="148" spans="3:10">
      <c r="C148">
        <v>86</v>
      </c>
      <c r="D148" s="68">
        <v>1376</v>
      </c>
      <c r="E148">
        <f t="shared" si="9"/>
        <v>1.3759999999999999</v>
      </c>
      <c r="F148">
        <f t="shared" si="10"/>
        <v>0.27728382999511475</v>
      </c>
      <c r="G148">
        <f t="shared" si="11"/>
        <v>277.27999999999997</v>
      </c>
      <c r="H148">
        <f t="shared" si="12"/>
        <v>344</v>
      </c>
      <c r="J148">
        <f t="shared" si="13"/>
        <v>1.2406231967686094</v>
      </c>
    </row>
    <row r="149" spans="3:10">
      <c r="C149">
        <v>87</v>
      </c>
      <c r="D149" s="68">
        <v>1339</v>
      </c>
      <c r="E149">
        <f t="shared" si="9"/>
        <v>1.339</v>
      </c>
      <c r="F149">
        <f t="shared" si="10"/>
        <v>0.27043882734561475</v>
      </c>
      <c r="G149">
        <f t="shared" si="11"/>
        <v>270.44</v>
      </c>
      <c r="H149">
        <f t="shared" si="12"/>
        <v>335</v>
      </c>
      <c r="J149">
        <f t="shared" si="13"/>
        <v>1.2387220825321699</v>
      </c>
    </row>
    <row r="150" spans="3:10">
      <c r="C150">
        <v>88</v>
      </c>
      <c r="D150" s="68">
        <v>1303</v>
      </c>
      <c r="E150">
        <f t="shared" ref="E150:E162" si="14">D150/1000</f>
        <v>1.3029999999999999</v>
      </c>
      <c r="F150">
        <f t="shared" si="10"/>
        <v>0.26374900325093537</v>
      </c>
      <c r="G150">
        <f t="shared" si="11"/>
        <v>263.75</v>
      </c>
      <c r="H150">
        <f t="shared" si="12"/>
        <v>327</v>
      </c>
      <c r="J150">
        <f t="shared" si="13"/>
        <v>1.2398104265402843</v>
      </c>
    </row>
    <row r="151" spans="3:10">
      <c r="C151">
        <v>89</v>
      </c>
      <c r="D151" s="68">
        <v>1268</v>
      </c>
      <c r="E151">
        <f t="shared" si="14"/>
        <v>1.268</v>
      </c>
      <c r="F151">
        <f t="shared" si="10"/>
        <v>0.25721662158839437</v>
      </c>
      <c r="G151">
        <f t="shared" si="11"/>
        <v>257.22000000000003</v>
      </c>
      <c r="H151">
        <f t="shared" si="12"/>
        <v>319</v>
      </c>
      <c r="J151">
        <f t="shared" si="13"/>
        <v>1.2401835005054038</v>
      </c>
    </row>
    <row r="152" spans="3:10">
      <c r="C152">
        <v>90</v>
      </c>
      <c r="D152" s="68">
        <v>1234</v>
      </c>
      <c r="E152">
        <f t="shared" si="14"/>
        <v>1.234</v>
      </c>
      <c r="F152">
        <f t="shared" si="10"/>
        <v>0.25084390784772698</v>
      </c>
      <c r="G152">
        <f t="shared" si="11"/>
        <v>250.84</v>
      </c>
      <c r="H152">
        <f t="shared" si="12"/>
        <v>311</v>
      </c>
      <c r="J152">
        <f t="shared" si="13"/>
        <v>1.2398341572317015</v>
      </c>
    </row>
    <row r="153" spans="3:10">
      <c r="C153">
        <v>91</v>
      </c>
      <c r="D153" s="68">
        <v>1202</v>
      </c>
      <c r="E153">
        <f t="shared" si="14"/>
        <v>1.202</v>
      </c>
      <c r="F153">
        <f t="shared" si="10"/>
        <v>0.24482162695963461</v>
      </c>
      <c r="G153">
        <f t="shared" si="11"/>
        <v>244.82</v>
      </c>
      <c r="H153">
        <f t="shared" si="12"/>
        <v>303</v>
      </c>
      <c r="J153">
        <f t="shared" si="13"/>
        <v>1.2376439833346948</v>
      </c>
    </row>
    <row r="154" spans="3:10">
      <c r="C154">
        <v>92</v>
      </c>
      <c r="D154" s="68">
        <v>1170</v>
      </c>
      <c r="E154">
        <f t="shared" si="14"/>
        <v>1.17</v>
      </c>
      <c r="F154">
        <f t="shared" si="10"/>
        <v>0.23877551020408158</v>
      </c>
      <c r="G154">
        <f t="shared" si="11"/>
        <v>238.78</v>
      </c>
      <c r="H154">
        <f t="shared" si="12"/>
        <v>296</v>
      </c>
      <c r="J154">
        <f t="shared" si="13"/>
        <v>1.2396348102856185</v>
      </c>
    </row>
    <row r="155" spans="3:10">
      <c r="C155">
        <v>93</v>
      </c>
      <c r="D155" s="68">
        <v>1139</v>
      </c>
      <c r="E155">
        <f t="shared" si="14"/>
        <v>1.139</v>
      </c>
      <c r="F155">
        <f t="shared" si="10"/>
        <v>0.23289547059916971</v>
      </c>
      <c r="G155">
        <f t="shared" si="11"/>
        <v>232.9</v>
      </c>
      <c r="H155">
        <f t="shared" si="12"/>
        <v>289</v>
      </c>
      <c r="J155">
        <f t="shared" si="13"/>
        <v>1.2408759124087592</v>
      </c>
    </row>
    <row r="156" spans="3:10">
      <c r="C156">
        <v>94</v>
      </c>
      <c r="D156" s="68">
        <v>1110</v>
      </c>
      <c r="E156">
        <f t="shared" si="14"/>
        <v>1.1100000000000001</v>
      </c>
      <c r="F156">
        <f t="shared" si="10"/>
        <v>0.22737430167597769</v>
      </c>
      <c r="G156">
        <f t="shared" si="11"/>
        <v>227.37</v>
      </c>
      <c r="H156">
        <f t="shared" si="12"/>
        <v>282</v>
      </c>
      <c r="J156">
        <f t="shared" si="13"/>
        <v>1.2402691647974666</v>
      </c>
    </row>
    <row r="157" spans="3:10">
      <c r="C157">
        <v>95</v>
      </c>
      <c r="D157" s="68">
        <v>1081</v>
      </c>
      <c r="E157">
        <f t="shared" si="14"/>
        <v>1.081</v>
      </c>
      <c r="F157">
        <f t="shared" si="10"/>
        <v>0.22183321932715627</v>
      </c>
      <c r="G157">
        <f t="shared" si="11"/>
        <v>221.83</v>
      </c>
      <c r="H157">
        <f t="shared" si="12"/>
        <v>275</v>
      </c>
      <c r="J157">
        <f t="shared" si="13"/>
        <v>1.2396880494072036</v>
      </c>
    </row>
    <row r="158" spans="3:10">
      <c r="C158">
        <v>96</v>
      </c>
      <c r="D158" s="68">
        <v>1053</v>
      </c>
      <c r="E158">
        <f t="shared" si="14"/>
        <v>1.0529999999999999</v>
      </c>
      <c r="F158">
        <f t="shared" si="10"/>
        <v>0.21646421229676693</v>
      </c>
      <c r="G158">
        <f t="shared" si="11"/>
        <v>216.46</v>
      </c>
      <c r="H158">
        <f t="shared" si="12"/>
        <v>268</v>
      </c>
      <c r="J158">
        <f t="shared" si="13"/>
        <v>1.2381040376974961</v>
      </c>
    </row>
    <row r="159" spans="3:10">
      <c r="C159">
        <v>97</v>
      </c>
      <c r="D159" s="68">
        <v>1026</v>
      </c>
      <c r="E159">
        <f t="shared" si="14"/>
        <v>1.026</v>
      </c>
      <c r="F159">
        <f t="shared" si="10"/>
        <v>0.21126918757019841</v>
      </c>
      <c r="G159">
        <f t="shared" si="11"/>
        <v>211.27</v>
      </c>
      <c r="H159">
        <f t="shared" si="12"/>
        <v>262</v>
      </c>
      <c r="J159">
        <f t="shared" si="13"/>
        <v>1.2401192786481752</v>
      </c>
    </row>
    <row r="160" spans="3:10">
      <c r="C160">
        <v>98</v>
      </c>
      <c r="D160" s="68">
        <v>999.8</v>
      </c>
      <c r="E160">
        <f t="shared" si="14"/>
        <v>0.99979999999999991</v>
      </c>
      <c r="F160">
        <f t="shared" si="10"/>
        <v>0.20621132764159547</v>
      </c>
      <c r="G160">
        <f t="shared" si="11"/>
        <v>206.21</v>
      </c>
      <c r="H160">
        <f t="shared" si="12"/>
        <v>255</v>
      </c>
      <c r="J160">
        <f t="shared" si="13"/>
        <v>1.2366034624896949</v>
      </c>
    </row>
    <row r="161" spans="3:15">
      <c r="C161">
        <v>99</v>
      </c>
      <c r="D161" s="68">
        <v>974.4</v>
      </c>
      <c r="E161">
        <f t="shared" si="14"/>
        <v>0.97439999999999993</v>
      </c>
      <c r="F161">
        <f t="shared" si="10"/>
        <v>0.20129206730769231</v>
      </c>
      <c r="G161">
        <f t="shared" si="11"/>
        <v>201.29</v>
      </c>
      <c r="H161">
        <f t="shared" si="12"/>
        <v>249</v>
      </c>
      <c r="J161">
        <f t="shared" si="13"/>
        <v>1.2370212131750211</v>
      </c>
    </row>
    <row r="162" spans="3:15">
      <c r="C162">
        <v>100</v>
      </c>
      <c r="D162" s="68">
        <v>949.8</v>
      </c>
      <c r="E162">
        <f t="shared" si="14"/>
        <v>0.94979999999999998</v>
      </c>
      <c r="F162">
        <f t="shared" si="10"/>
        <v>0.1965128089380431</v>
      </c>
      <c r="G162">
        <f t="shared" si="11"/>
        <v>196.51</v>
      </c>
      <c r="H162">
        <f t="shared" si="12"/>
        <v>243</v>
      </c>
      <c r="J162">
        <f t="shared" si="13"/>
        <v>1.2365782911811105</v>
      </c>
      <c r="N162">
        <v>2863</v>
      </c>
      <c r="O162">
        <v>3544</v>
      </c>
    </row>
    <row r="163" spans="3:15">
      <c r="N163">
        <v>2849</v>
      </c>
      <c r="O163">
        <v>3537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R77"/>
  <sheetViews>
    <sheetView zoomScale="80" zoomScaleNormal="80" zoomScalePageLayoutView="8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67" sqref="A67"/>
    </sheetView>
  </sheetViews>
  <sheetFormatPr defaultColWidth="8.625" defaultRowHeight="30.75" customHeight="1"/>
  <cols>
    <col min="1" max="1" width="19.25" style="158" customWidth="1"/>
    <col min="2" max="2" width="16.75" style="158" hidden="1" customWidth="1"/>
    <col min="3" max="3" width="18.625" style="158" hidden="1" customWidth="1"/>
    <col min="4" max="5" width="23.75" style="158" customWidth="1"/>
    <col min="6" max="6" width="12.875" style="158" customWidth="1"/>
    <col min="7" max="7" width="9.875" style="158" customWidth="1"/>
    <col min="8" max="8" width="13.625" style="158" hidden="1" customWidth="1"/>
    <col min="9" max="9" width="13.75" style="158" customWidth="1"/>
    <col min="10" max="10" width="8.5" style="158" customWidth="1"/>
    <col min="11" max="11" width="17.125" style="160" customWidth="1"/>
    <col min="12" max="13" width="8.25" style="158" customWidth="1"/>
    <col min="14" max="14" width="8.625" style="158" customWidth="1"/>
    <col min="15" max="15" width="11.125" style="158" hidden="1" customWidth="1"/>
    <col min="16" max="16" width="21" style="159" customWidth="1"/>
    <col min="17" max="17" width="11.75" style="159" customWidth="1"/>
    <col min="18" max="18" width="14.5" style="158" customWidth="1"/>
    <col min="19" max="16384" width="8.625" style="158"/>
  </cols>
  <sheetData>
    <row r="1" spans="1:18" ht="30.75" customHeight="1">
      <c r="A1" s="210" t="s">
        <v>544</v>
      </c>
      <c r="B1" s="210" t="s">
        <v>928</v>
      </c>
      <c r="C1" s="210" t="s">
        <v>927</v>
      </c>
      <c r="D1" s="210" t="s">
        <v>517</v>
      </c>
      <c r="E1" s="210" t="s">
        <v>1015</v>
      </c>
      <c r="F1" s="210" t="s">
        <v>516</v>
      </c>
      <c r="G1" s="210" t="s">
        <v>515</v>
      </c>
      <c r="H1" s="210" t="s">
        <v>923</v>
      </c>
      <c r="I1" s="210" t="s">
        <v>681</v>
      </c>
      <c r="J1" s="210" t="s">
        <v>512</v>
      </c>
      <c r="K1" s="210" t="s">
        <v>920</v>
      </c>
      <c r="L1" s="210" t="s">
        <v>680</v>
      </c>
      <c r="M1" s="210" t="s">
        <v>548</v>
      </c>
      <c r="N1" s="210" t="s">
        <v>549</v>
      </c>
      <c r="O1" s="210" t="s">
        <v>550</v>
      </c>
      <c r="P1" s="209" t="s">
        <v>542</v>
      </c>
      <c r="Q1" s="209" t="s">
        <v>914</v>
      </c>
      <c r="R1" s="158" t="s">
        <v>1006</v>
      </c>
    </row>
    <row r="2" spans="1:18" s="215" customFormat="1" ht="30.75" customHeight="1">
      <c r="A2" s="191" t="s">
        <v>907</v>
      </c>
      <c r="B2" s="191" t="s">
        <v>906</v>
      </c>
      <c r="C2" s="191" t="s">
        <v>554</v>
      </c>
      <c r="D2" s="191" t="s">
        <v>679</v>
      </c>
      <c r="E2" s="191" t="s">
        <v>421</v>
      </c>
      <c r="F2" s="191" t="s">
        <v>448</v>
      </c>
      <c r="G2" s="191" t="s">
        <v>457</v>
      </c>
      <c r="H2" s="191">
        <v>1234430002</v>
      </c>
      <c r="I2" s="191">
        <v>2411003002</v>
      </c>
      <c r="J2" s="211" t="s">
        <v>558</v>
      </c>
      <c r="K2" s="212" t="s">
        <v>499</v>
      </c>
      <c r="L2" s="191" t="s">
        <v>661</v>
      </c>
      <c r="M2" s="191" t="s">
        <v>417</v>
      </c>
      <c r="N2" s="191" t="s">
        <v>765</v>
      </c>
      <c r="O2" s="307"/>
      <c r="P2" s="214" t="str">
        <f>'[1]Team member'!M15</f>
        <v>Jinn.li</v>
      </c>
      <c r="Q2" s="214" t="str">
        <f>'[1]Team member'!N15</f>
        <v>Volins.ren</v>
      </c>
    </row>
    <row r="3" spans="1:18" s="215" customFormat="1" ht="30.75" customHeight="1">
      <c r="A3" s="191" t="s">
        <v>907</v>
      </c>
      <c r="B3" s="191" t="s">
        <v>906</v>
      </c>
      <c r="C3" s="191" t="s">
        <v>554</v>
      </c>
      <c r="D3" s="191" t="s">
        <v>912</v>
      </c>
      <c r="E3" s="191" t="s">
        <v>421</v>
      </c>
      <c r="F3" s="191" t="s">
        <v>448</v>
      </c>
      <c r="G3" s="191" t="s">
        <v>457</v>
      </c>
      <c r="H3" s="191">
        <v>1234430002</v>
      </c>
      <c r="I3" s="191">
        <v>2411003002</v>
      </c>
      <c r="J3" s="211" t="s">
        <v>558</v>
      </c>
      <c r="K3" s="212" t="s">
        <v>499</v>
      </c>
      <c r="L3" s="191" t="s">
        <v>661</v>
      </c>
      <c r="M3" s="191" t="s">
        <v>417</v>
      </c>
      <c r="N3" s="191" t="s">
        <v>783</v>
      </c>
      <c r="O3" s="307"/>
      <c r="P3" s="214" t="str">
        <f>'[1]Team member'!M16</f>
        <v>Jinn.li</v>
      </c>
      <c r="Q3" s="214" t="str">
        <f>'[1]Team member'!N16</f>
        <v>Volins.ren</v>
      </c>
    </row>
    <row r="4" spans="1:18" s="215" customFormat="1" ht="30.75" customHeight="1">
      <c r="A4" s="191" t="s">
        <v>907</v>
      </c>
      <c r="B4" s="191" t="s">
        <v>906</v>
      </c>
      <c r="C4" s="191" t="s">
        <v>554</v>
      </c>
      <c r="D4" s="191" t="s">
        <v>504</v>
      </c>
      <c r="E4" s="191" t="s">
        <v>421</v>
      </c>
      <c r="F4" s="191" t="s">
        <v>448</v>
      </c>
      <c r="G4" s="191" t="s">
        <v>909</v>
      </c>
      <c r="H4" s="191" t="s">
        <v>421</v>
      </c>
      <c r="I4" s="191">
        <v>2411003003</v>
      </c>
      <c r="J4" s="211" t="s">
        <v>558</v>
      </c>
      <c r="K4" s="212" t="s">
        <v>499</v>
      </c>
      <c r="L4" s="191" t="s">
        <v>661</v>
      </c>
      <c r="M4" s="191" t="s">
        <v>417</v>
      </c>
      <c r="N4" s="191" t="s">
        <v>765</v>
      </c>
      <c r="O4" s="307"/>
      <c r="P4" s="214" t="str">
        <f>'[1]Team member'!M16</f>
        <v>Jinn.li</v>
      </c>
      <c r="Q4" s="214" t="str">
        <f>'[1]Team member'!N16</f>
        <v>Volins.ren</v>
      </c>
    </row>
    <row r="5" spans="1:18" s="215" customFormat="1" ht="30.75" customHeight="1">
      <c r="A5" s="191" t="s">
        <v>907</v>
      </c>
      <c r="B5" s="191" t="s">
        <v>906</v>
      </c>
      <c r="C5" s="191" t="s">
        <v>554</v>
      </c>
      <c r="D5" s="191" t="s">
        <v>910</v>
      </c>
      <c r="E5" s="191" t="s">
        <v>421</v>
      </c>
      <c r="F5" s="191" t="s">
        <v>448</v>
      </c>
      <c r="G5" s="191" t="s">
        <v>909</v>
      </c>
      <c r="H5" s="191" t="s">
        <v>421</v>
      </c>
      <c r="I5" s="191">
        <v>2411003003</v>
      </c>
      <c r="J5" s="211" t="s">
        <v>558</v>
      </c>
      <c r="K5" s="212" t="s">
        <v>499</v>
      </c>
      <c r="L5" s="191" t="s">
        <v>661</v>
      </c>
      <c r="M5" s="191" t="s">
        <v>417</v>
      </c>
      <c r="N5" s="191" t="s">
        <v>783</v>
      </c>
      <c r="O5" s="307"/>
      <c r="P5" s="214" t="str">
        <f>'[1]Team member'!M17</f>
        <v>Jinn.li</v>
      </c>
      <c r="Q5" s="214" t="str">
        <f>'[1]Team member'!N17</f>
        <v>Volins.ren</v>
      </c>
    </row>
    <row r="6" spans="1:18" s="215" customFormat="1" ht="30.75" customHeight="1">
      <c r="A6" s="191" t="s">
        <v>907</v>
      </c>
      <c r="B6" s="191" t="s">
        <v>906</v>
      </c>
      <c r="C6" s="191" t="s">
        <v>554</v>
      </c>
      <c r="D6" s="191" t="s">
        <v>565</v>
      </c>
      <c r="E6" s="191" t="s">
        <v>421</v>
      </c>
      <c r="F6" s="191" t="s">
        <v>448</v>
      </c>
      <c r="G6" s="191" t="s">
        <v>664</v>
      </c>
      <c r="H6" s="191"/>
      <c r="I6" s="191">
        <v>2411003014</v>
      </c>
      <c r="J6" s="211" t="s">
        <v>558</v>
      </c>
      <c r="K6" s="212" t="s">
        <v>499</v>
      </c>
      <c r="L6" s="191" t="s">
        <v>661</v>
      </c>
      <c r="M6" s="191" t="s">
        <v>417</v>
      </c>
      <c r="N6" s="191" t="s">
        <v>765</v>
      </c>
      <c r="O6" s="213"/>
      <c r="P6" s="214" t="str">
        <f>'[1]Team member'!M17</f>
        <v>Jinn.li</v>
      </c>
      <c r="Q6" s="214" t="str">
        <f>'[1]Team member'!N17</f>
        <v>Volins.ren</v>
      </c>
    </row>
    <row r="7" spans="1:18" s="215" customFormat="1" ht="30.75" customHeight="1">
      <c r="A7" s="191" t="s">
        <v>907</v>
      </c>
      <c r="B7" s="191" t="s">
        <v>906</v>
      </c>
      <c r="C7" s="191" t="s">
        <v>554</v>
      </c>
      <c r="D7" s="191" t="s">
        <v>905</v>
      </c>
      <c r="E7" s="191" t="s">
        <v>421</v>
      </c>
      <c r="F7" s="191" t="s">
        <v>448</v>
      </c>
      <c r="G7" s="191" t="s">
        <v>664</v>
      </c>
      <c r="H7" s="191"/>
      <c r="I7" s="191">
        <v>2411003014</v>
      </c>
      <c r="J7" s="211" t="s">
        <v>558</v>
      </c>
      <c r="K7" s="212" t="s">
        <v>499</v>
      </c>
      <c r="L7" s="191" t="s">
        <v>661</v>
      </c>
      <c r="M7" s="191" t="s">
        <v>417</v>
      </c>
      <c r="N7" s="191" t="s">
        <v>783</v>
      </c>
      <c r="O7" s="213"/>
      <c r="P7" s="214" t="str">
        <f>'[1]Team member'!M18</f>
        <v>Jinn.li</v>
      </c>
      <c r="Q7" s="214" t="str">
        <f>'[1]Team member'!N18</f>
        <v>Volins.ren</v>
      </c>
    </row>
    <row r="8" spans="1:18" s="215" customFormat="1" ht="30.75" customHeight="1">
      <c r="A8" s="179" t="s">
        <v>678</v>
      </c>
      <c r="B8" s="179" t="s">
        <v>421</v>
      </c>
      <c r="C8" s="191" t="s">
        <v>778</v>
      </c>
      <c r="D8" s="191" t="s">
        <v>540</v>
      </c>
      <c r="E8" s="191" t="s">
        <v>421</v>
      </c>
      <c r="F8" s="191" t="s">
        <v>448</v>
      </c>
      <c r="G8" s="191" t="s">
        <v>664</v>
      </c>
      <c r="H8" s="191"/>
      <c r="I8" s="191">
        <v>2411043016</v>
      </c>
      <c r="J8" s="211" t="s">
        <v>539</v>
      </c>
      <c r="K8" s="212" t="s">
        <v>499</v>
      </c>
      <c r="L8" s="191" t="s">
        <v>661</v>
      </c>
      <c r="M8" s="191" t="s">
        <v>417</v>
      </c>
      <c r="N8" s="191" t="s">
        <v>765</v>
      </c>
      <c r="O8" s="213"/>
      <c r="P8" s="214" t="str">
        <f>'[1]Team member'!M18</f>
        <v>Jinn.li</v>
      </c>
      <c r="Q8" s="214" t="str">
        <f>'[1]Team member'!N18</f>
        <v>Volins.ren</v>
      </c>
    </row>
    <row r="9" spans="1:18" s="215" customFormat="1" ht="30.75" customHeight="1">
      <c r="A9" s="179" t="s">
        <v>678</v>
      </c>
      <c r="B9" s="179" t="s">
        <v>421</v>
      </c>
      <c r="C9" s="191" t="s">
        <v>778</v>
      </c>
      <c r="D9" s="191" t="s">
        <v>901</v>
      </c>
      <c r="E9" s="191" t="s">
        <v>1016</v>
      </c>
      <c r="F9" s="191" t="s">
        <v>448</v>
      </c>
      <c r="G9" s="191" t="s">
        <v>664</v>
      </c>
      <c r="H9" s="191"/>
      <c r="I9" s="191">
        <v>2411043016</v>
      </c>
      <c r="J9" s="211" t="s">
        <v>539</v>
      </c>
      <c r="K9" s="212" t="s">
        <v>499</v>
      </c>
      <c r="L9" s="191" t="s">
        <v>661</v>
      </c>
      <c r="M9" s="191" t="s">
        <v>417</v>
      </c>
      <c r="N9" s="191" t="s">
        <v>783</v>
      </c>
      <c r="O9" s="213"/>
      <c r="P9" s="214" t="str">
        <f>'[1]Team member'!M19</f>
        <v>Jinn.li</v>
      </c>
      <c r="Q9" s="214" t="str">
        <f>'[1]Team member'!N19</f>
        <v>Volins.ren</v>
      </c>
    </row>
    <row r="10" spans="1:18" s="215" customFormat="1" ht="30.75" customHeight="1">
      <c r="A10" s="191" t="s">
        <v>896</v>
      </c>
      <c r="B10" s="191" t="s">
        <v>895</v>
      </c>
      <c r="C10" s="191" t="s">
        <v>554</v>
      </c>
      <c r="D10" s="191" t="s">
        <v>571</v>
      </c>
      <c r="E10" s="191"/>
      <c r="F10" s="191" t="s">
        <v>572</v>
      </c>
      <c r="G10" s="191" t="s">
        <v>573</v>
      </c>
      <c r="H10" s="191">
        <v>1231830001</v>
      </c>
      <c r="I10" s="191">
        <v>2410763001</v>
      </c>
      <c r="J10" s="211" t="s">
        <v>574</v>
      </c>
      <c r="K10" s="212" t="s">
        <v>493</v>
      </c>
      <c r="L10" s="191" t="s">
        <v>677</v>
      </c>
      <c r="M10" s="191" t="s">
        <v>417</v>
      </c>
      <c r="N10" s="191" t="s">
        <v>765</v>
      </c>
      <c r="O10" s="213"/>
      <c r="P10" s="290" t="s">
        <v>577</v>
      </c>
      <c r="Q10" s="188" t="s">
        <v>443</v>
      </c>
    </row>
    <row r="11" spans="1:18" s="215" customFormat="1" ht="30.75" customHeight="1">
      <c r="A11" s="191" t="s">
        <v>896</v>
      </c>
      <c r="B11" s="191" t="s">
        <v>895</v>
      </c>
      <c r="C11" s="191" t="s">
        <v>554</v>
      </c>
      <c r="D11" s="191" t="s">
        <v>898</v>
      </c>
      <c r="E11" s="191"/>
      <c r="F11" s="191" t="s">
        <v>572</v>
      </c>
      <c r="G11" s="191" t="s">
        <v>573</v>
      </c>
      <c r="H11" s="191">
        <v>1231830001</v>
      </c>
      <c r="I11" s="191">
        <v>2410763001</v>
      </c>
      <c r="J11" s="211" t="s">
        <v>574</v>
      </c>
      <c r="K11" s="212" t="s">
        <v>493</v>
      </c>
      <c r="L11" s="191" t="s">
        <v>677</v>
      </c>
      <c r="M11" s="191" t="s">
        <v>417</v>
      </c>
      <c r="N11" s="191" t="s">
        <v>783</v>
      </c>
      <c r="O11" s="213"/>
      <c r="P11" s="290" t="s">
        <v>577</v>
      </c>
      <c r="Q11" s="188" t="s">
        <v>443</v>
      </c>
    </row>
    <row r="12" spans="1:18" s="215" customFormat="1" ht="30.75" customHeight="1">
      <c r="A12" s="191" t="s">
        <v>896</v>
      </c>
      <c r="B12" s="191" t="s">
        <v>895</v>
      </c>
      <c r="C12" s="191" t="s">
        <v>554</v>
      </c>
      <c r="D12" s="191" t="s">
        <v>496</v>
      </c>
      <c r="E12" s="191"/>
      <c r="F12" s="191" t="s">
        <v>495</v>
      </c>
      <c r="G12" s="191" t="s">
        <v>457</v>
      </c>
      <c r="H12" s="191">
        <v>1231830003</v>
      </c>
      <c r="I12" s="191">
        <v>2410763003</v>
      </c>
      <c r="J12" s="211" t="s">
        <v>574</v>
      </c>
      <c r="K12" s="212" t="s">
        <v>493</v>
      </c>
      <c r="L12" s="191" t="s">
        <v>677</v>
      </c>
      <c r="M12" s="191" t="s">
        <v>417</v>
      </c>
      <c r="N12" s="191" t="s">
        <v>765</v>
      </c>
      <c r="O12" s="213"/>
      <c r="P12" s="290" t="s">
        <v>577</v>
      </c>
      <c r="Q12" s="188" t="s">
        <v>443</v>
      </c>
    </row>
    <row r="13" spans="1:18" s="215" customFormat="1" ht="30.75" customHeight="1">
      <c r="A13" s="191" t="s">
        <v>896</v>
      </c>
      <c r="B13" s="191" t="s">
        <v>895</v>
      </c>
      <c r="C13" s="191" t="s">
        <v>554</v>
      </c>
      <c r="D13" s="191" t="s">
        <v>894</v>
      </c>
      <c r="E13" s="191"/>
      <c r="F13" s="191" t="s">
        <v>495</v>
      </c>
      <c r="G13" s="191" t="s">
        <v>457</v>
      </c>
      <c r="H13" s="191">
        <v>1231830003</v>
      </c>
      <c r="I13" s="191">
        <v>2410763003</v>
      </c>
      <c r="J13" s="211" t="s">
        <v>574</v>
      </c>
      <c r="K13" s="212" t="s">
        <v>493</v>
      </c>
      <c r="L13" s="191" t="s">
        <v>677</v>
      </c>
      <c r="M13" s="191" t="s">
        <v>417</v>
      </c>
      <c r="N13" s="191" t="s">
        <v>783</v>
      </c>
      <c r="O13" s="213"/>
      <c r="P13" s="290" t="s">
        <v>577</v>
      </c>
      <c r="Q13" s="188" t="s">
        <v>443</v>
      </c>
    </row>
    <row r="14" spans="1:18" s="252" customFormat="1" ht="30.75" customHeight="1">
      <c r="A14" s="179" t="s">
        <v>1017</v>
      </c>
      <c r="B14" s="179" t="s">
        <v>889</v>
      </c>
      <c r="C14" s="191" t="s">
        <v>554</v>
      </c>
      <c r="D14" s="179" t="s">
        <v>581</v>
      </c>
      <c r="E14" s="179"/>
      <c r="F14" s="191" t="s">
        <v>572</v>
      </c>
      <c r="G14" s="179" t="s">
        <v>421</v>
      </c>
      <c r="H14" s="179">
        <v>1231830002</v>
      </c>
      <c r="I14" s="179">
        <v>2410763002</v>
      </c>
      <c r="J14" s="192" t="s">
        <v>489</v>
      </c>
      <c r="K14" s="212" t="s">
        <v>488</v>
      </c>
      <c r="L14" s="179" t="s">
        <v>677</v>
      </c>
      <c r="M14" s="179" t="s">
        <v>417</v>
      </c>
      <c r="N14" s="191" t="s">
        <v>765</v>
      </c>
      <c r="O14" s="306"/>
      <c r="P14" s="290" t="s">
        <v>577</v>
      </c>
      <c r="Q14" s="188" t="s">
        <v>443</v>
      </c>
    </row>
    <row r="15" spans="1:18" s="252" customFormat="1" ht="30.75" customHeight="1">
      <c r="A15" s="179" t="s">
        <v>1017</v>
      </c>
      <c r="B15" s="179" t="s">
        <v>889</v>
      </c>
      <c r="C15" s="191" t="s">
        <v>554</v>
      </c>
      <c r="D15" s="179" t="s">
        <v>888</v>
      </c>
      <c r="E15" s="179"/>
      <c r="F15" s="191" t="s">
        <v>572</v>
      </c>
      <c r="G15" s="179" t="s">
        <v>421</v>
      </c>
      <c r="H15" s="179">
        <v>1231830002</v>
      </c>
      <c r="I15" s="179">
        <v>2410763002</v>
      </c>
      <c r="J15" s="192" t="s">
        <v>489</v>
      </c>
      <c r="K15" s="212" t="s">
        <v>488</v>
      </c>
      <c r="L15" s="179" t="s">
        <v>677</v>
      </c>
      <c r="M15" s="179" t="s">
        <v>417</v>
      </c>
      <c r="N15" s="191" t="s">
        <v>783</v>
      </c>
      <c r="O15" s="306"/>
      <c r="P15" s="290" t="s">
        <v>577</v>
      </c>
      <c r="Q15" s="188" t="s">
        <v>443</v>
      </c>
    </row>
    <row r="16" spans="1:18" s="252" customFormat="1" ht="30.75" customHeight="1">
      <c r="A16" s="179" t="s">
        <v>676</v>
      </c>
      <c r="B16" s="179" t="s">
        <v>421</v>
      </c>
      <c r="C16" s="179" t="s">
        <v>662</v>
      </c>
      <c r="D16" s="179" t="s">
        <v>675</v>
      </c>
      <c r="E16" s="179"/>
      <c r="F16" s="191" t="s">
        <v>484</v>
      </c>
      <c r="G16" s="179" t="s">
        <v>457</v>
      </c>
      <c r="H16" s="179" t="s">
        <v>421</v>
      </c>
      <c r="I16" s="179">
        <v>2410522001</v>
      </c>
      <c r="J16" s="179" t="s">
        <v>483</v>
      </c>
      <c r="K16" s="305" t="s">
        <v>588</v>
      </c>
      <c r="L16" s="179" t="s">
        <v>482</v>
      </c>
      <c r="M16" s="179" t="s">
        <v>417</v>
      </c>
      <c r="N16" s="191" t="s">
        <v>765</v>
      </c>
      <c r="O16" s="290"/>
      <c r="P16" s="189" t="s">
        <v>430</v>
      </c>
      <c r="Q16" s="188" t="s">
        <v>673</v>
      </c>
    </row>
    <row r="17" spans="1:17" s="252" customFormat="1" ht="30.75" customHeight="1">
      <c r="A17" s="179" t="s">
        <v>676</v>
      </c>
      <c r="B17" s="179" t="s">
        <v>421</v>
      </c>
      <c r="C17" s="179" t="s">
        <v>662</v>
      </c>
      <c r="D17" s="179" t="s">
        <v>1005</v>
      </c>
      <c r="E17" s="179"/>
      <c r="F17" s="191" t="s">
        <v>484</v>
      </c>
      <c r="G17" s="179" t="s">
        <v>457</v>
      </c>
      <c r="H17" s="179" t="s">
        <v>421</v>
      </c>
      <c r="I17" s="179">
        <v>2410522001</v>
      </c>
      <c r="J17" s="179" t="s">
        <v>483</v>
      </c>
      <c r="K17" s="305" t="s">
        <v>588</v>
      </c>
      <c r="L17" s="179" t="s">
        <v>482</v>
      </c>
      <c r="M17" s="179" t="s">
        <v>417</v>
      </c>
      <c r="N17" s="191" t="s">
        <v>783</v>
      </c>
      <c r="O17" s="290"/>
      <c r="P17" s="189" t="s">
        <v>430</v>
      </c>
      <c r="Q17" s="188" t="s">
        <v>673</v>
      </c>
    </row>
    <row r="18" spans="1:17" s="252" customFormat="1" ht="30.75" customHeight="1">
      <c r="A18" s="179" t="s">
        <v>674</v>
      </c>
      <c r="B18" s="179" t="s">
        <v>421</v>
      </c>
      <c r="C18" s="191" t="s">
        <v>554</v>
      </c>
      <c r="D18" s="179" t="s">
        <v>481</v>
      </c>
      <c r="E18" s="179"/>
      <c r="F18" s="191" t="s">
        <v>480</v>
      </c>
      <c r="G18" s="179" t="s">
        <v>593</v>
      </c>
      <c r="H18" s="179"/>
      <c r="I18" s="179">
        <v>2410762001</v>
      </c>
      <c r="J18" s="192" t="s">
        <v>478</v>
      </c>
      <c r="K18" s="305" t="s">
        <v>588</v>
      </c>
      <c r="L18" s="179" t="s">
        <v>595</v>
      </c>
      <c r="M18" s="179" t="s">
        <v>417</v>
      </c>
      <c r="N18" s="191" t="s">
        <v>765</v>
      </c>
      <c r="O18" s="303"/>
      <c r="P18" s="189" t="s">
        <v>430</v>
      </c>
      <c r="Q18" s="188" t="s">
        <v>673</v>
      </c>
    </row>
    <row r="19" spans="1:17" s="252" customFormat="1" ht="30.75" customHeight="1">
      <c r="A19" s="179" t="s">
        <v>674</v>
      </c>
      <c r="B19" s="179" t="s">
        <v>421</v>
      </c>
      <c r="C19" s="191" t="s">
        <v>554</v>
      </c>
      <c r="D19" s="179" t="s">
        <v>1018</v>
      </c>
      <c r="E19" s="179"/>
      <c r="F19" s="191" t="s">
        <v>480</v>
      </c>
      <c r="G19" s="179" t="s">
        <v>593</v>
      </c>
      <c r="H19" s="179"/>
      <c r="I19" s="179">
        <v>2410762001</v>
      </c>
      <c r="J19" s="192" t="s">
        <v>478</v>
      </c>
      <c r="K19" s="305" t="s">
        <v>588</v>
      </c>
      <c r="L19" s="179" t="s">
        <v>595</v>
      </c>
      <c r="M19" s="179" t="s">
        <v>417</v>
      </c>
      <c r="N19" s="191" t="s">
        <v>783</v>
      </c>
      <c r="O19" s="303"/>
      <c r="P19" s="189" t="s">
        <v>430</v>
      </c>
      <c r="Q19" s="188" t="s">
        <v>673</v>
      </c>
    </row>
    <row r="20" spans="1:17" s="252" customFormat="1" ht="30.75" customHeight="1">
      <c r="A20" s="179" t="s">
        <v>674</v>
      </c>
      <c r="B20" s="179" t="s">
        <v>421</v>
      </c>
      <c r="C20" s="191" t="s">
        <v>554</v>
      </c>
      <c r="D20" s="179" t="s">
        <v>872</v>
      </c>
      <c r="E20" s="179"/>
      <c r="F20" s="191" t="s">
        <v>480</v>
      </c>
      <c r="G20" s="179" t="s">
        <v>871</v>
      </c>
      <c r="H20" s="179"/>
      <c r="I20" s="179" t="s">
        <v>421</v>
      </c>
      <c r="J20" s="179" t="s">
        <v>421</v>
      </c>
      <c r="K20" s="305" t="s">
        <v>588</v>
      </c>
      <c r="L20" s="179" t="s">
        <v>595</v>
      </c>
      <c r="M20" s="179" t="s">
        <v>417</v>
      </c>
      <c r="N20" s="191" t="s">
        <v>765</v>
      </c>
      <c r="O20" s="303"/>
      <c r="P20" s="189" t="s">
        <v>430</v>
      </c>
      <c r="Q20" s="188" t="s">
        <v>673</v>
      </c>
    </row>
    <row r="21" spans="1:17" s="252" customFormat="1" ht="30.75" customHeight="1">
      <c r="A21" s="179" t="s">
        <v>1019</v>
      </c>
      <c r="B21" s="179" t="s">
        <v>841</v>
      </c>
      <c r="C21" s="179" t="s">
        <v>662</v>
      </c>
      <c r="D21" s="179" t="s">
        <v>867</v>
      </c>
      <c r="E21" s="179" t="s">
        <v>421</v>
      </c>
      <c r="F21" s="191" t="s">
        <v>448</v>
      </c>
      <c r="G21" s="304" t="s">
        <v>573</v>
      </c>
      <c r="H21" s="179"/>
      <c r="I21" s="179">
        <v>2411003001</v>
      </c>
      <c r="J21" s="192" t="s">
        <v>1020</v>
      </c>
      <c r="K21" s="191" t="s">
        <v>1021</v>
      </c>
      <c r="L21" s="179" t="s">
        <v>661</v>
      </c>
      <c r="M21" s="179" t="s">
        <v>417</v>
      </c>
      <c r="N21" s="191" t="s">
        <v>765</v>
      </c>
      <c r="O21" s="303"/>
      <c r="P21" s="189" t="s">
        <v>444</v>
      </c>
      <c r="Q21" s="188" t="s">
        <v>443</v>
      </c>
    </row>
    <row r="22" spans="1:17" s="252" customFormat="1" ht="30.75" customHeight="1">
      <c r="A22" s="179" t="s">
        <v>863</v>
      </c>
      <c r="B22" s="179" t="s">
        <v>421</v>
      </c>
      <c r="C22" s="179" t="s">
        <v>662</v>
      </c>
      <c r="D22" s="179" t="s">
        <v>475</v>
      </c>
      <c r="E22" s="179" t="s">
        <v>421</v>
      </c>
      <c r="F22" s="191" t="s">
        <v>448</v>
      </c>
      <c r="G22" s="179" t="s">
        <v>457</v>
      </c>
      <c r="H22" s="179">
        <v>1234430005</v>
      </c>
      <c r="I22" s="179">
        <v>241100312</v>
      </c>
      <c r="J22" s="179" t="s">
        <v>598</v>
      </c>
      <c r="K22" s="191" t="s">
        <v>474</v>
      </c>
      <c r="L22" s="179" t="s">
        <v>661</v>
      </c>
      <c r="M22" s="179" t="s">
        <v>417</v>
      </c>
      <c r="N22" s="191" t="s">
        <v>765</v>
      </c>
      <c r="O22" s="290"/>
      <c r="P22" s="189" t="s">
        <v>444</v>
      </c>
      <c r="Q22" s="188" t="s">
        <v>443</v>
      </c>
    </row>
    <row r="23" spans="1:17" s="252" customFormat="1" ht="30.75" customHeight="1">
      <c r="A23" s="179" t="s">
        <v>863</v>
      </c>
      <c r="B23" s="179" t="s">
        <v>421</v>
      </c>
      <c r="C23" s="179" t="s">
        <v>662</v>
      </c>
      <c r="D23" s="179" t="s">
        <v>472</v>
      </c>
      <c r="E23" s="179" t="s">
        <v>421</v>
      </c>
      <c r="F23" s="191" t="s">
        <v>448</v>
      </c>
      <c r="G23" s="179" t="s">
        <v>573</v>
      </c>
      <c r="H23" s="179">
        <v>1234430004</v>
      </c>
      <c r="I23" s="179">
        <v>2411003013</v>
      </c>
      <c r="J23" s="179" t="s">
        <v>598</v>
      </c>
      <c r="K23" s="191" t="s">
        <v>470</v>
      </c>
      <c r="L23" s="179" t="s">
        <v>661</v>
      </c>
      <c r="M23" s="179" t="s">
        <v>417</v>
      </c>
      <c r="N23" s="191" t="s">
        <v>765</v>
      </c>
      <c r="O23" s="290"/>
      <c r="P23" s="189" t="s">
        <v>444</v>
      </c>
      <c r="Q23" s="188" t="s">
        <v>443</v>
      </c>
    </row>
    <row r="24" spans="1:17" s="252" customFormat="1" ht="30.75" customHeight="1">
      <c r="A24" s="179" t="s">
        <v>1022</v>
      </c>
      <c r="B24" s="179" t="s">
        <v>421</v>
      </c>
      <c r="C24" s="179" t="s">
        <v>662</v>
      </c>
      <c r="D24" s="179" t="s">
        <v>860</v>
      </c>
      <c r="E24" s="179" t="s">
        <v>421</v>
      </c>
      <c r="F24" s="191" t="s">
        <v>859</v>
      </c>
      <c r="G24" s="179" t="s">
        <v>457</v>
      </c>
      <c r="H24" s="179"/>
      <c r="I24" s="179">
        <v>2410864002</v>
      </c>
      <c r="J24" s="179" t="s">
        <v>1004</v>
      </c>
      <c r="K24" s="191" t="s">
        <v>465</v>
      </c>
      <c r="L24" s="179" t="s">
        <v>425</v>
      </c>
      <c r="M24" s="179" t="s">
        <v>417</v>
      </c>
      <c r="N24" s="191" t="s">
        <v>765</v>
      </c>
      <c r="O24" s="290"/>
      <c r="P24" s="189" t="s">
        <v>444</v>
      </c>
      <c r="Q24" s="188" t="s">
        <v>415</v>
      </c>
    </row>
    <row r="25" spans="1:17" s="252" customFormat="1" ht="30.75" customHeight="1">
      <c r="A25" s="179" t="s">
        <v>1022</v>
      </c>
      <c r="B25" s="179"/>
      <c r="C25" s="179"/>
      <c r="D25" s="179"/>
      <c r="E25" s="179" t="s">
        <v>421</v>
      </c>
      <c r="F25" s="191" t="s">
        <v>859</v>
      </c>
      <c r="G25" s="179" t="s">
        <v>573</v>
      </c>
      <c r="H25" s="179"/>
      <c r="I25" s="179">
        <v>2410864001</v>
      </c>
      <c r="J25" s="179" t="s">
        <v>1004</v>
      </c>
      <c r="K25" s="191" t="s">
        <v>465</v>
      </c>
      <c r="L25" s="179" t="s">
        <v>425</v>
      </c>
      <c r="M25" s="179" t="s">
        <v>417</v>
      </c>
      <c r="N25" s="191" t="s">
        <v>765</v>
      </c>
      <c r="O25" s="290"/>
      <c r="P25" s="189" t="s">
        <v>444</v>
      </c>
      <c r="Q25" s="188" t="s">
        <v>415</v>
      </c>
    </row>
    <row r="26" spans="1:17" s="252" customFormat="1" ht="30.75" customHeight="1">
      <c r="A26" s="179" t="s">
        <v>672</v>
      </c>
      <c r="B26" s="179" t="s">
        <v>421</v>
      </c>
      <c r="C26" s="179" t="s">
        <v>662</v>
      </c>
      <c r="D26" s="179" t="s">
        <v>469</v>
      </c>
      <c r="E26" s="179" t="s">
        <v>421</v>
      </c>
      <c r="F26" s="191" t="s">
        <v>602</v>
      </c>
      <c r="G26" s="179" t="s">
        <v>573</v>
      </c>
      <c r="H26" s="179" t="s">
        <v>421</v>
      </c>
      <c r="I26" s="179">
        <v>2411004001</v>
      </c>
      <c r="J26" s="179" t="s">
        <v>466</v>
      </c>
      <c r="K26" s="191" t="s">
        <v>465</v>
      </c>
      <c r="L26" s="179" t="s">
        <v>425</v>
      </c>
      <c r="M26" s="179" t="s">
        <v>417</v>
      </c>
      <c r="N26" s="191" t="s">
        <v>765</v>
      </c>
      <c r="O26" s="290"/>
      <c r="P26" s="189" t="s">
        <v>416</v>
      </c>
      <c r="Q26" s="188" t="s">
        <v>415</v>
      </c>
    </row>
    <row r="27" spans="1:17" s="252" customFormat="1" ht="30.75" customHeight="1">
      <c r="A27" s="179" t="s">
        <v>672</v>
      </c>
      <c r="B27" s="179" t="s">
        <v>421</v>
      </c>
      <c r="C27" s="179" t="s">
        <v>662</v>
      </c>
      <c r="D27" s="179" t="s">
        <v>467</v>
      </c>
      <c r="E27" s="179" t="s">
        <v>421</v>
      </c>
      <c r="F27" s="191" t="s">
        <v>602</v>
      </c>
      <c r="G27" s="179" t="s">
        <v>457</v>
      </c>
      <c r="H27" s="179" t="s">
        <v>421</v>
      </c>
      <c r="I27" s="179">
        <v>2411004002</v>
      </c>
      <c r="J27" s="179" t="s">
        <v>466</v>
      </c>
      <c r="K27" s="191" t="s">
        <v>465</v>
      </c>
      <c r="L27" s="179" t="s">
        <v>425</v>
      </c>
      <c r="M27" s="179" t="s">
        <v>417</v>
      </c>
      <c r="N27" s="191" t="s">
        <v>765</v>
      </c>
      <c r="O27" s="290"/>
      <c r="P27" s="189" t="s">
        <v>416</v>
      </c>
      <c r="Q27" s="188" t="s">
        <v>415</v>
      </c>
    </row>
    <row r="28" spans="1:17" s="252" customFormat="1" ht="30.75" customHeight="1">
      <c r="A28" s="179" t="s">
        <v>672</v>
      </c>
      <c r="B28" s="179" t="s">
        <v>421</v>
      </c>
      <c r="C28" s="179" t="s">
        <v>662</v>
      </c>
      <c r="D28" s="179" t="s">
        <v>853</v>
      </c>
      <c r="E28" s="179" t="s">
        <v>421</v>
      </c>
      <c r="F28" s="191" t="s">
        <v>602</v>
      </c>
      <c r="G28" s="179" t="s">
        <v>457</v>
      </c>
      <c r="H28" s="179" t="s">
        <v>421</v>
      </c>
      <c r="I28" s="179" t="s">
        <v>421</v>
      </c>
      <c r="J28" s="179" t="s">
        <v>421</v>
      </c>
      <c r="K28" s="191" t="s">
        <v>1023</v>
      </c>
      <c r="L28" s="179" t="s">
        <v>425</v>
      </c>
      <c r="M28" s="179" t="s">
        <v>851</v>
      </c>
      <c r="N28" s="191" t="s">
        <v>850</v>
      </c>
      <c r="O28" s="290"/>
      <c r="P28" s="188" t="s">
        <v>421</v>
      </c>
      <c r="Q28" s="188" t="s">
        <v>415</v>
      </c>
    </row>
    <row r="29" spans="1:17" s="252" customFormat="1" ht="30.75" customHeight="1">
      <c r="A29" s="179" t="s">
        <v>1024</v>
      </c>
      <c r="B29" s="179" t="s">
        <v>421</v>
      </c>
      <c r="C29" s="179" t="s">
        <v>662</v>
      </c>
      <c r="D29" s="179" t="s">
        <v>610</v>
      </c>
      <c r="E29" s="179" t="s">
        <v>421</v>
      </c>
      <c r="F29" s="191" t="s">
        <v>602</v>
      </c>
      <c r="G29" s="179" t="s">
        <v>573</v>
      </c>
      <c r="H29" s="179" t="s">
        <v>421</v>
      </c>
      <c r="I29" s="179">
        <v>2411004005</v>
      </c>
      <c r="J29" s="179" t="s">
        <v>671</v>
      </c>
      <c r="K29" s="191" t="s">
        <v>1025</v>
      </c>
      <c r="L29" s="179" t="s">
        <v>425</v>
      </c>
      <c r="M29" s="179" t="s">
        <v>417</v>
      </c>
      <c r="N29" s="191" t="s">
        <v>765</v>
      </c>
      <c r="O29" s="290"/>
      <c r="P29" s="189" t="s">
        <v>416</v>
      </c>
      <c r="Q29" s="188" t="s">
        <v>415</v>
      </c>
    </row>
    <row r="30" spans="1:17" s="252" customFormat="1" ht="30.75" customHeight="1">
      <c r="A30" s="179" t="s">
        <v>1024</v>
      </c>
      <c r="B30" s="179" t="s">
        <v>421</v>
      </c>
      <c r="C30" s="179" t="s">
        <v>662</v>
      </c>
      <c r="D30" s="179" t="s">
        <v>1003</v>
      </c>
      <c r="E30" s="179" t="s">
        <v>421</v>
      </c>
      <c r="F30" s="191" t="s">
        <v>602</v>
      </c>
      <c r="G30" s="179" t="s">
        <v>573</v>
      </c>
      <c r="H30" s="179" t="s">
        <v>421</v>
      </c>
      <c r="I30" s="179">
        <v>2411004005</v>
      </c>
      <c r="J30" s="179" t="s">
        <v>671</v>
      </c>
      <c r="K30" s="191" t="s">
        <v>1025</v>
      </c>
      <c r="L30" s="179" t="s">
        <v>425</v>
      </c>
      <c r="M30" s="179" t="s">
        <v>417</v>
      </c>
      <c r="N30" s="191" t="s">
        <v>783</v>
      </c>
      <c r="O30" s="290"/>
      <c r="P30" s="189" t="s">
        <v>416</v>
      </c>
      <c r="Q30" s="188" t="s">
        <v>415</v>
      </c>
    </row>
    <row r="31" spans="1:17" s="302" customFormat="1" ht="30.75" customHeight="1">
      <c r="A31" s="179" t="s">
        <v>1024</v>
      </c>
      <c r="B31" s="179" t="s">
        <v>421</v>
      </c>
      <c r="C31" s="179" t="s">
        <v>662</v>
      </c>
      <c r="D31" s="179" t="s">
        <v>613</v>
      </c>
      <c r="E31" s="179" t="s">
        <v>421</v>
      </c>
      <c r="F31" s="191" t="s">
        <v>602</v>
      </c>
      <c r="G31" s="179" t="s">
        <v>457</v>
      </c>
      <c r="H31" s="179" t="s">
        <v>421</v>
      </c>
      <c r="I31" s="179">
        <v>2411004006</v>
      </c>
      <c r="J31" s="179" t="s">
        <v>671</v>
      </c>
      <c r="K31" s="191" t="s">
        <v>1025</v>
      </c>
      <c r="L31" s="179" t="s">
        <v>425</v>
      </c>
      <c r="M31" s="179" t="s">
        <v>417</v>
      </c>
      <c r="N31" s="191" t="s">
        <v>765</v>
      </c>
      <c r="O31" s="290"/>
      <c r="P31" s="189" t="s">
        <v>416</v>
      </c>
      <c r="Q31" s="188" t="s">
        <v>415</v>
      </c>
    </row>
    <row r="32" spans="1:17" s="252" customFormat="1" ht="30.75" customHeight="1">
      <c r="A32" s="179" t="s">
        <v>1026</v>
      </c>
      <c r="B32" s="179" t="s">
        <v>841</v>
      </c>
      <c r="C32" s="191" t="s">
        <v>554</v>
      </c>
      <c r="D32" s="179" t="s">
        <v>459</v>
      </c>
      <c r="E32" s="179" t="s">
        <v>421</v>
      </c>
      <c r="F32" s="191" t="s">
        <v>448</v>
      </c>
      <c r="G32" s="179" t="s">
        <v>573</v>
      </c>
      <c r="H32" s="179"/>
      <c r="I32" s="179">
        <v>2411003008</v>
      </c>
      <c r="J32" s="192" t="s">
        <v>616</v>
      </c>
      <c r="K32" s="191" t="s">
        <v>455</v>
      </c>
      <c r="L32" s="179" t="s">
        <v>661</v>
      </c>
      <c r="M32" s="179" t="s">
        <v>417</v>
      </c>
      <c r="N32" s="191" t="s">
        <v>765</v>
      </c>
      <c r="O32" s="290"/>
      <c r="P32" s="189" t="s">
        <v>444</v>
      </c>
      <c r="Q32" s="188" t="s">
        <v>443</v>
      </c>
    </row>
    <row r="33" spans="1:18" s="252" customFormat="1" ht="30.75" customHeight="1">
      <c r="A33" s="179" t="s">
        <v>1026</v>
      </c>
      <c r="B33" s="179" t="s">
        <v>841</v>
      </c>
      <c r="C33" s="191" t="s">
        <v>554</v>
      </c>
      <c r="D33" s="179" t="s">
        <v>458</v>
      </c>
      <c r="E33" s="308" t="s">
        <v>421</v>
      </c>
      <c r="F33" s="191" t="s">
        <v>448</v>
      </c>
      <c r="G33" s="179" t="s">
        <v>457</v>
      </c>
      <c r="H33" s="179"/>
      <c r="I33" s="179">
        <v>2411003009</v>
      </c>
      <c r="J33" s="192" t="s">
        <v>616</v>
      </c>
      <c r="K33" s="191" t="s">
        <v>455</v>
      </c>
      <c r="L33" s="179" t="s">
        <v>661</v>
      </c>
      <c r="M33" s="179" t="s">
        <v>417</v>
      </c>
      <c r="N33" s="191" t="s">
        <v>765</v>
      </c>
      <c r="O33" s="290"/>
      <c r="P33" s="189" t="s">
        <v>444</v>
      </c>
      <c r="Q33" s="188" t="s">
        <v>443</v>
      </c>
    </row>
    <row r="34" spans="1:18" s="252" customFormat="1" ht="30.75" customHeight="1">
      <c r="A34" s="179" t="s">
        <v>1026</v>
      </c>
      <c r="B34" s="179" t="s">
        <v>841</v>
      </c>
      <c r="C34" s="191" t="s">
        <v>554</v>
      </c>
      <c r="D34" s="179" t="s">
        <v>1027</v>
      </c>
      <c r="E34" s="179" t="s">
        <v>1028</v>
      </c>
      <c r="F34" s="191" t="s">
        <v>448</v>
      </c>
      <c r="G34" s="179" t="s">
        <v>457</v>
      </c>
      <c r="H34" s="179"/>
      <c r="I34" s="179">
        <v>2411003009</v>
      </c>
      <c r="J34" s="192" t="s">
        <v>616</v>
      </c>
      <c r="K34" s="191" t="s">
        <v>455</v>
      </c>
      <c r="L34" s="179" t="s">
        <v>661</v>
      </c>
      <c r="M34" s="179" t="s">
        <v>417</v>
      </c>
      <c r="N34" s="191" t="s">
        <v>783</v>
      </c>
      <c r="O34" s="290"/>
      <c r="P34" s="189" t="s">
        <v>444</v>
      </c>
      <c r="Q34" s="188" t="s">
        <v>443</v>
      </c>
    </row>
    <row r="35" spans="1:18" s="252" customFormat="1" ht="30.75" customHeight="1">
      <c r="A35" s="179" t="s">
        <v>1026</v>
      </c>
      <c r="B35" s="179"/>
      <c r="C35" s="191"/>
      <c r="D35" s="179" t="s">
        <v>1029</v>
      </c>
      <c r="E35" s="179" t="s">
        <v>1028</v>
      </c>
      <c r="F35" s="191" t="s">
        <v>448</v>
      </c>
      <c r="G35" s="179" t="s">
        <v>573</v>
      </c>
      <c r="H35" s="179"/>
      <c r="I35" s="179"/>
      <c r="J35" s="192"/>
      <c r="K35" s="191"/>
      <c r="L35" s="179" t="s">
        <v>661</v>
      </c>
      <c r="M35" s="179" t="s">
        <v>417</v>
      </c>
      <c r="N35" s="191" t="s">
        <v>783</v>
      </c>
      <c r="O35" s="290"/>
      <c r="P35" s="189"/>
      <c r="Q35" s="188" t="s">
        <v>443</v>
      </c>
    </row>
    <row r="36" spans="1:18" s="241" customFormat="1" ht="30.75" customHeight="1">
      <c r="A36" s="298" t="s">
        <v>670</v>
      </c>
      <c r="B36" s="298" t="s">
        <v>832</v>
      </c>
      <c r="C36" s="298" t="s">
        <v>554</v>
      </c>
      <c r="D36" s="298" t="s">
        <v>669</v>
      </c>
      <c r="E36" s="298"/>
      <c r="F36" s="179" t="s">
        <v>448</v>
      </c>
      <c r="G36" s="179" t="s">
        <v>664</v>
      </c>
      <c r="H36" s="300"/>
      <c r="I36" s="298">
        <v>2411043015</v>
      </c>
      <c r="J36" s="298" t="s">
        <v>835</v>
      </c>
      <c r="K36" s="298" t="s">
        <v>668</v>
      </c>
      <c r="L36" s="179" t="s">
        <v>661</v>
      </c>
      <c r="M36" s="179" t="s">
        <v>417</v>
      </c>
      <c r="N36" s="179" t="s">
        <v>765</v>
      </c>
      <c r="O36" s="297"/>
      <c r="P36" s="296" t="s">
        <v>421</v>
      </c>
      <c r="Q36" s="296" t="s">
        <v>421</v>
      </c>
    </row>
    <row r="37" spans="1:18" s="241" customFormat="1" ht="30.75" customHeight="1">
      <c r="A37" s="298" t="s">
        <v>670</v>
      </c>
      <c r="B37" s="298" t="s">
        <v>832</v>
      </c>
      <c r="C37" s="298" t="s">
        <v>554</v>
      </c>
      <c r="D37" s="298" t="s">
        <v>1030</v>
      </c>
      <c r="E37" s="298"/>
      <c r="F37" s="179" t="s">
        <v>448</v>
      </c>
      <c r="G37" s="179" t="s">
        <v>664</v>
      </c>
      <c r="H37" s="300"/>
      <c r="I37" s="298">
        <v>2411043015</v>
      </c>
      <c r="J37" s="298" t="s">
        <v>835</v>
      </c>
      <c r="K37" s="298" t="s">
        <v>668</v>
      </c>
      <c r="L37" s="179" t="s">
        <v>661</v>
      </c>
      <c r="M37" s="179" t="s">
        <v>417</v>
      </c>
      <c r="N37" s="179" t="s">
        <v>783</v>
      </c>
      <c r="O37" s="297"/>
      <c r="P37" s="296" t="s">
        <v>421</v>
      </c>
      <c r="Q37" s="296" t="s">
        <v>421</v>
      </c>
    </row>
    <row r="38" spans="1:18" s="241" customFormat="1" ht="30.75" customHeight="1">
      <c r="A38" s="298" t="s">
        <v>667</v>
      </c>
      <c r="B38" s="298" t="s">
        <v>832</v>
      </c>
      <c r="C38" s="298" t="s">
        <v>554</v>
      </c>
      <c r="D38" s="298" t="s">
        <v>1031</v>
      </c>
      <c r="E38" s="298" t="s">
        <v>1032</v>
      </c>
      <c r="F38" s="179" t="s">
        <v>448</v>
      </c>
      <c r="G38" s="179" t="s">
        <v>664</v>
      </c>
      <c r="H38" s="300"/>
      <c r="I38" s="298">
        <v>2411043017</v>
      </c>
      <c r="J38" s="298" t="s">
        <v>625</v>
      </c>
      <c r="K38" s="298" t="s">
        <v>666</v>
      </c>
      <c r="L38" s="179" t="s">
        <v>661</v>
      </c>
      <c r="M38" s="179" t="s">
        <v>417</v>
      </c>
      <c r="N38" s="179" t="s">
        <v>765</v>
      </c>
      <c r="O38" s="297"/>
      <c r="P38" s="296" t="s">
        <v>421</v>
      </c>
      <c r="Q38" s="296" t="s">
        <v>421</v>
      </c>
    </row>
    <row r="39" spans="1:18" s="241" customFormat="1" ht="30.75" customHeight="1">
      <c r="A39" s="298" t="s">
        <v>667</v>
      </c>
      <c r="B39" s="298" t="s">
        <v>832</v>
      </c>
      <c r="C39" s="298" t="s">
        <v>554</v>
      </c>
      <c r="D39" s="298" t="s">
        <v>1002</v>
      </c>
      <c r="E39" s="298" t="s">
        <v>1033</v>
      </c>
      <c r="F39" s="179" t="s">
        <v>448</v>
      </c>
      <c r="G39" s="179" t="s">
        <v>664</v>
      </c>
      <c r="H39" s="300"/>
      <c r="I39" s="298">
        <v>2411043017</v>
      </c>
      <c r="J39" s="298" t="s">
        <v>625</v>
      </c>
      <c r="K39" s="298" t="s">
        <v>666</v>
      </c>
      <c r="L39" s="179" t="s">
        <v>661</v>
      </c>
      <c r="M39" s="179" t="s">
        <v>417</v>
      </c>
      <c r="N39" s="179" t="s">
        <v>783</v>
      </c>
      <c r="O39" s="297"/>
      <c r="P39" s="296" t="s">
        <v>421</v>
      </c>
      <c r="Q39" s="296" t="s">
        <v>421</v>
      </c>
    </row>
    <row r="40" spans="1:18" s="241" customFormat="1" ht="30.75" customHeight="1">
      <c r="A40" s="299" t="s">
        <v>1001</v>
      </c>
      <c r="B40" s="298" t="s">
        <v>421</v>
      </c>
      <c r="C40" s="298"/>
      <c r="D40" s="298" t="s">
        <v>1000</v>
      </c>
      <c r="E40" s="298" t="s">
        <v>1034</v>
      </c>
      <c r="F40" s="179" t="s">
        <v>602</v>
      </c>
      <c r="G40" s="179" t="s">
        <v>664</v>
      </c>
      <c r="H40" s="300"/>
      <c r="I40" s="298">
        <v>2411044008</v>
      </c>
      <c r="J40" s="301" t="s">
        <v>999</v>
      </c>
      <c r="K40" s="298" t="s">
        <v>998</v>
      </c>
      <c r="L40" s="179" t="s">
        <v>425</v>
      </c>
      <c r="M40" s="179" t="s">
        <v>417</v>
      </c>
      <c r="N40" s="179" t="s">
        <v>783</v>
      </c>
      <c r="O40" s="297"/>
      <c r="P40" s="296" t="s">
        <v>421</v>
      </c>
      <c r="Q40" s="296" t="s">
        <v>421</v>
      </c>
    </row>
    <row r="41" spans="1:18" s="241" customFormat="1" ht="30.75" customHeight="1">
      <c r="A41" s="299" t="s">
        <v>997</v>
      </c>
      <c r="B41" s="298" t="s">
        <v>421</v>
      </c>
      <c r="C41" s="298"/>
      <c r="D41" s="298" t="s">
        <v>996</v>
      </c>
      <c r="E41" s="298" t="s">
        <v>1035</v>
      </c>
      <c r="F41" s="179" t="s">
        <v>969</v>
      </c>
      <c r="G41" s="179" t="s">
        <v>664</v>
      </c>
      <c r="H41" s="300"/>
      <c r="I41" s="298">
        <v>2411042002</v>
      </c>
      <c r="J41" s="298" t="s">
        <v>995</v>
      </c>
      <c r="K41" s="298" t="s">
        <v>994</v>
      </c>
      <c r="L41" s="179" t="s">
        <v>966</v>
      </c>
      <c r="M41" s="179" t="s">
        <v>417</v>
      </c>
      <c r="N41" s="179" t="s">
        <v>783</v>
      </c>
      <c r="O41" s="297"/>
      <c r="P41" s="296" t="s">
        <v>421</v>
      </c>
      <c r="Q41" s="296" t="s">
        <v>421</v>
      </c>
    </row>
    <row r="42" spans="1:18" s="241" customFormat="1" ht="30.75" customHeight="1">
      <c r="A42" s="299" t="s">
        <v>993</v>
      </c>
      <c r="B42" s="298" t="s">
        <v>421</v>
      </c>
      <c r="C42" s="298"/>
      <c r="D42" s="298" t="s">
        <v>992</v>
      </c>
      <c r="E42" s="298" t="s">
        <v>1036</v>
      </c>
      <c r="F42" s="179" t="s">
        <v>991</v>
      </c>
      <c r="G42" s="179" t="s">
        <v>664</v>
      </c>
      <c r="H42" s="300"/>
      <c r="I42" s="299" t="s">
        <v>972</v>
      </c>
      <c r="J42" s="299" t="s">
        <v>972</v>
      </c>
      <c r="K42" s="298" t="s">
        <v>990</v>
      </c>
      <c r="L42" s="179" t="s">
        <v>989</v>
      </c>
      <c r="M42" s="179" t="s">
        <v>417</v>
      </c>
      <c r="N42" s="179" t="s">
        <v>783</v>
      </c>
      <c r="O42" s="297"/>
      <c r="P42" s="296" t="s">
        <v>421</v>
      </c>
      <c r="Q42" s="296" t="s">
        <v>421</v>
      </c>
    </row>
    <row r="43" spans="1:18" s="252" customFormat="1" ht="30.75" customHeight="1">
      <c r="A43" s="179" t="s">
        <v>1037</v>
      </c>
      <c r="B43" s="179" t="s">
        <v>421</v>
      </c>
      <c r="C43" s="191" t="s">
        <v>554</v>
      </c>
      <c r="D43" s="179" t="s">
        <v>435</v>
      </c>
      <c r="E43" s="179"/>
      <c r="F43" s="191" t="s">
        <v>637</v>
      </c>
      <c r="G43" s="179" t="s">
        <v>573</v>
      </c>
      <c r="H43" s="179" t="s">
        <v>421</v>
      </c>
      <c r="I43" s="179">
        <v>2410782003</v>
      </c>
      <c r="J43" s="179" t="s">
        <v>433</v>
      </c>
      <c r="K43" s="191" t="s">
        <v>432</v>
      </c>
      <c r="L43" s="179" t="s">
        <v>595</v>
      </c>
      <c r="M43" s="179" t="s">
        <v>417</v>
      </c>
      <c r="N43" s="191" t="s">
        <v>765</v>
      </c>
      <c r="O43" s="290"/>
      <c r="P43" s="188" t="s">
        <v>421</v>
      </c>
      <c r="Q43" s="188" t="s">
        <v>421</v>
      </c>
      <c r="R43" s="291" t="s">
        <v>964</v>
      </c>
    </row>
    <row r="44" spans="1:18" s="252" customFormat="1" ht="30.75" customHeight="1">
      <c r="A44" s="179" t="s">
        <v>1037</v>
      </c>
      <c r="B44" s="179" t="s">
        <v>421</v>
      </c>
      <c r="C44" s="191" t="s">
        <v>554</v>
      </c>
      <c r="D44" s="179" t="s">
        <v>1038</v>
      </c>
      <c r="E44" s="179"/>
      <c r="F44" s="191" t="s">
        <v>637</v>
      </c>
      <c r="G44" s="179" t="s">
        <v>573</v>
      </c>
      <c r="H44" s="179" t="s">
        <v>421</v>
      </c>
      <c r="I44" s="179">
        <v>2410782003</v>
      </c>
      <c r="J44" s="179" t="s">
        <v>433</v>
      </c>
      <c r="K44" s="191" t="s">
        <v>432</v>
      </c>
      <c r="L44" s="179" t="s">
        <v>595</v>
      </c>
      <c r="M44" s="179" t="s">
        <v>417</v>
      </c>
      <c r="N44" s="191" t="s">
        <v>783</v>
      </c>
      <c r="O44" s="290"/>
      <c r="P44" s="188" t="s">
        <v>421</v>
      </c>
      <c r="Q44" s="188" t="s">
        <v>421</v>
      </c>
      <c r="R44" s="291" t="s">
        <v>964</v>
      </c>
    </row>
    <row r="45" spans="1:18" s="252" customFormat="1" ht="30.75" customHeight="1">
      <c r="A45" s="179" t="s">
        <v>1039</v>
      </c>
      <c r="B45" s="179" t="s">
        <v>421</v>
      </c>
      <c r="C45" s="179" t="s">
        <v>662</v>
      </c>
      <c r="D45" s="179" t="s">
        <v>636</v>
      </c>
      <c r="E45" s="179"/>
      <c r="F45" s="191" t="s">
        <v>637</v>
      </c>
      <c r="G45" s="179" t="s">
        <v>664</v>
      </c>
      <c r="H45" s="179" t="s">
        <v>421</v>
      </c>
      <c r="I45" s="179">
        <v>2410782002</v>
      </c>
      <c r="J45" s="179" t="s">
        <v>439</v>
      </c>
      <c r="K45" s="191" t="s">
        <v>438</v>
      </c>
      <c r="L45" s="179" t="s">
        <v>595</v>
      </c>
      <c r="M45" s="179" t="s">
        <v>417</v>
      </c>
      <c r="N45" s="191" t="s">
        <v>765</v>
      </c>
      <c r="O45" s="290"/>
      <c r="P45" s="188" t="s">
        <v>421</v>
      </c>
      <c r="Q45" s="188" t="s">
        <v>421</v>
      </c>
      <c r="R45" s="291" t="s">
        <v>964</v>
      </c>
    </row>
    <row r="46" spans="1:18" s="252" customFormat="1" ht="30.75" customHeight="1">
      <c r="A46" s="179" t="s">
        <v>1039</v>
      </c>
      <c r="B46" s="179" t="s">
        <v>421</v>
      </c>
      <c r="C46" s="179" t="s">
        <v>662</v>
      </c>
      <c r="D46" s="179" t="s">
        <v>988</v>
      </c>
      <c r="E46" s="179"/>
      <c r="F46" s="191" t="s">
        <v>637</v>
      </c>
      <c r="G46" s="179" t="s">
        <v>664</v>
      </c>
      <c r="H46" s="179" t="s">
        <v>421</v>
      </c>
      <c r="I46" s="179">
        <v>2410782002</v>
      </c>
      <c r="J46" s="179" t="s">
        <v>439</v>
      </c>
      <c r="K46" s="191" t="s">
        <v>438</v>
      </c>
      <c r="L46" s="179" t="s">
        <v>595</v>
      </c>
      <c r="M46" s="179" t="s">
        <v>417</v>
      </c>
      <c r="N46" s="191" t="s">
        <v>783</v>
      </c>
      <c r="O46" s="290"/>
      <c r="P46" s="188" t="s">
        <v>421</v>
      </c>
      <c r="Q46" s="188" t="s">
        <v>421</v>
      </c>
      <c r="R46" s="291" t="s">
        <v>964</v>
      </c>
    </row>
    <row r="47" spans="1:18" s="252" customFormat="1" ht="30.75" customHeight="1">
      <c r="A47" s="179" t="s">
        <v>665</v>
      </c>
      <c r="B47" s="179" t="s">
        <v>421</v>
      </c>
      <c r="C47" s="191" t="s">
        <v>554</v>
      </c>
      <c r="D47" s="179" t="s">
        <v>453</v>
      </c>
      <c r="E47" s="179" t="s">
        <v>1040</v>
      </c>
      <c r="F47" s="191" t="s">
        <v>448</v>
      </c>
      <c r="G47" s="179" t="s">
        <v>573</v>
      </c>
      <c r="H47" s="179" t="s">
        <v>421</v>
      </c>
      <c r="I47" s="179">
        <v>2411003010</v>
      </c>
      <c r="J47" s="192" t="s">
        <v>452</v>
      </c>
      <c r="K47" s="191" t="s">
        <v>451</v>
      </c>
      <c r="L47" s="179" t="s">
        <v>661</v>
      </c>
      <c r="M47" s="179" t="s">
        <v>417</v>
      </c>
      <c r="N47" s="191" t="s">
        <v>765</v>
      </c>
      <c r="O47" s="290"/>
      <c r="P47" s="188" t="s">
        <v>421</v>
      </c>
      <c r="Q47" s="188" t="s">
        <v>421</v>
      </c>
      <c r="R47" s="291" t="s">
        <v>964</v>
      </c>
    </row>
    <row r="48" spans="1:18" s="252" customFormat="1" ht="30.75" customHeight="1">
      <c r="A48" s="179" t="s">
        <v>665</v>
      </c>
      <c r="B48" s="179" t="s">
        <v>421</v>
      </c>
      <c r="C48" s="191" t="s">
        <v>554</v>
      </c>
      <c r="D48" s="179" t="s">
        <v>815</v>
      </c>
      <c r="E48" s="179" t="s">
        <v>1041</v>
      </c>
      <c r="F48" s="191" t="s">
        <v>448</v>
      </c>
      <c r="G48" s="179" t="s">
        <v>573</v>
      </c>
      <c r="H48" s="179" t="s">
        <v>421</v>
      </c>
      <c r="I48" s="179">
        <v>2411003010</v>
      </c>
      <c r="J48" s="192" t="s">
        <v>452</v>
      </c>
      <c r="K48" s="191" t="s">
        <v>451</v>
      </c>
      <c r="L48" s="179" t="s">
        <v>661</v>
      </c>
      <c r="M48" s="179" t="s">
        <v>417</v>
      </c>
      <c r="N48" s="191" t="s">
        <v>783</v>
      </c>
      <c r="O48" s="290"/>
      <c r="P48" s="188" t="s">
        <v>421</v>
      </c>
      <c r="Q48" s="188" t="s">
        <v>421</v>
      </c>
      <c r="R48" s="291" t="s">
        <v>964</v>
      </c>
    </row>
    <row r="49" spans="1:18" s="252" customFormat="1" ht="30.75" customHeight="1">
      <c r="A49" s="179" t="s">
        <v>1042</v>
      </c>
      <c r="B49" s="179" t="s">
        <v>421</v>
      </c>
      <c r="C49" s="191" t="s">
        <v>554</v>
      </c>
      <c r="D49" s="179" t="s">
        <v>528</v>
      </c>
      <c r="E49" s="179"/>
      <c r="F49" s="191" t="s">
        <v>527</v>
      </c>
      <c r="G49" s="179" t="s">
        <v>573</v>
      </c>
      <c r="H49" s="179"/>
      <c r="I49" s="179">
        <v>2411303001</v>
      </c>
      <c r="J49" s="192" t="s">
        <v>525</v>
      </c>
      <c r="K49" s="191" t="s">
        <v>451</v>
      </c>
      <c r="L49" s="179" t="s">
        <v>634</v>
      </c>
      <c r="M49" s="179" t="s">
        <v>417</v>
      </c>
      <c r="N49" s="191" t="s">
        <v>765</v>
      </c>
      <c r="O49" s="290"/>
      <c r="P49" s="188" t="s">
        <v>421</v>
      </c>
      <c r="Q49" s="188" t="s">
        <v>421</v>
      </c>
      <c r="R49" s="291" t="s">
        <v>964</v>
      </c>
    </row>
    <row r="50" spans="1:18" s="252" customFormat="1" ht="30.75" customHeight="1">
      <c r="A50" s="179" t="s">
        <v>1042</v>
      </c>
      <c r="B50" s="179" t="s">
        <v>421</v>
      </c>
      <c r="C50" s="191" t="s">
        <v>554</v>
      </c>
      <c r="D50" s="179" t="s">
        <v>811</v>
      </c>
      <c r="E50" s="179" t="s">
        <v>1043</v>
      </c>
      <c r="F50" s="191" t="s">
        <v>527</v>
      </c>
      <c r="G50" s="179" t="s">
        <v>573</v>
      </c>
      <c r="H50" s="179"/>
      <c r="I50" s="179">
        <v>2411303001</v>
      </c>
      <c r="J50" s="192" t="s">
        <v>525</v>
      </c>
      <c r="K50" s="191" t="s">
        <v>451</v>
      </c>
      <c r="L50" s="179" t="s">
        <v>634</v>
      </c>
      <c r="M50" s="179" t="s">
        <v>417</v>
      </c>
      <c r="N50" s="191" t="s">
        <v>783</v>
      </c>
      <c r="O50" s="290"/>
      <c r="P50" s="188" t="s">
        <v>421</v>
      </c>
      <c r="Q50" s="188" t="s">
        <v>421</v>
      </c>
      <c r="R50" s="291" t="s">
        <v>964</v>
      </c>
    </row>
    <row r="51" spans="1:18" s="252" customFormat="1" ht="30.75" customHeight="1">
      <c r="A51" s="179" t="s">
        <v>985</v>
      </c>
      <c r="B51" s="179" t="s">
        <v>421</v>
      </c>
      <c r="C51" s="191" t="s">
        <v>554</v>
      </c>
      <c r="D51" s="179" t="s">
        <v>807</v>
      </c>
      <c r="E51" s="179"/>
      <c r="F51" s="191" t="s">
        <v>602</v>
      </c>
      <c r="G51" s="179"/>
      <c r="H51" s="179"/>
      <c r="I51" s="179"/>
      <c r="J51" s="192"/>
      <c r="K51" s="191"/>
      <c r="L51" s="179"/>
      <c r="M51" s="179" t="s">
        <v>417</v>
      </c>
      <c r="N51" s="191" t="s">
        <v>765</v>
      </c>
      <c r="O51" s="290"/>
      <c r="P51" s="188" t="s">
        <v>421</v>
      </c>
      <c r="Q51" s="188" t="s">
        <v>421</v>
      </c>
      <c r="R51" s="291" t="s">
        <v>964</v>
      </c>
    </row>
    <row r="52" spans="1:18" s="252" customFormat="1" ht="30.75" customHeight="1">
      <c r="A52" s="179" t="s">
        <v>985</v>
      </c>
      <c r="B52" s="179" t="s">
        <v>421</v>
      </c>
      <c r="C52" s="191" t="s">
        <v>554</v>
      </c>
      <c r="D52" s="179" t="s">
        <v>1044</v>
      </c>
      <c r="E52" s="179" t="s">
        <v>1045</v>
      </c>
      <c r="F52" s="191" t="s">
        <v>602</v>
      </c>
      <c r="G52" s="191" t="s">
        <v>664</v>
      </c>
      <c r="H52" s="179"/>
      <c r="I52" s="179"/>
      <c r="J52" s="192"/>
      <c r="K52" s="191"/>
      <c r="L52" s="179"/>
      <c r="M52" s="179" t="s">
        <v>417</v>
      </c>
      <c r="N52" s="191" t="s">
        <v>783</v>
      </c>
      <c r="O52" s="290"/>
      <c r="P52" s="188" t="s">
        <v>421</v>
      </c>
      <c r="Q52" s="188" t="s">
        <v>421</v>
      </c>
      <c r="R52" s="291" t="s">
        <v>964</v>
      </c>
    </row>
    <row r="53" spans="1:18" s="252" customFormat="1" ht="30.75" customHeight="1">
      <c r="A53" s="223" t="s">
        <v>805</v>
      </c>
      <c r="B53" s="179" t="s">
        <v>421</v>
      </c>
      <c r="C53" s="179" t="s">
        <v>554</v>
      </c>
      <c r="D53" s="179" t="s">
        <v>804</v>
      </c>
      <c r="E53" s="179"/>
      <c r="F53" s="179" t="s">
        <v>1046</v>
      </c>
      <c r="G53" s="191" t="s">
        <v>664</v>
      </c>
      <c r="H53" s="179"/>
      <c r="I53" s="179">
        <v>2411304001</v>
      </c>
      <c r="J53" s="192" t="s">
        <v>986</v>
      </c>
      <c r="K53" s="179" t="s">
        <v>987</v>
      </c>
      <c r="L53" s="179" t="s">
        <v>974</v>
      </c>
      <c r="M53" s="179" t="s">
        <v>417</v>
      </c>
      <c r="N53" s="179" t="s">
        <v>765</v>
      </c>
      <c r="O53" s="290"/>
      <c r="P53" s="188" t="s">
        <v>421</v>
      </c>
      <c r="Q53" s="188" t="s">
        <v>421</v>
      </c>
      <c r="R53" s="291" t="s">
        <v>964</v>
      </c>
    </row>
    <row r="54" spans="1:18" s="252" customFormat="1" ht="30.75" customHeight="1">
      <c r="A54" s="179" t="s">
        <v>805</v>
      </c>
      <c r="B54" s="179"/>
      <c r="C54" s="179"/>
      <c r="D54" s="179" t="s">
        <v>1047</v>
      </c>
      <c r="E54" s="179" t="s">
        <v>1048</v>
      </c>
      <c r="F54" s="179" t="s">
        <v>1046</v>
      </c>
      <c r="G54" s="179" t="s">
        <v>664</v>
      </c>
      <c r="H54" s="179"/>
      <c r="I54" s="179">
        <v>2411304001</v>
      </c>
      <c r="J54" s="192" t="s">
        <v>986</v>
      </c>
      <c r="K54" s="179" t="s">
        <v>987</v>
      </c>
      <c r="L54" s="179" t="s">
        <v>974</v>
      </c>
      <c r="M54" s="179" t="s">
        <v>417</v>
      </c>
      <c r="N54" s="179" t="s">
        <v>783</v>
      </c>
      <c r="O54" s="309"/>
      <c r="P54" s="310" t="s">
        <v>421</v>
      </c>
      <c r="Q54" s="310" t="s">
        <v>421</v>
      </c>
      <c r="R54" s="311" t="s">
        <v>964</v>
      </c>
    </row>
    <row r="55" spans="1:18" s="252" customFormat="1" ht="30.75" customHeight="1">
      <c r="A55" s="179" t="s">
        <v>985</v>
      </c>
      <c r="B55" s="179" t="s">
        <v>421</v>
      </c>
      <c r="C55" s="191" t="s">
        <v>554</v>
      </c>
      <c r="D55" s="179" t="s">
        <v>1047</v>
      </c>
      <c r="E55" s="179"/>
      <c r="F55" s="191" t="s">
        <v>1046</v>
      </c>
      <c r="G55" s="191" t="s">
        <v>664</v>
      </c>
      <c r="H55" s="179"/>
      <c r="I55" s="179"/>
      <c r="J55" s="192"/>
      <c r="K55" s="191"/>
      <c r="L55" s="179" t="s">
        <v>425</v>
      </c>
      <c r="M55" s="179" t="s">
        <v>417</v>
      </c>
      <c r="N55" s="191" t="s">
        <v>783</v>
      </c>
      <c r="O55" s="290"/>
      <c r="P55" s="188" t="s">
        <v>421</v>
      </c>
      <c r="Q55" s="188" t="s">
        <v>421</v>
      </c>
      <c r="R55" s="291" t="s">
        <v>964</v>
      </c>
    </row>
    <row r="56" spans="1:18" s="252" customFormat="1" ht="30.75" customHeight="1">
      <c r="A56" s="179" t="s">
        <v>984</v>
      </c>
      <c r="B56" s="179"/>
      <c r="C56" s="191"/>
      <c r="D56" s="179" t="s">
        <v>983</v>
      </c>
      <c r="E56" s="179"/>
      <c r="F56" s="179" t="s">
        <v>982</v>
      </c>
      <c r="G56" s="191" t="s">
        <v>664</v>
      </c>
      <c r="H56" s="191"/>
      <c r="I56" s="191">
        <v>2411042001</v>
      </c>
      <c r="J56" s="191" t="s">
        <v>981</v>
      </c>
      <c r="K56" s="191" t="s">
        <v>980</v>
      </c>
      <c r="L56" s="179" t="s">
        <v>966</v>
      </c>
      <c r="M56" s="179" t="s">
        <v>417</v>
      </c>
      <c r="N56" s="191" t="s">
        <v>765</v>
      </c>
      <c r="O56" s="290"/>
      <c r="P56" s="188" t="s">
        <v>421</v>
      </c>
      <c r="Q56" s="188" t="s">
        <v>421</v>
      </c>
      <c r="R56" s="291" t="s">
        <v>964</v>
      </c>
    </row>
    <row r="57" spans="1:18" s="252" customFormat="1" ht="30.75" customHeight="1">
      <c r="A57" s="179" t="s">
        <v>984</v>
      </c>
      <c r="B57" s="179"/>
      <c r="C57" s="179"/>
      <c r="D57" s="179" t="s">
        <v>1049</v>
      </c>
      <c r="E57" s="179" t="s">
        <v>1050</v>
      </c>
      <c r="F57" s="179" t="s">
        <v>982</v>
      </c>
      <c r="G57" s="179" t="s">
        <v>664</v>
      </c>
      <c r="H57" s="179"/>
      <c r="I57" s="179">
        <v>2411042001</v>
      </c>
      <c r="J57" s="179" t="s">
        <v>981</v>
      </c>
      <c r="K57" s="179" t="s">
        <v>980</v>
      </c>
      <c r="L57" s="179" t="s">
        <v>966</v>
      </c>
      <c r="M57" s="179" t="s">
        <v>417</v>
      </c>
      <c r="N57" s="179" t="s">
        <v>783</v>
      </c>
      <c r="O57" s="290"/>
      <c r="P57" s="188" t="s">
        <v>421</v>
      </c>
      <c r="Q57" s="188" t="s">
        <v>421</v>
      </c>
      <c r="R57" s="291" t="s">
        <v>964</v>
      </c>
    </row>
    <row r="58" spans="1:18" s="252" customFormat="1" ht="30.75" customHeight="1">
      <c r="A58" s="179" t="s">
        <v>979</v>
      </c>
      <c r="B58" s="179"/>
      <c r="C58" s="191"/>
      <c r="D58" s="179" t="s">
        <v>978</v>
      </c>
      <c r="E58" s="179"/>
      <c r="F58" s="179" t="s">
        <v>977</v>
      </c>
      <c r="G58" s="191" t="s">
        <v>664</v>
      </c>
      <c r="H58" s="191"/>
      <c r="I58" s="191">
        <v>2411043018</v>
      </c>
      <c r="J58" s="191" t="s">
        <v>976</v>
      </c>
      <c r="K58" s="191" t="s">
        <v>975</v>
      </c>
      <c r="L58" s="179" t="s">
        <v>661</v>
      </c>
      <c r="M58" s="179" t="s">
        <v>417</v>
      </c>
      <c r="N58" s="191" t="s">
        <v>765</v>
      </c>
      <c r="O58" s="290"/>
      <c r="P58" s="188" t="s">
        <v>421</v>
      </c>
      <c r="Q58" s="188" t="s">
        <v>421</v>
      </c>
      <c r="R58" s="291" t="s">
        <v>964</v>
      </c>
    </row>
    <row r="59" spans="1:18" s="252" customFormat="1" ht="30.75" customHeight="1">
      <c r="A59" s="179" t="s">
        <v>979</v>
      </c>
      <c r="B59" s="179"/>
      <c r="C59" s="179"/>
      <c r="D59" s="179" t="s">
        <v>1051</v>
      </c>
      <c r="E59" s="179" t="s">
        <v>1052</v>
      </c>
      <c r="F59" s="179" t="s">
        <v>977</v>
      </c>
      <c r="G59" s="179" t="s">
        <v>664</v>
      </c>
      <c r="H59" s="179"/>
      <c r="I59" s="179">
        <v>2411043018</v>
      </c>
      <c r="J59" s="179" t="s">
        <v>976</v>
      </c>
      <c r="K59" s="179" t="s">
        <v>975</v>
      </c>
      <c r="L59" s="179" t="s">
        <v>661</v>
      </c>
      <c r="M59" s="179" t="s">
        <v>417</v>
      </c>
      <c r="N59" s="179" t="s">
        <v>783</v>
      </c>
      <c r="O59" s="290"/>
      <c r="P59" s="188" t="s">
        <v>421</v>
      </c>
      <c r="Q59" s="188" t="s">
        <v>421</v>
      </c>
      <c r="R59" s="291" t="s">
        <v>964</v>
      </c>
    </row>
    <row r="60" spans="1:18" s="252" customFormat="1" ht="30.75" customHeight="1">
      <c r="A60" s="223" t="s">
        <v>1076</v>
      </c>
      <c r="B60" s="179"/>
      <c r="C60" s="179"/>
      <c r="D60" s="179" t="s">
        <v>1077</v>
      </c>
      <c r="E60" s="179" t="s">
        <v>1078</v>
      </c>
      <c r="F60" s="179" t="s">
        <v>1085</v>
      </c>
      <c r="G60" s="179" t="s">
        <v>664</v>
      </c>
      <c r="H60" s="179"/>
      <c r="I60" s="179" t="s">
        <v>972</v>
      </c>
      <c r="J60" s="179" t="s">
        <v>972</v>
      </c>
      <c r="K60" s="312" t="s">
        <v>1083</v>
      </c>
      <c r="L60" s="179" t="s">
        <v>974</v>
      </c>
      <c r="M60" s="179" t="s">
        <v>417</v>
      </c>
      <c r="N60" s="179" t="s">
        <v>783</v>
      </c>
      <c r="O60" s="290"/>
      <c r="P60" s="188" t="s">
        <v>421</v>
      </c>
      <c r="Q60" s="188" t="s">
        <v>421</v>
      </c>
      <c r="R60" s="291"/>
    </row>
    <row r="61" spans="1:18" s="252" customFormat="1" ht="30.75" customHeight="1">
      <c r="A61" s="223" t="s">
        <v>1080</v>
      </c>
      <c r="B61" s="179"/>
      <c r="C61" s="179"/>
      <c r="D61" s="179" t="s">
        <v>973</v>
      </c>
      <c r="E61" s="179" t="s">
        <v>1081</v>
      </c>
      <c r="F61" s="179" t="s">
        <v>1087</v>
      </c>
      <c r="G61" s="179" t="s">
        <v>664</v>
      </c>
      <c r="H61" s="179"/>
      <c r="I61" s="179" t="s">
        <v>972</v>
      </c>
      <c r="J61" s="179" t="s">
        <v>972</v>
      </c>
      <c r="K61" s="312" t="s">
        <v>971</v>
      </c>
      <c r="L61" s="179" t="s">
        <v>425</v>
      </c>
      <c r="M61" s="179" t="s">
        <v>417</v>
      </c>
      <c r="N61" s="179" t="s">
        <v>783</v>
      </c>
      <c r="O61" s="290"/>
      <c r="P61" s="188" t="s">
        <v>421</v>
      </c>
      <c r="Q61" s="188" t="s">
        <v>421</v>
      </c>
      <c r="R61" s="291"/>
    </row>
    <row r="62" spans="1:18" s="252" customFormat="1" ht="30.75" customHeight="1">
      <c r="A62" s="179" t="s">
        <v>663</v>
      </c>
      <c r="B62" s="179" t="s">
        <v>421</v>
      </c>
      <c r="C62" s="179" t="s">
        <v>662</v>
      </c>
      <c r="D62" s="179" t="s">
        <v>449</v>
      </c>
      <c r="E62" s="179"/>
      <c r="F62" s="191" t="s">
        <v>448</v>
      </c>
      <c r="G62" s="179" t="s">
        <v>573</v>
      </c>
      <c r="H62" s="179" t="s">
        <v>421</v>
      </c>
      <c r="I62" s="179">
        <v>2411003011</v>
      </c>
      <c r="J62" s="192" t="s">
        <v>797</v>
      </c>
      <c r="K62" s="191" t="s">
        <v>646</v>
      </c>
      <c r="L62" s="179" t="s">
        <v>661</v>
      </c>
      <c r="M62" s="179" t="s">
        <v>417</v>
      </c>
      <c r="N62" s="191" t="s">
        <v>765</v>
      </c>
      <c r="O62" s="290"/>
      <c r="P62" s="188" t="s">
        <v>421</v>
      </c>
      <c r="Q62" s="188" t="s">
        <v>421</v>
      </c>
      <c r="R62" s="291" t="s">
        <v>964</v>
      </c>
    </row>
    <row r="63" spans="1:18" s="252" customFormat="1" ht="30.75" customHeight="1">
      <c r="A63" s="179" t="s">
        <v>1053</v>
      </c>
      <c r="B63" s="179" t="s">
        <v>421</v>
      </c>
      <c r="C63" s="179" t="s">
        <v>662</v>
      </c>
      <c r="D63" s="179" t="s">
        <v>453</v>
      </c>
      <c r="E63" s="179"/>
      <c r="F63" s="191" t="s">
        <v>448</v>
      </c>
      <c r="G63" s="179" t="s">
        <v>794</v>
      </c>
      <c r="H63" s="179" t="s">
        <v>421</v>
      </c>
      <c r="I63" s="179"/>
      <c r="J63" s="192"/>
      <c r="K63" s="191" t="s">
        <v>646</v>
      </c>
      <c r="L63" s="179" t="s">
        <v>661</v>
      </c>
      <c r="M63" s="179" t="s">
        <v>417</v>
      </c>
      <c r="N63" s="191" t="s">
        <v>765</v>
      </c>
      <c r="O63" s="290"/>
      <c r="P63" s="188" t="s">
        <v>421</v>
      </c>
      <c r="Q63" s="188" t="s">
        <v>421</v>
      </c>
      <c r="R63" s="291" t="s">
        <v>964</v>
      </c>
    </row>
    <row r="64" spans="1:18" s="252" customFormat="1" ht="30.75" customHeight="1">
      <c r="A64" s="179" t="s">
        <v>1054</v>
      </c>
      <c r="B64" s="179" t="s">
        <v>421</v>
      </c>
      <c r="C64" s="179" t="s">
        <v>662</v>
      </c>
      <c r="D64" s="179" t="s">
        <v>789</v>
      </c>
      <c r="E64" s="179"/>
      <c r="F64" s="191" t="s">
        <v>602</v>
      </c>
      <c r="G64" s="179" t="s">
        <v>421</v>
      </c>
      <c r="H64" s="179"/>
      <c r="I64" s="179">
        <v>2411004003</v>
      </c>
      <c r="J64" s="192" t="s">
        <v>653</v>
      </c>
      <c r="K64" s="191" t="s">
        <v>970</v>
      </c>
      <c r="L64" s="179" t="s">
        <v>425</v>
      </c>
      <c r="M64" s="179" t="s">
        <v>417</v>
      </c>
      <c r="N64" s="191" t="s">
        <v>765</v>
      </c>
      <c r="O64" s="290"/>
      <c r="P64" s="188" t="s">
        <v>421</v>
      </c>
      <c r="Q64" s="188" t="s">
        <v>421</v>
      </c>
      <c r="R64" s="291" t="s">
        <v>964</v>
      </c>
    </row>
    <row r="65" spans="1:18" s="252" customFormat="1" ht="30.75" customHeight="1">
      <c r="A65" s="179" t="s">
        <v>1055</v>
      </c>
      <c r="B65" s="179" t="s">
        <v>421</v>
      </c>
      <c r="C65" s="179" t="s">
        <v>662</v>
      </c>
      <c r="D65" s="179" t="s">
        <v>1056</v>
      </c>
      <c r="E65" s="179"/>
      <c r="F65" s="191" t="s">
        <v>602</v>
      </c>
      <c r="G65" s="179" t="s">
        <v>421</v>
      </c>
      <c r="H65" s="179"/>
      <c r="I65" s="179">
        <v>2411004004</v>
      </c>
      <c r="J65" s="192" t="s">
        <v>656</v>
      </c>
      <c r="K65" s="191" t="s">
        <v>419</v>
      </c>
      <c r="L65" s="179" t="s">
        <v>425</v>
      </c>
      <c r="M65" s="179" t="s">
        <v>417</v>
      </c>
      <c r="N65" s="191" t="s">
        <v>765</v>
      </c>
      <c r="O65" s="290"/>
      <c r="P65" s="188" t="s">
        <v>421</v>
      </c>
      <c r="Q65" s="188" t="s">
        <v>421</v>
      </c>
      <c r="R65" s="291" t="s">
        <v>964</v>
      </c>
    </row>
    <row r="66" spans="1:18" s="252" customFormat="1" ht="30.75" customHeight="1">
      <c r="A66" s="223" t="s">
        <v>1007</v>
      </c>
      <c r="B66" s="179"/>
      <c r="C66" s="179"/>
      <c r="D66" s="179" t="s">
        <v>1057</v>
      </c>
      <c r="E66" s="179"/>
      <c r="F66" s="179" t="s">
        <v>969</v>
      </c>
      <c r="G66" s="179" t="s">
        <v>968</v>
      </c>
      <c r="H66" s="179"/>
      <c r="I66" s="179">
        <v>2411042003</v>
      </c>
      <c r="J66" s="313" t="s">
        <v>967</v>
      </c>
      <c r="K66" s="179"/>
      <c r="L66" s="179" t="s">
        <v>966</v>
      </c>
      <c r="M66" s="179" t="s">
        <v>417</v>
      </c>
      <c r="N66" s="179" t="s">
        <v>783</v>
      </c>
      <c r="O66" s="290"/>
      <c r="P66" s="189" t="s">
        <v>965</v>
      </c>
      <c r="Q66" s="188" t="s">
        <v>673</v>
      </c>
      <c r="R66" s="291" t="s">
        <v>964</v>
      </c>
    </row>
    <row r="67" spans="1:18" s="317" customFormat="1" ht="30.75" customHeight="1">
      <c r="A67" s="223" t="s">
        <v>1058</v>
      </c>
      <c r="B67" s="223"/>
      <c r="C67" s="223"/>
      <c r="D67" s="314" t="s">
        <v>1071</v>
      </c>
      <c r="E67" s="314" t="s">
        <v>1072</v>
      </c>
      <c r="F67" s="223" t="s">
        <v>1074</v>
      </c>
      <c r="G67" s="223" t="s">
        <v>573</v>
      </c>
      <c r="H67" s="223"/>
      <c r="I67" s="223">
        <v>2411823001</v>
      </c>
      <c r="J67" s="292" t="s">
        <v>1059</v>
      </c>
      <c r="K67" s="293" t="s">
        <v>1060</v>
      </c>
      <c r="L67" s="223" t="s">
        <v>1061</v>
      </c>
      <c r="M67" s="223" t="s">
        <v>417</v>
      </c>
      <c r="N67" s="223" t="s">
        <v>783</v>
      </c>
      <c r="O67" s="295"/>
      <c r="P67" s="315" t="s">
        <v>421</v>
      </c>
      <c r="Q67" s="294" t="s">
        <v>1062</v>
      </c>
      <c r="R67" s="316"/>
    </row>
    <row r="68" spans="1:18" s="252" customFormat="1" ht="30.75" customHeight="1">
      <c r="A68" s="179" t="s">
        <v>660</v>
      </c>
      <c r="B68" s="179" t="s">
        <v>1063</v>
      </c>
      <c r="C68" s="179" t="s">
        <v>778</v>
      </c>
      <c r="D68" s="179" t="s">
        <v>1064</v>
      </c>
      <c r="E68" s="179" t="s">
        <v>1065</v>
      </c>
      <c r="F68" s="191" t="s">
        <v>448</v>
      </c>
      <c r="G68" s="179" t="s">
        <v>573</v>
      </c>
      <c r="H68" s="179"/>
      <c r="I68" s="179">
        <v>2411003007</v>
      </c>
      <c r="J68" s="192" t="s">
        <v>963</v>
      </c>
      <c r="K68" s="191" t="s">
        <v>774</v>
      </c>
      <c r="L68" s="179" t="s">
        <v>661</v>
      </c>
      <c r="M68" s="179" t="s">
        <v>417</v>
      </c>
      <c r="N68" s="191" t="s">
        <v>765</v>
      </c>
      <c r="O68" s="290"/>
      <c r="P68" s="189" t="s">
        <v>444</v>
      </c>
      <c r="Q68" s="188" t="s">
        <v>443</v>
      </c>
    </row>
    <row r="69" spans="1:18" s="252" customFormat="1" ht="30.75" customHeight="1">
      <c r="A69" s="179" t="s">
        <v>660</v>
      </c>
      <c r="B69" s="179" t="s">
        <v>1063</v>
      </c>
      <c r="C69" s="179" t="s">
        <v>778</v>
      </c>
      <c r="D69" s="179" t="s">
        <v>787</v>
      </c>
      <c r="E69" s="179"/>
      <c r="F69" s="191" t="s">
        <v>448</v>
      </c>
      <c r="G69" s="179" t="s">
        <v>573</v>
      </c>
      <c r="H69" s="179"/>
      <c r="I69" s="179">
        <v>2411003007</v>
      </c>
      <c r="J69" s="179" t="s">
        <v>963</v>
      </c>
      <c r="K69" s="191" t="s">
        <v>774</v>
      </c>
      <c r="L69" s="179" t="s">
        <v>661</v>
      </c>
      <c r="M69" s="179" t="s">
        <v>417</v>
      </c>
      <c r="N69" s="191" t="s">
        <v>783</v>
      </c>
      <c r="O69" s="290"/>
      <c r="P69" s="189" t="s">
        <v>444</v>
      </c>
      <c r="Q69" s="188" t="s">
        <v>443</v>
      </c>
    </row>
    <row r="70" spans="1:18" s="252" customFormat="1" ht="30.75" customHeight="1">
      <c r="A70" s="179" t="s">
        <v>660</v>
      </c>
      <c r="B70" s="179" t="s">
        <v>1063</v>
      </c>
      <c r="C70" s="179" t="s">
        <v>778</v>
      </c>
      <c r="D70" s="179" t="s">
        <v>1066</v>
      </c>
      <c r="E70" s="179"/>
      <c r="F70" s="191" t="s">
        <v>448</v>
      </c>
      <c r="G70" s="179" t="s">
        <v>457</v>
      </c>
      <c r="H70" s="179"/>
      <c r="I70" s="179">
        <v>2411003006</v>
      </c>
      <c r="J70" s="192" t="s">
        <v>963</v>
      </c>
      <c r="K70" s="191" t="s">
        <v>774</v>
      </c>
      <c r="L70" s="179" t="s">
        <v>661</v>
      </c>
      <c r="M70" s="179" t="s">
        <v>417</v>
      </c>
      <c r="N70" s="179" t="s">
        <v>765</v>
      </c>
      <c r="O70" s="290"/>
      <c r="P70" s="189" t="s">
        <v>444</v>
      </c>
      <c r="Q70" s="188" t="s">
        <v>443</v>
      </c>
    </row>
    <row r="71" spans="1:18" s="252" customFormat="1" ht="30.75" customHeight="1">
      <c r="A71" s="179" t="s">
        <v>660</v>
      </c>
      <c r="B71" s="179" t="s">
        <v>1063</v>
      </c>
      <c r="C71" s="179" t="s">
        <v>778</v>
      </c>
      <c r="D71" s="179" t="s">
        <v>1067</v>
      </c>
      <c r="E71" s="179"/>
      <c r="F71" s="191" t="s">
        <v>448</v>
      </c>
      <c r="G71" s="179" t="s">
        <v>457</v>
      </c>
      <c r="H71" s="179"/>
      <c r="I71" s="179">
        <v>2411003006</v>
      </c>
      <c r="J71" s="179" t="s">
        <v>963</v>
      </c>
      <c r="K71" s="191" t="s">
        <v>774</v>
      </c>
      <c r="L71" s="179" t="s">
        <v>661</v>
      </c>
      <c r="M71" s="179" t="s">
        <v>417</v>
      </c>
      <c r="N71" s="191" t="s">
        <v>783</v>
      </c>
      <c r="O71" s="290"/>
      <c r="P71" s="189" t="s">
        <v>444</v>
      </c>
      <c r="Q71" s="188" t="s">
        <v>443</v>
      </c>
    </row>
    <row r="72" spans="1:18" s="252" customFormat="1" ht="30.75" customHeight="1">
      <c r="A72" s="179" t="s">
        <v>1068</v>
      </c>
      <c r="B72" s="179" t="s">
        <v>1063</v>
      </c>
      <c r="C72" s="179" t="s">
        <v>778</v>
      </c>
      <c r="D72" s="179" t="s">
        <v>1069</v>
      </c>
      <c r="E72" s="179"/>
      <c r="F72" s="191" t="s">
        <v>448</v>
      </c>
      <c r="G72" s="179" t="s">
        <v>457</v>
      </c>
      <c r="H72" s="179"/>
      <c r="I72" s="179" t="s">
        <v>421</v>
      </c>
      <c r="J72" s="179" t="s">
        <v>421</v>
      </c>
      <c r="K72" s="191" t="s">
        <v>774</v>
      </c>
      <c r="L72" s="179" t="s">
        <v>661</v>
      </c>
      <c r="M72" s="179" t="s">
        <v>417</v>
      </c>
      <c r="N72" s="191" t="s">
        <v>765</v>
      </c>
      <c r="O72" s="290"/>
      <c r="P72" s="189" t="s">
        <v>444</v>
      </c>
      <c r="Q72" s="188" t="s">
        <v>443</v>
      </c>
    </row>
    <row r="73" spans="1:18" s="252" customFormat="1" ht="30.75" customHeight="1">
      <c r="A73" s="179" t="s">
        <v>1068</v>
      </c>
      <c r="B73" s="179" t="s">
        <v>1063</v>
      </c>
      <c r="C73" s="179" t="s">
        <v>778</v>
      </c>
      <c r="D73" s="179" t="s">
        <v>777</v>
      </c>
      <c r="E73" s="179"/>
      <c r="F73" s="191" t="s">
        <v>448</v>
      </c>
      <c r="G73" s="179" t="s">
        <v>573</v>
      </c>
      <c r="H73" s="179"/>
      <c r="I73" s="179" t="s">
        <v>421</v>
      </c>
      <c r="J73" s="179" t="s">
        <v>421</v>
      </c>
      <c r="K73" s="191" t="s">
        <v>774</v>
      </c>
      <c r="L73" s="179" t="s">
        <v>661</v>
      </c>
      <c r="M73" s="179" t="s">
        <v>417</v>
      </c>
      <c r="N73" s="191" t="s">
        <v>765</v>
      </c>
      <c r="O73" s="290"/>
      <c r="P73" s="189" t="s">
        <v>444</v>
      </c>
      <c r="Q73" s="188" t="s">
        <v>443</v>
      </c>
    </row>
    <row r="76" spans="1:18" s="161" customFormat="1" ht="30.75" customHeight="1">
      <c r="K76" s="163"/>
      <c r="P76" s="162"/>
      <c r="Q76" s="162"/>
    </row>
    <row r="77" spans="1:18" s="161" customFormat="1" ht="30.75" customHeight="1">
      <c r="A77" s="164"/>
      <c r="B77" s="164"/>
      <c r="C77" s="164"/>
      <c r="D77" s="164"/>
      <c r="E77" s="164"/>
      <c r="K77" s="163"/>
      <c r="P77" s="162"/>
      <c r="Q77" s="162"/>
    </row>
  </sheetData>
  <phoneticPr fontId="10" type="noConversion"/>
  <pageMargins left="0.15748031496062992" right="0.19685039370078741" top="0.31496062992125984" bottom="0.23622047244094491" header="0.31496062992125984" footer="0.31496062992125984"/>
  <pageSetup paperSize="9" scale="70" orientation="portrait" horizontalDpi="4294967292" verticalDpi="4294967292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7"/>
  <dimension ref="A1:T187"/>
  <sheetViews>
    <sheetView zoomScale="85" zoomScaleNormal="85" workbookViewId="0">
      <selection activeCell="G7" sqref="G7"/>
    </sheetView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192</v>
      </c>
    </row>
    <row r="2" spans="1:20">
      <c r="A2" t="s">
        <v>38</v>
      </c>
      <c r="F2" t="s">
        <v>2007</v>
      </c>
    </row>
    <row r="3" spans="1:20" ht="21.75" thickBot="1">
      <c r="A3" t="s">
        <v>39</v>
      </c>
      <c r="F3" s="82" t="s">
        <v>224</v>
      </c>
    </row>
    <row r="4" spans="1:20" ht="21">
      <c r="A4" t="s">
        <v>197</v>
      </c>
      <c r="F4" s="83" t="s">
        <v>2008</v>
      </c>
    </row>
    <row r="5" spans="1:20">
      <c r="A5" t="s">
        <v>197</v>
      </c>
    </row>
    <row r="6" spans="1:20">
      <c r="A6" t="s">
        <v>50</v>
      </c>
    </row>
    <row r="7" spans="1:20">
      <c r="A7" t="s">
        <v>38</v>
      </c>
      <c r="H7" s="5" t="s">
        <v>14</v>
      </c>
    </row>
    <row r="8" spans="1:20">
      <c r="A8" t="s">
        <v>193</v>
      </c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A9" t="s">
        <v>44</v>
      </c>
      <c r="H9" t="s">
        <v>17</v>
      </c>
      <c r="I9" s="1">
        <v>3.3</v>
      </c>
      <c r="J9" t="s">
        <v>18</v>
      </c>
    </row>
    <row r="10" spans="1:20">
      <c r="A10" t="s">
        <v>45</v>
      </c>
      <c r="H10" t="s">
        <v>20</v>
      </c>
      <c r="I10">
        <f>I9/K8*1000</f>
        <v>0.8056640625</v>
      </c>
      <c r="J10" t="s">
        <v>19</v>
      </c>
    </row>
    <row r="11" spans="1:20">
      <c r="A11" t="s">
        <v>46</v>
      </c>
    </row>
    <row r="12" spans="1:20">
      <c r="A12" t="s">
        <v>47</v>
      </c>
      <c r="G12" t="s">
        <v>53</v>
      </c>
      <c r="H12" s="8" t="s">
        <v>54</v>
      </c>
      <c r="I12">
        <f>1/I10</f>
        <v>1.2412121212121212</v>
      </c>
    </row>
    <row r="13" spans="1:20" ht="17.25" thickBot="1">
      <c r="A13" t="s">
        <v>48</v>
      </c>
    </row>
    <row r="14" spans="1:20" ht="17.25" thickTop="1">
      <c r="A14" t="s">
        <v>49</v>
      </c>
      <c r="H14" s="90" t="s">
        <v>240</v>
      </c>
      <c r="I14" s="79"/>
      <c r="J14" s="104">
        <v>25</v>
      </c>
      <c r="K14" s="79" t="s">
        <v>241</v>
      </c>
      <c r="L14" s="91"/>
      <c r="O14" s="932" t="s">
        <v>236</v>
      </c>
      <c r="P14" s="933"/>
      <c r="Q14" s="85" t="s">
        <v>245</v>
      </c>
      <c r="R14" s="85"/>
      <c r="S14" s="85"/>
      <c r="T14" s="86"/>
    </row>
    <row r="15" spans="1:20" ht="17.25" thickBot="1">
      <c r="H15" s="936" t="s">
        <v>111</v>
      </c>
      <c r="I15" s="937"/>
      <c r="J15" s="87">
        <f>VLOOKUP(J14,D22:J187,5)</f>
        <v>1638</v>
      </c>
      <c r="K15" s="81" t="s">
        <v>242</v>
      </c>
      <c r="L15" s="15"/>
      <c r="O15" s="934"/>
      <c r="P15" s="935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6" t="s">
        <v>104</v>
      </c>
      <c r="I16" s="937"/>
      <c r="J16" s="80">
        <v>2000</v>
      </c>
      <c r="K16" s="81"/>
      <c r="L16" s="15"/>
      <c r="M16" t="s">
        <v>243</v>
      </c>
      <c r="O16" s="932" t="s">
        <v>236</v>
      </c>
      <c r="P16" s="933"/>
      <c r="Q16" s="85" t="s">
        <v>246</v>
      </c>
      <c r="R16" s="85"/>
      <c r="S16" s="85"/>
      <c r="T16" s="86"/>
    </row>
    <row r="17" spans="4:20" ht="17.25" thickBot="1">
      <c r="D17" t="s">
        <v>2</v>
      </c>
      <c r="E17" s="64">
        <v>15</v>
      </c>
      <c r="F17" t="s">
        <v>5</v>
      </c>
      <c r="H17" s="936" t="s">
        <v>105</v>
      </c>
      <c r="I17" s="937"/>
      <c r="J17" s="81">
        <f>J16-J15</f>
        <v>362</v>
      </c>
      <c r="K17" s="81" t="s">
        <v>106</v>
      </c>
      <c r="L17" s="15"/>
      <c r="M17" s="92" t="str">
        <f>DEC2HEX(J17)</f>
        <v>16A</v>
      </c>
      <c r="N17" s="92"/>
      <c r="O17" s="934"/>
      <c r="P17" s="935"/>
      <c r="Q17" s="88" t="s">
        <v>247</v>
      </c>
      <c r="R17" s="88" t="s">
        <v>239</v>
      </c>
      <c r="S17" s="88"/>
      <c r="T17" s="89"/>
    </row>
    <row r="18" spans="4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4:20" ht="17.25" thickTop="1"/>
    <row r="21" spans="4:20">
      <c r="D21" t="s">
        <v>42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4:20">
      <c r="D22" s="63">
        <v>-40</v>
      </c>
      <c r="E22" s="63">
        <v>198.21</v>
      </c>
      <c r="F22">
        <f t="shared" ref="F22:F61" si="0">$E$16/($E$17+E22)*E22</f>
        <v>3.0678345293372731</v>
      </c>
      <c r="G22">
        <f t="shared" ref="G22:G61" si="1">ROUND((F22*1000),2)</f>
        <v>3067.83</v>
      </c>
      <c r="H22">
        <f t="shared" ref="H22:H61" si="2">ROUNDDOWN(G22/$I$10,0)</f>
        <v>3807</v>
      </c>
      <c r="J22">
        <f t="shared" ref="J22:J61" si="3">H22/G22</f>
        <v>1.2409422947164608</v>
      </c>
    </row>
    <row r="23" spans="4:20">
      <c r="D23" s="63">
        <v>-39</v>
      </c>
      <c r="E23" s="63">
        <v>187.45</v>
      </c>
      <c r="F23">
        <f t="shared" si="0"/>
        <v>3.0554951839960482</v>
      </c>
      <c r="G23">
        <f t="shared" si="1"/>
        <v>3055.5</v>
      </c>
      <c r="H23">
        <f t="shared" si="2"/>
        <v>3792</v>
      </c>
      <c r="J23">
        <f t="shared" si="3"/>
        <v>1.2410407461953854</v>
      </c>
    </row>
    <row r="24" spans="4:20">
      <c r="D24" s="63">
        <v>-38</v>
      </c>
      <c r="E24" s="63">
        <v>177.37</v>
      </c>
      <c r="F24">
        <f t="shared" si="0"/>
        <v>3.0426833705879295</v>
      </c>
      <c r="G24">
        <f t="shared" si="1"/>
        <v>3042.68</v>
      </c>
      <c r="H24">
        <f t="shared" si="2"/>
        <v>3776</v>
      </c>
      <c r="J24">
        <f t="shared" si="3"/>
        <v>1.241011213798362</v>
      </c>
    </row>
    <row r="25" spans="4:20">
      <c r="D25" s="63">
        <v>-37</v>
      </c>
      <c r="E25" s="63">
        <v>167.9</v>
      </c>
      <c r="F25">
        <f t="shared" si="0"/>
        <v>3.0293603061782393</v>
      </c>
      <c r="G25">
        <f t="shared" si="1"/>
        <v>3029.36</v>
      </c>
      <c r="H25">
        <f t="shared" si="2"/>
        <v>3760</v>
      </c>
      <c r="J25">
        <f t="shared" si="3"/>
        <v>1.2411862571632291</v>
      </c>
    </row>
    <row r="26" spans="4:20">
      <c r="D26" s="63">
        <v>-36</v>
      </c>
      <c r="E26" s="63">
        <v>159</v>
      </c>
      <c r="F26">
        <f t="shared" si="0"/>
        <v>3.0155172413793103</v>
      </c>
      <c r="G26">
        <f t="shared" si="1"/>
        <v>3015.52</v>
      </c>
      <c r="H26">
        <f t="shared" si="2"/>
        <v>3742</v>
      </c>
      <c r="J26">
        <f t="shared" si="3"/>
        <v>1.2409136732636494</v>
      </c>
    </row>
    <row r="27" spans="4:20">
      <c r="D27" s="63">
        <v>-35</v>
      </c>
      <c r="E27" s="63">
        <v>150.63</v>
      </c>
      <c r="F27">
        <f t="shared" si="0"/>
        <v>3.0011410976272415</v>
      </c>
      <c r="G27">
        <f t="shared" si="1"/>
        <v>3001.14</v>
      </c>
      <c r="H27">
        <f t="shared" si="2"/>
        <v>3725</v>
      </c>
      <c r="J27">
        <f t="shared" si="3"/>
        <v>1.2411950125618931</v>
      </c>
    </row>
    <row r="28" spans="4:20">
      <c r="D28" s="63">
        <v>-34</v>
      </c>
      <c r="E28" s="63">
        <v>142.72999999999999</v>
      </c>
      <c r="F28">
        <f t="shared" si="0"/>
        <v>2.9861725733848981</v>
      </c>
      <c r="G28">
        <f t="shared" si="1"/>
        <v>2986.17</v>
      </c>
      <c r="H28">
        <f t="shared" si="2"/>
        <v>3706</v>
      </c>
      <c r="J28">
        <f t="shared" si="3"/>
        <v>1.2410545950163587</v>
      </c>
    </row>
    <row r="29" spans="4:20">
      <c r="D29" s="63">
        <v>-33</v>
      </c>
      <c r="E29" s="63">
        <v>135.29</v>
      </c>
      <c r="F29">
        <f t="shared" si="0"/>
        <v>2.9706367689134341</v>
      </c>
      <c r="G29">
        <f t="shared" si="1"/>
        <v>2970.64</v>
      </c>
      <c r="H29">
        <f t="shared" si="2"/>
        <v>3687</v>
      </c>
      <c r="J29">
        <f t="shared" si="3"/>
        <v>1.2411466889289851</v>
      </c>
    </row>
    <row r="30" spans="4:20">
      <c r="D30" s="63">
        <v>-32</v>
      </c>
      <c r="E30" s="63">
        <v>128.28</v>
      </c>
      <c r="F30">
        <f t="shared" si="0"/>
        <v>2.9545226130653264</v>
      </c>
      <c r="G30">
        <f t="shared" si="1"/>
        <v>2954.52</v>
      </c>
      <c r="H30">
        <f t="shared" si="2"/>
        <v>3667</v>
      </c>
      <c r="J30">
        <f t="shared" si="3"/>
        <v>1.2411491545157927</v>
      </c>
    </row>
    <row r="31" spans="4:20">
      <c r="D31" s="63">
        <v>-31</v>
      </c>
      <c r="E31" s="63">
        <v>121.66</v>
      </c>
      <c r="F31">
        <f t="shared" si="0"/>
        <v>2.9377872091321526</v>
      </c>
      <c r="G31">
        <f t="shared" si="1"/>
        <v>2937.79</v>
      </c>
      <c r="H31">
        <f t="shared" si="2"/>
        <v>3646</v>
      </c>
      <c r="J31">
        <f t="shared" si="3"/>
        <v>1.2410689668083832</v>
      </c>
    </row>
    <row r="32" spans="4:20">
      <c r="D32" s="63">
        <v>-30</v>
      </c>
      <c r="E32" s="63">
        <v>115.41</v>
      </c>
      <c r="F32">
        <f t="shared" si="0"/>
        <v>2.9204278812974467</v>
      </c>
      <c r="G32">
        <f t="shared" si="1"/>
        <v>2920.43</v>
      </c>
      <c r="H32">
        <f t="shared" si="2"/>
        <v>3624</v>
      </c>
      <c r="J32">
        <f t="shared" si="3"/>
        <v>1.2409131532000426</v>
      </c>
    </row>
    <row r="33" spans="4:10">
      <c r="D33" s="63">
        <v>-29</v>
      </c>
      <c r="E33" s="63">
        <v>109.51</v>
      </c>
      <c r="F33">
        <f t="shared" si="0"/>
        <v>2.9024415709581559</v>
      </c>
      <c r="G33">
        <f t="shared" si="1"/>
        <v>2902.44</v>
      </c>
      <c r="H33">
        <f t="shared" si="2"/>
        <v>3602</v>
      </c>
      <c r="J33">
        <f t="shared" si="3"/>
        <v>1.2410247929328426</v>
      </c>
    </row>
    <row r="34" spans="4:10">
      <c r="D34" s="63">
        <v>-28</v>
      </c>
      <c r="E34" s="63">
        <v>103.94</v>
      </c>
      <c r="F34">
        <f t="shared" si="0"/>
        <v>2.8838237766941317</v>
      </c>
      <c r="G34">
        <f t="shared" si="1"/>
        <v>2883.82</v>
      </c>
      <c r="H34">
        <f t="shared" si="2"/>
        <v>3579</v>
      </c>
      <c r="J34">
        <f t="shared" si="3"/>
        <v>1.2410622022178914</v>
      </c>
    </row>
    <row r="35" spans="4:10">
      <c r="D35" s="63">
        <v>-27</v>
      </c>
      <c r="E35" s="63">
        <v>98.686999999999998</v>
      </c>
      <c r="F35">
        <f t="shared" si="0"/>
        <v>2.8645940169060666</v>
      </c>
      <c r="G35">
        <f t="shared" si="1"/>
        <v>2864.59</v>
      </c>
      <c r="H35">
        <f t="shared" si="2"/>
        <v>3555</v>
      </c>
      <c r="J35">
        <f t="shared" si="3"/>
        <v>1.2410152936371348</v>
      </c>
    </row>
    <row r="36" spans="4:10">
      <c r="D36" s="63">
        <v>-26</v>
      </c>
      <c r="E36" s="63">
        <v>93.721000000000004</v>
      </c>
      <c r="F36">
        <f t="shared" si="0"/>
        <v>2.8447061745201019</v>
      </c>
      <c r="G36">
        <f t="shared" si="1"/>
        <v>2844.71</v>
      </c>
      <c r="H36">
        <f t="shared" si="2"/>
        <v>3530</v>
      </c>
      <c r="J36">
        <f t="shared" si="3"/>
        <v>1.2408997753725335</v>
      </c>
    </row>
    <row r="37" spans="4:10">
      <c r="D37" s="63">
        <v>-25</v>
      </c>
      <c r="E37" s="63">
        <v>89.031000000000006</v>
      </c>
      <c r="F37">
        <f t="shared" si="0"/>
        <v>2.8241802924128381</v>
      </c>
      <c r="G37">
        <f t="shared" si="1"/>
        <v>2824.18</v>
      </c>
      <c r="H37">
        <f t="shared" si="2"/>
        <v>3505</v>
      </c>
      <c r="J37">
        <f t="shared" si="3"/>
        <v>1.2410682038680254</v>
      </c>
    </row>
    <row r="38" spans="4:10">
      <c r="D38" s="63">
        <v>-24</v>
      </c>
      <c r="E38" s="63">
        <v>84.600999999999999</v>
      </c>
      <c r="F38">
        <f t="shared" si="0"/>
        <v>2.803017037981546</v>
      </c>
      <c r="G38">
        <f t="shared" si="1"/>
        <v>2803.02</v>
      </c>
      <c r="H38">
        <f t="shared" si="2"/>
        <v>3479</v>
      </c>
      <c r="J38">
        <f t="shared" si="3"/>
        <v>1.241161318863226</v>
      </c>
    </row>
    <row r="39" spans="4:10">
      <c r="D39" s="63">
        <v>-23</v>
      </c>
      <c r="E39" s="63">
        <v>80.415999999999997</v>
      </c>
      <c r="F39">
        <f t="shared" si="0"/>
        <v>2.7812190827534167</v>
      </c>
      <c r="G39">
        <f t="shared" si="1"/>
        <v>2781.22</v>
      </c>
      <c r="H39">
        <f t="shared" si="2"/>
        <v>3452</v>
      </c>
      <c r="J39">
        <f t="shared" si="3"/>
        <v>1.2411819273556211</v>
      </c>
    </row>
    <row r="40" spans="4:10">
      <c r="D40" s="63">
        <v>-22</v>
      </c>
      <c r="E40" s="63">
        <v>76.462000000000003</v>
      </c>
      <c r="F40">
        <f t="shared" si="0"/>
        <v>2.758791629310533</v>
      </c>
      <c r="G40">
        <f t="shared" si="1"/>
        <v>2758.79</v>
      </c>
      <c r="H40">
        <f t="shared" si="2"/>
        <v>3424</v>
      </c>
      <c r="J40">
        <f t="shared" si="3"/>
        <v>1.2411238260251778</v>
      </c>
    </row>
    <row r="41" spans="4:10">
      <c r="D41" s="63">
        <v>-21</v>
      </c>
      <c r="E41" s="63">
        <v>72.725999999999999</v>
      </c>
      <c r="F41">
        <f t="shared" si="0"/>
        <v>2.7357431092264548</v>
      </c>
      <c r="G41">
        <f t="shared" si="1"/>
        <v>2735.74</v>
      </c>
      <c r="H41">
        <f t="shared" si="2"/>
        <v>3395</v>
      </c>
      <c r="J41">
        <f t="shared" si="3"/>
        <v>1.2409805025331355</v>
      </c>
    </row>
    <row r="42" spans="4:10">
      <c r="D42" s="63">
        <v>-20</v>
      </c>
      <c r="E42" s="63">
        <v>69.194999999999993</v>
      </c>
      <c r="F42">
        <f t="shared" si="0"/>
        <v>2.7120791020844468</v>
      </c>
      <c r="G42">
        <f t="shared" si="1"/>
        <v>2712.08</v>
      </c>
      <c r="H42">
        <f t="shared" si="2"/>
        <v>3366</v>
      </c>
      <c r="J42">
        <f t="shared" si="3"/>
        <v>1.2411138314503998</v>
      </c>
    </row>
    <row r="43" spans="4:10">
      <c r="D43" s="63">
        <v>-19</v>
      </c>
      <c r="E43" s="63">
        <v>65.855999999999995</v>
      </c>
      <c r="F43">
        <f t="shared" si="0"/>
        <v>2.6878005342831699</v>
      </c>
      <c r="G43">
        <f t="shared" si="1"/>
        <v>2687.8</v>
      </c>
      <c r="H43">
        <f t="shared" si="2"/>
        <v>3336</v>
      </c>
      <c r="J43">
        <f t="shared" si="3"/>
        <v>1.2411637770667459</v>
      </c>
    </row>
    <row r="44" spans="4:10">
      <c r="D44" s="63">
        <v>-18</v>
      </c>
      <c r="E44" s="63">
        <v>62.7</v>
      </c>
      <c r="F44">
        <f t="shared" si="0"/>
        <v>2.6629343629343629</v>
      </c>
      <c r="G44">
        <f t="shared" si="1"/>
        <v>2662.93</v>
      </c>
      <c r="H44">
        <f t="shared" si="2"/>
        <v>3305</v>
      </c>
      <c r="J44">
        <f t="shared" si="3"/>
        <v>1.2411141111482467</v>
      </c>
    </row>
    <row r="45" spans="4:10">
      <c r="D45" s="63">
        <v>-17</v>
      </c>
      <c r="E45" s="63">
        <v>59.715000000000003</v>
      </c>
      <c r="F45">
        <f t="shared" si="0"/>
        <v>2.637482433246336</v>
      </c>
      <c r="G45">
        <f t="shared" si="1"/>
        <v>2637.48</v>
      </c>
      <c r="H45">
        <f t="shared" si="2"/>
        <v>3273</v>
      </c>
      <c r="J45">
        <f t="shared" si="3"/>
        <v>1.2409572774011557</v>
      </c>
    </row>
    <row r="46" spans="4:10">
      <c r="D46" s="63">
        <v>-16</v>
      </c>
      <c r="E46" s="63">
        <v>56.892000000000003</v>
      </c>
      <c r="F46">
        <f t="shared" si="0"/>
        <v>2.6114672008012021</v>
      </c>
      <c r="G46">
        <f t="shared" si="1"/>
        <v>2611.4699999999998</v>
      </c>
      <c r="H46">
        <f t="shared" si="2"/>
        <v>3241</v>
      </c>
      <c r="J46">
        <f t="shared" si="3"/>
        <v>1.2410634623411336</v>
      </c>
    </row>
    <row r="47" spans="4:10">
      <c r="D47" s="63">
        <v>-15</v>
      </c>
      <c r="E47" s="63">
        <v>54.22</v>
      </c>
      <c r="F47">
        <f t="shared" si="0"/>
        <v>2.5848887604738513</v>
      </c>
      <c r="G47">
        <f t="shared" si="1"/>
        <v>2584.89</v>
      </c>
      <c r="H47">
        <f t="shared" si="2"/>
        <v>3208</v>
      </c>
      <c r="J47">
        <f t="shared" si="3"/>
        <v>1.2410586137127693</v>
      </c>
    </row>
    <row r="48" spans="4:10">
      <c r="D48" s="63">
        <v>-14</v>
      </c>
      <c r="E48" s="63">
        <v>51.691000000000003</v>
      </c>
      <c r="F48">
        <f t="shared" si="0"/>
        <v>2.5577709136165296</v>
      </c>
      <c r="G48">
        <f t="shared" si="1"/>
        <v>2557.77</v>
      </c>
      <c r="H48">
        <f t="shared" si="2"/>
        <v>3174</v>
      </c>
      <c r="J48">
        <f t="shared" si="3"/>
        <v>1.2409247117606352</v>
      </c>
    </row>
    <row r="49" spans="4:10">
      <c r="D49" s="63">
        <v>-13</v>
      </c>
      <c r="E49" s="63">
        <v>49.296999999999997</v>
      </c>
      <c r="F49">
        <f t="shared" si="0"/>
        <v>2.5301351540507331</v>
      </c>
      <c r="G49">
        <f t="shared" si="1"/>
        <v>2530.14</v>
      </c>
      <c r="H49">
        <f t="shared" si="2"/>
        <v>3140</v>
      </c>
      <c r="J49">
        <f t="shared" si="3"/>
        <v>1.2410380453255552</v>
      </c>
    </row>
    <row r="50" spans="4:10">
      <c r="D50" s="63">
        <v>-12</v>
      </c>
      <c r="E50" s="63">
        <v>47.029000000000003</v>
      </c>
      <c r="F50">
        <f t="shared" si="0"/>
        <v>2.5019861677602413</v>
      </c>
      <c r="G50">
        <f t="shared" si="1"/>
        <v>2501.9899999999998</v>
      </c>
      <c r="H50">
        <f t="shared" si="2"/>
        <v>3105</v>
      </c>
      <c r="J50">
        <f t="shared" si="3"/>
        <v>1.2410121543251573</v>
      </c>
    </row>
    <row r="51" spans="4:10">
      <c r="D51" s="63">
        <v>-11</v>
      </c>
      <c r="E51" s="63">
        <v>44.88</v>
      </c>
      <c r="F51">
        <f t="shared" si="0"/>
        <v>2.4733466933867732</v>
      </c>
      <c r="G51">
        <f t="shared" si="1"/>
        <v>2473.35</v>
      </c>
      <c r="H51">
        <f t="shared" si="2"/>
        <v>3069</v>
      </c>
      <c r="J51">
        <f t="shared" si="3"/>
        <v>1.2408272181454303</v>
      </c>
    </row>
    <row r="52" spans="4:10">
      <c r="D52" s="63">
        <v>-10</v>
      </c>
      <c r="E52" s="63">
        <v>42.844000000000001</v>
      </c>
      <c r="F52">
        <f t="shared" si="0"/>
        <v>2.4442500518636328</v>
      </c>
      <c r="G52">
        <f t="shared" si="1"/>
        <v>2444.25</v>
      </c>
      <c r="H52">
        <f t="shared" si="2"/>
        <v>3033</v>
      </c>
      <c r="J52">
        <f t="shared" si="3"/>
        <v>1.2408714329548942</v>
      </c>
    </row>
    <row r="53" spans="4:10">
      <c r="D53" s="63">
        <v>-9</v>
      </c>
      <c r="E53" s="63">
        <v>40.912999999999997</v>
      </c>
      <c r="F53">
        <f t="shared" si="0"/>
        <v>2.4146960456423372</v>
      </c>
      <c r="G53">
        <f t="shared" si="1"/>
        <v>2414.6999999999998</v>
      </c>
      <c r="H53">
        <f t="shared" si="2"/>
        <v>2997</v>
      </c>
      <c r="J53">
        <f t="shared" si="3"/>
        <v>1.241147968691763</v>
      </c>
    </row>
    <row r="54" spans="4:10">
      <c r="D54" s="63">
        <v>-8</v>
      </c>
      <c r="E54" s="63">
        <v>39.082000000000001</v>
      </c>
      <c r="F54">
        <f t="shared" si="0"/>
        <v>2.3847231981065788</v>
      </c>
      <c r="G54">
        <f t="shared" si="1"/>
        <v>2384.7199999999998</v>
      </c>
      <c r="H54">
        <f t="shared" si="2"/>
        <v>2959</v>
      </c>
      <c r="J54">
        <f t="shared" si="3"/>
        <v>1.2408165319198901</v>
      </c>
    </row>
    <row r="55" spans="4:10">
      <c r="D55" s="63">
        <v>-7</v>
      </c>
      <c r="E55" s="63">
        <v>37.344999999999999</v>
      </c>
      <c r="F55">
        <f t="shared" si="0"/>
        <v>2.3543509408730539</v>
      </c>
      <c r="G55">
        <f t="shared" si="1"/>
        <v>2354.35</v>
      </c>
      <c r="H55">
        <f t="shared" si="2"/>
        <v>2922</v>
      </c>
      <c r="J55">
        <f t="shared" si="3"/>
        <v>1.2411068872512583</v>
      </c>
    </row>
    <row r="56" spans="4:10">
      <c r="D56" s="63">
        <v>-6</v>
      </c>
      <c r="E56" s="63">
        <v>35.695</v>
      </c>
      <c r="F56">
        <f t="shared" si="0"/>
        <v>2.3235723444126641</v>
      </c>
      <c r="G56">
        <f t="shared" si="1"/>
        <v>2323.5700000000002</v>
      </c>
      <c r="H56">
        <f t="shared" si="2"/>
        <v>2884</v>
      </c>
      <c r="J56">
        <f t="shared" si="3"/>
        <v>1.2411935082652985</v>
      </c>
    </row>
    <row r="57" spans="4:10">
      <c r="D57" s="63">
        <v>-5</v>
      </c>
      <c r="E57" s="63">
        <v>34.128999999999998</v>
      </c>
      <c r="F57">
        <f t="shared" si="0"/>
        <v>2.2924484520344395</v>
      </c>
      <c r="G57">
        <f t="shared" si="1"/>
        <v>2292.4499999999998</v>
      </c>
      <c r="H57">
        <f t="shared" si="2"/>
        <v>2845</v>
      </c>
      <c r="J57">
        <f t="shared" si="3"/>
        <v>1.2410303387205828</v>
      </c>
    </row>
    <row r="58" spans="4:10">
      <c r="D58" s="63">
        <v>-4</v>
      </c>
      <c r="E58" s="63">
        <v>32.642000000000003</v>
      </c>
      <c r="F58">
        <f t="shared" si="0"/>
        <v>2.2610007976155493</v>
      </c>
      <c r="G58">
        <f t="shared" si="1"/>
        <v>2261</v>
      </c>
      <c r="H58">
        <f t="shared" si="2"/>
        <v>2806</v>
      </c>
      <c r="J58">
        <f t="shared" si="3"/>
        <v>1.2410437859354269</v>
      </c>
    </row>
    <row r="59" spans="4:10">
      <c r="D59" s="63">
        <v>-3</v>
      </c>
      <c r="E59" s="63">
        <v>31.228000000000002</v>
      </c>
      <c r="F59">
        <f t="shared" si="0"/>
        <v>2.2292203859132993</v>
      </c>
      <c r="G59">
        <f t="shared" si="1"/>
        <v>2229.2199999999998</v>
      </c>
      <c r="H59">
        <f t="shared" si="2"/>
        <v>2766</v>
      </c>
      <c r="J59">
        <f t="shared" si="3"/>
        <v>1.2407927436502455</v>
      </c>
    </row>
    <row r="60" spans="4:10">
      <c r="D60" s="63">
        <v>-2</v>
      </c>
      <c r="E60" s="63">
        <v>29.884</v>
      </c>
      <c r="F60">
        <f t="shared" si="0"/>
        <v>2.1971571161215575</v>
      </c>
      <c r="G60">
        <f t="shared" si="1"/>
        <v>2197.16</v>
      </c>
      <c r="H60">
        <f t="shared" si="2"/>
        <v>2727</v>
      </c>
      <c r="J60">
        <f t="shared" si="3"/>
        <v>1.24114766334723</v>
      </c>
    </row>
    <row r="61" spans="4:10">
      <c r="D61" s="63">
        <v>-1</v>
      </c>
      <c r="E61" s="63">
        <v>28.606000000000002</v>
      </c>
      <c r="F61">
        <f t="shared" si="0"/>
        <v>2.1648351144337936</v>
      </c>
      <c r="G61">
        <f t="shared" si="1"/>
        <v>2164.84</v>
      </c>
      <c r="H61">
        <f t="shared" si="2"/>
        <v>2687</v>
      </c>
      <c r="J61">
        <f t="shared" si="3"/>
        <v>1.2412002734613181</v>
      </c>
    </row>
    <row r="62" spans="4:10">
      <c r="D62" s="62">
        <v>0</v>
      </c>
      <c r="E62" s="62">
        <v>27.390999999999998</v>
      </c>
      <c r="F62">
        <f>$E$16/($E$17+E62)*E62</f>
        <v>2.1322993088155506</v>
      </c>
      <c r="G62">
        <f>ROUND((F62*1000),2)</f>
        <v>2132.3000000000002</v>
      </c>
      <c r="H62">
        <f>ROUNDDOWN(G62/$I$10,0)</f>
        <v>2646</v>
      </c>
      <c r="J62">
        <f>H62/G62</f>
        <v>1.2409135675092622</v>
      </c>
    </row>
    <row r="63" spans="4:10">
      <c r="D63" s="62">
        <v>1</v>
      </c>
      <c r="E63" s="62">
        <v>26.234000000000002</v>
      </c>
      <c r="F63">
        <f t="shared" ref="F63:F126" si="4">$E$16/($E$17+E63)*E63</f>
        <v>2.0995343648445459</v>
      </c>
      <c r="G63">
        <f t="shared" ref="G63:G126" si="5">ROUND((F63*1000),2)</f>
        <v>2099.5300000000002</v>
      </c>
      <c r="H63">
        <f t="shared" ref="H63:H126" si="6">ROUNDDOWN(G63/$I$10,0)</f>
        <v>2605</v>
      </c>
      <c r="J63">
        <f t="shared" ref="J63:J126" si="7">H63/G63</f>
        <v>1.240753883011912</v>
      </c>
    </row>
    <row r="64" spans="4:10">
      <c r="D64" s="62">
        <v>2</v>
      </c>
      <c r="E64" s="62">
        <v>25.132000000000001</v>
      </c>
      <c r="F64">
        <f t="shared" si="4"/>
        <v>2.0665703179507622</v>
      </c>
      <c r="G64">
        <f t="shared" si="5"/>
        <v>2066.5700000000002</v>
      </c>
      <c r="H64">
        <f t="shared" si="6"/>
        <v>2565</v>
      </c>
      <c r="J64">
        <f t="shared" si="7"/>
        <v>1.2411870877831381</v>
      </c>
    </row>
    <row r="65" spans="4:10">
      <c r="D65" s="62">
        <v>3</v>
      </c>
      <c r="E65" s="62">
        <v>24.082999999999998</v>
      </c>
      <c r="F65">
        <f t="shared" si="4"/>
        <v>2.0334646777371237</v>
      </c>
      <c r="G65">
        <f t="shared" si="5"/>
        <v>2033.46</v>
      </c>
      <c r="H65">
        <f t="shared" si="6"/>
        <v>2523</v>
      </c>
      <c r="J65">
        <f t="shared" si="7"/>
        <v>1.2407423799828863</v>
      </c>
    </row>
    <row r="66" spans="4:10">
      <c r="D66" s="62">
        <v>4</v>
      </c>
      <c r="E66" s="62">
        <v>23.084</v>
      </c>
      <c r="F66">
        <f t="shared" si="4"/>
        <v>2.0002415712635226</v>
      </c>
      <c r="G66">
        <f t="shared" si="5"/>
        <v>2000.24</v>
      </c>
      <c r="H66">
        <f t="shared" si="6"/>
        <v>2482</v>
      </c>
      <c r="J66">
        <f t="shared" si="7"/>
        <v>1.2408510978682559</v>
      </c>
    </row>
    <row r="67" spans="4:10">
      <c r="D67" s="62">
        <v>5</v>
      </c>
      <c r="E67" s="62">
        <v>22.132000000000001</v>
      </c>
      <c r="F67">
        <f t="shared" si="4"/>
        <v>1.9669180221911018</v>
      </c>
      <c r="G67">
        <f t="shared" si="5"/>
        <v>1966.92</v>
      </c>
      <c r="H67">
        <f t="shared" si="6"/>
        <v>2441</v>
      </c>
      <c r="J67">
        <f t="shared" si="7"/>
        <v>1.241026579627031</v>
      </c>
    </row>
    <row r="68" spans="4:10">
      <c r="D68" s="62">
        <v>6</v>
      </c>
      <c r="E68" s="62">
        <v>21.224</v>
      </c>
      <c r="F68">
        <f t="shared" si="4"/>
        <v>1.9335026501766781</v>
      </c>
      <c r="G68">
        <f t="shared" si="5"/>
        <v>1933.5</v>
      </c>
      <c r="H68">
        <f t="shared" si="6"/>
        <v>2399</v>
      </c>
      <c r="J68">
        <f t="shared" si="7"/>
        <v>1.2407551073183347</v>
      </c>
    </row>
    <row r="69" spans="4:10">
      <c r="D69" s="62">
        <v>7</v>
      </c>
      <c r="E69" s="62">
        <v>20.359000000000002</v>
      </c>
      <c r="F69">
        <f t="shared" si="4"/>
        <v>1.9000735314912751</v>
      </c>
      <c r="G69">
        <f t="shared" si="5"/>
        <v>1900.07</v>
      </c>
      <c r="H69">
        <f t="shared" si="6"/>
        <v>2358</v>
      </c>
      <c r="J69">
        <f t="shared" si="7"/>
        <v>1.2410069102717269</v>
      </c>
    </row>
    <row r="70" spans="4:10">
      <c r="D70" s="62">
        <v>8</v>
      </c>
      <c r="E70" s="62">
        <v>19.533000000000001</v>
      </c>
      <c r="F70">
        <f t="shared" si="4"/>
        <v>1.8665884805837893</v>
      </c>
      <c r="G70">
        <f t="shared" si="5"/>
        <v>1866.59</v>
      </c>
      <c r="H70">
        <f t="shared" si="6"/>
        <v>2316</v>
      </c>
      <c r="J70">
        <f t="shared" si="7"/>
        <v>1.240765245715449</v>
      </c>
    </row>
    <row r="71" spans="4:10">
      <c r="D71" s="62">
        <v>9</v>
      </c>
      <c r="E71" s="62">
        <v>18.745000000000001</v>
      </c>
      <c r="F71">
        <f t="shared" si="4"/>
        <v>1.8331160171877312</v>
      </c>
      <c r="G71">
        <f t="shared" si="5"/>
        <v>1833.12</v>
      </c>
      <c r="H71">
        <f t="shared" si="6"/>
        <v>2275</v>
      </c>
      <c r="J71">
        <f t="shared" si="7"/>
        <v>1.2410535044077857</v>
      </c>
    </row>
    <row r="72" spans="4:10">
      <c r="D72" s="62">
        <v>10</v>
      </c>
      <c r="E72" s="62">
        <v>17.994</v>
      </c>
      <c r="F72">
        <f t="shared" si="4"/>
        <v>1.7997272231314785</v>
      </c>
      <c r="G72">
        <f t="shared" si="5"/>
        <v>1799.73</v>
      </c>
      <c r="H72">
        <f t="shared" si="6"/>
        <v>2233</v>
      </c>
      <c r="J72">
        <f t="shared" si="7"/>
        <v>1.2407416668055764</v>
      </c>
    </row>
    <row r="73" spans="4:10">
      <c r="D73" s="62">
        <v>11</v>
      </c>
      <c r="E73" s="62">
        <v>17.276</v>
      </c>
      <c r="F73">
        <f t="shared" si="4"/>
        <v>1.7663527078944108</v>
      </c>
      <c r="G73">
        <f t="shared" si="5"/>
        <v>1766.35</v>
      </c>
      <c r="H73">
        <f t="shared" si="6"/>
        <v>2192</v>
      </c>
      <c r="J73">
        <f t="shared" si="7"/>
        <v>1.2409771562827301</v>
      </c>
    </row>
    <row r="74" spans="4:10">
      <c r="D74" s="62">
        <v>12</v>
      </c>
      <c r="E74" s="62">
        <v>16.591000000000001</v>
      </c>
      <c r="F74">
        <f t="shared" si="4"/>
        <v>1.7330980342502611</v>
      </c>
      <c r="G74">
        <f t="shared" si="5"/>
        <v>1733.1</v>
      </c>
      <c r="H74">
        <f t="shared" si="6"/>
        <v>2151</v>
      </c>
      <c r="J74">
        <f t="shared" si="7"/>
        <v>1.2411286134671975</v>
      </c>
    </row>
    <row r="75" spans="4:10">
      <c r="D75" s="62">
        <v>13</v>
      </c>
      <c r="E75" s="62">
        <v>15.936</v>
      </c>
      <c r="F75">
        <f t="shared" si="4"/>
        <v>1.6999224204809928</v>
      </c>
      <c r="G75">
        <f t="shared" si="5"/>
        <v>1699.92</v>
      </c>
      <c r="H75">
        <f t="shared" si="6"/>
        <v>2109</v>
      </c>
      <c r="J75">
        <f t="shared" si="7"/>
        <v>1.2406466186644076</v>
      </c>
    </row>
    <row r="76" spans="4:10">
      <c r="D76" s="62">
        <v>14</v>
      </c>
      <c r="E76" s="62">
        <v>15.311</v>
      </c>
      <c r="F76">
        <f t="shared" si="4"/>
        <v>1.6669294975421463</v>
      </c>
      <c r="G76">
        <f t="shared" si="5"/>
        <v>1666.93</v>
      </c>
      <c r="H76">
        <f t="shared" si="6"/>
        <v>2069</v>
      </c>
      <c r="J76">
        <f t="shared" si="7"/>
        <v>1.2412038897854138</v>
      </c>
    </row>
    <row r="77" spans="4:10">
      <c r="D77" s="62">
        <v>15</v>
      </c>
      <c r="E77" s="62">
        <v>14.714</v>
      </c>
      <c r="F77">
        <f t="shared" si="4"/>
        <v>1.6341185972942047</v>
      </c>
      <c r="G77">
        <f t="shared" si="5"/>
        <v>1634.12</v>
      </c>
      <c r="H77">
        <f t="shared" si="6"/>
        <v>2028</v>
      </c>
      <c r="J77">
        <f t="shared" si="7"/>
        <v>1.2410349301152914</v>
      </c>
    </row>
    <row r="78" spans="4:10">
      <c r="D78" s="62">
        <v>16</v>
      </c>
      <c r="E78" s="62">
        <v>14.143000000000001</v>
      </c>
      <c r="F78">
        <f t="shared" si="4"/>
        <v>1.6014789143190473</v>
      </c>
      <c r="G78">
        <f t="shared" si="5"/>
        <v>1601.48</v>
      </c>
      <c r="H78">
        <f t="shared" si="6"/>
        <v>1987</v>
      </c>
      <c r="J78">
        <f t="shared" si="7"/>
        <v>1.2407273272223194</v>
      </c>
    </row>
    <row r="79" spans="4:10">
      <c r="D79" s="62">
        <v>17</v>
      </c>
      <c r="E79" s="62">
        <v>13.597</v>
      </c>
      <c r="F79">
        <f t="shared" si="4"/>
        <v>1.569049200965136</v>
      </c>
      <c r="G79">
        <f t="shared" si="5"/>
        <v>1569.05</v>
      </c>
      <c r="H79">
        <f t="shared" si="6"/>
        <v>1947</v>
      </c>
      <c r="J79">
        <f t="shared" si="7"/>
        <v>1.2408782384245245</v>
      </c>
    </row>
    <row r="80" spans="4:10">
      <c r="D80" s="62">
        <v>18</v>
      </c>
      <c r="E80" s="62">
        <v>13.074999999999999</v>
      </c>
      <c r="F80">
        <f t="shared" si="4"/>
        <v>1.5368655387355297</v>
      </c>
      <c r="G80">
        <f t="shared" si="5"/>
        <v>1536.87</v>
      </c>
      <c r="H80">
        <f t="shared" si="6"/>
        <v>1907</v>
      </c>
      <c r="J80">
        <f t="shared" si="7"/>
        <v>1.2408336424030662</v>
      </c>
    </row>
    <row r="81" spans="4:10">
      <c r="D81" s="62">
        <v>19</v>
      </c>
      <c r="E81" s="62">
        <v>12.574999999999999</v>
      </c>
      <c r="F81">
        <f t="shared" si="4"/>
        <v>1.5048957388939255</v>
      </c>
      <c r="G81">
        <f t="shared" si="5"/>
        <v>1504.9</v>
      </c>
      <c r="H81">
        <f t="shared" si="6"/>
        <v>1867</v>
      </c>
      <c r="J81">
        <f t="shared" si="7"/>
        <v>1.2406139942853345</v>
      </c>
    </row>
    <row r="82" spans="4:10">
      <c r="D82" s="62">
        <v>20</v>
      </c>
      <c r="E82" s="62">
        <v>12.098000000000001</v>
      </c>
      <c r="F82">
        <f t="shared" si="4"/>
        <v>1.4732969222820873</v>
      </c>
      <c r="G82">
        <f t="shared" si="5"/>
        <v>1473.3</v>
      </c>
      <c r="H82">
        <f t="shared" si="6"/>
        <v>1828</v>
      </c>
      <c r="J82">
        <f t="shared" si="7"/>
        <v>1.2407520532138736</v>
      </c>
    </row>
    <row r="83" spans="4:10">
      <c r="D83" s="62">
        <v>21</v>
      </c>
      <c r="E83" s="62">
        <v>11.641</v>
      </c>
      <c r="F83">
        <f t="shared" si="4"/>
        <v>1.4419616380766489</v>
      </c>
      <c r="G83">
        <f t="shared" si="5"/>
        <v>1441.96</v>
      </c>
      <c r="H83">
        <f t="shared" si="6"/>
        <v>1789</v>
      </c>
      <c r="J83">
        <f t="shared" si="7"/>
        <v>1.2406724180975894</v>
      </c>
    </row>
    <row r="84" spans="4:10">
      <c r="D84" s="62">
        <v>22</v>
      </c>
      <c r="E84" s="62">
        <v>11.202999999999999</v>
      </c>
      <c r="F84">
        <f t="shared" si="4"/>
        <v>1.4109033316795787</v>
      </c>
      <c r="G84">
        <f t="shared" si="5"/>
        <v>1410.9</v>
      </c>
      <c r="H84">
        <f t="shared" si="6"/>
        <v>1751</v>
      </c>
      <c r="J84">
        <f t="shared" si="7"/>
        <v>1.2410518109008433</v>
      </c>
    </row>
    <row r="85" spans="4:10">
      <c r="D85" s="62">
        <v>23</v>
      </c>
      <c r="E85" s="62">
        <v>10.785</v>
      </c>
      <c r="F85">
        <f t="shared" si="4"/>
        <v>1.3802792321116928</v>
      </c>
      <c r="G85">
        <f t="shared" si="5"/>
        <v>1380.28</v>
      </c>
      <c r="H85">
        <f t="shared" si="6"/>
        <v>1713</v>
      </c>
      <c r="J85">
        <f t="shared" si="7"/>
        <v>1.2410525400643349</v>
      </c>
    </row>
    <row r="86" spans="4:10">
      <c r="D86" s="62">
        <v>24</v>
      </c>
      <c r="E86" s="62">
        <v>10.384</v>
      </c>
      <c r="F86">
        <f t="shared" si="4"/>
        <v>1.3499527261266939</v>
      </c>
      <c r="G86">
        <f t="shared" si="5"/>
        <v>1349.95</v>
      </c>
      <c r="H86">
        <f t="shared" si="6"/>
        <v>1675</v>
      </c>
      <c r="J86">
        <f t="shared" si="7"/>
        <v>1.2407866958035483</v>
      </c>
    </row>
    <row r="87" spans="4:10">
      <c r="D87" s="62">
        <v>25</v>
      </c>
      <c r="E87" s="62">
        <v>10</v>
      </c>
      <c r="F87">
        <f t="shared" si="4"/>
        <v>1.32</v>
      </c>
      <c r="G87">
        <f t="shared" si="5"/>
        <v>1320</v>
      </c>
      <c r="H87">
        <f t="shared" si="6"/>
        <v>1638</v>
      </c>
      <c r="J87">
        <f t="shared" si="7"/>
        <v>1.240909090909091</v>
      </c>
    </row>
    <row r="88" spans="4:10">
      <c r="D88" s="62">
        <v>26</v>
      </c>
      <c r="E88" s="62">
        <v>9.6324000000000005</v>
      </c>
      <c r="F88">
        <f t="shared" si="4"/>
        <v>1.2904516003312709</v>
      </c>
      <c r="G88">
        <f t="shared" si="5"/>
        <v>1290.45</v>
      </c>
      <c r="H88">
        <f t="shared" si="6"/>
        <v>1601</v>
      </c>
      <c r="J88">
        <f t="shared" si="7"/>
        <v>1.2406524855670502</v>
      </c>
    </row>
    <row r="89" spans="4:10">
      <c r="D89" s="62">
        <v>27</v>
      </c>
      <c r="E89" s="62">
        <v>9.2803000000000004</v>
      </c>
      <c r="F89">
        <f t="shared" si="4"/>
        <v>1.2613101979794317</v>
      </c>
      <c r="G89">
        <f t="shared" si="5"/>
        <v>1261.31</v>
      </c>
      <c r="H89">
        <f t="shared" si="6"/>
        <v>1565</v>
      </c>
      <c r="J89">
        <f t="shared" si="7"/>
        <v>1.2407734815390348</v>
      </c>
    </row>
    <row r="90" spans="4:10">
      <c r="D90" s="62">
        <v>28</v>
      </c>
      <c r="E90" s="62">
        <v>8.9428999999999998</v>
      </c>
      <c r="F90">
        <f t="shared" si="4"/>
        <v>1.2325812662626499</v>
      </c>
      <c r="G90">
        <f t="shared" si="5"/>
        <v>1232.58</v>
      </c>
      <c r="H90">
        <f t="shared" si="6"/>
        <v>1529</v>
      </c>
      <c r="J90">
        <f t="shared" si="7"/>
        <v>1.2404874328643982</v>
      </c>
    </row>
    <row r="91" spans="4:10">
      <c r="D91" s="62">
        <v>29</v>
      </c>
      <c r="E91" s="62">
        <v>8.6196000000000002</v>
      </c>
      <c r="F91">
        <f t="shared" si="4"/>
        <v>1.2042828837067521</v>
      </c>
      <c r="G91">
        <f t="shared" si="5"/>
        <v>1204.28</v>
      </c>
      <c r="H91">
        <f t="shared" si="6"/>
        <v>1494</v>
      </c>
      <c r="J91">
        <f t="shared" si="7"/>
        <v>1.2405752814959976</v>
      </c>
    </row>
    <row r="92" spans="4:10">
      <c r="D92" s="62">
        <v>30</v>
      </c>
      <c r="E92" s="62">
        <v>8.3096999999999994</v>
      </c>
      <c r="F92">
        <f t="shared" si="4"/>
        <v>1.1764205459529722</v>
      </c>
      <c r="G92">
        <f t="shared" si="5"/>
        <v>1176.42</v>
      </c>
      <c r="H92">
        <f t="shared" si="6"/>
        <v>1460</v>
      </c>
      <c r="J92">
        <f t="shared" si="7"/>
        <v>1.2410533652947076</v>
      </c>
    </row>
    <row r="93" spans="4:10">
      <c r="D93" s="62">
        <v>31</v>
      </c>
      <c r="E93" s="62">
        <v>8.0126000000000008</v>
      </c>
      <c r="F93">
        <f t="shared" si="4"/>
        <v>1.1490044584271226</v>
      </c>
      <c r="G93">
        <f t="shared" si="5"/>
        <v>1149</v>
      </c>
      <c r="H93">
        <f t="shared" si="6"/>
        <v>1426</v>
      </c>
      <c r="J93">
        <f t="shared" si="7"/>
        <v>1.2410791993037424</v>
      </c>
    </row>
    <row r="94" spans="4:10">
      <c r="D94" s="62">
        <v>32</v>
      </c>
      <c r="E94" s="62">
        <v>7.7276999999999996</v>
      </c>
      <c r="F94">
        <f t="shared" si="4"/>
        <v>1.1220409456302221</v>
      </c>
      <c r="G94">
        <f t="shared" si="5"/>
        <v>1122.04</v>
      </c>
      <c r="H94">
        <f t="shared" si="6"/>
        <v>1392</v>
      </c>
      <c r="J94">
        <f t="shared" si="7"/>
        <v>1.2405974831556807</v>
      </c>
    </row>
    <row r="95" spans="4:10">
      <c r="D95" s="62">
        <v>33</v>
      </c>
      <c r="E95" s="62">
        <v>7.4546000000000001</v>
      </c>
      <c r="F95">
        <f t="shared" si="4"/>
        <v>1.0955519136390761</v>
      </c>
      <c r="G95">
        <f t="shared" si="5"/>
        <v>1095.55</v>
      </c>
      <c r="H95">
        <f t="shared" si="6"/>
        <v>1359</v>
      </c>
      <c r="J95">
        <f t="shared" si="7"/>
        <v>1.2404728218702936</v>
      </c>
    </row>
    <row r="96" spans="4:10">
      <c r="D96" s="62">
        <v>34</v>
      </c>
      <c r="E96" s="62">
        <v>7.1925999999999997</v>
      </c>
      <c r="F96">
        <f t="shared" si="4"/>
        <v>1.0695267791966689</v>
      </c>
      <c r="G96">
        <f t="shared" si="5"/>
        <v>1069.53</v>
      </c>
      <c r="H96">
        <f t="shared" si="6"/>
        <v>1327</v>
      </c>
      <c r="J96">
        <f t="shared" si="7"/>
        <v>1.2407319102783465</v>
      </c>
    </row>
    <row r="97" spans="4:10">
      <c r="D97" s="62">
        <v>35</v>
      </c>
      <c r="E97" s="62">
        <v>6.9412000000000003</v>
      </c>
      <c r="F97">
        <f t="shared" si="4"/>
        <v>1.0439702477530854</v>
      </c>
      <c r="G97">
        <f t="shared" si="5"/>
        <v>1043.97</v>
      </c>
      <c r="H97">
        <f t="shared" si="6"/>
        <v>1295</v>
      </c>
      <c r="J97">
        <f t="shared" si="7"/>
        <v>1.240457101257699</v>
      </c>
    </row>
    <row r="98" spans="4:10">
      <c r="D98" s="62">
        <v>36</v>
      </c>
      <c r="E98" s="62">
        <v>6.7</v>
      </c>
      <c r="F98">
        <f t="shared" si="4"/>
        <v>1.0188940092165899</v>
      </c>
      <c r="G98">
        <f t="shared" si="5"/>
        <v>1018.89</v>
      </c>
      <c r="H98">
        <f t="shared" si="6"/>
        <v>1264</v>
      </c>
      <c r="J98">
        <f t="shared" si="7"/>
        <v>1.2405657136687964</v>
      </c>
    </row>
    <row r="99" spans="4:10">
      <c r="D99" s="62">
        <v>37</v>
      </c>
      <c r="E99" s="62">
        <v>6.4684999999999997</v>
      </c>
      <c r="F99">
        <f t="shared" si="4"/>
        <v>0.99429629457111579</v>
      </c>
      <c r="G99">
        <f t="shared" si="5"/>
        <v>994.3</v>
      </c>
      <c r="H99">
        <f t="shared" si="6"/>
        <v>1234</v>
      </c>
      <c r="J99">
        <f t="shared" si="7"/>
        <v>1.24107412249824</v>
      </c>
    </row>
    <row r="100" spans="4:10">
      <c r="D100" s="62">
        <v>38</v>
      </c>
      <c r="E100" s="62">
        <v>6.2462999999999997</v>
      </c>
      <c r="F100">
        <f t="shared" si="4"/>
        <v>0.9701825729656457</v>
      </c>
      <c r="G100">
        <f t="shared" si="5"/>
        <v>970.18</v>
      </c>
      <c r="H100">
        <f t="shared" si="6"/>
        <v>1204</v>
      </c>
      <c r="J100">
        <f t="shared" si="7"/>
        <v>1.2410068234760561</v>
      </c>
    </row>
    <row r="101" spans="4:10">
      <c r="D101" s="62">
        <v>39</v>
      </c>
      <c r="E101" s="62">
        <v>6.0328999999999997</v>
      </c>
      <c r="F101">
        <f t="shared" si="4"/>
        <v>0.94654422357354429</v>
      </c>
      <c r="G101">
        <f t="shared" si="5"/>
        <v>946.54</v>
      </c>
      <c r="H101">
        <f t="shared" si="6"/>
        <v>1174</v>
      </c>
      <c r="J101">
        <f t="shared" si="7"/>
        <v>1.2403068016143006</v>
      </c>
    </row>
    <row r="102" spans="4:10">
      <c r="D102" s="62">
        <v>40</v>
      </c>
      <c r="E102" s="62">
        <v>5.8281000000000001</v>
      </c>
      <c r="F102">
        <f t="shared" si="4"/>
        <v>0.9234029988333069</v>
      </c>
      <c r="G102">
        <f t="shared" si="5"/>
        <v>923.4</v>
      </c>
      <c r="H102">
        <f t="shared" si="6"/>
        <v>1146</v>
      </c>
      <c r="J102">
        <f t="shared" si="7"/>
        <v>1.2410656270305394</v>
      </c>
    </row>
    <row r="103" spans="4:10">
      <c r="D103" s="62">
        <v>41</v>
      </c>
      <c r="E103" s="62">
        <v>5.6313000000000004</v>
      </c>
      <c r="F103">
        <f t="shared" si="4"/>
        <v>0.90073286705151889</v>
      </c>
      <c r="G103">
        <f t="shared" si="5"/>
        <v>900.73</v>
      </c>
      <c r="H103">
        <f t="shared" si="6"/>
        <v>1117</v>
      </c>
      <c r="J103">
        <f t="shared" si="7"/>
        <v>1.240105247965539</v>
      </c>
    </row>
    <row r="104" spans="4:10">
      <c r="D104" s="62">
        <v>42</v>
      </c>
      <c r="E104" s="62">
        <v>5.4421999999999997</v>
      </c>
      <c r="F104">
        <f t="shared" si="4"/>
        <v>0.87853851346723932</v>
      </c>
      <c r="G104">
        <f t="shared" si="5"/>
        <v>878.54</v>
      </c>
      <c r="H104">
        <f t="shared" si="6"/>
        <v>1090</v>
      </c>
      <c r="J104">
        <f t="shared" si="7"/>
        <v>1.240694789081886</v>
      </c>
    </row>
    <row r="105" spans="4:10">
      <c r="D105" s="62">
        <v>43</v>
      </c>
      <c r="E105" s="62">
        <v>5.2606000000000002</v>
      </c>
      <c r="F105">
        <f t="shared" si="4"/>
        <v>0.8568344471535887</v>
      </c>
      <c r="G105">
        <f t="shared" si="5"/>
        <v>856.83</v>
      </c>
      <c r="H105">
        <f t="shared" si="6"/>
        <v>1063</v>
      </c>
      <c r="J105">
        <f t="shared" si="7"/>
        <v>1.2406194927815319</v>
      </c>
    </row>
    <row r="106" spans="4:10">
      <c r="D106" s="62">
        <v>44</v>
      </c>
      <c r="E106" s="62">
        <v>5.0861000000000001</v>
      </c>
      <c r="F106">
        <f t="shared" si="4"/>
        <v>0.83560920238373793</v>
      </c>
      <c r="G106">
        <f t="shared" si="5"/>
        <v>835.61</v>
      </c>
      <c r="H106">
        <f t="shared" si="6"/>
        <v>1037</v>
      </c>
      <c r="J106">
        <f t="shared" si="7"/>
        <v>1.2410095618769521</v>
      </c>
    </row>
    <row r="107" spans="4:10">
      <c r="D107" s="62">
        <v>45</v>
      </c>
      <c r="E107" s="62">
        <v>4.9183000000000003</v>
      </c>
      <c r="F107">
        <f t="shared" si="4"/>
        <v>0.81484815471199845</v>
      </c>
      <c r="G107">
        <f t="shared" si="5"/>
        <v>814.85</v>
      </c>
      <c r="H107">
        <f t="shared" si="6"/>
        <v>1011</v>
      </c>
      <c r="J107">
        <f t="shared" si="7"/>
        <v>1.2407191507639443</v>
      </c>
    </row>
    <row r="108" spans="4:10">
      <c r="D108" s="62">
        <v>46</v>
      </c>
      <c r="E108" s="62">
        <v>4.7568999999999999</v>
      </c>
      <c r="F108">
        <f t="shared" si="4"/>
        <v>0.79454620917249152</v>
      </c>
      <c r="G108">
        <f t="shared" si="5"/>
        <v>794.55</v>
      </c>
      <c r="H108">
        <f t="shared" si="6"/>
        <v>986</v>
      </c>
      <c r="J108">
        <f t="shared" si="7"/>
        <v>1.2409539991189982</v>
      </c>
    </row>
    <row r="109" spans="4:10">
      <c r="D109" s="62">
        <v>47</v>
      </c>
      <c r="E109" s="62">
        <v>4.6017999999999999</v>
      </c>
      <c r="F109">
        <f t="shared" si="4"/>
        <v>0.77472170923078487</v>
      </c>
      <c r="G109">
        <f t="shared" si="5"/>
        <v>774.72</v>
      </c>
      <c r="H109">
        <f t="shared" si="6"/>
        <v>961</v>
      </c>
      <c r="J109">
        <f t="shared" si="7"/>
        <v>1.2404481619165633</v>
      </c>
    </row>
    <row r="110" spans="4:10">
      <c r="D110" s="62">
        <v>48</v>
      </c>
      <c r="E110" s="62">
        <v>4.4526000000000003</v>
      </c>
      <c r="F110">
        <f t="shared" si="4"/>
        <v>0.75535301193670767</v>
      </c>
      <c r="G110">
        <f t="shared" si="5"/>
        <v>755.35</v>
      </c>
      <c r="H110">
        <f t="shared" si="6"/>
        <v>937</v>
      </c>
      <c r="J110">
        <f t="shared" si="7"/>
        <v>1.2404845435890646</v>
      </c>
    </row>
    <row r="111" spans="4:10">
      <c r="D111" s="62">
        <v>49</v>
      </c>
      <c r="E111" s="62">
        <v>4.3090999999999999</v>
      </c>
      <c r="F111">
        <f t="shared" si="4"/>
        <v>0.73644188491436668</v>
      </c>
      <c r="G111">
        <f t="shared" si="5"/>
        <v>736.44</v>
      </c>
      <c r="H111">
        <f t="shared" si="6"/>
        <v>914</v>
      </c>
      <c r="J111">
        <f t="shared" si="7"/>
        <v>1.2411058606267991</v>
      </c>
    </row>
    <row r="112" spans="4:10">
      <c r="D112" s="62">
        <v>50</v>
      </c>
      <c r="E112" s="62">
        <v>4.1708999999999996</v>
      </c>
      <c r="F112">
        <f t="shared" si="4"/>
        <v>0.71796159804703996</v>
      </c>
      <c r="G112">
        <f t="shared" si="5"/>
        <v>717.96</v>
      </c>
      <c r="H112">
        <f t="shared" si="6"/>
        <v>891</v>
      </c>
      <c r="J112">
        <f t="shared" si="7"/>
        <v>1.2410162126023734</v>
      </c>
    </row>
    <row r="113" spans="4:10">
      <c r="D113" s="62">
        <v>51</v>
      </c>
      <c r="E113" s="62">
        <v>4.0380000000000003</v>
      </c>
      <c r="F113">
        <f t="shared" si="4"/>
        <v>0.69993696816892537</v>
      </c>
      <c r="G113">
        <f t="shared" si="5"/>
        <v>699.94</v>
      </c>
      <c r="H113">
        <f t="shared" si="6"/>
        <v>868</v>
      </c>
      <c r="J113">
        <f t="shared" si="7"/>
        <v>1.2401062948252706</v>
      </c>
    </row>
    <row r="114" spans="4:10">
      <c r="D114" s="62">
        <v>52</v>
      </c>
      <c r="E114" s="62">
        <v>3.9100999999999999</v>
      </c>
      <c r="F114">
        <f t="shared" si="4"/>
        <v>0.68235123029492173</v>
      </c>
      <c r="G114">
        <f t="shared" si="5"/>
        <v>682.35</v>
      </c>
      <c r="H114">
        <f t="shared" si="6"/>
        <v>846</v>
      </c>
      <c r="J114">
        <f t="shared" si="7"/>
        <v>1.2398329303143547</v>
      </c>
    </row>
    <row r="115" spans="4:10">
      <c r="D115" s="62">
        <v>53</v>
      </c>
      <c r="E115" s="62">
        <v>3.7867999999999999</v>
      </c>
      <c r="F115">
        <f t="shared" si="4"/>
        <v>0.66517129048055013</v>
      </c>
      <c r="G115">
        <f t="shared" si="5"/>
        <v>665.17</v>
      </c>
      <c r="H115">
        <f t="shared" si="6"/>
        <v>825</v>
      </c>
      <c r="J115">
        <f t="shared" si="7"/>
        <v>1.2402844385645775</v>
      </c>
    </row>
    <row r="116" spans="4:10">
      <c r="D116" s="62">
        <v>54</v>
      </c>
      <c r="E116" s="62">
        <v>3.6682000000000001</v>
      </c>
      <c r="F116">
        <f t="shared" si="4"/>
        <v>0.64843209307806859</v>
      </c>
      <c r="G116">
        <f t="shared" si="5"/>
        <v>648.42999999999995</v>
      </c>
      <c r="H116">
        <f t="shared" si="6"/>
        <v>804</v>
      </c>
      <c r="J116">
        <f t="shared" si="7"/>
        <v>1.2399179556775597</v>
      </c>
    </row>
    <row r="117" spans="4:10">
      <c r="D117" s="62">
        <v>55</v>
      </c>
      <c r="E117" s="62">
        <v>3.5539000000000001</v>
      </c>
      <c r="F117">
        <f t="shared" si="4"/>
        <v>0.6320972949083481</v>
      </c>
      <c r="G117">
        <f t="shared" si="5"/>
        <v>632.1</v>
      </c>
      <c r="H117">
        <f t="shared" si="6"/>
        <v>784</v>
      </c>
      <c r="J117">
        <f t="shared" si="7"/>
        <v>1.2403100775193798</v>
      </c>
    </row>
    <row r="118" spans="4:10">
      <c r="D118" s="62">
        <v>56</v>
      </c>
      <c r="E118" s="62">
        <v>3.4438</v>
      </c>
      <c r="F118">
        <f t="shared" si="4"/>
        <v>0.61617128791246922</v>
      </c>
      <c r="G118">
        <f t="shared" si="5"/>
        <v>616.16999999999996</v>
      </c>
      <c r="H118">
        <f t="shared" si="6"/>
        <v>764</v>
      </c>
      <c r="J118">
        <f t="shared" si="7"/>
        <v>1.2399175552201505</v>
      </c>
    </row>
    <row r="119" spans="4:10">
      <c r="D119" s="62">
        <v>57</v>
      </c>
      <c r="E119" s="62">
        <v>3.3376999999999999</v>
      </c>
      <c r="F119">
        <f t="shared" si="4"/>
        <v>0.60064293777300326</v>
      </c>
      <c r="G119">
        <f t="shared" si="5"/>
        <v>600.64</v>
      </c>
      <c r="H119">
        <f t="shared" si="6"/>
        <v>745</v>
      </c>
      <c r="J119">
        <f t="shared" si="7"/>
        <v>1.2403436334576452</v>
      </c>
    </row>
    <row r="120" spans="4:10">
      <c r="D120" s="62">
        <v>58</v>
      </c>
      <c r="E120" s="62">
        <v>3.2353999999999998</v>
      </c>
      <c r="F120">
        <f t="shared" si="4"/>
        <v>0.5854996325827786</v>
      </c>
      <c r="G120">
        <f t="shared" si="5"/>
        <v>585.5</v>
      </c>
      <c r="H120">
        <f t="shared" si="6"/>
        <v>726</v>
      </c>
      <c r="J120">
        <f t="shared" si="7"/>
        <v>1.2399658411614005</v>
      </c>
    </row>
    <row r="121" spans="4:10">
      <c r="D121" s="62">
        <v>59</v>
      </c>
      <c r="E121" s="62">
        <v>3.1368</v>
      </c>
      <c r="F121">
        <f t="shared" si="4"/>
        <v>0.57074235807860252</v>
      </c>
      <c r="G121">
        <f t="shared" si="5"/>
        <v>570.74</v>
      </c>
      <c r="H121">
        <f t="shared" si="6"/>
        <v>708</v>
      </c>
      <c r="J121">
        <f t="shared" si="7"/>
        <v>1.2404947962294566</v>
      </c>
    </row>
    <row r="122" spans="4:10">
      <c r="D122" s="62">
        <v>60</v>
      </c>
      <c r="E122" s="62">
        <v>3.0417000000000001</v>
      </c>
      <c r="F122">
        <f t="shared" si="4"/>
        <v>0.55635610834899152</v>
      </c>
      <c r="G122">
        <f t="shared" si="5"/>
        <v>556.36</v>
      </c>
      <c r="H122">
        <f t="shared" si="6"/>
        <v>690</v>
      </c>
      <c r="J122">
        <f t="shared" si="7"/>
        <v>1.240204184341074</v>
      </c>
    </row>
    <row r="123" spans="4:10">
      <c r="D123" s="62">
        <v>61</v>
      </c>
      <c r="E123" s="62">
        <v>2.95</v>
      </c>
      <c r="F123">
        <f t="shared" si="4"/>
        <v>0.54233983286908083</v>
      </c>
      <c r="G123">
        <f t="shared" si="5"/>
        <v>542.34</v>
      </c>
      <c r="H123">
        <f t="shared" si="6"/>
        <v>673</v>
      </c>
      <c r="J123">
        <f t="shared" si="7"/>
        <v>1.2409189807132057</v>
      </c>
    </row>
    <row r="124" spans="4:10">
      <c r="D124" s="62">
        <v>62</v>
      </c>
      <c r="E124" s="62">
        <v>2.8616000000000001</v>
      </c>
      <c r="F124">
        <f t="shared" si="4"/>
        <v>0.52869171854705066</v>
      </c>
      <c r="G124">
        <f t="shared" si="5"/>
        <v>528.69000000000005</v>
      </c>
      <c r="H124">
        <f t="shared" si="6"/>
        <v>656</v>
      </c>
      <c r="J124">
        <f t="shared" si="7"/>
        <v>1.2408027388450698</v>
      </c>
    </row>
    <row r="125" spans="4:10">
      <c r="D125" s="62">
        <v>63</v>
      </c>
      <c r="E125" s="62">
        <v>2.7761999999999998</v>
      </c>
      <c r="F125">
        <f t="shared" si="4"/>
        <v>0.51537786478549963</v>
      </c>
      <c r="G125">
        <f t="shared" si="5"/>
        <v>515.38</v>
      </c>
      <c r="H125">
        <f t="shared" si="6"/>
        <v>639</v>
      </c>
      <c r="J125">
        <f t="shared" si="7"/>
        <v>1.2398618495091001</v>
      </c>
    </row>
    <row r="126" spans="4:10">
      <c r="D126" s="62">
        <v>64</v>
      </c>
      <c r="E126" s="62">
        <v>2.6939000000000002</v>
      </c>
      <c r="F126">
        <f t="shared" si="4"/>
        <v>0.50242569473095244</v>
      </c>
      <c r="G126">
        <f t="shared" si="5"/>
        <v>502.43</v>
      </c>
      <c r="H126">
        <f t="shared" si="6"/>
        <v>623</v>
      </c>
      <c r="J126">
        <f t="shared" si="7"/>
        <v>1.2399737276834584</v>
      </c>
    </row>
    <row r="127" spans="4:10">
      <c r="D127" s="62">
        <v>65</v>
      </c>
      <c r="E127" s="62">
        <v>2.6143999999999998</v>
      </c>
      <c r="F127">
        <f t="shared" ref="F127:F187" si="8">$E$16/($E$17+E127)*E127</f>
        <v>0.48979925515487327</v>
      </c>
      <c r="G127">
        <f t="shared" ref="G127:G187" si="9">ROUND((F127*1000),2)</f>
        <v>489.8</v>
      </c>
      <c r="H127">
        <f t="shared" ref="H127:H187" si="10">ROUNDDOWN(G127/$I$10,0)</f>
        <v>607</v>
      </c>
      <c r="J127">
        <f t="shared" ref="J127:J187" si="11">H127/G127</f>
        <v>1.2392813393221722</v>
      </c>
    </row>
    <row r="128" spans="4:10">
      <c r="D128" s="62">
        <v>66</v>
      </c>
      <c r="E128" s="62">
        <v>2.5375999999999999</v>
      </c>
      <c r="F128">
        <f t="shared" si="8"/>
        <v>0.47749292947723737</v>
      </c>
      <c r="G128">
        <f t="shared" si="9"/>
        <v>477.49</v>
      </c>
      <c r="H128">
        <f t="shared" si="10"/>
        <v>592</v>
      </c>
      <c r="J128">
        <f t="shared" si="11"/>
        <v>1.2398165406605375</v>
      </c>
    </row>
    <row r="129" spans="4:10">
      <c r="D129" s="62">
        <v>67</v>
      </c>
      <c r="E129" s="62">
        <v>2.4634999999999998</v>
      </c>
      <c r="F129">
        <f t="shared" si="8"/>
        <v>0.46551664901079387</v>
      </c>
      <c r="G129">
        <f t="shared" si="9"/>
        <v>465.52</v>
      </c>
      <c r="H129">
        <f t="shared" si="10"/>
        <v>577</v>
      </c>
      <c r="J129">
        <f t="shared" si="11"/>
        <v>1.2394741364495618</v>
      </c>
    </row>
    <row r="130" spans="4:10">
      <c r="D130" s="62">
        <v>68</v>
      </c>
      <c r="E130" s="62">
        <v>2.3919000000000001</v>
      </c>
      <c r="F130">
        <f t="shared" si="8"/>
        <v>0.45384748072378517</v>
      </c>
      <c r="G130">
        <f t="shared" si="9"/>
        <v>453.85</v>
      </c>
      <c r="H130">
        <f t="shared" si="10"/>
        <v>563</v>
      </c>
      <c r="J130">
        <f t="shared" si="11"/>
        <v>1.2404979618816789</v>
      </c>
    </row>
    <row r="131" spans="4:10">
      <c r="D131" s="62">
        <v>69</v>
      </c>
      <c r="E131" s="62">
        <v>2.3228</v>
      </c>
      <c r="F131">
        <f t="shared" si="8"/>
        <v>0.44249428498856991</v>
      </c>
      <c r="G131">
        <f t="shared" si="9"/>
        <v>442.49</v>
      </c>
      <c r="H131">
        <f t="shared" si="10"/>
        <v>549</v>
      </c>
      <c r="J131">
        <f t="shared" si="11"/>
        <v>1.2407060046554723</v>
      </c>
    </row>
    <row r="132" spans="4:10">
      <c r="D132" s="62">
        <v>70</v>
      </c>
      <c r="E132" s="62">
        <v>2.2559</v>
      </c>
      <c r="F132">
        <f t="shared" si="8"/>
        <v>0.43141592151090347</v>
      </c>
      <c r="G132">
        <f t="shared" si="9"/>
        <v>431.42</v>
      </c>
      <c r="H132">
        <f t="shared" si="10"/>
        <v>535</v>
      </c>
      <c r="J132">
        <f t="shared" si="11"/>
        <v>1.2400908627323721</v>
      </c>
    </row>
    <row r="133" spans="4:10">
      <c r="D133" s="62">
        <v>71</v>
      </c>
      <c r="E133" s="62">
        <v>2.1913999999999998</v>
      </c>
      <c r="F133">
        <f t="shared" si="8"/>
        <v>0.42065334993077924</v>
      </c>
      <c r="G133">
        <f t="shared" si="9"/>
        <v>420.65</v>
      </c>
      <c r="H133">
        <f t="shared" si="10"/>
        <v>522</v>
      </c>
      <c r="J133">
        <f t="shared" si="11"/>
        <v>1.2409366456674196</v>
      </c>
    </row>
    <row r="134" spans="4:10">
      <c r="D134" s="62">
        <v>72</v>
      </c>
      <c r="E134" s="62">
        <v>2.129</v>
      </c>
      <c r="F134">
        <f t="shared" si="8"/>
        <v>0.41016404927316247</v>
      </c>
      <c r="G134">
        <f t="shared" si="9"/>
        <v>410.16</v>
      </c>
      <c r="H134">
        <f t="shared" si="10"/>
        <v>509</v>
      </c>
      <c r="J134">
        <f t="shared" si="11"/>
        <v>1.2409791300955724</v>
      </c>
    </row>
    <row r="135" spans="4:10">
      <c r="D135" s="62">
        <v>73</v>
      </c>
      <c r="E135" s="62">
        <v>2.0686</v>
      </c>
      <c r="F135">
        <f t="shared" si="8"/>
        <v>0.39993789766003068</v>
      </c>
      <c r="G135">
        <f t="shared" si="9"/>
        <v>399.94</v>
      </c>
      <c r="H135">
        <f t="shared" si="10"/>
        <v>496</v>
      </c>
      <c r="J135">
        <f t="shared" si="11"/>
        <v>1.2401860279041856</v>
      </c>
    </row>
    <row r="136" spans="4:10">
      <c r="D136" s="62">
        <v>74</v>
      </c>
      <c r="E136" s="62">
        <v>2.0103</v>
      </c>
      <c r="F136">
        <f t="shared" si="8"/>
        <v>0.3899984127264069</v>
      </c>
      <c r="G136">
        <f t="shared" si="9"/>
        <v>390</v>
      </c>
      <c r="H136">
        <f t="shared" si="10"/>
        <v>484</v>
      </c>
      <c r="J136">
        <f t="shared" si="11"/>
        <v>1.2410256410256411</v>
      </c>
    </row>
    <row r="137" spans="4:10">
      <c r="D137" s="62">
        <v>75</v>
      </c>
      <c r="E137" s="62">
        <v>1.9538</v>
      </c>
      <c r="F137">
        <f t="shared" si="8"/>
        <v>0.38030058158053059</v>
      </c>
      <c r="G137">
        <f t="shared" si="9"/>
        <v>380.3</v>
      </c>
      <c r="H137">
        <f t="shared" si="10"/>
        <v>472</v>
      </c>
      <c r="J137">
        <f t="shared" si="11"/>
        <v>1.2411254272942414</v>
      </c>
    </row>
    <row r="138" spans="4:10">
      <c r="D138" s="62">
        <v>76</v>
      </c>
      <c r="E138" s="62">
        <v>1.8992</v>
      </c>
      <c r="F138">
        <f t="shared" si="8"/>
        <v>0.37086725998863845</v>
      </c>
      <c r="G138">
        <f t="shared" si="9"/>
        <v>370.87</v>
      </c>
      <c r="H138">
        <f t="shared" si="10"/>
        <v>460</v>
      </c>
      <c r="J138">
        <f t="shared" si="11"/>
        <v>1.2403267991479494</v>
      </c>
    </row>
    <row r="139" spans="4:10">
      <c r="D139" s="62">
        <v>77</v>
      </c>
      <c r="E139" s="62">
        <v>1.8464</v>
      </c>
      <c r="F139">
        <f t="shared" si="8"/>
        <v>0.3616867698736822</v>
      </c>
      <c r="G139">
        <f t="shared" si="9"/>
        <v>361.69</v>
      </c>
      <c r="H139">
        <f t="shared" si="10"/>
        <v>448</v>
      </c>
      <c r="J139">
        <f t="shared" si="11"/>
        <v>1.2386297658215599</v>
      </c>
    </row>
    <row r="140" spans="4:10">
      <c r="D140" s="62">
        <v>78</v>
      </c>
      <c r="E140" s="62">
        <v>1.7952999999999999</v>
      </c>
      <c r="F140">
        <f t="shared" si="8"/>
        <v>0.35274689943019766</v>
      </c>
      <c r="G140">
        <f t="shared" si="9"/>
        <v>352.75</v>
      </c>
      <c r="H140">
        <f t="shared" si="10"/>
        <v>437</v>
      </c>
      <c r="J140">
        <f t="shared" si="11"/>
        <v>1.2388377037562013</v>
      </c>
    </row>
    <row r="141" spans="4:10">
      <c r="D141" s="62">
        <v>79</v>
      </c>
      <c r="E141" s="62">
        <v>1.7459</v>
      </c>
      <c r="F141">
        <f t="shared" si="8"/>
        <v>0.34405257406290496</v>
      </c>
      <c r="G141">
        <f t="shared" si="9"/>
        <v>344.05</v>
      </c>
      <c r="H141">
        <f t="shared" si="10"/>
        <v>427</v>
      </c>
      <c r="J141">
        <f t="shared" si="11"/>
        <v>1.2410986775178026</v>
      </c>
    </row>
    <row r="142" spans="4:10">
      <c r="D142" s="62">
        <v>80</v>
      </c>
      <c r="E142" s="62">
        <v>1.698</v>
      </c>
      <c r="F142">
        <f t="shared" si="8"/>
        <v>0.33557312252964427</v>
      </c>
      <c r="G142">
        <f t="shared" si="9"/>
        <v>335.57</v>
      </c>
      <c r="H142">
        <f t="shared" si="10"/>
        <v>416</v>
      </c>
      <c r="J142">
        <f t="shared" si="11"/>
        <v>1.2396817355544298</v>
      </c>
    </row>
    <row r="143" spans="4:10">
      <c r="D143" s="62">
        <v>81</v>
      </c>
      <c r="E143" s="62">
        <v>1.6516999999999999</v>
      </c>
      <c r="F143">
        <f t="shared" si="8"/>
        <v>0.32733054282745905</v>
      </c>
      <c r="G143">
        <f t="shared" si="9"/>
        <v>327.33</v>
      </c>
      <c r="H143">
        <f t="shared" si="10"/>
        <v>406</v>
      </c>
      <c r="J143">
        <f t="shared" si="11"/>
        <v>1.2403384963186999</v>
      </c>
    </row>
    <row r="144" spans="4:10">
      <c r="D144" s="62">
        <v>82</v>
      </c>
      <c r="E144" s="62">
        <v>1.6068</v>
      </c>
      <c r="F144">
        <f t="shared" si="8"/>
        <v>0.31929330153912855</v>
      </c>
      <c r="G144">
        <f t="shared" si="9"/>
        <v>319.29000000000002</v>
      </c>
      <c r="H144">
        <f t="shared" si="10"/>
        <v>396</v>
      </c>
      <c r="J144">
        <f t="shared" si="11"/>
        <v>1.2402518087005543</v>
      </c>
    </row>
    <row r="145" spans="4:10">
      <c r="D145" s="62">
        <v>83</v>
      </c>
      <c r="E145" s="62">
        <v>1.5633999999999999</v>
      </c>
      <c r="F145">
        <f t="shared" si="8"/>
        <v>0.31148314959488987</v>
      </c>
      <c r="G145">
        <f t="shared" si="9"/>
        <v>311.48</v>
      </c>
      <c r="H145">
        <f t="shared" si="10"/>
        <v>386</v>
      </c>
      <c r="J145">
        <f t="shared" si="11"/>
        <v>1.2392448953383843</v>
      </c>
    </row>
    <row r="146" spans="4:10">
      <c r="D146" s="62">
        <v>84</v>
      </c>
      <c r="E146" s="62">
        <v>1.5213000000000001</v>
      </c>
      <c r="F146">
        <f t="shared" si="8"/>
        <v>0.30386773437925585</v>
      </c>
      <c r="G146">
        <f t="shared" si="9"/>
        <v>303.87</v>
      </c>
      <c r="H146">
        <f t="shared" si="10"/>
        <v>377</v>
      </c>
      <c r="J146">
        <f t="shared" si="11"/>
        <v>1.2406621252509296</v>
      </c>
    </row>
    <row r="147" spans="4:10">
      <c r="D147" s="62">
        <v>85</v>
      </c>
      <c r="E147" s="62">
        <v>1.4804999999999999</v>
      </c>
      <c r="F147">
        <f t="shared" si="8"/>
        <v>0.29645035041412576</v>
      </c>
      <c r="G147">
        <f t="shared" si="9"/>
        <v>296.45</v>
      </c>
      <c r="H147">
        <f t="shared" si="10"/>
        <v>367</v>
      </c>
      <c r="J147">
        <f t="shared" si="11"/>
        <v>1.2379827964243548</v>
      </c>
    </row>
    <row r="148" spans="4:10">
      <c r="D148" s="62">
        <v>86</v>
      </c>
      <c r="E148" s="62">
        <v>1.4410000000000001</v>
      </c>
      <c r="F148">
        <f t="shared" si="8"/>
        <v>0.28923423149443467</v>
      </c>
      <c r="G148">
        <f t="shared" si="9"/>
        <v>289.23</v>
      </c>
      <c r="H148">
        <f t="shared" si="10"/>
        <v>358</v>
      </c>
      <c r="J148">
        <f t="shared" si="11"/>
        <v>1.2377692493863015</v>
      </c>
    </row>
    <row r="149" spans="4:10">
      <c r="D149" s="62">
        <v>87</v>
      </c>
      <c r="E149" s="62">
        <v>1.4028</v>
      </c>
      <c r="F149">
        <f t="shared" si="8"/>
        <v>0.28222254736996122</v>
      </c>
      <c r="G149">
        <f t="shared" si="9"/>
        <v>282.22000000000003</v>
      </c>
      <c r="H149">
        <f t="shared" si="10"/>
        <v>350</v>
      </c>
      <c r="J149">
        <f t="shared" si="11"/>
        <v>1.240167245411381</v>
      </c>
    </row>
    <row r="150" spans="4:10">
      <c r="D150" s="62">
        <v>88</v>
      </c>
      <c r="E150" s="62">
        <v>1.3656999999999999</v>
      </c>
      <c r="F150">
        <f t="shared" si="8"/>
        <v>0.27538143800754011</v>
      </c>
      <c r="G150">
        <f t="shared" si="9"/>
        <v>275.38</v>
      </c>
      <c r="H150">
        <f t="shared" si="10"/>
        <v>341</v>
      </c>
      <c r="J150">
        <f t="shared" si="11"/>
        <v>1.2382889098699978</v>
      </c>
    </row>
    <row r="151" spans="4:10">
      <c r="D151" s="62">
        <v>89</v>
      </c>
      <c r="E151" s="62">
        <v>1.3297000000000001</v>
      </c>
      <c r="F151">
        <f t="shared" si="8"/>
        <v>0.26871344850180962</v>
      </c>
      <c r="G151">
        <f t="shared" si="9"/>
        <v>268.70999999999998</v>
      </c>
      <c r="H151">
        <f t="shared" si="10"/>
        <v>333</v>
      </c>
      <c r="J151">
        <f t="shared" si="11"/>
        <v>1.239254214580775</v>
      </c>
    </row>
    <row r="152" spans="4:10">
      <c r="D152" s="62">
        <v>90</v>
      </c>
      <c r="E152" s="62">
        <v>1.2948999999999999</v>
      </c>
      <c r="F152">
        <f t="shared" si="8"/>
        <v>0.26223971917593852</v>
      </c>
      <c r="G152">
        <f t="shared" si="9"/>
        <v>262.24</v>
      </c>
      <c r="H152">
        <f t="shared" si="10"/>
        <v>325</v>
      </c>
      <c r="J152">
        <f t="shared" si="11"/>
        <v>1.2393227577791335</v>
      </c>
    </row>
    <row r="153" spans="4:10">
      <c r="D153" s="62">
        <v>91</v>
      </c>
      <c r="E153" s="62">
        <v>1.2611000000000001</v>
      </c>
      <c r="F153">
        <f t="shared" si="8"/>
        <v>0.25592549089544991</v>
      </c>
      <c r="G153">
        <f t="shared" si="9"/>
        <v>255.93</v>
      </c>
      <c r="H153">
        <f t="shared" si="10"/>
        <v>317</v>
      </c>
      <c r="J153">
        <f t="shared" si="11"/>
        <v>1.2386199351385143</v>
      </c>
    </row>
    <row r="154" spans="4:10">
      <c r="D154" s="62">
        <v>92</v>
      </c>
      <c r="E154" s="62">
        <v>1.2283999999999999</v>
      </c>
      <c r="F154">
        <f t="shared" si="8"/>
        <v>0.2497917231520051</v>
      </c>
      <c r="G154">
        <f t="shared" si="9"/>
        <v>249.79</v>
      </c>
      <c r="H154">
        <f t="shared" si="10"/>
        <v>310</v>
      </c>
      <c r="J154">
        <f t="shared" si="11"/>
        <v>1.2410424756795708</v>
      </c>
    </row>
    <row r="155" spans="4:10">
      <c r="D155" s="62">
        <v>93</v>
      </c>
      <c r="E155" s="62">
        <v>1.1967000000000001</v>
      </c>
      <c r="F155">
        <f t="shared" si="8"/>
        <v>0.24382188964418677</v>
      </c>
      <c r="G155">
        <f t="shared" si="9"/>
        <v>243.82</v>
      </c>
      <c r="H155">
        <f t="shared" si="10"/>
        <v>302</v>
      </c>
      <c r="J155">
        <f t="shared" si="11"/>
        <v>1.2386186531047494</v>
      </c>
    </row>
    <row r="156" spans="4:10">
      <c r="D156" s="62">
        <v>94</v>
      </c>
      <c r="E156" s="62">
        <v>1.1658999999999999</v>
      </c>
      <c r="F156">
        <f t="shared" si="8"/>
        <v>0.2379991216078288</v>
      </c>
      <c r="G156">
        <f t="shared" si="9"/>
        <v>238</v>
      </c>
      <c r="H156">
        <f t="shared" si="10"/>
        <v>295</v>
      </c>
      <c r="J156">
        <f t="shared" si="11"/>
        <v>1.2394957983193278</v>
      </c>
    </row>
    <row r="157" spans="4:10">
      <c r="D157" s="62">
        <v>95</v>
      </c>
      <c r="E157" s="62">
        <v>1.1359999999999999</v>
      </c>
      <c r="F157">
        <f t="shared" si="8"/>
        <v>0.23232523549826473</v>
      </c>
      <c r="G157">
        <f t="shared" si="9"/>
        <v>232.33</v>
      </c>
      <c r="H157">
        <f t="shared" si="10"/>
        <v>288</v>
      </c>
      <c r="J157">
        <f t="shared" si="11"/>
        <v>1.2396160633581543</v>
      </c>
    </row>
    <row r="158" spans="4:10">
      <c r="D158" s="62">
        <v>96</v>
      </c>
      <c r="E158" s="62">
        <v>1.1071</v>
      </c>
      <c r="F158">
        <f t="shared" si="8"/>
        <v>0.22682109131997688</v>
      </c>
      <c r="G158">
        <f t="shared" si="9"/>
        <v>226.82</v>
      </c>
      <c r="H158">
        <f t="shared" si="10"/>
        <v>281</v>
      </c>
      <c r="J158">
        <f t="shared" si="11"/>
        <v>1.2388678247068161</v>
      </c>
    </row>
    <row r="159" spans="4:10">
      <c r="D159" s="62">
        <v>97</v>
      </c>
      <c r="E159" s="62">
        <v>1.079</v>
      </c>
      <c r="F159">
        <f t="shared" si="8"/>
        <v>0.22145033895142729</v>
      </c>
      <c r="G159">
        <f t="shared" si="9"/>
        <v>221.45</v>
      </c>
      <c r="H159">
        <f t="shared" si="10"/>
        <v>274</v>
      </c>
      <c r="J159">
        <f t="shared" si="11"/>
        <v>1.2372996161661776</v>
      </c>
    </row>
    <row r="160" spans="4:10">
      <c r="D160" s="62">
        <v>98</v>
      </c>
      <c r="E160" s="62">
        <v>1.0518000000000001</v>
      </c>
      <c r="F160">
        <f t="shared" si="8"/>
        <v>0.21623369341756063</v>
      </c>
      <c r="G160">
        <f t="shared" si="9"/>
        <v>216.23</v>
      </c>
      <c r="H160">
        <f t="shared" si="10"/>
        <v>268</v>
      </c>
      <c r="J160">
        <f t="shared" si="11"/>
        <v>1.2394209869120845</v>
      </c>
    </row>
    <row r="161" spans="4:10">
      <c r="D161" s="62">
        <v>99</v>
      </c>
      <c r="E161" s="62">
        <v>1.0253000000000001</v>
      </c>
      <c r="F161">
        <f t="shared" si="8"/>
        <v>0.21113426893724296</v>
      </c>
      <c r="G161">
        <f t="shared" si="9"/>
        <v>211.13</v>
      </c>
      <c r="H161">
        <f t="shared" si="10"/>
        <v>262</v>
      </c>
      <c r="J161">
        <f t="shared" si="11"/>
        <v>1.2409415999621087</v>
      </c>
    </row>
    <row r="162" spans="4:10">
      <c r="D162" s="62">
        <v>100</v>
      </c>
      <c r="E162" s="62">
        <v>0.99968999999999997</v>
      </c>
      <c r="F162">
        <f t="shared" si="8"/>
        <v>0.20619005743236274</v>
      </c>
      <c r="G162">
        <f t="shared" si="9"/>
        <v>206.19</v>
      </c>
      <c r="H162">
        <f t="shared" si="10"/>
        <v>255</v>
      </c>
      <c r="J162">
        <f t="shared" si="11"/>
        <v>1.2367234104466753</v>
      </c>
    </row>
    <row r="163" spans="4:10">
      <c r="D163" s="62">
        <v>101</v>
      </c>
      <c r="E163" s="62">
        <v>0.97482000000000002</v>
      </c>
      <c r="F163">
        <f t="shared" si="8"/>
        <v>0.20137353660322932</v>
      </c>
      <c r="G163">
        <f t="shared" si="9"/>
        <v>201.37</v>
      </c>
      <c r="H163">
        <f t="shared" si="10"/>
        <v>249</v>
      </c>
      <c r="J163">
        <f t="shared" si="11"/>
        <v>1.2365297710681828</v>
      </c>
    </row>
    <row r="164" spans="4:10">
      <c r="D164" s="62">
        <v>102</v>
      </c>
      <c r="E164" s="62">
        <v>0.95067999999999997</v>
      </c>
      <c r="F164">
        <f t="shared" si="8"/>
        <v>0.19668402851790642</v>
      </c>
      <c r="G164">
        <f t="shared" si="9"/>
        <v>196.68</v>
      </c>
      <c r="H164">
        <f t="shared" si="10"/>
        <v>244</v>
      </c>
      <c r="J164">
        <f t="shared" si="11"/>
        <v>1.2405938580435225</v>
      </c>
    </row>
    <row r="165" spans="4:10">
      <c r="D165" s="62">
        <v>103</v>
      </c>
      <c r="E165" s="62">
        <v>0.92725000000000002</v>
      </c>
      <c r="F165">
        <f t="shared" si="8"/>
        <v>0.19211885290932207</v>
      </c>
      <c r="G165">
        <f t="shared" si="9"/>
        <v>192.12</v>
      </c>
      <c r="H165">
        <f t="shared" si="10"/>
        <v>238</v>
      </c>
      <c r="J165">
        <f t="shared" si="11"/>
        <v>1.238809077659796</v>
      </c>
    </row>
    <row r="166" spans="4:10">
      <c r="D166" s="62">
        <v>104</v>
      </c>
      <c r="E166" s="62">
        <v>0.90451999999999999</v>
      </c>
      <c r="F166">
        <f t="shared" si="8"/>
        <v>0.18767721377319152</v>
      </c>
      <c r="G166">
        <f t="shared" si="9"/>
        <v>187.68</v>
      </c>
      <c r="H166">
        <f t="shared" si="10"/>
        <v>232</v>
      </c>
      <c r="J166">
        <f t="shared" si="11"/>
        <v>1.2361466325660699</v>
      </c>
    </row>
    <row r="167" spans="4:10">
      <c r="D167" s="62">
        <v>105</v>
      </c>
      <c r="E167" s="62">
        <v>0.88246000000000002</v>
      </c>
      <c r="F167">
        <f t="shared" si="8"/>
        <v>0.18335434183369578</v>
      </c>
      <c r="G167">
        <f t="shared" si="9"/>
        <v>183.35</v>
      </c>
      <c r="H167">
        <f t="shared" si="10"/>
        <v>227</v>
      </c>
      <c r="J167">
        <f t="shared" si="11"/>
        <v>1.2380692664303246</v>
      </c>
    </row>
    <row r="168" spans="4:10">
      <c r="D168" s="62">
        <v>106</v>
      </c>
      <c r="E168" s="62">
        <v>0.86104999999999998</v>
      </c>
      <c r="F168">
        <f t="shared" si="8"/>
        <v>0.17914734522619874</v>
      </c>
      <c r="G168">
        <f t="shared" si="9"/>
        <v>179.15</v>
      </c>
      <c r="H168">
        <f t="shared" si="10"/>
        <v>222</v>
      </c>
      <c r="J168">
        <f t="shared" si="11"/>
        <v>1.2391850404688809</v>
      </c>
    </row>
    <row r="169" spans="4:10">
      <c r="D169" s="62">
        <v>107</v>
      </c>
      <c r="E169" s="62">
        <v>0.84026000000000001</v>
      </c>
      <c r="F169">
        <f t="shared" si="8"/>
        <v>0.17505129334998287</v>
      </c>
      <c r="G169">
        <f t="shared" si="9"/>
        <v>175.05</v>
      </c>
      <c r="H169">
        <f t="shared" si="10"/>
        <v>217</v>
      </c>
      <c r="J169">
        <f t="shared" si="11"/>
        <v>1.239645815481291</v>
      </c>
    </row>
    <row r="170" spans="4:10">
      <c r="D170" s="62">
        <v>108</v>
      </c>
      <c r="E170" s="62">
        <v>0.82008999999999999</v>
      </c>
      <c r="F170">
        <f t="shared" si="8"/>
        <v>0.17106710518081752</v>
      </c>
      <c r="G170">
        <f t="shared" si="9"/>
        <v>171.07</v>
      </c>
      <c r="H170">
        <f t="shared" si="10"/>
        <v>212</v>
      </c>
      <c r="J170">
        <f t="shared" si="11"/>
        <v>1.2392587829543462</v>
      </c>
    </row>
    <row r="171" spans="4:10">
      <c r="D171" s="62">
        <v>109</v>
      </c>
      <c r="E171" s="62">
        <v>0.80051000000000005</v>
      </c>
      <c r="F171">
        <f t="shared" si="8"/>
        <v>0.16718972995175474</v>
      </c>
      <c r="G171">
        <f t="shared" si="9"/>
        <v>167.19</v>
      </c>
      <c r="H171">
        <f t="shared" si="10"/>
        <v>207</v>
      </c>
      <c r="J171">
        <f t="shared" si="11"/>
        <v>1.2381123272923023</v>
      </c>
    </row>
    <row r="172" spans="4:10">
      <c r="D172" s="62">
        <v>110</v>
      </c>
      <c r="E172" s="62">
        <v>0.78151000000000004</v>
      </c>
      <c r="F172">
        <f t="shared" si="8"/>
        <v>0.16341801259828748</v>
      </c>
      <c r="G172">
        <f t="shared" si="9"/>
        <v>163.41999999999999</v>
      </c>
      <c r="H172">
        <f t="shared" si="10"/>
        <v>202</v>
      </c>
      <c r="J172">
        <f t="shared" si="11"/>
        <v>1.236078815322482</v>
      </c>
    </row>
    <row r="173" spans="4:10">
      <c r="D173" s="62">
        <v>111</v>
      </c>
      <c r="E173" s="62">
        <v>0.76305999999999996</v>
      </c>
      <c r="F173">
        <f t="shared" si="8"/>
        <v>0.15974677505509716</v>
      </c>
      <c r="G173">
        <f t="shared" si="9"/>
        <v>159.75</v>
      </c>
      <c r="H173">
        <f t="shared" si="10"/>
        <v>198</v>
      </c>
      <c r="J173">
        <f t="shared" si="11"/>
        <v>1.2394366197183098</v>
      </c>
    </row>
    <row r="174" spans="4:10">
      <c r="D174" s="62">
        <v>112</v>
      </c>
      <c r="E174" s="62">
        <v>0.74514999999999998</v>
      </c>
      <c r="F174">
        <f t="shared" si="8"/>
        <v>0.15617475857645052</v>
      </c>
      <c r="G174">
        <f t="shared" si="9"/>
        <v>156.16999999999999</v>
      </c>
      <c r="H174">
        <f t="shared" si="10"/>
        <v>193</v>
      </c>
      <c r="J174">
        <f t="shared" si="11"/>
        <v>1.2358327463661396</v>
      </c>
    </row>
    <row r="175" spans="4:10">
      <c r="D175" s="62">
        <v>113</v>
      </c>
      <c r="E175" s="62">
        <v>0.72777000000000003</v>
      </c>
      <c r="F175">
        <f t="shared" si="8"/>
        <v>0.15270066894416692</v>
      </c>
      <c r="G175">
        <f t="shared" si="9"/>
        <v>152.69999999999999</v>
      </c>
      <c r="H175">
        <f t="shared" si="10"/>
        <v>189</v>
      </c>
      <c r="J175">
        <f t="shared" si="11"/>
        <v>1.2377210216110019</v>
      </c>
    </row>
    <row r="176" spans="4:10">
      <c r="D176" s="62">
        <v>114</v>
      </c>
      <c r="E176" s="62">
        <v>0.71089000000000002</v>
      </c>
      <c r="F176">
        <f t="shared" si="8"/>
        <v>0.1493191665144368</v>
      </c>
      <c r="G176">
        <f t="shared" si="9"/>
        <v>149.32</v>
      </c>
      <c r="H176">
        <f t="shared" si="10"/>
        <v>185</v>
      </c>
      <c r="J176">
        <f t="shared" si="11"/>
        <v>1.2389499062416287</v>
      </c>
    </row>
    <row r="177" spans="4:10">
      <c r="D177" s="62">
        <v>115</v>
      </c>
      <c r="E177" s="62">
        <v>0.69450999999999996</v>
      </c>
      <c r="F177">
        <f t="shared" si="8"/>
        <v>0.14603087321617558</v>
      </c>
      <c r="G177">
        <f t="shared" si="9"/>
        <v>146.03</v>
      </c>
      <c r="H177">
        <f t="shared" si="10"/>
        <v>181</v>
      </c>
      <c r="J177">
        <f t="shared" si="11"/>
        <v>1.2394713415051701</v>
      </c>
    </row>
    <row r="178" spans="4:10">
      <c r="D178" s="62">
        <v>116</v>
      </c>
      <c r="E178" s="62">
        <v>0.67861000000000005</v>
      </c>
      <c r="F178">
        <f t="shared" si="8"/>
        <v>0.1428323684306198</v>
      </c>
      <c r="G178">
        <f t="shared" si="9"/>
        <v>142.83000000000001</v>
      </c>
      <c r="H178">
        <f t="shared" si="10"/>
        <v>177</v>
      </c>
      <c r="J178">
        <f t="shared" si="11"/>
        <v>1.2392354547363997</v>
      </c>
    </row>
    <row r="179" spans="4:10">
      <c r="D179" s="62">
        <v>117</v>
      </c>
      <c r="E179" s="62">
        <v>0.66317000000000004</v>
      </c>
      <c r="F179">
        <f t="shared" si="8"/>
        <v>0.13972018435604031</v>
      </c>
      <c r="G179">
        <f t="shared" si="9"/>
        <v>139.72</v>
      </c>
      <c r="H179">
        <f t="shared" si="10"/>
        <v>173</v>
      </c>
      <c r="J179">
        <f t="shared" si="11"/>
        <v>1.2381906670483824</v>
      </c>
    </row>
    <row r="180" spans="4:10">
      <c r="D180" s="62">
        <v>118</v>
      </c>
      <c r="E180" s="62">
        <v>0.64819000000000004</v>
      </c>
      <c r="F180">
        <f t="shared" si="8"/>
        <v>0.1366948509699844</v>
      </c>
      <c r="G180">
        <f t="shared" si="9"/>
        <v>136.69</v>
      </c>
      <c r="H180">
        <f t="shared" si="10"/>
        <v>169</v>
      </c>
      <c r="J180">
        <f t="shared" si="11"/>
        <v>1.2363742775623674</v>
      </c>
    </row>
    <row r="181" spans="4:10">
      <c r="D181" s="62">
        <v>119</v>
      </c>
      <c r="E181" s="62">
        <v>0.63363999999999998</v>
      </c>
      <c r="F181">
        <f t="shared" si="8"/>
        <v>0.13375080915257098</v>
      </c>
      <c r="G181">
        <f t="shared" si="9"/>
        <v>133.75</v>
      </c>
      <c r="H181">
        <f t="shared" si="10"/>
        <v>166</v>
      </c>
      <c r="J181">
        <f t="shared" si="11"/>
        <v>1.2411214953271028</v>
      </c>
    </row>
    <row r="182" spans="4:10">
      <c r="D182" s="62">
        <v>120</v>
      </c>
      <c r="E182" s="62">
        <v>0.61951000000000001</v>
      </c>
      <c r="F182">
        <f t="shared" si="8"/>
        <v>0.13088650028073864</v>
      </c>
      <c r="G182">
        <f t="shared" si="9"/>
        <v>130.88999999999999</v>
      </c>
      <c r="H182">
        <f t="shared" si="10"/>
        <v>162</v>
      </c>
      <c r="J182">
        <f t="shared" si="11"/>
        <v>1.2376804950721982</v>
      </c>
    </row>
    <row r="183" spans="4:10">
      <c r="D183" s="62">
        <v>121</v>
      </c>
      <c r="E183" s="62">
        <v>0.60580999999999996</v>
      </c>
      <c r="F183">
        <f t="shared" si="8"/>
        <v>0.12810440470568332</v>
      </c>
      <c r="G183">
        <f t="shared" si="9"/>
        <v>128.1</v>
      </c>
      <c r="H183">
        <f t="shared" si="10"/>
        <v>158</v>
      </c>
      <c r="J183">
        <f t="shared" si="11"/>
        <v>1.2334113973458236</v>
      </c>
    </row>
    <row r="184" spans="4:10">
      <c r="D184" s="62">
        <v>122</v>
      </c>
      <c r="E184" s="62">
        <v>0.59250000000000003</v>
      </c>
      <c r="F184">
        <f t="shared" si="8"/>
        <v>0.1253968253968254</v>
      </c>
      <c r="G184">
        <f t="shared" si="9"/>
        <v>125.4</v>
      </c>
      <c r="H184">
        <f t="shared" si="10"/>
        <v>155</v>
      </c>
      <c r="J184">
        <f t="shared" si="11"/>
        <v>1.2360446570972887</v>
      </c>
    </row>
    <row r="185" spans="4:10">
      <c r="D185" s="62">
        <v>123</v>
      </c>
      <c r="E185" s="62">
        <v>0.57957999999999998</v>
      </c>
      <c r="F185">
        <f t="shared" si="8"/>
        <v>0.12276415667174595</v>
      </c>
      <c r="G185">
        <f t="shared" si="9"/>
        <v>122.76</v>
      </c>
      <c r="H185">
        <f t="shared" si="10"/>
        <v>152</v>
      </c>
      <c r="J185">
        <f t="shared" si="11"/>
        <v>1.2381883349625284</v>
      </c>
    </row>
    <row r="186" spans="4:10">
      <c r="D186" s="62">
        <v>124</v>
      </c>
      <c r="E186" s="62">
        <v>0.56703999999999999</v>
      </c>
      <c r="F186">
        <f t="shared" si="8"/>
        <v>0.12020474027175364</v>
      </c>
      <c r="G186">
        <f t="shared" si="9"/>
        <v>120.2</v>
      </c>
      <c r="H186">
        <f t="shared" si="10"/>
        <v>149</v>
      </c>
      <c r="J186">
        <f t="shared" si="11"/>
        <v>1.2396006655574043</v>
      </c>
    </row>
    <row r="187" spans="4:10">
      <c r="D187" s="62">
        <v>125</v>
      </c>
      <c r="E187" s="62">
        <v>0.55486999999999997</v>
      </c>
      <c r="F187">
        <f t="shared" si="8"/>
        <v>0.11771689509459095</v>
      </c>
      <c r="G187">
        <f t="shared" si="9"/>
        <v>117.72</v>
      </c>
      <c r="H187">
        <f t="shared" si="10"/>
        <v>146</v>
      </c>
      <c r="J187">
        <f t="shared" si="11"/>
        <v>1.2402310567448183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8"/>
  <dimension ref="C3:AB53"/>
  <sheetViews>
    <sheetView topLeftCell="B37" workbookViewId="0">
      <selection activeCell="H22" sqref="H22"/>
    </sheetView>
  </sheetViews>
  <sheetFormatPr defaultRowHeight="16.5"/>
  <cols>
    <col min="3" max="3" width="11.5" customWidth="1"/>
    <col min="4" max="4" width="12.75" customWidth="1"/>
    <col min="5" max="5" width="13" customWidth="1"/>
    <col min="8" max="8" width="14.375" customWidth="1"/>
    <col min="9" max="9" width="15.5" customWidth="1"/>
    <col min="12" max="12" width="9" style="7"/>
    <col min="13" max="13" width="12.25" customWidth="1"/>
    <col min="14" max="14" width="12.375" customWidth="1"/>
    <col min="15" max="15" width="13" customWidth="1"/>
    <col min="25" max="25" width="13.625" customWidth="1"/>
  </cols>
  <sheetData>
    <row r="3" spans="3:21">
      <c r="C3" s="3" t="s">
        <v>12</v>
      </c>
      <c r="M3" s="3" t="s">
        <v>35</v>
      </c>
    </row>
    <row r="5" spans="3:21">
      <c r="C5" t="s">
        <v>0</v>
      </c>
      <c r="D5" s="1">
        <f>10/3</f>
        <v>3.3333333333333335</v>
      </c>
      <c r="E5" t="s">
        <v>8</v>
      </c>
      <c r="F5">
        <f>D5/1000</f>
        <v>3.3333333333333335E-3</v>
      </c>
      <c r="G5" t="s">
        <v>3</v>
      </c>
      <c r="M5" t="s">
        <v>0</v>
      </c>
      <c r="N5" s="1">
        <f>10/3</f>
        <v>3.3333333333333335</v>
      </c>
      <c r="O5" t="s">
        <v>8</v>
      </c>
      <c r="P5">
        <f>N5/1000</f>
        <v>3.3333333333333335E-3</v>
      </c>
      <c r="Q5" t="s">
        <v>3</v>
      </c>
    </row>
    <row r="6" spans="3:21">
      <c r="C6" t="s">
        <v>1</v>
      </c>
      <c r="M6" t="s">
        <v>1</v>
      </c>
    </row>
    <row r="7" spans="3:21">
      <c r="C7" t="s">
        <v>2</v>
      </c>
      <c r="D7" s="1">
        <v>68</v>
      </c>
      <c r="E7" t="s">
        <v>5</v>
      </c>
      <c r="M7" t="s">
        <v>2</v>
      </c>
      <c r="N7" s="1">
        <v>80.599999999999994</v>
      </c>
      <c r="O7" t="s">
        <v>5</v>
      </c>
    </row>
    <row r="8" spans="3:21">
      <c r="C8" t="s">
        <v>4</v>
      </c>
      <c r="D8" s="1">
        <v>1</v>
      </c>
      <c r="E8" t="s">
        <v>5</v>
      </c>
      <c r="M8" t="s">
        <v>4</v>
      </c>
      <c r="N8" s="1">
        <v>4.12</v>
      </c>
      <c r="O8" t="s">
        <v>5</v>
      </c>
    </row>
    <row r="9" spans="3:21">
      <c r="C9" t="s">
        <v>6</v>
      </c>
      <c r="D9" t="s">
        <v>7</v>
      </c>
      <c r="E9" s="1">
        <f>D7/D8</f>
        <v>68</v>
      </c>
      <c r="M9" t="s">
        <v>6</v>
      </c>
      <c r="N9" t="s">
        <v>7</v>
      </c>
      <c r="O9" s="1">
        <v>23.3</v>
      </c>
      <c r="P9" s="1">
        <f>N7/N8</f>
        <v>19.563106796116504</v>
      </c>
    </row>
    <row r="10" spans="3:21">
      <c r="C10" s="5" t="s">
        <v>14</v>
      </c>
      <c r="M10" s="5" t="s">
        <v>14</v>
      </c>
    </row>
    <row r="11" spans="3:21">
      <c r="C11" t="s">
        <v>15</v>
      </c>
      <c r="D11" s="1">
        <v>10</v>
      </c>
      <c r="E11" t="s">
        <v>16</v>
      </c>
      <c r="F11" s="1">
        <f>2^D11</f>
        <v>1024</v>
      </c>
      <c r="M11" t="s">
        <v>15</v>
      </c>
      <c r="N11" s="1">
        <v>10</v>
      </c>
      <c r="O11" t="s">
        <v>16</v>
      </c>
      <c r="P11" s="1">
        <f>2^N11</f>
        <v>1024</v>
      </c>
      <c r="R11" t="s">
        <v>31</v>
      </c>
    </row>
    <row r="12" spans="3:21">
      <c r="C12" t="s">
        <v>17</v>
      </c>
      <c r="D12" s="1">
        <v>2.5</v>
      </c>
      <c r="E12" t="s">
        <v>18</v>
      </c>
      <c r="G12" t="s">
        <v>31</v>
      </c>
      <c r="M12" t="s">
        <v>17</v>
      </c>
      <c r="N12" s="1">
        <v>2.5</v>
      </c>
      <c r="O12" t="s">
        <v>18</v>
      </c>
      <c r="R12" s="6" t="s">
        <v>36</v>
      </c>
      <c r="S12" s="2"/>
      <c r="T12" s="2"/>
      <c r="U12" s="2"/>
    </row>
    <row r="13" spans="3:21">
      <c r="C13" t="s">
        <v>20</v>
      </c>
      <c r="D13">
        <f>D12/F11*1000</f>
        <v>2.44140625</v>
      </c>
      <c r="E13" t="s">
        <v>19</v>
      </c>
      <c r="G13" s="6" t="s">
        <v>36</v>
      </c>
      <c r="H13" s="2"/>
      <c r="I13" s="2"/>
      <c r="J13" s="2"/>
      <c r="K13" s="2"/>
      <c r="M13" t="s">
        <v>20</v>
      </c>
      <c r="N13">
        <f>N12/P11*1000</f>
        <v>2.44140625</v>
      </c>
      <c r="O13" t="s">
        <v>19</v>
      </c>
    </row>
    <row r="14" spans="3:21">
      <c r="C14" t="s">
        <v>65</v>
      </c>
      <c r="M14" t="s">
        <v>65</v>
      </c>
      <c r="N14" s="1">
        <v>5</v>
      </c>
    </row>
    <row r="16" spans="3:21">
      <c r="C16" t="s">
        <v>9</v>
      </c>
      <c r="D16" t="s">
        <v>10</v>
      </c>
      <c r="E16" t="s">
        <v>11</v>
      </c>
      <c r="F16" t="s">
        <v>13</v>
      </c>
      <c r="H16" t="s">
        <v>31</v>
      </c>
      <c r="I16" t="s">
        <v>37</v>
      </c>
      <c r="M16" t="s">
        <v>9</v>
      </c>
      <c r="N16" t="s">
        <v>10</v>
      </c>
      <c r="O16" t="s">
        <v>11</v>
      </c>
      <c r="P16" t="s">
        <v>13</v>
      </c>
      <c r="R16" t="s">
        <v>31</v>
      </c>
    </row>
    <row r="17" spans="3:28">
      <c r="C17">
        <v>50</v>
      </c>
      <c r="D17">
        <f>ROUND(C17*$F$5,3)</f>
        <v>0.16700000000000001</v>
      </c>
      <c r="E17">
        <f>D17*$E$9</f>
        <v>11.356</v>
      </c>
      <c r="F17">
        <f>ROUNDDOWN(E17/$D$13,0)</f>
        <v>4</v>
      </c>
      <c r="H17">
        <f>F17/C17</f>
        <v>0.08</v>
      </c>
      <c r="I17">
        <f>F17/(C17/10)</f>
        <v>0.8</v>
      </c>
      <c r="M17">
        <v>50</v>
      </c>
      <c r="N17">
        <f>ROUND(M17*$P$5,3)</f>
        <v>0.16700000000000001</v>
      </c>
      <c r="O17">
        <f>N17*$O$9</f>
        <v>3.8911000000000002</v>
      </c>
      <c r="P17">
        <f>ROUNDDOWN(O17/$N$13,0)</f>
        <v>1</v>
      </c>
      <c r="R17">
        <f>P17/M17</f>
        <v>0.02</v>
      </c>
    </row>
    <row r="18" spans="3:28">
      <c r="C18">
        <v>100</v>
      </c>
      <c r="D18">
        <f t="shared" ref="D18:D53" si="0">ROUND(C18*$F$5,3)</f>
        <v>0.33300000000000002</v>
      </c>
      <c r="E18">
        <f t="shared" ref="E18:E53" si="1">D18*$E$9</f>
        <v>22.644000000000002</v>
      </c>
      <c r="F18">
        <f t="shared" ref="F18:F53" si="2">ROUNDDOWN(E18/$D$13,0)</f>
        <v>9</v>
      </c>
      <c r="H18">
        <f t="shared" ref="H18:H53" si="3">F18/C18</f>
        <v>0.09</v>
      </c>
      <c r="I18">
        <f t="shared" ref="I18:I53" si="4">F18/(C18/10)</f>
        <v>0.9</v>
      </c>
      <c r="M18">
        <v>100</v>
      </c>
      <c r="N18">
        <f t="shared" ref="N18:N53" si="5">ROUND(M18*$P$5,3)</f>
        <v>0.33300000000000002</v>
      </c>
      <c r="O18">
        <f t="shared" ref="O18:O53" si="6">N18*$O$9</f>
        <v>7.7589000000000006</v>
      </c>
      <c r="P18">
        <f t="shared" ref="P18:P53" si="7">ROUNDDOWN(O18/$N$13,0)</f>
        <v>3</v>
      </c>
      <c r="R18">
        <f t="shared" ref="R18:R53" si="8">P18/M18</f>
        <v>0.03</v>
      </c>
    </row>
    <row r="19" spans="3:28">
      <c r="C19">
        <v>150</v>
      </c>
      <c r="D19">
        <f t="shared" si="0"/>
        <v>0.5</v>
      </c>
      <c r="E19">
        <f t="shared" si="1"/>
        <v>34</v>
      </c>
      <c r="F19">
        <f t="shared" si="2"/>
        <v>13</v>
      </c>
      <c r="H19">
        <f t="shared" si="3"/>
        <v>8.666666666666667E-2</v>
      </c>
      <c r="I19">
        <f t="shared" si="4"/>
        <v>0.8666666666666667</v>
      </c>
      <c r="M19">
        <v>500</v>
      </c>
      <c r="N19">
        <f t="shared" si="5"/>
        <v>1.667</v>
      </c>
      <c r="O19">
        <f t="shared" si="6"/>
        <v>38.841100000000004</v>
      </c>
      <c r="P19">
        <f t="shared" si="7"/>
        <v>15</v>
      </c>
      <c r="R19">
        <f t="shared" si="8"/>
        <v>0.03</v>
      </c>
    </row>
    <row r="20" spans="3:28">
      <c r="C20">
        <v>200</v>
      </c>
      <c r="D20">
        <f t="shared" si="0"/>
        <v>0.66700000000000004</v>
      </c>
      <c r="E20">
        <f t="shared" si="1"/>
        <v>45.356000000000002</v>
      </c>
      <c r="F20">
        <f t="shared" si="2"/>
        <v>18</v>
      </c>
      <c r="H20">
        <f t="shared" si="3"/>
        <v>0.09</v>
      </c>
      <c r="I20">
        <f t="shared" si="4"/>
        <v>0.9</v>
      </c>
      <c r="M20">
        <v>1000</v>
      </c>
      <c r="N20">
        <f t="shared" si="5"/>
        <v>3.3330000000000002</v>
      </c>
      <c r="O20">
        <f t="shared" si="6"/>
        <v>77.658900000000003</v>
      </c>
      <c r="P20">
        <f t="shared" si="7"/>
        <v>31</v>
      </c>
      <c r="R20">
        <f t="shared" si="8"/>
        <v>3.1E-2</v>
      </c>
    </row>
    <row r="21" spans="3:28">
      <c r="C21">
        <v>250</v>
      </c>
      <c r="D21">
        <f t="shared" si="0"/>
        <v>0.83299999999999996</v>
      </c>
      <c r="E21">
        <f t="shared" si="1"/>
        <v>56.643999999999998</v>
      </c>
      <c r="F21">
        <f t="shared" si="2"/>
        <v>23</v>
      </c>
      <c r="H21">
        <f t="shared" si="3"/>
        <v>9.1999999999999998E-2</v>
      </c>
      <c r="I21">
        <f t="shared" si="4"/>
        <v>0.92</v>
      </c>
      <c r="M21">
        <v>1500</v>
      </c>
      <c r="N21">
        <f t="shared" si="5"/>
        <v>5</v>
      </c>
      <c r="O21">
        <f t="shared" si="6"/>
        <v>116.5</v>
      </c>
      <c r="P21">
        <f t="shared" si="7"/>
        <v>47</v>
      </c>
      <c r="R21">
        <f t="shared" si="8"/>
        <v>3.1333333333333331E-2</v>
      </c>
    </row>
    <row r="22" spans="3:28">
      <c r="C22">
        <v>300</v>
      </c>
      <c r="D22">
        <f t="shared" si="0"/>
        <v>1</v>
      </c>
      <c r="E22">
        <f t="shared" si="1"/>
        <v>68</v>
      </c>
      <c r="F22">
        <f t="shared" si="2"/>
        <v>27</v>
      </c>
      <c r="H22">
        <f t="shared" si="3"/>
        <v>0.09</v>
      </c>
      <c r="I22">
        <f t="shared" si="4"/>
        <v>0.9</v>
      </c>
      <c r="M22">
        <v>2000</v>
      </c>
      <c r="N22">
        <f t="shared" si="5"/>
        <v>6.6669999999999998</v>
      </c>
      <c r="O22">
        <f t="shared" si="6"/>
        <v>155.34110000000001</v>
      </c>
      <c r="P22">
        <f t="shared" si="7"/>
        <v>63</v>
      </c>
      <c r="R22">
        <f t="shared" si="8"/>
        <v>3.15E-2</v>
      </c>
    </row>
    <row r="23" spans="3:28">
      <c r="C23">
        <v>350</v>
      </c>
      <c r="D23">
        <f t="shared" si="0"/>
        <v>1.167</v>
      </c>
      <c r="E23">
        <f t="shared" si="1"/>
        <v>79.356000000000009</v>
      </c>
      <c r="F23">
        <f t="shared" si="2"/>
        <v>32</v>
      </c>
      <c r="H23">
        <f t="shared" si="3"/>
        <v>9.1428571428571428E-2</v>
      </c>
      <c r="I23">
        <f t="shared" si="4"/>
        <v>0.91428571428571426</v>
      </c>
      <c r="M23">
        <v>2500</v>
      </c>
      <c r="N23">
        <f t="shared" si="5"/>
        <v>8.3330000000000002</v>
      </c>
      <c r="O23">
        <f t="shared" si="6"/>
        <v>194.15890000000002</v>
      </c>
      <c r="P23">
        <f t="shared" si="7"/>
        <v>79</v>
      </c>
      <c r="R23">
        <f t="shared" si="8"/>
        <v>3.1600000000000003E-2</v>
      </c>
    </row>
    <row r="24" spans="3:28">
      <c r="C24">
        <v>400</v>
      </c>
      <c r="D24">
        <f t="shared" si="0"/>
        <v>1.333</v>
      </c>
      <c r="E24">
        <f t="shared" si="1"/>
        <v>90.643999999999991</v>
      </c>
      <c r="F24">
        <f t="shared" si="2"/>
        <v>37</v>
      </c>
      <c r="H24">
        <f t="shared" si="3"/>
        <v>9.2499999999999999E-2</v>
      </c>
      <c r="I24">
        <f t="shared" si="4"/>
        <v>0.92500000000000004</v>
      </c>
      <c r="M24">
        <v>3000</v>
      </c>
      <c r="N24">
        <f t="shared" si="5"/>
        <v>10</v>
      </c>
      <c r="O24">
        <f t="shared" si="6"/>
        <v>233</v>
      </c>
      <c r="P24">
        <f t="shared" si="7"/>
        <v>95</v>
      </c>
      <c r="R24">
        <f t="shared" si="8"/>
        <v>3.1666666666666669E-2</v>
      </c>
    </row>
    <row r="25" spans="3:28">
      <c r="C25">
        <v>500</v>
      </c>
      <c r="D25">
        <f t="shared" si="0"/>
        <v>1.667</v>
      </c>
      <c r="E25">
        <f t="shared" si="1"/>
        <v>113.35600000000001</v>
      </c>
      <c r="F25">
        <f t="shared" si="2"/>
        <v>46</v>
      </c>
      <c r="H25">
        <f t="shared" si="3"/>
        <v>9.1999999999999998E-2</v>
      </c>
      <c r="I25">
        <f t="shared" si="4"/>
        <v>0.92</v>
      </c>
      <c r="M25">
        <v>3500</v>
      </c>
      <c r="N25">
        <f t="shared" si="5"/>
        <v>11.667</v>
      </c>
      <c r="O25">
        <f t="shared" si="6"/>
        <v>271.84109999999998</v>
      </c>
      <c r="P25">
        <f t="shared" si="7"/>
        <v>111</v>
      </c>
      <c r="R25">
        <f t="shared" si="8"/>
        <v>3.1714285714285716E-2</v>
      </c>
    </row>
    <row r="26" spans="3:28">
      <c r="C26">
        <v>1000</v>
      </c>
      <c r="D26">
        <f t="shared" si="0"/>
        <v>3.3330000000000002</v>
      </c>
      <c r="E26">
        <f t="shared" si="1"/>
        <v>226.64400000000001</v>
      </c>
      <c r="F26">
        <f t="shared" si="2"/>
        <v>92</v>
      </c>
      <c r="H26">
        <f t="shared" si="3"/>
        <v>9.1999999999999998E-2</v>
      </c>
      <c r="I26">
        <f t="shared" si="4"/>
        <v>0.92</v>
      </c>
      <c r="M26">
        <v>4000</v>
      </c>
      <c r="N26">
        <f t="shared" si="5"/>
        <v>13.333</v>
      </c>
      <c r="O26">
        <f t="shared" si="6"/>
        <v>310.65890000000002</v>
      </c>
      <c r="P26">
        <f t="shared" si="7"/>
        <v>127</v>
      </c>
      <c r="R26">
        <f t="shared" si="8"/>
        <v>3.175E-2</v>
      </c>
    </row>
    <row r="27" spans="3:28">
      <c r="C27">
        <v>2000</v>
      </c>
      <c r="D27">
        <f t="shared" si="0"/>
        <v>6.6669999999999998</v>
      </c>
      <c r="E27">
        <f t="shared" si="1"/>
        <v>453.35599999999999</v>
      </c>
      <c r="F27">
        <f t="shared" si="2"/>
        <v>185</v>
      </c>
      <c r="H27">
        <f t="shared" si="3"/>
        <v>9.2499999999999999E-2</v>
      </c>
      <c r="I27">
        <f t="shared" si="4"/>
        <v>0.92500000000000004</v>
      </c>
      <c r="M27">
        <v>4500</v>
      </c>
      <c r="N27">
        <f t="shared" si="5"/>
        <v>15</v>
      </c>
      <c r="O27">
        <f t="shared" si="6"/>
        <v>349.5</v>
      </c>
      <c r="P27">
        <f t="shared" si="7"/>
        <v>143</v>
      </c>
      <c r="R27">
        <f t="shared" si="8"/>
        <v>3.177777777777778E-2</v>
      </c>
    </row>
    <row r="28" spans="3:28">
      <c r="C28">
        <v>3000</v>
      </c>
      <c r="D28">
        <f t="shared" si="0"/>
        <v>10</v>
      </c>
      <c r="E28">
        <f t="shared" si="1"/>
        <v>680</v>
      </c>
      <c r="F28">
        <f t="shared" si="2"/>
        <v>278</v>
      </c>
      <c r="H28">
        <f t="shared" si="3"/>
        <v>9.2666666666666661E-2</v>
      </c>
      <c r="I28">
        <f t="shared" si="4"/>
        <v>0.92666666666666664</v>
      </c>
      <c r="M28">
        <v>5000</v>
      </c>
      <c r="N28">
        <f t="shared" si="5"/>
        <v>16.667000000000002</v>
      </c>
      <c r="O28">
        <f t="shared" si="6"/>
        <v>388.34110000000004</v>
      </c>
      <c r="P28">
        <f t="shared" si="7"/>
        <v>159</v>
      </c>
      <c r="R28">
        <f t="shared" si="8"/>
        <v>3.1800000000000002E-2</v>
      </c>
    </row>
    <row r="29" spans="3:28">
      <c r="C29">
        <v>4000</v>
      </c>
      <c r="D29">
        <f t="shared" si="0"/>
        <v>13.333</v>
      </c>
      <c r="E29">
        <f t="shared" si="1"/>
        <v>906.64400000000001</v>
      </c>
      <c r="F29">
        <f t="shared" si="2"/>
        <v>371</v>
      </c>
      <c r="H29">
        <f t="shared" si="3"/>
        <v>9.2749999999999999E-2</v>
      </c>
      <c r="I29">
        <f t="shared" si="4"/>
        <v>0.92749999999999999</v>
      </c>
      <c r="M29">
        <v>5500</v>
      </c>
      <c r="N29">
        <f t="shared" si="5"/>
        <v>18.332999999999998</v>
      </c>
      <c r="O29">
        <f t="shared" si="6"/>
        <v>427.15889999999996</v>
      </c>
      <c r="P29">
        <f t="shared" si="7"/>
        <v>174</v>
      </c>
      <c r="R29">
        <f t="shared" si="8"/>
        <v>3.1636363636363636E-2</v>
      </c>
    </row>
    <row r="30" spans="3:28">
      <c r="C30">
        <v>5000</v>
      </c>
      <c r="D30">
        <f t="shared" si="0"/>
        <v>16.667000000000002</v>
      </c>
      <c r="E30">
        <f t="shared" si="1"/>
        <v>1133.3560000000002</v>
      </c>
      <c r="F30">
        <f t="shared" si="2"/>
        <v>464</v>
      </c>
      <c r="H30">
        <f t="shared" si="3"/>
        <v>9.2799999999999994E-2</v>
      </c>
      <c r="I30">
        <f t="shared" si="4"/>
        <v>0.92800000000000005</v>
      </c>
      <c r="M30">
        <v>6000</v>
      </c>
      <c r="N30">
        <f t="shared" si="5"/>
        <v>20</v>
      </c>
      <c r="O30">
        <f t="shared" si="6"/>
        <v>466</v>
      </c>
      <c r="P30">
        <f t="shared" si="7"/>
        <v>190</v>
      </c>
      <c r="R30">
        <f t="shared" si="8"/>
        <v>3.1666666666666669E-2</v>
      </c>
      <c r="Y30">
        <v>3.3333300000000001</v>
      </c>
    </row>
    <row r="31" spans="3:28">
      <c r="C31">
        <v>6000</v>
      </c>
      <c r="D31">
        <f t="shared" si="0"/>
        <v>20</v>
      </c>
      <c r="E31">
        <f t="shared" si="1"/>
        <v>1360</v>
      </c>
      <c r="F31">
        <f t="shared" si="2"/>
        <v>557</v>
      </c>
      <c r="H31">
        <f t="shared" si="3"/>
        <v>9.2833333333333337E-2</v>
      </c>
      <c r="I31">
        <f t="shared" si="4"/>
        <v>0.92833333333333334</v>
      </c>
      <c r="M31">
        <v>6500</v>
      </c>
      <c r="N31">
        <f t="shared" si="5"/>
        <v>21.667000000000002</v>
      </c>
      <c r="O31">
        <f t="shared" si="6"/>
        <v>504.84110000000004</v>
      </c>
      <c r="P31">
        <f t="shared" si="7"/>
        <v>206</v>
      </c>
      <c r="R31">
        <f t="shared" si="8"/>
        <v>3.1692307692307693E-2</v>
      </c>
      <c r="W31" t="s">
        <v>67</v>
      </c>
      <c r="Y31" t="s">
        <v>68</v>
      </c>
      <c r="Z31" t="s">
        <v>66</v>
      </c>
    </row>
    <row r="32" spans="3:28">
      <c r="C32" s="9">
        <v>6500</v>
      </c>
      <c r="D32" s="9">
        <f t="shared" si="0"/>
        <v>21.667000000000002</v>
      </c>
      <c r="E32" s="9">
        <f t="shared" si="1"/>
        <v>1473.3560000000002</v>
      </c>
      <c r="F32" s="9">
        <f t="shared" si="2"/>
        <v>603</v>
      </c>
      <c r="G32" s="9"/>
      <c r="H32" s="9">
        <f t="shared" si="3"/>
        <v>9.276923076923077E-2</v>
      </c>
      <c r="I32" s="9">
        <f t="shared" si="4"/>
        <v>0.9276923076923077</v>
      </c>
      <c r="M32">
        <v>7000</v>
      </c>
      <c r="N32">
        <f t="shared" si="5"/>
        <v>23.332999999999998</v>
      </c>
      <c r="O32">
        <f t="shared" si="6"/>
        <v>543.65890000000002</v>
      </c>
      <c r="P32">
        <f t="shared" si="7"/>
        <v>222</v>
      </c>
      <c r="R32">
        <f t="shared" si="8"/>
        <v>3.1714285714285716E-2</v>
      </c>
      <c r="W32">
        <v>11</v>
      </c>
      <c r="X32">
        <f>W32*10</f>
        <v>110</v>
      </c>
      <c r="Y32">
        <f>W32*$Y$30</f>
        <v>36.666629999999998</v>
      </c>
      <c r="Z32">
        <v>117.1</v>
      </c>
      <c r="AB32">
        <f>Z32/Y32</f>
        <v>3.1936395572759211</v>
      </c>
    </row>
    <row r="33" spans="3:28">
      <c r="C33">
        <v>8000</v>
      </c>
      <c r="D33">
        <f t="shared" si="0"/>
        <v>26.667000000000002</v>
      </c>
      <c r="E33">
        <f t="shared" si="1"/>
        <v>1813.3560000000002</v>
      </c>
      <c r="F33">
        <f t="shared" si="2"/>
        <v>742</v>
      </c>
      <c r="H33">
        <f t="shared" si="3"/>
        <v>9.2749999999999999E-2</v>
      </c>
      <c r="I33">
        <f t="shared" si="4"/>
        <v>0.92749999999999999</v>
      </c>
      <c r="M33">
        <v>7500</v>
      </c>
      <c r="N33">
        <f t="shared" si="5"/>
        <v>25</v>
      </c>
      <c r="O33">
        <f t="shared" si="6"/>
        <v>582.5</v>
      </c>
      <c r="P33">
        <f t="shared" si="7"/>
        <v>238</v>
      </c>
      <c r="R33">
        <f t="shared" si="8"/>
        <v>3.1733333333333336E-2</v>
      </c>
      <c r="W33">
        <v>9.5</v>
      </c>
      <c r="X33">
        <f>W33*10</f>
        <v>95</v>
      </c>
      <c r="Y33">
        <f>W33*$Y$30</f>
        <v>31.666634999999999</v>
      </c>
      <c r="Z33">
        <v>101.9</v>
      </c>
      <c r="AB33">
        <f>Z33/Y33</f>
        <v>3.2178979547400601</v>
      </c>
    </row>
    <row r="34" spans="3:28">
      <c r="C34">
        <v>9000</v>
      </c>
      <c r="D34">
        <f t="shared" si="0"/>
        <v>30</v>
      </c>
      <c r="E34">
        <f t="shared" si="1"/>
        <v>2040</v>
      </c>
      <c r="F34">
        <f t="shared" si="2"/>
        <v>835</v>
      </c>
      <c r="H34">
        <f t="shared" si="3"/>
        <v>9.2777777777777778E-2</v>
      </c>
      <c r="I34">
        <f t="shared" si="4"/>
        <v>0.92777777777777781</v>
      </c>
      <c r="M34">
        <v>8000</v>
      </c>
      <c r="N34">
        <f t="shared" si="5"/>
        <v>26.667000000000002</v>
      </c>
      <c r="O34">
        <f t="shared" si="6"/>
        <v>621.3411000000001</v>
      </c>
      <c r="P34">
        <f t="shared" si="7"/>
        <v>254</v>
      </c>
      <c r="R34">
        <f t="shared" si="8"/>
        <v>3.175E-2</v>
      </c>
      <c r="W34">
        <v>9</v>
      </c>
      <c r="X34">
        <f t="shared" ref="X34:X42" si="9">W34*10</f>
        <v>90</v>
      </c>
      <c r="Y34">
        <f t="shared" ref="Y34:Y42" si="10">W34*$Y$30</f>
        <v>29.999970000000001</v>
      </c>
      <c r="Z34">
        <v>97.2</v>
      </c>
      <c r="AB34">
        <f t="shared" ref="AB34:AB42" si="11">Z34/Y34</f>
        <v>3.2400032400032401</v>
      </c>
    </row>
    <row r="35" spans="3:28">
      <c r="C35">
        <v>10000</v>
      </c>
      <c r="D35">
        <f t="shared" si="0"/>
        <v>33.332999999999998</v>
      </c>
      <c r="E35">
        <f t="shared" si="1"/>
        <v>2266.6439999999998</v>
      </c>
      <c r="F35">
        <f t="shared" si="2"/>
        <v>928</v>
      </c>
      <c r="H35">
        <f t="shared" si="3"/>
        <v>9.2799999999999994E-2</v>
      </c>
      <c r="I35">
        <f t="shared" si="4"/>
        <v>0.92800000000000005</v>
      </c>
      <c r="M35">
        <v>8500</v>
      </c>
      <c r="N35">
        <f t="shared" si="5"/>
        <v>28.332999999999998</v>
      </c>
      <c r="O35">
        <f t="shared" si="6"/>
        <v>660.15890000000002</v>
      </c>
      <c r="P35">
        <f t="shared" si="7"/>
        <v>270</v>
      </c>
      <c r="R35">
        <f t="shared" si="8"/>
        <v>3.1764705882352938E-2</v>
      </c>
      <c r="W35">
        <v>8</v>
      </c>
      <c r="X35">
        <f t="shared" si="9"/>
        <v>80</v>
      </c>
      <c r="Y35">
        <f t="shared" si="10"/>
        <v>26.666640000000001</v>
      </c>
      <c r="Z35">
        <v>83.3</v>
      </c>
      <c r="AB35">
        <f t="shared" si="11"/>
        <v>3.1237531237531235</v>
      </c>
    </row>
    <row r="36" spans="3:28">
      <c r="C36">
        <v>11000</v>
      </c>
      <c r="D36">
        <f t="shared" si="0"/>
        <v>36.667000000000002</v>
      </c>
      <c r="E36">
        <f t="shared" si="1"/>
        <v>2493.3560000000002</v>
      </c>
      <c r="F36">
        <f t="shared" si="2"/>
        <v>1021</v>
      </c>
      <c r="H36">
        <f t="shared" si="3"/>
        <v>9.2818181818181814E-2</v>
      </c>
      <c r="I36">
        <f t="shared" si="4"/>
        <v>0.92818181818181822</v>
      </c>
      <c r="M36">
        <v>9000</v>
      </c>
      <c r="N36">
        <f t="shared" si="5"/>
        <v>30</v>
      </c>
      <c r="O36">
        <f t="shared" si="6"/>
        <v>699</v>
      </c>
      <c r="P36">
        <f t="shared" si="7"/>
        <v>286</v>
      </c>
      <c r="R36">
        <f t="shared" si="8"/>
        <v>3.177777777777778E-2</v>
      </c>
      <c r="W36">
        <v>7</v>
      </c>
      <c r="X36">
        <f t="shared" si="9"/>
        <v>70</v>
      </c>
      <c r="Y36">
        <f t="shared" si="10"/>
        <v>23.333310000000001</v>
      </c>
      <c r="Z36">
        <v>73.5</v>
      </c>
      <c r="AB36">
        <f t="shared" si="11"/>
        <v>3.1500031500031498</v>
      </c>
    </row>
    <row r="37" spans="3:28">
      <c r="C37">
        <v>12000</v>
      </c>
      <c r="D37">
        <f t="shared" si="0"/>
        <v>40</v>
      </c>
      <c r="E37">
        <f t="shared" si="1"/>
        <v>2720</v>
      </c>
      <c r="F37">
        <f t="shared" si="2"/>
        <v>1114</v>
      </c>
      <c r="H37">
        <f t="shared" si="3"/>
        <v>9.2833333333333337E-2</v>
      </c>
      <c r="I37">
        <f t="shared" si="4"/>
        <v>0.92833333333333334</v>
      </c>
      <c r="M37">
        <v>9500</v>
      </c>
      <c r="N37">
        <f t="shared" si="5"/>
        <v>31.667000000000002</v>
      </c>
      <c r="O37">
        <f t="shared" si="6"/>
        <v>737.8411000000001</v>
      </c>
      <c r="P37">
        <f t="shared" si="7"/>
        <v>302</v>
      </c>
      <c r="R37">
        <f t="shared" si="8"/>
        <v>3.1789473684210527E-2</v>
      </c>
      <c r="W37">
        <v>6</v>
      </c>
      <c r="X37">
        <f t="shared" si="9"/>
        <v>60</v>
      </c>
      <c r="Y37">
        <f t="shared" si="10"/>
        <v>19.999980000000001</v>
      </c>
      <c r="Z37">
        <v>64.010000000000005</v>
      </c>
      <c r="AB37">
        <f t="shared" si="11"/>
        <v>3.2005032005032006</v>
      </c>
    </row>
    <row r="38" spans="3:28">
      <c r="C38">
        <v>13000</v>
      </c>
      <c r="D38">
        <f t="shared" si="0"/>
        <v>43.332999999999998</v>
      </c>
      <c r="E38">
        <f t="shared" si="1"/>
        <v>2946.6439999999998</v>
      </c>
      <c r="F38">
        <f t="shared" si="2"/>
        <v>1206</v>
      </c>
      <c r="H38">
        <f t="shared" si="3"/>
        <v>9.276923076923077E-2</v>
      </c>
      <c r="I38">
        <f t="shared" si="4"/>
        <v>0.9276923076923077</v>
      </c>
      <c r="M38">
        <v>10000</v>
      </c>
      <c r="N38">
        <f t="shared" si="5"/>
        <v>33.332999999999998</v>
      </c>
      <c r="O38">
        <f t="shared" si="6"/>
        <v>776.65890000000002</v>
      </c>
      <c r="P38">
        <f t="shared" si="7"/>
        <v>318</v>
      </c>
      <c r="R38">
        <f t="shared" si="8"/>
        <v>3.1800000000000002E-2</v>
      </c>
      <c r="W38">
        <v>5</v>
      </c>
      <c r="X38">
        <f t="shared" si="9"/>
        <v>50</v>
      </c>
      <c r="Y38">
        <f t="shared" si="10"/>
        <v>16.666650000000001</v>
      </c>
      <c r="Z38">
        <v>53.2</v>
      </c>
      <c r="AB38">
        <f t="shared" si="11"/>
        <v>3.1920031920031922</v>
      </c>
    </row>
    <row r="39" spans="3:28">
      <c r="C39">
        <v>14000</v>
      </c>
      <c r="D39">
        <f t="shared" si="0"/>
        <v>46.667000000000002</v>
      </c>
      <c r="E39">
        <f t="shared" si="1"/>
        <v>3173.3560000000002</v>
      </c>
      <c r="F39">
        <f t="shared" si="2"/>
        <v>1299</v>
      </c>
      <c r="H39">
        <f t="shared" si="3"/>
        <v>9.2785714285714291E-2</v>
      </c>
      <c r="I39">
        <f t="shared" si="4"/>
        <v>0.92785714285714282</v>
      </c>
      <c r="M39">
        <v>20000</v>
      </c>
      <c r="N39">
        <f t="shared" si="5"/>
        <v>66.667000000000002</v>
      </c>
      <c r="O39">
        <f t="shared" si="6"/>
        <v>1553.3411000000001</v>
      </c>
      <c r="P39">
        <f t="shared" si="7"/>
        <v>636</v>
      </c>
      <c r="R39">
        <f t="shared" si="8"/>
        <v>3.1800000000000002E-2</v>
      </c>
      <c r="W39">
        <v>4</v>
      </c>
      <c r="X39">
        <f t="shared" si="9"/>
        <v>40</v>
      </c>
      <c r="Y39">
        <f t="shared" si="10"/>
        <v>13.333320000000001</v>
      </c>
      <c r="Z39">
        <v>42</v>
      </c>
      <c r="AB39">
        <f t="shared" si="11"/>
        <v>3.1500031500031498</v>
      </c>
    </row>
    <row r="40" spans="3:28">
      <c r="C40">
        <v>15000</v>
      </c>
      <c r="D40">
        <f t="shared" si="0"/>
        <v>50</v>
      </c>
      <c r="E40">
        <f t="shared" si="1"/>
        <v>3400</v>
      </c>
      <c r="F40">
        <f t="shared" si="2"/>
        <v>1392</v>
      </c>
      <c r="H40">
        <f t="shared" si="3"/>
        <v>9.2799999999999994E-2</v>
      </c>
      <c r="I40">
        <f t="shared" si="4"/>
        <v>0.92800000000000005</v>
      </c>
      <c r="M40">
        <v>30000</v>
      </c>
      <c r="N40">
        <f t="shared" si="5"/>
        <v>100</v>
      </c>
      <c r="O40">
        <f t="shared" si="6"/>
        <v>2330</v>
      </c>
      <c r="P40">
        <f t="shared" si="7"/>
        <v>954</v>
      </c>
      <c r="R40">
        <f t="shared" si="8"/>
        <v>3.1800000000000002E-2</v>
      </c>
      <c r="W40">
        <v>3</v>
      </c>
      <c r="X40">
        <f t="shared" si="9"/>
        <v>30</v>
      </c>
      <c r="Y40">
        <f t="shared" si="10"/>
        <v>9.9999900000000004</v>
      </c>
      <c r="Z40">
        <v>31.6</v>
      </c>
      <c r="AB40">
        <f t="shared" si="11"/>
        <v>3.1600031600031602</v>
      </c>
    </row>
    <row r="41" spans="3:28">
      <c r="C41">
        <v>16000</v>
      </c>
      <c r="D41">
        <f t="shared" si="0"/>
        <v>53.332999999999998</v>
      </c>
      <c r="E41">
        <f t="shared" si="1"/>
        <v>3626.6439999999998</v>
      </c>
      <c r="F41">
        <f t="shared" si="2"/>
        <v>1485</v>
      </c>
      <c r="H41">
        <f t="shared" si="3"/>
        <v>9.2812500000000006E-2</v>
      </c>
      <c r="I41">
        <f t="shared" si="4"/>
        <v>0.92812499999999998</v>
      </c>
      <c r="M41" s="9">
        <v>32000</v>
      </c>
      <c r="N41" s="9">
        <f t="shared" si="5"/>
        <v>106.667</v>
      </c>
      <c r="O41" s="9">
        <f t="shared" si="6"/>
        <v>2485.3411000000001</v>
      </c>
      <c r="P41" s="9">
        <f t="shared" si="7"/>
        <v>1017</v>
      </c>
      <c r="R41">
        <f t="shared" si="8"/>
        <v>3.1781249999999997E-2</v>
      </c>
      <c r="W41">
        <v>2</v>
      </c>
      <c r="X41">
        <f t="shared" si="9"/>
        <v>20</v>
      </c>
      <c r="Y41">
        <f t="shared" si="10"/>
        <v>6.6666600000000003</v>
      </c>
      <c r="Z41">
        <v>22.9</v>
      </c>
      <c r="AB41">
        <f t="shared" si="11"/>
        <v>3.4350034350034346</v>
      </c>
    </row>
    <row r="42" spans="3:28">
      <c r="C42">
        <v>17000</v>
      </c>
      <c r="D42">
        <f t="shared" si="0"/>
        <v>56.667000000000002</v>
      </c>
      <c r="E42">
        <f t="shared" si="1"/>
        <v>3853.3560000000002</v>
      </c>
      <c r="F42">
        <f t="shared" si="2"/>
        <v>1578</v>
      </c>
      <c r="H42">
        <f t="shared" si="3"/>
        <v>9.2823529411764708E-2</v>
      </c>
      <c r="I42">
        <f t="shared" si="4"/>
        <v>0.92823529411764705</v>
      </c>
      <c r="M42">
        <v>50000</v>
      </c>
      <c r="N42">
        <f t="shared" si="5"/>
        <v>166.667</v>
      </c>
      <c r="O42">
        <f t="shared" si="6"/>
        <v>3883.3411000000001</v>
      </c>
      <c r="P42">
        <f t="shared" si="7"/>
        <v>1590</v>
      </c>
      <c r="R42">
        <f t="shared" si="8"/>
        <v>3.1800000000000002E-2</v>
      </c>
      <c r="W42">
        <v>1</v>
      </c>
      <c r="X42">
        <f t="shared" si="9"/>
        <v>10</v>
      </c>
      <c r="Y42">
        <f t="shared" si="10"/>
        <v>3.3333300000000001</v>
      </c>
      <c r="Z42">
        <v>10.3</v>
      </c>
      <c r="AB42">
        <f t="shared" si="11"/>
        <v>3.0900030900030901</v>
      </c>
    </row>
    <row r="43" spans="3:28">
      <c r="C43">
        <v>18000</v>
      </c>
      <c r="D43">
        <f t="shared" si="0"/>
        <v>60</v>
      </c>
      <c r="E43">
        <f t="shared" si="1"/>
        <v>4080</v>
      </c>
      <c r="F43">
        <f t="shared" si="2"/>
        <v>1671</v>
      </c>
      <c r="H43">
        <f t="shared" si="3"/>
        <v>9.2833333333333337E-2</v>
      </c>
      <c r="I43">
        <f t="shared" si="4"/>
        <v>0.92833333333333334</v>
      </c>
      <c r="M43">
        <v>60000</v>
      </c>
      <c r="N43">
        <f t="shared" si="5"/>
        <v>200</v>
      </c>
      <c r="O43">
        <f t="shared" si="6"/>
        <v>4660</v>
      </c>
      <c r="P43">
        <f t="shared" si="7"/>
        <v>1908</v>
      </c>
      <c r="R43">
        <f t="shared" si="8"/>
        <v>3.1800000000000002E-2</v>
      </c>
    </row>
    <row r="44" spans="3:28">
      <c r="C44">
        <v>19000</v>
      </c>
      <c r="D44">
        <f t="shared" si="0"/>
        <v>63.332999999999998</v>
      </c>
      <c r="E44">
        <f t="shared" si="1"/>
        <v>4306.6440000000002</v>
      </c>
      <c r="F44">
        <f t="shared" si="2"/>
        <v>1764</v>
      </c>
      <c r="H44">
        <f t="shared" si="3"/>
        <v>9.2842105263157892E-2</v>
      </c>
      <c r="I44">
        <f t="shared" si="4"/>
        <v>0.92842105263157892</v>
      </c>
      <c r="M44">
        <v>70000</v>
      </c>
      <c r="N44">
        <f t="shared" si="5"/>
        <v>233.333</v>
      </c>
      <c r="O44">
        <f t="shared" si="6"/>
        <v>5436.6589000000004</v>
      </c>
      <c r="P44">
        <f t="shared" si="7"/>
        <v>2226</v>
      </c>
      <c r="R44">
        <f t="shared" si="8"/>
        <v>3.1800000000000002E-2</v>
      </c>
    </row>
    <row r="45" spans="3:28">
      <c r="C45">
        <v>20000</v>
      </c>
      <c r="D45">
        <f t="shared" si="0"/>
        <v>66.667000000000002</v>
      </c>
      <c r="E45">
        <f t="shared" si="1"/>
        <v>4533.3559999999998</v>
      </c>
      <c r="F45">
        <f t="shared" si="2"/>
        <v>1856</v>
      </c>
      <c r="H45">
        <f t="shared" si="3"/>
        <v>9.2799999999999994E-2</v>
      </c>
      <c r="I45">
        <f t="shared" si="4"/>
        <v>0.92800000000000005</v>
      </c>
      <c r="M45">
        <v>80000</v>
      </c>
      <c r="N45">
        <f t="shared" si="5"/>
        <v>266.66699999999997</v>
      </c>
      <c r="O45">
        <f t="shared" si="6"/>
        <v>6213.3410999999996</v>
      </c>
      <c r="P45">
        <f t="shared" si="7"/>
        <v>2544</v>
      </c>
      <c r="R45">
        <f t="shared" si="8"/>
        <v>3.1800000000000002E-2</v>
      </c>
    </row>
    <row r="46" spans="3:28">
      <c r="C46">
        <v>21000</v>
      </c>
      <c r="D46">
        <f t="shared" si="0"/>
        <v>70</v>
      </c>
      <c r="E46">
        <f t="shared" si="1"/>
        <v>4760</v>
      </c>
      <c r="F46">
        <f t="shared" si="2"/>
        <v>1949</v>
      </c>
      <c r="H46">
        <f t="shared" si="3"/>
        <v>9.2809523809523814E-2</v>
      </c>
      <c r="I46">
        <f t="shared" si="4"/>
        <v>0.92809523809523808</v>
      </c>
      <c r="M46">
        <v>90000</v>
      </c>
      <c r="N46">
        <f t="shared" si="5"/>
        <v>300</v>
      </c>
      <c r="O46">
        <f t="shared" si="6"/>
        <v>6990</v>
      </c>
      <c r="P46">
        <f t="shared" si="7"/>
        <v>2863</v>
      </c>
      <c r="R46">
        <f t="shared" si="8"/>
        <v>3.1811111111111109E-2</v>
      </c>
    </row>
    <row r="47" spans="3:28">
      <c r="C47">
        <v>22000</v>
      </c>
      <c r="D47">
        <f t="shared" si="0"/>
        <v>73.332999999999998</v>
      </c>
      <c r="E47">
        <f t="shared" si="1"/>
        <v>4986.6440000000002</v>
      </c>
      <c r="F47">
        <f t="shared" si="2"/>
        <v>2042</v>
      </c>
      <c r="H47">
        <f t="shared" si="3"/>
        <v>9.2818181818181814E-2</v>
      </c>
      <c r="I47">
        <f t="shared" si="4"/>
        <v>0.92818181818181822</v>
      </c>
      <c r="M47">
        <v>100000</v>
      </c>
      <c r="N47">
        <f t="shared" si="5"/>
        <v>333.33300000000003</v>
      </c>
      <c r="O47">
        <f t="shared" si="6"/>
        <v>7766.6589000000013</v>
      </c>
      <c r="P47">
        <f t="shared" si="7"/>
        <v>3181</v>
      </c>
      <c r="R47">
        <f t="shared" si="8"/>
        <v>3.1809999999999998E-2</v>
      </c>
    </row>
    <row r="48" spans="3:28">
      <c r="C48">
        <v>23000</v>
      </c>
      <c r="D48">
        <f t="shared" si="0"/>
        <v>76.667000000000002</v>
      </c>
      <c r="E48">
        <f t="shared" si="1"/>
        <v>5213.3559999999998</v>
      </c>
      <c r="F48">
        <f t="shared" si="2"/>
        <v>2135</v>
      </c>
      <c r="H48">
        <f t="shared" si="3"/>
        <v>9.2826086956521739E-2</v>
      </c>
      <c r="I48">
        <f t="shared" si="4"/>
        <v>0.92826086956521736</v>
      </c>
      <c r="M48" s="21">
        <v>110000</v>
      </c>
      <c r="N48" s="21">
        <f t="shared" si="5"/>
        <v>366.66699999999997</v>
      </c>
      <c r="O48" s="21">
        <f t="shared" si="6"/>
        <v>8543.3410999999996</v>
      </c>
      <c r="P48" s="21">
        <f t="shared" si="7"/>
        <v>3499</v>
      </c>
      <c r="R48">
        <f t="shared" si="8"/>
        <v>3.1809090909090912E-2</v>
      </c>
    </row>
    <row r="49" spans="3:18">
      <c r="C49">
        <v>24000</v>
      </c>
      <c r="D49">
        <f t="shared" si="0"/>
        <v>80</v>
      </c>
      <c r="E49">
        <f t="shared" si="1"/>
        <v>5440</v>
      </c>
      <c r="F49">
        <f t="shared" si="2"/>
        <v>2228</v>
      </c>
      <c r="H49">
        <f t="shared" si="3"/>
        <v>9.2833333333333337E-2</v>
      </c>
      <c r="I49">
        <f t="shared" si="4"/>
        <v>0.92833333333333334</v>
      </c>
      <c r="M49">
        <v>120000</v>
      </c>
      <c r="N49">
        <f t="shared" si="5"/>
        <v>400</v>
      </c>
      <c r="O49">
        <f t="shared" si="6"/>
        <v>9320</v>
      </c>
      <c r="P49">
        <f t="shared" si="7"/>
        <v>3817</v>
      </c>
      <c r="R49">
        <f t="shared" si="8"/>
        <v>3.1808333333333334E-2</v>
      </c>
    </row>
    <row r="50" spans="3:18">
      <c r="C50" s="2">
        <v>25000</v>
      </c>
      <c r="D50" s="2">
        <f t="shared" si="0"/>
        <v>83.332999999999998</v>
      </c>
      <c r="E50" s="2">
        <f t="shared" si="1"/>
        <v>5666.6440000000002</v>
      </c>
      <c r="F50">
        <f t="shared" si="2"/>
        <v>2321</v>
      </c>
      <c r="H50">
        <f t="shared" si="3"/>
        <v>9.2840000000000006E-2</v>
      </c>
      <c r="I50">
        <f t="shared" si="4"/>
        <v>0.9284</v>
      </c>
      <c r="M50">
        <v>130000</v>
      </c>
      <c r="N50">
        <f t="shared" si="5"/>
        <v>433.33300000000003</v>
      </c>
      <c r="O50">
        <f t="shared" si="6"/>
        <v>10096.6589</v>
      </c>
      <c r="P50">
        <f t="shared" si="7"/>
        <v>4135</v>
      </c>
      <c r="R50">
        <f t="shared" si="8"/>
        <v>3.1807692307692308E-2</v>
      </c>
    </row>
    <row r="51" spans="3:18">
      <c r="C51">
        <v>26000</v>
      </c>
      <c r="D51">
        <f t="shared" si="0"/>
        <v>86.667000000000002</v>
      </c>
      <c r="E51">
        <f t="shared" si="1"/>
        <v>5893.3559999999998</v>
      </c>
      <c r="F51">
        <f t="shared" si="2"/>
        <v>2413</v>
      </c>
      <c r="H51">
        <f t="shared" si="3"/>
        <v>9.2807692307692313E-2</v>
      </c>
      <c r="I51">
        <f t="shared" si="4"/>
        <v>0.92807692307692302</v>
      </c>
      <c r="M51">
        <v>140000</v>
      </c>
      <c r="N51">
        <f t="shared" si="5"/>
        <v>466.66699999999997</v>
      </c>
      <c r="O51">
        <f t="shared" si="6"/>
        <v>10873.3411</v>
      </c>
      <c r="P51">
        <f t="shared" si="7"/>
        <v>4453</v>
      </c>
      <c r="R51">
        <f t="shared" si="8"/>
        <v>3.180714285714286E-2</v>
      </c>
    </row>
    <row r="52" spans="3:18">
      <c r="C52">
        <v>27000</v>
      </c>
      <c r="D52">
        <f t="shared" si="0"/>
        <v>90</v>
      </c>
      <c r="E52">
        <f t="shared" si="1"/>
        <v>6120</v>
      </c>
      <c r="F52">
        <f t="shared" si="2"/>
        <v>2506</v>
      </c>
      <c r="H52">
        <f t="shared" si="3"/>
        <v>9.2814814814814808E-2</v>
      </c>
      <c r="I52">
        <f t="shared" si="4"/>
        <v>0.92814814814814817</v>
      </c>
      <c r="M52">
        <v>150000</v>
      </c>
      <c r="N52">
        <f t="shared" si="5"/>
        <v>500</v>
      </c>
      <c r="O52">
        <f t="shared" si="6"/>
        <v>11650</v>
      </c>
      <c r="P52">
        <f t="shared" si="7"/>
        <v>4771</v>
      </c>
      <c r="R52">
        <f t="shared" si="8"/>
        <v>3.1806666666666664E-2</v>
      </c>
    </row>
    <row r="53" spans="3:18">
      <c r="C53">
        <v>28000</v>
      </c>
      <c r="D53">
        <f t="shared" si="0"/>
        <v>93.332999999999998</v>
      </c>
      <c r="E53">
        <f t="shared" si="1"/>
        <v>6346.6440000000002</v>
      </c>
      <c r="F53">
        <f t="shared" si="2"/>
        <v>2599</v>
      </c>
      <c r="H53">
        <f t="shared" si="3"/>
        <v>9.2821428571428569E-2</v>
      </c>
      <c r="I53">
        <f t="shared" si="4"/>
        <v>0.92821428571428577</v>
      </c>
      <c r="M53">
        <v>160000</v>
      </c>
      <c r="N53">
        <f t="shared" si="5"/>
        <v>533.33299999999997</v>
      </c>
      <c r="O53">
        <f t="shared" si="6"/>
        <v>12426.6589</v>
      </c>
      <c r="P53">
        <f t="shared" si="7"/>
        <v>5089</v>
      </c>
      <c r="R53">
        <f t="shared" si="8"/>
        <v>3.1806250000000001E-2</v>
      </c>
    </row>
  </sheetData>
  <phoneticPr fontId="10" type="noConversion"/>
  <pageMargins left="0.75" right="0.75" top="1" bottom="1" header="0.5" footer="0.5"/>
  <headerFooter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29"/>
  <dimension ref="B2:J82"/>
  <sheetViews>
    <sheetView topLeftCell="A70" workbookViewId="0">
      <selection activeCell="B4" sqref="B4:D5"/>
    </sheetView>
  </sheetViews>
  <sheetFormatPr defaultRowHeight="16.5"/>
  <cols>
    <col min="2" max="2" width="11.875" customWidth="1"/>
    <col min="4" max="4" width="13.125" customWidth="1"/>
    <col min="5" max="5" width="15" customWidth="1"/>
    <col min="7" max="7" width="13.125" customWidth="1"/>
    <col min="8" max="8" width="9.875" customWidth="1"/>
    <col min="10" max="10" width="12.875" bestFit="1" customWidth="1"/>
  </cols>
  <sheetData>
    <row r="2" spans="2:10">
      <c r="B2" s="5" t="s">
        <v>21</v>
      </c>
    </row>
    <row r="4" spans="2:10" ht="17.25" thickBot="1">
      <c r="B4" t="s">
        <v>2</v>
      </c>
      <c r="C4" s="1">
        <v>1000</v>
      </c>
      <c r="D4" t="s">
        <v>5</v>
      </c>
    </row>
    <row r="5" spans="2:10" ht="17.25" thickTop="1">
      <c r="B5" t="s">
        <v>22</v>
      </c>
      <c r="C5" s="1">
        <v>43.2</v>
      </c>
      <c r="D5" t="s">
        <v>5</v>
      </c>
      <c r="G5" s="11" t="s">
        <v>62</v>
      </c>
      <c r="H5" s="12"/>
      <c r="I5" s="12"/>
      <c r="J5" s="13"/>
    </row>
    <row r="6" spans="2:10">
      <c r="G6" s="14"/>
      <c r="H6" s="10"/>
      <c r="I6" s="10"/>
      <c r="J6" s="15"/>
    </row>
    <row r="7" spans="2:10">
      <c r="B7" t="s">
        <v>24</v>
      </c>
      <c r="C7" s="1">
        <v>4.3</v>
      </c>
      <c r="D7" t="s">
        <v>18</v>
      </c>
      <c r="G7" s="14" t="s">
        <v>58</v>
      </c>
      <c r="H7" s="10" t="s">
        <v>64</v>
      </c>
      <c r="I7" s="20" t="s">
        <v>13</v>
      </c>
      <c r="J7" s="15" t="s">
        <v>63</v>
      </c>
    </row>
    <row r="8" spans="2:10">
      <c r="B8" t="s">
        <v>23</v>
      </c>
      <c r="C8" s="1">
        <v>2.7</v>
      </c>
      <c r="D8" t="s">
        <v>18</v>
      </c>
      <c r="G8" s="16">
        <v>50</v>
      </c>
      <c r="H8" s="10">
        <f>G8/(C4+C5)*C5</f>
        <v>2.0705521472392641</v>
      </c>
      <c r="I8" s="10">
        <f>ROUND(H8*1000/C16,0)</f>
        <v>848</v>
      </c>
      <c r="J8" s="15">
        <f>I8+C17</f>
        <v>843</v>
      </c>
    </row>
    <row r="9" spans="2:10">
      <c r="B9" s="4" t="s">
        <v>27</v>
      </c>
      <c r="C9" s="1">
        <v>13</v>
      </c>
      <c r="G9" s="14"/>
      <c r="H9" s="10"/>
      <c r="I9" s="10"/>
      <c r="J9" s="15"/>
    </row>
    <row r="10" spans="2:10">
      <c r="B10" t="s">
        <v>25</v>
      </c>
      <c r="C10" s="1">
        <f>C7*C9</f>
        <v>55.9</v>
      </c>
      <c r="D10" t="s">
        <v>18</v>
      </c>
      <c r="G10" s="14" t="s">
        <v>55</v>
      </c>
      <c r="H10" s="10" t="s">
        <v>63</v>
      </c>
      <c r="I10" s="10" t="s">
        <v>56</v>
      </c>
      <c r="J10" s="15" t="s">
        <v>57</v>
      </c>
    </row>
    <row r="11" spans="2:10" ht="17.25" thickBot="1">
      <c r="B11" t="s">
        <v>26</v>
      </c>
      <c r="C11" s="1">
        <f>C8*C9</f>
        <v>35.1</v>
      </c>
      <c r="D11" t="s">
        <v>18</v>
      </c>
      <c r="G11" s="17">
        <v>758</v>
      </c>
      <c r="H11" s="18">
        <f>G11-C17</f>
        <v>763</v>
      </c>
      <c r="I11" s="18">
        <f>H11*C16</f>
        <v>1862.79296875</v>
      </c>
      <c r="J11" s="19">
        <f>I11/C5*(C4+C5)/1000</f>
        <v>44.983000578703702</v>
      </c>
    </row>
    <row r="12" spans="2:10" ht="17.25" thickTop="1"/>
    <row r="13" spans="2:10">
      <c r="B13" s="5" t="s">
        <v>14</v>
      </c>
    </row>
    <row r="14" spans="2:10">
      <c r="B14" t="s">
        <v>15</v>
      </c>
      <c r="C14" s="1">
        <v>10</v>
      </c>
      <c r="D14" t="s">
        <v>16</v>
      </c>
      <c r="E14" s="1">
        <f>2^C14</f>
        <v>1024</v>
      </c>
      <c r="H14" t="s">
        <v>32</v>
      </c>
    </row>
    <row r="15" spans="2:10">
      <c r="B15" t="s">
        <v>17</v>
      </c>
      <c r="C15" s="1">
        <v>2.5</v>
      </c>
      <c r="D15" t="s">
        <v>18</v>
      </c>
      <c r="H15" s="2" t="s">
        <v>34</v>
      </c>
      <c r="I15" s="2"/>
      <c r="J15" s="2"/>
    </row>
    <row r="16" spans="2:10">
      <c r="B16" t="s">
        <v>20</v>
      </c>
      <c r="C16">
        <f>C15/E14*1000</f>
        <v>2.44140625</v>
      </c>
      <c r="D16" t="s">
        <v>19</v>
      </c>
    </row>
    <row r="17" spans="2:10">
      <c r="B17" t="s">
        <v>59</v>
      </c>
      <c r="C17" s="1">
        <v>-5</v>
      </c>
      <c r="D17" t="s">
        <v>60</v>
      </c>
    </row>
    <row r="19" spans="2:10">
      <c r="C19" t="s">
        <v>28</v>
      </c>
      <c r="D19" t="s">
        <v>30</v>
      </c>
      <c r="E19" t="s">
        <v>29</v>
      </c>
      <c r="F19" t="s">
        <v>13</v>
      </c>
      <c r="G19" t="s">
        <v>61</v>
      </c>
      <c r="H19" t="s">
        <v>32</v>
      </c>
      <c r="J19" t="s">
        <v>33</v>
      </c>
    </row>
    <row r="20" spans="2:10">
      <c r="C20">
        <v>0</v>
      </c>
      <c r="D20">
        <f>C20/($C$4+$C$5)*$C$5</f>
        <v>0</v>
      </c>
      <c r="E20">
        <f>D20*1000</f>
        <v>0</v>
      </c>
      <c r="F20">
        <f>ROUNDDOWN(E20/$C$16,0)</f>
        <v>0</v>
      </c>
      <c r="G20">
        <f>F20+$C$17</f>
        <v>-5</v>
      </c>
      <c r="H20" t="e">
        <f>F20/(C20*1000)</f>
        <v>#DIV/0!</v>
      </c>
      <c r="J20" t="e">
        <f>F20/(C20*100)</f>
        <v>#DIV/0!</v>
      </c>
    </row>
    <row r="21" spans="2:10">
      <c r="C21">
        <v>1</v>
      </c>
      <c r="D21">
        <f t="shared" ref="D21:D82" si="0">C21/($C$4+$C$5)*$C$5</f>
        <v>4.141104294478528E-2</v>
      </c>
      <c r="E21">
        <f t="shared" ref="E21:E82" si="1">D21*1000</f>
        <v>41.411042944785279</v>
      </c>
      <c r="F21">
        <f t="shared" ref="F21:F82" si="2">ROUNDDOWN(E21/$C$16,0)</f>
        <v>16</v>
      </c>
      <c r="G21">
        <f>F21+$C$17</f>
        <v>11</v>
      </c>
      <c r="H21">
        <f t="shared" ref="H21:H36" si="3">F21/(C21*1000)</f>
        <v>1.6E-2</v>
      </c>
      <c r="I21">
        <f>G21/(C21*1000)</f>
        <v>1.0999999999999999E-2</v>
      </c>
      <c r="J21">
        <f t="shared" ref="J21:J36" si="4">F21/(C21*100)</f>
        <v>0.16</v>
      </c>
    </row>
    <row r="22" spans="2:10">
      <c r="C22">
        <v>2</v>
      </c>
      <c r="D22">
        <f t="shared" si="0"/>
        <v>8.282208588957056E-2</v>
      </c>
      <c r="E22">
        <f t="shared" si="1"/>
        <v>82.822085889570559</v>
      </c>
      <c r="F22">
        <f t="shared" si="2"/>
        <v>33</v>
      </c>
      <c r="G22">
        <f t="shared" ref="G22:G82" si="5">F22+$C$17</f>
        <v>28</v>
      </c>
      <c r="H22">
        <f t="shared" si="3"/>
        <v>1.6500000000000001E-2</v>
      </c>
      <c r="I22">
        <f t="shared" ref="I22:I82" si="6">G22/(C22*1000)</f>
        <v>1.4E-2</v>
      </c>
      <c r="J22">
        <f t="shared" si="4"/>
        <v>0.16500000000000001</v>
      </c>
    </row>
    <row r="23" spans="2:10">
      <c r="C23">
        <v>3</v>
      </c>
      <c r="D23">
        <f t="shared" si="0"/>
        <v>0.12423312883435583</v>
      </c>
      <c r="E23">
        <f t="shared" si="1"/>
        <v>124.23312883435584</v>
      </c>
      <c r="F23">
        <f t="shared" si="2"/>
        <v>50</v>
      </c>
      <c r="G23">
        <f t="shared" si="5"/>
        <v>45</v>
      </c>
      <c r="H23">
        <f t="shared" si="3"/>
        <v>1.6666666666666666E-2</v>
      </c>
      <c r="I23">
        <f t="shared" si="6"/>
        <v>1.4999999999999999E-2</v>
      </c>
      <c r="J23">
        <f t="shared" si="4"/>
        <v>0.16666666666666666</v>
      </c>
    </row>
    <row r="24" spans="2:10">
      <c r="C24">
        <v>4</v>
      </c>
      <c r="D24">
        <f t="shared" si="0"/>
        <v>0.16564417177914112</v>
      </c>
      <c r="E24">
        <f t="shared" si="1"/>
        <v>165.64417177914112</v>
      </c>
      <c r="F24">
        <f t="shared" si="2"/>
        <v>67</v>
      </c>
      <c r="G24">
        <f t="shared" si="5"/>
        <v>62</v>
      </c>
      <c r="H24">
        <f t="shared" si="3"/>
        <v>1.6750000000000001E-2</v>
      </c>
      <c r="I24">
        <f t="shared" si="6"/>
        <v>1.55E-2</v>
      </c>
      <c r="J24">
        <f t="shared" si="4"/>
        <v>0.16750000000000001</v>
      </c>
    </row>
    <row r="25" spans="2:10">
      <c r="C25">
        <v>5</v>
      </c>
      <c r="D25">
        <f t="shared" si="0"/>
        <v>0.20705521472392641</v>
      </c>
      <c r="E25">
        <f t="shared" si="1"/>
        <v>207.05521472392641</v>
      </c>
      <c r="F25">
        <f t="shared" si="2"/>
        <v>84</v>
      </c>
      <c r="G25">
        <f t="shared" si="5"/>
        <v>79</v>
      </c>
      <c r="H25">
        <f t="shared" si="3"/>
        <v>1.6799999999999999E-2</v>
      </c>
      <c r="I25">
        <f t="shared" si="6"/>
        <v>1.5800000000000002E-2</v>
      </c>
      <c r="J25">
        <f t="shared" si="4"/>
        <v>0.16800000000000001</v>
      </c>
    </row>
    <row r="26" spans="2:10">
      <c r="C26">
        <v>6</v>
      </c>
      <c r="D26">
        <f t="shared" si="0"/>
        <v>0.24846625766871167</v>
      </c>
      <c r="E26">
        <f t="shared" si="1"/>
        <v>248.46625766871168</v>
      </c>
      <c r="F26">
        <f t="shared" si="2"/>
        <v>101</v>
      </c>
      <c r="G26">
        <f t="shared" si="5"/>
        <v>96</v>
      </c>
      <c r="H26">
        <f t="shared" si="3"/>
        <v>1.6833333333333332E-2</v>
      </c>
      <c r="I26">
        <f t="shared" si="6"/>
        <v>1.6E-2</v>
      </c>
      <c r="J26">
        <f t="shared" si="4"/>
        <v>0.16833333333333333</v>
      </c>
    </row>
    <row r="27" spans="2:10">
      <c r="C27">
        <v>7</v>
      </c>
      <c r="D27">
        <f t="shared" si="0"/>
        <v>0.28987730061349692</v>
      </c>
      <c r="E27">
        <f t="shared" si="1"/>
        <v>289.87730061349691</v>
      </c>
      <c r="F27">
        <f t="shared" si="2"/>
        <v>118</v>
      </c>
      <c r="G27">
        <f t="shared" si="5"/>
        <v>113</v>
      </c>
      <c r="H27">
        <f t="shared" si="3"/>
        <v>1.6857142857142859E-2</v>
      </c>
      <c r="I27">
        <f t="shared" si="6"/>
        <v>1.6142857142857143E-2</v>
      </c>
      <c r="J27">
        <f t="shared" si="4"/>
        <v>0.16857142857142857</v>
      </c>
    </row>
    <row r="28" spans="2:10">
      <c r="C28">
        <v>8</v>
      </c>
      <c r="D28">
        <f t="shared" si="0"/>
        <v>0.33128834355828224</v>
      </c>
      <c r="E28">
        <f t="shared" si="1"/>
        <v>331.28834355828224</v>
      </c>
      <c r="F28">
        <f t="shared" si="2"/>
        <v>135</v>
      </c>
      <c r="G28">
        <f t="shared" si="5"/>
        <v>130</v>
      </c>
      <c r="H28">
        <f t="shared" si="3"/>
        <v>1.6875000000000001E-2</v>
      </c>
      <c r="I28">
        <f t="shared" si="6"/>
        <v>1.6250000000000001E-2</v>
      </c>
      <c r="J28">
        <f t="shared" si="4"/>
        <v>0.16875000000000001</v>
      </c>
    </row>
    <row r="29" spans="2:10">
      <c r="C29">
        <v>9</v>
      </c>
      <c r="D29">
        <f t="shared" si="0"/>
        <v>0.37269938650306744</v>
      </c>
      <c r="E29">
        <f t="shared" si="1"/>
        <v>372.69938650306744</v>
      </c>
      <c r="F29">
        <f t="shared" si="2"/>
        <v>152</v>
      </c>
      <c r="G29">
        <f t="shared" si="5"/>
        <v>147</v>
      </c>
      <c r="H29">
        <f t="shared" si="3"/>
        <v>1.6888888888888887E-2</v>
      </c>
      <c r="I29">
        <f t="shared" si="6"/>
        <v>1.6333333333333332E-2</v>
      </c>
      <c r="J29">
        <f t="shared" si="4"/>
        <v>0.16888888888888889</v>
      </c>
    </row>
    <row r="30" spans="2:10">
      <c r="C30">
        <v>10</v>
      </c>
      <c r="D30">
        <f t="shared" si="0"/>
        <v>0.41411042944785281</v>
      </c>
      <c r="E30">
        <f t="shared" si="1"/>
        <v>414.11042944785282</v>
      </c>
      <c r="F30">
        <f t="shared" si="2"/>
        <v>169</v>
      </c>
      <c r="G30">
        <f t="shared" si="5"/>
        <v>164</v>
      </c>
      <c r="H30">
        <f t="shared" si="3"/>
        <v>1.6899999999999998E-2</v>
      </c>
      <c r="I30">
        <f t="shared" si="6"/>
        <v>1.6400000000000001E-2</v>
      </c>
      <c r="J30">
        <f t="shared" si="4"/>
        <v>0.16900000000000001</v>
      </c>
    </row>
    <row r="31" spans="2:10">
      <c r="C31">
        <v>11</v>
      </c>
      <c r="D31">
        <f t="shared" si="0"/>
        <v>0.45552147239263807</v>
      </c>
      <c r="E31">
        <f t="shared" si="1"/>
        <v>455.52147239263809</v>
      </c>
      <c r="F31">
        <f t="shared" si="2"/>
        <v>186</v>
      </c>
      <c r="G31">
        <f t="shared" si="5"/>
        <v>181</v>
      </c>
      <c r="H31">
        <f t="shared" si="3"/>
        <v>1.6909090909090908E-2</v>
      </c>
      <c r="I31">
        <f t="shared" si="6"/>
        <v>1.6454545454545454E-2</v>
      </c>
      <c r="J31">
        <f t="shared" si="4"/>
        <v>0.1690909090909091</v>
      </c>
    </row>
    <row r="32" spans="2:10">
      <c r="C32">
        <v>12</v>
      </c>
      <c r="D32">
        <f t="shared" si="0"/>
        <v>0.49693251533742333</v>
      </c>
      <c r="E32">
        <f t="shared" si="1"/>
        <v>496.93251533742335</v>
      </c>
      <c r="F32">
        <f t="shared" si="2"/>
        <v>203</v>
      </c>
      <c r="G32">
        <f t="shared" si="5"/>
        <v>198</v>
      </c>
      <c r="H32">
        <f t="shared" si="3"/>
        <v>1.6916666666666667E-2</v>
      </c>
      <c r="I32">
        <f t="shared" si="6"/>
        <v>1.6500000000000001E-2</v>
      </c>
      <c r="J32">
        <f t="shared" si="4"/>
        <v>0.16916666666666666</v>
      </c>
    </row>
    <row r="33" spans="3:10">
      <c r="C33">
        <v>13</v>
      </c>
      <c r="D33">
        <f t="shared" si="0"/>
        <v>0.53834355828220859</v>
      </c>
      <c r="E33">
        <f t="shared" si="1"/>
        <v>538.34355828220862</v>
      </c>
      <c r="F33">
        <f t="shared" si="2"/>
        <v>220</v>
      </c>
      <c r="G33">
        <f t="shared" si="5"/>
        <v>215</v>
      </c>
      <c r="H33">
        <f t="shared" si="3"/>
        <v>1.6923076923076923E-2</v>
      </c>
      <c r="I33">
        <f t="shared" si="6"/>
        <v>1.653846153846154E-2</v>
      </c>
      <c r="J33">
        <f t="shared" si="4"/>
        <v>0.16923076923076924</v>
      </c>
    </row>
    <row r="34" spans="3:10">
      <c r="C34">
        <v>14</v>
      </c>
      <c r="D34">
        <f t="shared" si="0"/>
        <v>0.57975460122699385</v>
      </c>
      <c r="E34">
        <f t="shared" si="1"/>
        <v>579.75460122699383</v>
      </c>
      <c r="F34">
        <f t="shared" si="2"/>
        <v>237</v>
      </c>
      <c r="G34">
        <f t="shared" si="5"/>
        <v>232</v>
      </c>
      <c r="H34">
        <f t="shared" si="3"/>
        <v>1.6928571428571428E-2</v>
      </c>
      <c r="I34">
        <f t="shared" si="6"/>
        <v>1.657142857142857E-2</v>
      </c>
      <c r="J34">
        <f t="shared" si="4"/>
        <v>0.16928571428571429</v>
      </c>
    </row>
    <row r="35" spans="3:10">
      <c r="C35">
        <v>15</v>
      </c>
      <c r="D35" s="2">
        <f t="shared" si="0"/>
        <v>0.62116564417177911</v>
      </c>
      <c r="E35">
        <f t="shared" si="1"/>
        <v>621.16564417177915</v>
      </c>
      <c r="F35">
        <f t="shared" si="2"/>
        <v>254</v>
      </c>
      <c r="G35">
        <f t="shared" si="5"/>
        <v>249</v>
      </c>
      <c r="H35">
        <f t="shared" si="3"/>
        <v>1.6933333333333335E-2</v>
      </c>
      <c r="I35">
        <f t="shared" si="6"/>
        <v>1.66E-2</v>
      </c>
      <c r="J35">
        <f t="shared" si="4"/>
        <v>0.16933333333333334</v>
      </c>
    </row>
    <row r="36" spans="3:10">
      <c r="C36">
        <v>16</v>
      </c>
      <c r="D36">
        <f t="shared" si="0"/>
        <v>0.66257668711656448</v>
      </c>
      <c r="E36">
        <f t="shared" si="1"/>
        <v>662.57668711656447</v>
      </c>
      <c r="F36">
        <f t="shared" si="2"/>
        <v>271</v>
      </c>
      <c r="G36">
        <f t="shared" si="5"/>
        <v>266</v>
      </c>
      <c r="H36">
        <f t="shared" si="3"/>
        <v>1.6937500000000001E-2</v>
      </c>
      <c r="I36">
        <f t="shared" si="6"/>
        <v>1.6625000000000001E-2</v>
      </c>
      <c r="J36">
        <f t="shared" si="4"/>
        <v>0.169375</v>
      </c>
    </row>
    <row r="37" spans="3:10">
      <c r="C37">
        <v>17</v>
      </c>
      <c r="D37">
        <f t="shared" si="0"/>
        <v>0.70398773006134974</v>
      </c>
      <c r="E37">
        <f t="shared" si="1"/>
        <v>703.98773006134979</v>
      </c>
      <c r="F37">
        <f t="shared" si="2"/>
        <v>288</v>
      </c>
      <c r="G37">
        <f t="shared" si="5"/>
        <v>283</v>
      </c>
      <c r="H37">
        <f t="shared" ref="H37:H82" si="7">F37/(C37*1000)</f>
        <v>1.6941176470588234E-2</v>
      </c>
      <c r="I37">
        <f t="shared" si="6"/>
        <v>1.6647058823529411E-2</v>
      </c>
      <c r="J37">
        <f t="shared" ref="J37:J82" si="8">F37/(C37*100)</f>
        <v>0.16941176470588235</v>
      </c>
    </row>
    <row r="38" spans="3:10">
      <c r="C38">
        <v>18</v>
      </c>
      <c r="D38">
        <f t="shared" si="0"/>
        <v>0.74539877300613488</v>
      </c>
      <c r="E38">
        <f t="shared" si="1"/>
        <v>745.39877300613489</v>
      </c>
      <c r="F38">
        <f t="shared" si="2"/>
        <v>305</v>
      </c>
      <c r="G38">
        <f t="shared" si="5"/>
        <v>300</v>
      </c>
      <c r="H38">
        <f t="shared" si="7"/>
        <v>1.6944444444444446E-2</v>
      </c>
      <c r="I38">
        <f t="shared" si="6"/>
        <v>1.6666666666666666E-2</v>
      </c>
      <c r="J38">
        <f t="shared" si="8"/>
        <v>0.16944444444444445</v>
      </c>
    </row>
    <row r="39" spans="3:10">
      <c r="C39">
        <v>19</v>
      </c>
      <c r="D39">
        <f t="shared" si="0"/>
        <v>0.78680981595092025</v>
      </c>
      <c r="E39">
        <f t="shared" si="1"/>
        <v>786.80981595092021</v>
      </c>
      <c r="F39">
        <f t="shared" si="2"/>
        <v>322</v>
      </c>
      <c r="G39">
        <f t="shared" si="5"/>
        <v>317</v>
      </c>
      <c r="H39">
        <f t="shared" si="7"/>
        <v>1.6947368421052631E-2</v>
      </c>
      <c r="I39">
        <f t="shared" si="6"/>
        <v>1.6684210526315791E-2</v>
      </c>
      <c r="J39">
        <f t="shared" si="8"/>
        <v>0.1694736842105263</v>
      </c>
    </row>
    <row r="40" spans="3:10">
      <c r="C40">
        <v>20</v>
      </c>
      <c r="D40">
        <f t="shared" si="0"/>
        <v>0.82822085889570563</v>
      </c>
      <c r="E40">
        <f t="shared" si="1"/>
        <v>828.22085889570565</v>
      </c>
      <c r="F40">
        <f t="shared" si="2"/>
        <v>339</v>
      </c>
      <c r="G40">
        <f t="shared" si="5"/>
        <v>334</v>
      </c>
      <c r="H40">
        <f t="shared" si="7"/>
        <v>1.695E-2</v>
      </c>
      <c r="I40">
        <f t="shared" si="6"/>
        <v>1.67E-2</v>
      </c>
      <c r="J40">
        <f t="shared" si="8"/>
        <v>0.16950000000000001</v>
      </c>
    </row>
    <row r="41" spans="3:10">
      <c r="C41">
        <v>21</v>
      </c>
      <c r="D41">
        <f t="shared" si="0"/>
        <v>0.86963190184049077</v>
      </c>
      <c r="E41">
        <f t="shared" si="1"/>
        <v>869.63190184049074</v>
      </c>
      <c r="F41">
        <f t="shared" si="2"/>
        <v>356</v>
      </c>
      <c r="G41">
        <f t="shared" si="5"/>
        <v>351</v>
      </c>
      <c r="H41">
        <f t="shared" si="7"/>
        <v>1.6952380952380951E-2</v>
      </c>
      <c r="I41">
        <f t="shared" si="6"/>
        <v>1.6714285714285713E-2</v>
      </c>
      <c r="J41">
        <f t="shared" si="8"/>
        <v>0.16952380952380952</v>
      </c>
    </row>
    <row r="42" spans="3:10">
      <c r="C42">
        <v>22</v>
      </c>
      <c r="D42">
        <f t="shared" si="0"/>
        <v>0.91104294478527614</v>
      </c>
      <c r="E42">
        <f t="shared" si="1"/>
        <v>911.04294478527618</v>
      </c>
      <c r="F42">
        <f t="shared" si="2"/>
        <v>373</v>
      </c>
      <c r="G42">
        <f t="shared" si="5"/>
        <v>368</v>
      </c>
      <c r="H42">
        <f t="shared" si="7"/>
        <v>1.6954545454545455E-2</v>
      </c>
      <c r="I42">
        <f t="shared" si="6"/>
        <v>1.6727272727272726E-2</v>
      </c>
      <c r="J42">
        <f t="shared" si="8"/>
        <v>0.16954545454545455</v>
      </c>
    </row>
    <row r="43" spans="3:10">
      <c r="C43">
        <v>23</v>
      </c>
      <c r="D43">
        <f t="shared" si="0"/>
        <v>0.95245398773006129</v>
      </c>
      <c r="E43">
        <f t="shared" si="1"/>
        <v>952.45398773006127</v>
      </c>
      <c r="F43">
        <f t="shared" si="2"/>
        <v>390</v>
      </c>
      <c r="G43">
        <f t="shared" si="5"/>
        <v>385</v>
      </c>
      <c r="H43">
        <f t="shared" si="7"/>
        <v>1.6956521739130436E-2</v>
      </c>
      <c r="I43">
        <f t="shared" si="6"/>
        <v>1.6739130434782607E-2</v>
      </c>
      <c r="J43">
        <f t="shared" si="8"/>
        <v>0.16956521739130434</v>
      </c>
    </row>
    <row r="44" spans="3:10">
      <c r="C44">
        <v>24</v>
      </c>
      <c r="D44">
        <f t="shared" si="0"/>
        <v>0.99386503067484666</v>
      </c>
      <c r="E44">
        <f t="shared" si="1"/>
        <v>993.86503067484671</v>
      </c>
      <c r="F44">
        <f t="shared" si="2"/>
        <v>407</v>
      </c>
      <c r="G44">
        <f t="shared" si="5"/>
        <v>402</v>
      </c>
      <c r="H44">
        <f t="shared" si="7"/>
        <v>1.6958333333333332E-2</v>
      </c>
      <c r="I44">
        <f t="shared" si="6"/>
        <v>1.6750000000000001E-2</v>
      </c>
      <c r="J44">
        <f t="shared" si="8"/>
        <v>0.16958333333333334</v>
      </c>
    </row>
    <row r="45" spans="3:10">
      <c r="C45">
        <v>25</v>
      </c>
      <c r="D45">
        <f t="shared" si="0"/>
        <v>1.035276073619632</v>
      </c>
      <c r="E45">
        <f t="shared" si="1"/>
        <v>1035.2760736196321</v>
      </c>
      <c r="F45">
        <f t="shared" si="2"/>
        <v>424</v>
      </c>
      <c r="G45">
        <f t="shared" si="5"/>
        <v>419</v>
      </c>
      <c r="H45">
        <f t="shared" si="7"/>
        <v>1.6959999999999999E-2</v>
      </c>
      <c r="I45">
        <f t="shared" si="6"/>
        <v>1.6760000000000001E-2</v>
      </c>
      <c r="J45">
        <f t="shared" si="8"/>
        <v>0.1696</v>
      </c>
    </row>
    <row r="46" spans="3:10">
      <c r="C46">
        <v>26</v>
      </c>
      <c r="D46">
        <f t="shared" si="0"/>
        <v>1.0766871165644172</v>
      </c>
      <c r="E46">
        <f t="shared" si="1"/>
        <v>1076.6871165644172</v>
      </c>
      <c r="F46">
        <f t="shared" si="2"/>
        <v>441</v>
      </c>
      <c r="G46">
        <f t="shared" si="5"/>
        <v>436</v>
      </c>
      <c r="H46">
        <f t="shared" si="7"/>
        <v>1.6961538461538462E-2</v>
      </c>
      <c r="I46">
        <f t="shared" si="6"/>
        <v>1.6769230769230769E-2</v>
      </c>
      <c r="J46">
        <f t="shared" si="8"/>
        <v>0.16961538461538461</v>
      </c>
    </row>
    <row r="47" spans="3:10">
      <c r="C47">
        <v>27</v>
      </c>
      <c r="D47">
        <f t="shared" si="0"/>
        <v>1.1180981595092025</v>
      </c>
      <c r="E47">
        <f t="shared" si="1"/>
        <v>1118.0981595092026</v>
      </c>
      <c r="F47">
        <f t="shared" si="2"/>
        <v>457</v>
      </c>
      <c r="G47">
        <f t="shared" si="5"/>
        <v>452</v>
      </c>
      <c r="H47">
        <f t="shared" si="7"/>
        <v>1.6925925925925928E-2</v>
      </c>
      <c r="I47">
        <f t="shared" si="6"/>
        <v>1.674074074074074E-2</v>
      </c>
      <c r="J47">
        <f t="shared" si="8"/>
        <v>0.16925925925925925</v>
      </c>
    </row>
    <row r="48" spans="3:10">
      <c r="C48">
        <v>28</v>
      </c>
      <c r="D48">
        <f t="shared" si="0"/>
        <v>1.1595092024539877</v>
      </c>
      <c r="E48">
        <f t="shared" si="1"/>
        <v>1159.5092024539877</v>
      </c>
      <c r="F48">
        <f t="shared" si="2"/>
        <v>474</v>
      </c>
      <c r="G48">
        <f t="shared" si="5"/>
        <v>469</v>
      </c>
      <c r="H48">
        <f t="shared" si="7"/>
        <v>1.6928571428571428E-2</v>
      </c>
      <c r="I48">
        <f t="shared" si="6"/>
        <v>1.6750000000000001E-2</v>
      </c>
      <c r="J48">
        <f t="shared" si="8"/>
        <v>0.16928571428571429</v>
      </c>
    </row>
    <row r="49" spans="3:10">
      <c r="C49">
        <v>29</v>
      </c>
      <c r="D49">
        <f t="shared" si="0"/>
        <v>1.2009202453987731</v>
      </c>
      <c r="E49">
        <f t="shared" si="1"/>
        <v>1200.920245398773</v>
      </c>
      <c r="F49">
        <f t="shared" si="2"/>
        <v>491</v>
      </c>
      <c r="G49">
        <f t="shared" si="5"/>
        <v>486</v>
      </c>
      <c r="H49">
        <f t="shared" si="7"/>
        <v>1.6931034482758622E-2</v>
      </c>
      <c r="I49">
        <f t="shared" si="6"/>
        <v>1.6758620689655172E-2</v>
      </c>
      <c r="J49">
        <f t="shared" si="8"/>
        <v>0.1693103448275862</v>
      </c>
    </row>
    <row r="50" spans="3:10">
      <c r="C50">
        <v>30</v>
      </c>
      <c r="D50">
        <f t="shared" si="0"/>
        <v>1.2423312883435582</v>
      </c>
      <c r="E50">
        <f t="shared" si="1"/>
        <v>1242.3312883435583</v>
      </c>
      <c r="F50">
        <f t="shared" si="2"/>
        <v>508</v>
      </c>
      <c r="G50">
        <f t="shared" si="5"/>
        <v>503</v>
      </c>
      <c r="H50">
        <f t="shared" si="7"/>
        <v>1.6933333333333335E-2</v>
      </c>
      <c r="I50">
        <f t="shared" si="6"/>
        <v>1.6766666666666666E-2</v>
      </c>
      <c r="J50">
        <f t="shared" si="8"/>
        <v>0.16933333333333334</v>
      </c>
    </row>
    <row r="51" spans="3:10">
      <c r="C51">
        <v>31</v>
      </c>
      <c r="D51">
        <f t="shared" si="0"/>
        <v>1.2837423312883436</v>
      </c>
      <c r="E51">
        <f t="shared" si="1"/>
        <v>1283.7423312883436</v>
      </c>
      <c r="F51">
        <f t="shared" si="2"/>
        <v>525</v>
      </c>
      <c r="G51">
        <f t="shared" si="5"/>
        <v>520</v>
      </c>
      <c r="H51">
        <f t="shared" si="7"/>
        <v>1.6935483870967744E-2</v>
      </c>
      <c r="I51">
        <f t="shared" si="6"/>
        <v>1.6774193548387096E-2</v>
      </c>
      <c r="J51">
        <f t="shared" si="8"/>
        <v>0.16935483870967741</v>
      </c>
    </row>
    <row r="52" spans="3:10">
      <c r="C52">
        <v>32</v>
      </c>
      <c r="D52">
        <f t="shared" si="0"/>
        <v>1.325153374233129</v>
      </c>
      <c r="E52">
        <f t="shared" si="1"/>
        <v>1325.1533742331289</v>
      </c>
      <c r="F52">
        <f t="shared" si="2"/>
        <v>542</v>
      </c>
      <c r="G52">
        <f t="shared" si="5"/>
        <v>537</v>
      </c>
      <c r="H52">
        <f t="shared" si="7"/>
        <v>1.6937500000000001E-2</v>
      </c>
      <c r="I52">
        <f t="shared" si="6"/>
        <v>1.6781250000000001E-2</v>
      </c>
      <c r="J52">
        <f t="shared" si="8"/>
        <v>0.169375</v>
      </c>
    </row>
    <row r="53" spans="3:10">
      <c r="C53">
        <v>33</v>
      </c>
      <c r="D53">
        <f t="shared" si="0"/>
        <v>1.3665644171779141</v>
      </c>
      <c r="E53">
        <f t="shared" si="1"/>
        <v>1366.564417177914</v>
      </c>
      <c r="F53">
        <f t="shared" si="2"/>
        <v>559</v>
      </c>
      <c r="G53">
        <f t="shared" si="5"/>
        <v>554</v>
      </c>
      <c r="H53">
        <f t="shared" si="7"/>
        <v>1.6939393939393938E-2</v>
      </c>
      <c r="I53">
        <f t="shared" si="6"/>
        <v>1.6787878787878789E-2</v>
      </c>
      <c r="J53">
        <f t="shared" si="8"/>
        <v>0.1693939393939394</v>
      </c>
    </row>
    <row r="54" spans="3:10">
      <c r="C54">
        <v>34</v>
      </c>
      <c r="D54">
        <f t="shared" si="0"/>
        <v>1.4079754601226995</v>
      </c>
      <c r="E54">
        <f t="shared" si="1"/>
        <v>1407.9754601226996</v>
      </c>
      <c r="F54">
        <f t="shared" si="2"/>
        <v>576</v>
      </c>
      <c r="G54">
        <f t="shared" si="5"/>
        <v>571</v>
      </c>
      <c r="H54">
        <f t="shared" si="7"/>
        <v>1.6941176470588234E-2</v>
      </c>
      <c r="I54">
        <f t="shared" si="6"/>
        <v>1.6794117647058824E-2</v>
      </c>
      <c r="J54">
        <f t="shared" si="8"/>
        <v>0.16941176470588235</v>
      </c>
    </row>
    <row r="55" spans="3:10">
      <c r="C55">
        <v>35</v>
      </c>
      <c r="D55">
        <f t="shared" si="0"/>
        <v>1.4493865030674848</v>
      </c>
      <c r="E55">
        <f t="shared" si="1"/>
        <v>1449.3865030674849</v>
      </c>
      <c r="F55">
        <f t="shared" si="2"/>
        <v>593</v>
      </c>
      <c r="G55">
        <f t="shared" si="5"/>
        <v>588</v>
      </c>
      <c r="H55">
        <f t="shared" si="7"/>
        <v>1.6942857142857141E-2</v>
      </c>
      <c r="I55">
        <f t="shared" si="6"/>
        <v>1.6799999999999999E-2</v>
      </c>
      <c r="J55">
        <f t="shared" si="8"/>
        <v>0.16942857142857143</v>
      </c>
    </row>
    <row r="56" spans="3:10">
      <c r="C56">
        <v>36</v>
      </c>
      <c r="D56">
        <f t="shared" si="0"/>
        <v>1.4907975460122698</v>
      </c>
      <c r="E56">
        <f t="shared" si="1"/>
        <v>1490.7975460122698</v>
      </c>
      <c r="F56">
        <f t="shared" si="2"/>
        <v>610</v>
      </c>
      <c r="G56">
        <f t="shared" si="5"/>
        <v>605</v>
      </c>
      <c r="H56">
        <f t="shared" si="7"/>
        <v>1.6944444444444446E-2</v>
      </c>
      <c r="I56">
        <f t="shared" si="6"/>
        <v>1.6805555555555556E-2</v>
      </c>
      <c r="J56">
        <f t="shared" si="8"/>
        <v>0.16944444444444445</v>
      </c>
    </row>
    <row r="57" spans="3:10">
      <c r="C57">
        <v>37</v>
      </c>
      <c r="D57">
        <f t="shared" si="0"/>
        <v>1.5322085889570551</v>
      </c>
      <c r="E57">
        <f t="shared" si="1"/>
        <v>1532.2085889570551</v>
      </c>
      <c r="F57">
        <f t="shared" si="2"/>
        <v>627</v>
      </c>
      <c r="G57">
        <f t="shared" si="5"/>
        <v>622</v>
      </c>
      <c r="H57">
        <f t="shared" si="7"/>
        <v>1.6945945945945947E-2</v>
      </c>
      <c r="I57">
        <f t="shared" si="6"/>
        <v>1.681081081081081E-2</v>
      </c>
      <c r="J57">
        <f t="shared" si="8"/>
        <v>0.16945945945945945</v>
      </c>
    </row>
    <row r="58" spans="3:10">
      <c r="C58">
        <v>38</v>
      </c>
      <c r="D58">
        <f t="shared" si="0"/>
        <v>1.5736196319018405</v>
      </c>
      <c r="E58">
        <f t="shared" si="1"/>
        <v>1573.6196319018404</v>
      </c>
      <c r="F58">
        <f t="shared" si="2"/>
        <v>644</v>
      </c>
      <c r="G58">
        <f t="shared" si="5"/>
        <v>639</v>
      </c>
      <c r="H58">
        <f t="shared" si="7"/>
        <v>1.6947368421052631E-2</v>
      </c>
      <c r="I58">
        <f t="shared" si="6"/>
        <v>1.6815789473684211E-2</v>
      </c>
      <c r="J58">
        <f t="shared" si="8"/>
        <v>0.1694736842105263</v>
      </c>
    </row>
    <row r="59" spans="3:10">
      <c r="C59">
        <v>39</v>
      </c>
      <c r="D59">
        <f t="shared" si="0"/>
        <v>1.6150306748466259</v>
      </c>
      <c r="E59">
        <f t="shared" si="1"/>
        <v>1615.030674846626</v>
      </c>
      <c r="F59">
        <f t="shared" si="2"/>
        <v>661</v>
      </c>
      <c r="G59">
        <f t="shared" si="5"/>
        <v>656</v>
      </c>
      <c r="H59">
        <f t="shared" si="7"/>
        <v>1.694871794871795E-2</v>
      </c>
      <c r="I59">
        <f t="shared" si="6"/>
        <v>1.682051282051282E-2</v>
      </c>
      <c r="J59">
        <f t="shared" si="8"/>
        <v>0.16948717948717948</v>
      </c>
    </row>
    <row r="60" spans="3:10">
      <c r="C60">
        <v>40</v>
      </c>
      <c r="D60">
        <f t="shared" si="0"/>
        <v>1.6564417177914113</v>
      </c>
      <c r="E60">
        <f t="shared" si="1"/>
        <v>1656.4417177914113</v>
      </c>
      <c r="F60">
        <f t="shared" si="2"/>
        <v>678</v>
      </c>
      <c r="G60">
        <f t="shared" si="5"/>
        <v>673</v>
      </c>
      <c r="H60">
        <f t="shared" si="7"/>
        <v>1.695E-2</v>
      </c>
      <c r="I60">
        <f t="shared" si="6"/>
        <v>1.6825E-2</v>
      </c>
      <c r="J60">
        <f t="shared" si="8"/>
        <v>0.16950000000000001</v>
      </c>
    </row>
    <row r="61" spans="3:10">
      <c r="C61">
        <v>41</v>
      </c>
      <c r="D61">
        <f t="shared" si="0"/>
        <v>1.6978527607361962</v>
      </c>
      <c r="E61">
        <f t="shared" si="1"/>
        <v>1697.8527607361962</v>
      </c>
      <c r="F61">
        <f t="shared" si="2"/>
        <v>695</v>
      </c>
      <c r="G61">
        <f t="shared" si="5"/>
        <v>690</v>
      </c>
      <c r="H61">
        <f t="shared" si="7"/>
        <v>1.6951219512195123E-2</v>
      </c>
      <c r="I61">
        <f t="shared" si="6"/>
        <v>1.6829268292682928E-2</v>
      </c>
      <c r="J61">
        <f t="shared" si="8"/>
        <v>0.16951219512195123</v>
      </c>
    </row>
    <row r="62" spans="3:10">
      <c r="C62">
        <v>42</v>
      </c>
      <c r="D62">
        <f t="shared" si="0"/>
        <v>1.7392638036809815</v>
      </c>
      <c r="E62">
        <f t="shared" si="1"/>
        <v>1739.2638036809815</v>
      </c>
      <c r="F62">
        <f t="shared" si="2"/>
        <v>712</v>
      </c>
      <c r="G62">
        <f t="shared" si="5"/>
        <v>707</v>
      </c>
      <c r="H62">
        <f t="shared" si="7"/>
        <v>1.6952380952380951E-2</v>
      </c>
      <c r="I62">
        <f t="shared" si="6"/>
        <v>1.6833333333333332E-2</v>
      </c>
      <c r="J62">
        <f t="shared" si="8"/>
        <v>0.16952380952380952</v>
      </c>
    </row>
    <row r="63" spans="3:10">
      <c r="C63">
        <v>43</v>
      </c>
      <c r="D63">
        <f t="shared" si="0"/>
        <v>1.7806748466257669</v>
      </c>
      <c r="E63">
        <f t="shared" si="1"/>
        <v>1780.6748466257668</v>
      </c>
      <c r="F63">
        <f t="shared" si="2"/>
        <v>729</v>
      </c>
      <c r="G63">
        <f t="shared" si="5"/>
        <v>724</v>
      </c>
      <c r="H63">
        <f t="shared" si="7"/>
        <v>1.6953488372093022E-2</v>
      </c>
      <c r="I63">
        <f t="shared" si="6"/>
        <v>1.683720930232558E-2</v>
      </c>
      <c r="J63">
        <f t="shared" si="8"/>
        <v>0.16953488372093023</v>
      </c>
    </row>
    <row r="64" spans="3:10">
      <c r="C64">
        <v>44</v>
      </c>
      <c r="D64">
        <f t="shared" si="0"/>
        <v>1.8220858895705523</v>
      </c>
      <c r="E64">
        <f t="shared" si="1"/>
        <v>1822.0858895705524</v>
      </c>
      <c r="F64">
        <f t="shared" si="2"/>
        <v>746</v>
      </c>
      <c r="G64">
        <f t="shared" si="5"/>
        <v>741</v>
      </c>
      <c r="H64">
        <f t="shared" si="7"/>
        <v>1.6954545454545455E-2</v>
      </c>
      <c r="I64">
        <f t="shared" si="6"/>
        <v>1.684090909090909E-2</v>
      </c>
      <c r="J64">
        <f t="shared" si="8"/>
        <v>0.16954545454545455</v>
      </c>
    </row>
    <row r="65" spans="3:10">
      <c r="C65">
        <v>45</v>
      </c>
      <c r="D65">
        <f t="shared" si="0"/>
        <v>1.8634969325153377</v>
      </c>
      <c r="E65">
        <f t="shared" si="1"/>
        <v>1863.4969325153377</v>
      </c>
      <c r="F65">
        <f t="shared" si="2"/>
        <v>763</v>
      </c>
      <c r="G65">
        <f t="shared" si="5"/>
        <v>758</v>
      </c>
      <c r="H65">
        <f t="shared" si="7"/>
        <v>1.6955555555555557E-2</v>
      </c>
      <c r="I65">
        <f t="shared" si="6"/>
        <v>1.6844444444444443E-2</v>
      </c>
      <c r="J65">
        <f t="shared" si="8"/>
        <v>0.16955555555555554</v>
      </c>
    </row>
    <row r="66" spans="3:10">
      <c r="C66">
        <v>46</v>
      </c>
      <c r="D66">
        <f t="shared" si="0"/>
        <v>1.9049079754601226</v>
      </c>
      <c r="E66">
        <f t="shared" si="1"/>
        <v>1904.9079754601225</v>
      </c>
      <c r="F66">
        <f t="shared" si="2"/>
        <v>780</v>
      </c>
      <c r="G66">
        <f t="shared" si="5"/>
        <v>775</v>
      </c>
      <c r="H66">
        <f t="shared" si="7"/>
        <v>1.6956521739130436E-2</v>
      </c>
      <c r="I66">
        <f t="shared" si="6"/>
        <v>1.6847826086956522E-2</v>
      </c>
      <c r="J66">
        <f t="shared" si="8"/>
        <v>0.16956521739130434</v>
      </c>
    </row>
    <row r="67" spans="3:10">
      <c r="C67">
        <v>47</v>
      </c>
      <c r="D67">
        <f t="shared" si="0"/>
        <v>1.946319018404908</v>
      </c>
      <c r="E67">
        <f t="shared" si="1"/>
        <v>1946.3190184049079</v>
      </c>
      <c r="F67">
        <f t="shared" si="2"/>
        <v>797</v>
      </c>
      <c r="G67">
        <f t="shared" si="5"/>
        <v>792</v>
      </c>
      <c r="H67">
        <f t="shared" si="7"/>
        <v>1.6957446808510638E-2</v>
      </c>
      <c r="I67">
        <f t="shared" si="6"/>
        <v>1.6851063829787235E-2</v>
      </c>
      <c r="J67">
        <f t="shared" si="8"/>
        <v>0.16957446808510637</v>
      </c>
    </row>
    <row r="68" spans="3:10">
      <c r="C68">
        <v>48</v>
      </c>
      <c r="D68">
        <f t="shared" si="0"/>
        <v>1.9877300613496933</v>
      </c>
      <c r="E68">
        <f t="shared" si="1"/>
        <v>1987.7300613496934</v>
      </c>
      <c r="F68">
        <f t="shared" si="2"/>
        <v>814</v>
      </c>
      <c r="G68">
        <f t="shared" si="5"/>
        <v>809</v>
      </c>
      <c r="H68">
        <f t="shared" si="7"/>
        <v>1.6958333333333332E-2</v>
      </c>
      <c r="I68">
        <f t="shared" si="6"/>
        <v>1.6854166666666667E-2</v>
      </c>
      <c r="J68">
        <f t="shared" si="8"/>
        <v>0.16958333333333334</v>
      </c>
    </row>
    <row r="69" spans="3:10">
      <c r="C69">
        <v>49</v>
      </c>
      <c r="D69">
        <f t="shared" si="0"/>
        <v>2.0291411042944785</v>
      </c>
      <c r="E69">
        <f t="shared" si="1"/>
        <v>2029.1411042944785</v>
      </c>
      <c r="F69">
        <f t="shared" si="2"/>
        <v>831</v>
      </c>
      <c r="G69">
        <f t="shared" si="5"/>
        <v>826</v>
      </c>
      <c r="H69">
        <f t="shared" si="7"/>
        <v>1.6959183673469387E-2</v>
      </c>
      <c r="I69">
        <f t="shared" si="6"/>
        <v>1.6857142857142859E-2</v>
      </c>
      <c r="J69">
        <f t="shared" si="8"/>
        <v>0.16959183673469388</v>
      </c>
    </row>
    <row r="70" spans="3:10">
      <c r="C70">
        <v>50</v>
      </c>
      <c r="D70">
        <f t="shared" si="0"/>
        <v>2.0705521472392641</v>
      </c>
      <c r="E70">
        <f t="shared" si="1"/>
        <v>2070.5521472392643</v>
      </c>
      <c r="F70">
        <f t="shared" si="2"/>
        <v>848</v>
      </c>
      <c r="G70">
        <f t="shared" si="5"/>
        <v>843</v>
      </c>
      <c r="H70">
        <f t="shared" si="7"/>
        <v>1.6959999999999999E-2</v>
      </c>
      <c r="I70">
        <f t="shared" si="6"/>
        <v>1.686E-2</v>
      </c>
      <c r="J70">
        <f t="shared" si="8"/>
        <v>0.1696</v>
      </c>
    </row>
    <row r="71" spans="3:10">
      <c r="C71">
        <v>51</v>
      </c>
      <c r="D71">
        <f t="shared" si="0"/>
        <v>2.1119631901840492</v>
      </c>
      <c r="E71">
        <f t="shared" si="1"/>
        <v>2111.9631901840494</v>
      </c>
      <c r="F71">
        <f t="shared" si="2"/>
        <v>865</v>
      </c>
      <c r="G71">
        <f t="shared" si="5"/>
        <v>860</v>
      </c>
      <c r="H71">
        <f t="shared" si="7"/>
        <v>1.696078431372549E-2</v>
      </c>
      <c r="I71">
        <f t="shared" si="6"/>
        <v>1.6862745098039214E-2</v>
      </c>
      <c r="J71">
        <f t="shared" si="8"/>
        <v>0.16960784313725491</v>
      </c>
    </row>
    <row r="72" spans="3:10">
      <c r="C72">
        <v>52</v>
      </c>
      <c r="D72">
        <f t="shared" si="0"/>
        <v>2.1533742331288344</v>
      </c>
      <c r="E72">
        <f t="shared" si="1"/>
        <v>2153.3742331288345</v>
      </c>
      <c r="F72">
        <f t="shared" si="2"/>
        <v>882</v>
      </c>
      <c r="G72">
        <f t="shared" si="5"/>
        <v>877</v>
      </c>
      <c r="H72">
        <f t="shared" si="7"/>
        <v>1.6961538461538462E-2</v>
      </c>
      <c r="I72">
        <f t="shared" si="6"/>
        <v>1.6865384615384615E-2</v>
      </c>
      <c r="J72">
        <f t="shared" si="8"/>
        <v>0.16961538461538461</v>
      </c>
    </row>
    <row r="73" spans="3:10">
      <c r="C73">
        <v>53</v>
      </c>
      <c r="D73">
        <f t="shared" si="0"/>
        <v>2.1947852760736195</v>
      </c>
      <c r="E73">
        <f t="shared" si="1"/>
        <v>2194.7852760736196</v>
      </c>
      <c r="F73">
        <f t="shared" si="2"/>
        <v>898</v>
      </c>
      <c r="G73">
        <f t="shared" si="5"/>
        <v>893</v>
      </c>
      <c r="H73">
        <f t="shared" si="7"/>
        <v>1.6943396226415094E-2</v>
      </c>
      <c r="I73">
        <f t="shared" si="6"/>
        <v>1.6849056603773584E-2</v>
      </c>
      <c r="J73">
        <f t="shared" si="8"/>
        <v>0.16943396226415094</v>
      </c>
    </row>
    <row r="74" spans="3:10">
      <c r="C74">
        <v>54</v>
      </c>
      <c r="D74">
        <f t="shared" si="0"/>
        <v>2.2361963190184051</v>
      </c>
      <c r="E74">
        <f t="shared" si="1"/>
        <v>2236.1963190184051</v>
      </c>
      <c r="F74">
        <f t="shared" si="2"/>
        <v>915</v>
      </c>
      <c r="G74">
        <f t="shared" si="5"/>
        <v>910</v>
      </c>
      <c r="H74">
        <f t="shared" si="7"/>
        <v>1.6944444444444446E-2</v>
      </c>
      <c r="I74">
        <f t="shared" si="6"/>
        <v>1.6851851851851851E-2</v>
      </c>
      <c r="J74">
        <f t="shared" si="8"/>
        <v>0.16944444444444445</v>
      </c>
    </row>
    <row r="75" spans="3:10">
      <c r="C75">
        <v>55</v>
      </c>
      <c r="D75">
        <f t="shared" si="0"/>
        <v>2.2776073619631902</v>
      </c>
      <c r="E75">
        <f t="shared" si="1"/>
        <v>2277.6073619631902</v>
      </c>
      <c r="F75">
        <f t="shared" si="2"/>
        <v>932</v>
      </c>
      <c r="G75">
        <f t="shared" si="5"/>
        <v>927</v>
      </c>
      <c r="H75">
        <f t="shared" si="7"/>
        <v>1.6945454545454545E-2</v>
      </c>
      <c r="I75">
        <f t="shared" si="6"/>
        <v>1.6854545454545455E-2</v>
      </c>
      <c r="J75">
        <f t="shared" si="8"/>
        <v>0.16945454545454544</v>
      </c>
    </row>
    <row r="76" spans="3:10">
      <c r="C76">
        <v>56</v>
      </c>
      <c r="D76">
        <f t="shared" si="0"/>
        <v>2.3190184049079754</v>
      </c>
      <c r="E76">
        <f t="shared" si="1"/>
        <v>2319.0184049079753</v>
      </c>
      <c r="F76">
        <f t="shared" si="2"/>
        <v>949</v>
      </c>
      <c r="G76">
        <f t="shared" si="5"/>
        <v>944</v>
      </c>
      <c r="H76">
        <f t="shared" si="7"/>
        <v>1.6946428571428571E-2</v>
      </c>
      <c r="I76">
        <f t="shared" si="6"/>
        <v>1.6857142857142859E-2</v>
      </c>
      <c r="J76">
        <f t="shared" si="8"/>
        <v>0.16946428571428571</v>
      </c>
    </row>
    <row r="77" spans="3:10">
      <c r="C77">
        <v>57</v>
      </c>
      <c r="D77">
        <f t="shared" si="0"/>
        <v>2.3604294478527605</v>
      </c>
      <c r="E77">
        <f t="shared" si="1"/>
        <v>2360.4294478527604</v>
      </c>
      <c r="F77">
        <f t="shared" si="2"/>
        <v>966</v>
      </c>
      <c r="G77">
        <f t="shared" si="5"/>
        <v>961</v>
      </c>
      <c r="H77">
        <f t="shared" si="7"/>
        <v>1.6947368421052631E-2</v>
      </c>
      <c r="I77">
        <f t="shared" si="6"/>
        <v>1.6859649122807019E-2</v>
      </c>
      <c r="J77">
        <f t="shared" si="8"/>
        <v>0.1694736842105263</v>
      </c>
    </row>
    <row r="78" spans="3:10">
      <c r="C78">
        <v>58</v>
      </c>
      <c r="D78">
        <f t="shared" si="0"/>
        <v>2.4018404907975461</v>
      </c>
      <c r="E78">
        <f t="shared" si="1"/>
        <v>2401.840490797546</v>
      </c>
      <c r="F78">
        <f t="shared" si="2"/>
        <v>983</v>
      </c>
      <c r="G78">
        <f t="shared" si="5"/>
        <v>978</v>
      </c>
      <c r="H78">
        <f t="shared" si="7"/>
        <v>1.6948275862068967E-2</v>
      </c>
      <c r="I78">
        <f t="shared" si="6"/>
        <v>1.686206896551724E-2</v>
      </c>
      <c r="J78">
        <f t="shared" si="8"/>
        <v>0.16948275862068965</v>
      </c>
    </row>
    <row r="79" spans="3:10">
      <c r="C79">
        <v>59</v>
      </c>
      <c r="D79">
        <f t="shared" si="0"/>
        <v>2.4432515337423313</v>
      </c>
      <c r="E79">
        <f t="shared" si="1"/>
        <v>2443.2515337423315</v>
      </c>
      <c r="F79">
        <f t="shared" si="2"/>
        <v>1000</v>
      </c>
      <c r="G79">
        <f t="shared" si="5"/>
        <v>995</v>
      </c>
      <c r="H79">
        <f t="shared" si="7"/>
        <v>1.6949152542372881E-2</v>
      </c>
      <c r="I79">
        <f t="shared" si="6"/>
        <v>1.6864406779661018E-2</v>
      </c>
      <c r="J79">
        <f t="shared" si="8"/>
        <v>0.16949152542372881</v>
      </c>
    </row>
    <row r="80" spans="3:10">
      <c r="C80">
        <v>60</v>
      </c>
      <c r="D80">
        <f t="shared" si="0"/>
        <v>2.4846625766871164</v>
      </c>
      <c r="E80">
        <f t="shared" si="1"/>
        <v>2484.6625766871166</v>
      </c>
      <c r="F80">
        <f t="shared" si="2"/>
        <v>1017</v>
      </c>
      <c r="G80" s="2">
        <f t="shared" si="5"/>
        <v>1012</v>
      </c>
      <c r="H80">
        <f t="shared" si="7"/>
        <v>1.695E-2</v>
      </c>
      <c r="I80">
        <f t="shared" si="6"/>
        <v>1.6866666666666665E-2</v>
      </c>
      <c r="J80">
        <f t="shared" si="8"/>
        <v>0.16950000000000001</v>
      </c>
    </row>
    <row r="81" spans="3:10">
      <c r="C81">
        <v>61</v>
      </c>
      <c r="D81">
        <f t="shared" si="0"/>
        <v>2.526073619631902</v>
      </c>
      <c r="E81">
        <f t="shared" si="1"/>
        <v>2526.0736196319021</v>
      </c>
      <c r="F81">
        <f t="shared" si="2"/>
        <v>1034</v>
      </c>
      <c r="G81">
        <f t="shared" si="5"/>
        <v>1029</v>
      </c>
      <c r="H81">
        <f t="shared" si="7"/>
        <v>1.6950819672131148E-2</v>
      </c>
      <c r="I81">
        <f t="shared" si="6"/>
        <v>1.6868852459016394E-2</v>
      </c>
      <c r="J81">
        <f t="shared" si="8"/>
        <v>0.16950819672131148</v>
      </c>
    </row>
    <row r="82" spans="3:10">
      <c r="C82">
        <v>62</v>
      </c>
      <c r="D82">
        <f t="shared" si="0"/>
        <v>2.5674846625766872</v>
      </c>
      <c r="E82">
        <f t="shared" si="1"/>
        <v>2567.4846625766872</v>
      </c>
      <c r="F82">
        <f t="shared" si="2"/>
        <v>1051</v>
      </c>
      <c r="G82">
        <f t="shared" si="5"/>
        <v>1046</v>
      </c>
      <c r="H82">
        <f t="shared" si="7"/>
        <v>1.6951612903225808E-2</v>
      </c>
      <c r="I82">
        <f t="shared" si="6"/>
        <v>1.6870967741935482E-2</v>
      </c>
      <c r="J82">
        <f t="shared" si="8"/>
        <v>0.16951612903225807</v>
      </c>
    </row>
  </sheetData>
  <phoneticPr fontId="1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0"/>
  <dimension ref="A2:J56"/>
  <sheetViews>
    <sheetView workbookViewId="0">
      <selection activeCell="E11" sqref="E11"/>
    </sheetView>
  </sheetViews>
  <sheetFormatPr defaultRowHeight="16.5"/>
  <cols>
    <col min="1" max="1" width="32.25" style="48" customWidth="1"/>
    <col min="2" max="2" width="17.875" style="48" customWidth="1"/>
    <col min="3" max="3" width="18.375" style="48" customWidth="1"/>
    <col min="4" max="4" width="20.625" style="48" customWidth="1"/>
    <col min="5" max="16384" width="9" style="48"/>
  </cols>
  <sheetData>
    <row r="2" spans="1:10" ht="21">
      <c r="A2" s="61" t="s">
        <v>169</v>
      </c>
    </row>
    <row r="3" spans="1:10" ht="19.5">
      <c r="A3" s="60" t="s">
        <v>149</v>
      </c>
      <c r="B3" s="59" t="s">
        <v>168</v>
      </c>
      <c r="C3" s="59" t="s">
        <v>147</v>
      </c>
      <c r="D3" s="59" t="s">
        <v>146</v>
      </c>
      <c r="E3" s="48" t="s">
        <v>173</v>
      </c>
      <c r="G3" s="58"/>
    </row>
    <row r="4" spans="1:10">
      <c r="A4" s="57" t="s">
        <v>167</v>
      </c>
      <c r="B4" s="56" t="s">
        <v>116</v>
      </c>
      <c r="C4" s="56" t="s">
        <v>116</v>
      </c>
      <c r="D4" s="939" t="s">
        <v>166</v>
      </c>
      <c r="E4" s="48" t="s">
        <v>178</v>
      </c>
      <c r="G4" s="58"/>
    </row>
    <row r="5" spans="1:10">
      <c r="A5" s="57" t="s">
        <v>165</v>
      </c>
      <c r="B5" s="56" t="s">
        <v>116</v>
      </c>
      <c r="C5" s="56" t="s">
        <v>116</v>
      </c>
      <c r="D5" s="939"/>
      <c r="E5" s="48" t="s">
        <v>176</v>
      </c>
      <c r="G5" s="58"/>
    </row>
    <row r="6" spans="1:10">
      <c r="A6" s="57" t="s">
        <v>164</v>
      </c>
      <c r="B6" s="56" t="s">
        <v>116</v>
      </c>
      <c r="C6" s="56" t="s">
        <v>116</v>
      </c>
      <c r="D6" s="939"/>
      <c r="E6" s="48" t="s">
        <v>179</v>
      </c>
      <c r="G6" s="58"/>
    </row>
    <row r="7" spans="1:10">
      <c r="A7" s="57" t="s">
        <v>163</v>
      </c>
      <c r="B7" s="56" t="s">
        <v>116</v>
      </c>
      <c r="C7" s="56" t="s">
        <v>116</v>
      </c>
      <c r="D7" s="939"/>
      <c r="E7" s="48" t="s">
        <v>171</v>
      </c>
      <c r="F7" s="48" t="s">
        <v>174</v>
      </c>
      <c r="G7" s="58"/>
      <c r="H7" s="48" t="s">
        <v>172</v>
      </c>
      <c r="J7" s="48" t="s">
        <v>175</v>
      </c>
    </row>
    <row r="8" spans="1:10">
      <c r="A8" s="57" t="s">
        <v>162</v>
      </c>
      <c r="B8" s="56" t="s">
        <v>116</v>
      </c>
      <c r="C8" s="56" t="s">
        <v>116</v>
      </c>
      <c r="D8" s="939"/>
      <c r="E8" s="48" t="s">
        <v>177</v>
      </c>
      <c r="G8" s="58"/>
    </row>
    <row r="9" spans="1:10">
      <c r="A9" s="57" t="s">
        <v>161</v>
      </c>
      <c r="B9" s="56" t="s">
        <v>116</v>
      </c>
      <c r="C9" s="56" t="s">
        <v>116</v>
      </c>
      <c r="D9" s="939"/>
      <c r="E9" s="48" t="s">
        <v>180</v>
      </c>
      <c r="G9" s="58"/>
    </row>
    <row r="10" spans="1:10">
      <c r="A10" s="57" t="s">
        <v>160</v>
      </c>
      <c r="B10" s="56" t="s">
        <v>116</v>
      </c>
      <c r="C10" s="56" t="s">
        <v>116</v>
      </c>
      <c r="D10" s="939"/>
      <c r="E10" s="48" t="s">
        <v>181</v>
      </c>
      <c r="G10" s="58"/>
    </row>
    <row r="11" spans="1:10">
      <c r="A11" s="57" t="s">
        <v>159</v>
      </c>
      <c r="B11" s="56" t="s">
        <v>116</v>
      </c>
      <c r="C11" s="56" t="s">
        <v>116</v>
      </c>
      <c r="D11" s="939"/>
      <c r="G11" s="58"/>
    </row>
    <row r="12" spans="1:10">
      <c r="A12" s="57" t="s">
        <v>158</v>
      </c>
      <c r="B12" s="56" t="s">
        <v>116</v>
      </c>
      <c r="C12" s="56" t="s">
        <v>116</v>
      </c>
      <c r="D12" s="939"/>
      <c r="G12" s="58"/>
    </row>
    <row r="13" spans="1:10">
      <c r="A13" s="57" t="s">
        <v>157</v>
      </c>
      <c r="B13" s="56" t="s">
        <v>116</v>
      </c>
      <c r="C13" s="56" t="s">
        <v>116</v>
      </c>
      <c r="D13" s="939"/>
      <c r="G13" s="58"/>
    </row>
    <row r="14" spans="1:10">
      <c r="A14" s="57" t="s">
        <v>156</v>
      </c>
      <c r="B14" s="56" t="s">
        <v>116</v>
      </c>
      <c r="C14" s="56" t="s">
        <v>116</v>
      </c>
      <c r="D14" s="939"/>
    </row>
    <row r="15" spans="1:10">
      <c r="A15" s="57" t="s">
        <v>155</v>
      </c>
      <c r="B15" s="56" t="s">
        <v>116</v>
      </c>
      <c r="C15" s="56" t="s">
        <v>116</v>
      </c>
      <c r="D15" s="939"/>
    </row>
    <row r="16" spans="1:10">
      <c r="A16" s="55" t="s">
        <v>154</v>
      </c>
      <c r="B16" s="54" t="s">
        <v>116</v>
      </c>
      <c r="C16" s="54"/>
      <c r="D16" s="938" t="s">
        <v>153</v>
      </c>
    </row>
    <row r="17" spans="1:4">
      <c r="A17" s="55" t="s">
        <v>152</v>
      </c>
      <c r="B17" s="54" t="s">
        <v>116</v>
      </c>
      <c r="C17" s="54"/>
      <c r="D17" s="938"/>
    </row>
    <row r="18" spans="1:4">
      <c r="A18" s="55" t="s">
        <v>151</v>
      </c>
      <c r="B18" s="54" t="s">
        <v>116</v>
      </c>
      <c r="C18" s="54"/>
      <c r="D18" s="938"/>
    </row>
    <row r="19" spans="1:4">
      <c r="A19" s="55" t="s">
        <v>150</v>
      </c>
      <c r="B19" s="54" t="s">
        <v>116</v>
      </c>
      <c r="C19" s="54"/>
      <c r="D19" s="938"/>
    </row>
    <row r="21" spans="1:4">
      <c r="A21" s="51" t="s">
        <v>149</v>
      </c>
      <c r="B21" s="51" t="s">
        <v>148</v>
      </c>
      <c r="C21" s="50" t="s">
        <v>147</v>
      </c>
      <c r="D21" s="50" t="s">
        <v>146</v>
      </c>
    </row>
    <row r="22" spans="1:4">
      <c r="A22" s="53" t="s">
        <v>145</v>
      </c>
      <c r="B22" s="51" t="s">
        <v>116</v>
      </c>
      <c r="C22" s="50" t="s">
        <v>116</v>
      </c>
      <c r="D22" s="49"/>
    </row>
    <row r="23" spans="1:4">
      <c r="A23" s="53" t="s">
        <v>144</v>
      </c>
      <c r="B23" s="51" t="s">
        <v>116</v>
      </c>
      <c r="C23" s="50" t="s">
        <v>116</v>
      </c>
      <c r="D23" s="49"/>
    </row>
    <row r="24" spans="1:4">
      <c r="A24" s="53" t="s">
        <v>143</v>
      </c>
      <c r="B24" s="51" t="s">
        <v>116</v>
      </c>
      <c r="C24" s="50" t="s">
        <v>116</v>
      </c>
      <c r="D24" s="49"/>
    </row>
    <row r="25" spans="1:4">
      <c r="A25" s="53" t="s">
        <v>142</v>
      </c>
      <c r="B25" s="51" t="s">
        <v>116</v>
      </c>
      <c r="C25" s="50" t="s">
        <v>116</v>
      </c>
      <c r="D25" s="49"/>
    </row>
    <row r="26" spans="1:4">
      <c r="A26" s="53" t="s">
        <v>141</v>
      </c>
      <c r="B26" s="51" t="s">
        <v>116</v>
      </c>
      <c r="C26" s="50" t="s">
        <v>116</v>
      </c>
      <c r="D26" s="49"/>
    </row>
    <row r="27" spans="1:4">
      <c r="A27" s="53" t="s">
        <v>140</v>
      </c>
      <c r="B27" s="51" t="s">
        <v>116</v>
      </c>
      <c r="C27" s="50" t="s">
        <v>116</v>
      </c>
      <c r="D27" s="49"/>
    </row>
    <row r="28" spans="1:4">
      <c r="A28" s="53" t="s">
        <v>139</v>
      </c>
      <c r="B28" s="51" t="s">
        <v>116</v>
      </c>
      <c r="C28" s="50" t="s">
        <v>116</v>
      </c>
      <c r="D28" s="49"/>
    </row>
    <row r="29" spans="1:4">
      <c r="A29" s="52" t="s">
        <v>138</v>
      </c>
      <c r="B29" s="51" t="s">
        <v>116</v>
      </c>
      <c r="C29" s="50" t="s">
        <v>116</v>
      </c>
      <c r="D29" s="49"/>
    </row>
    <row r="30" spans="1:4">
      <c r="A30" s="52" t="s">
        <v>137</v>
      </c>
      <c r="B30" s="51" t="s">
        <v>116</v>
      </c>
      <c r="C30" s="50" t="s">
        <v>116</v>
      </c>
      <c r="D30" s="49"/>
    </row>
    <row r="31" spans="1:4">
      <c r="A31" s="52" t="s">
        <v>136</v>
      </c>
      <c r="B31" s="51" t="s">
        <v>116</v>
      </c>
      <c r="C31" s="50" t="s">
        <v>116</v>
      </c>
      <c r="D31" s="49"/>
    </row>
    <row r="32" spans="1:4">
      <c r="A32" s="52" t="s">
        <v>135</v>
      </c>
      <c r="B32" s="51" t="s">
        <v>116</v>
      </c>
      <c r="C32" s="50" t="s">
        <v>116</v>
      </c>
      <c r="D32" s="49"/>
    </row>
    <row r="33" spans="1:4">
      <c r="A33" s="52" t="s">
        <v>134</v>
      </c>
      <c r="B33" s="51" t="s">
        <v>116</v>
      </c>
      <c r="C33" s="50" t="s">
        <v>116</v>
      </c>
      <c r="D33" s="49"/>
    </row>
    <row r="34" spans="1:4">
      <c r="A34" s="52" t="s">
        <v>133</v>
      </c>
      <c r="B34" s="51" t="s">
        <v>116</v>
      </c>
      <c r="C34" s="50" t="s">
        <v>116</v>
      </c>
      <c r="D34" s="49"/>
    </row>
    <row r="35" spans="1:4">
      <c r="A35" s="52" t="s">
        <v>132</v>
      </c>
      <c r="B35" s="51" t="s">
        <v>116</v>
      </c>
      <c r="C35" s="50" t="s">
        <v>116</v>
      </c>
      <c r="D35" s="49"/>
    </row>
    <row r="36" spans="1:4">
      <c r="A36" s="52" t="s">
        <v>131</v>
      </c>
      <c r="B36" s="51" t="s">
        <v>116</v>
      </c>
      <c r="C36" s="50" t="s">
        <v>116</v>
      </c>
      <c r="D36" s="49"/>
    </row>
    <row r="37" spans="1:4">
      <c r="A37" s="52" t="s">
        <v>130</v>
      </c>
      <c r="B37" s="51" t="s">
        <v>116</v>
      </c>
      <c r="C37" s="50" t="s">
        <v>116</v>
      </c>
      <c r="D37" s="49"/>
    </row>
    <row r="38" spans="1:4">
      <c r="A38" s="52" t="s">
        <v>129</v>
      </c>
      <c r="B38" s="51" t="s">
        <v>116</v>
      </c>
      <c r="C38" s="50" t="s">
        <v>116</v>
      </c>
      <c r="D38" s="49"/>
    </row>
    <row r="39" spans="1:4">
      <c r="A39" s="52" t="s">
        <v>128</v>
      </c>
      <c r="B39" s="51" t="s">
        <v>116</v>
      </c>
      <c r="C39" s="50" t="s">
        <v>116</v>
      </c>
      <c r="D39" s="49"/>
    </row>
    <row r="40" spans="1:4">
      <c r="A40" s="52" t="s">
        <v>127</v>
      </c>
      <c r="B40" s="51" t="s">
        <v>116</v>
      </c>
      <c r="C40" s="50" t="s">
        <v>116</v>
      </c>
      <c r="D40" s="49"/>
    </row>
    <row r="41" spans="1:4">
      <c r="A41" s="52" t="s">
        <v>126</v>
      </c>
      <c r="B41" s="51" t="s">
        <v>116</v>
      </c>
      <c r="C41" s="50" t="s">
        <v>116</v>
      </c>
      <c r="D41" s="49"/>
    </row>
    <row r="42" spans="1:4">
      <c r="A42" s="52" t="s">
        <v>125</v>
      </c>
      <c r="B42" s="51" t="s">
        <v>116</v>
      </c>
      <c r="C42" s="50" t="s">
        <v>116</v>
      </c>
      <c r="D42" s="49"/>
    </row>
    <row r="43" spans="1:4">
      <c r="A43" s="52" t="s">
        <v>124</v>
      </c>
      <c r="B43" s="51" t="s">
        <v>116</v>
      </c>
      <c r="C43" s="50" t="s">
        <v>116</v>
      </c>
      <c r="D43" s="49"/>
    </row>
    <row r="44" spans="1:4">
      <c r="A44" s="52" t="s">
        <v>123</v>
      </c>
      <c r="B44" s="51" t="s">
        <v>116</v>
      </c>
      <c r="C44" s="50" t="s">
        <v>116</v>
      </c>
      <c r="D44" s="49"/>
    </row>
    <row r="45" spans="1:4">
      <c r="A45" s="52" t="s">
        <v>122</v>
      </c>
      <c r="B45" s="51" t="s">
        <v>116</v>
      </c>
      <c r="C45" s="50" t="s">
        <v>116</v>
      </c>
      <c r="D45" s="49"/>
    </row>
    <row r="46" spans="1:4">
      <c r="A46" s="52" t="s">
        <v>121</v>
      </c>
      <c r="B46" s="51" t="s">
        <v>116</v>
      </c>
      <c r="C46" s="50" t="s">
        <v>116</v>
      </c>
      <c r="D46" s="49"/>
    </row>
    <row r="47" spans="1:4">
      <c r="A47" s="52" t="s">
        <v>120</v>
      </c>
      <c r="B47" s="51" t="s">
        <v>116</v>
      </c>
      <c r="C47" s="50" t="s">
        <v>116</v>
      </c>
      <c r="D47" s="49"/>
    </row>
    <row r="48" spans="1:4">
      <c r="A48" s="52" t="s">
        <v>119</v>
      </c>
      <c r="B48" s="51" t="s">
        <v>116</v>
      </c>
      <c r="C48" s="50" t="s">
        <v>116</v>
      </c>
      <c r="D48" s="49"/>
    </row>
    <row r="49" spans="1:4">
      <c r="A49" s="52" t="s">
        <v>118</v>
      </c>
      <c r="B49" s="51" t="s">
        <v>116</v>
      </c>
      <c r="C49" s="50" t="s">
        <v>116</v>
      </c>
      <c r="D49" s="49"/>
    </row>
    <row r="50" spans="1:4">
      <c r="A50" s="52" t="s">
        <v>117</v>
      </c>
      <c r="B50" s="51" t="s">
        <v>116</v>
      </c>
      <c r="C50" s="50" t="s">
        <v>116</v>
      </c>
      <c r="D50" s="49"/>
    </row>
    <row r="51" spans="1:4">
      <c r="A51" s="52" t="s">
        <v>122</v>
      </c>
      <c r="B51" s="51" t="s">
        <v>116</v>
      </c>
      <c r="C51" s="50" t="s">
        <v>116</v>
      </c>
      <c r="D51" s="49"/>
    </row>
    <row r="52" spans="1:4">
      <c r="A52" s="52" t="s">
        <v>121</v>
      </c>
      <c r="B52" s="51" t="s">
        <v>116</v>
      </c>
      <c r="C52" s="50" t="s">
        <v>116</v>
      </c>
      <c r="D52" s="49"/>
    </row>
    <row r="53" spans="1:4">
      <c r="A53" s="52" t="s">
        <v>120</v>
      </c>
      <c r="B53" s="51" t="s">
        <v>116</v>
      </c>
      <c r="C53" s="50" t="s">
        <v>116</v>
      </c>
      <c r="D53" s="49"/>
    </row>
    <row r="54" spans="1:4">
      <c r="A54" s="52" t="s">
        <v>119</v>
      </c>
      <c r="B54" s="51" t="s">
        <v>116</v>
      </c>
      <c r="C54" s="50" t="s">
        <v>116</v>
      </c>
      <c r="D54" s="49"/>
    </row>
    <row r="55" spans="1:4">
      <c r="A55" s="52" t="s">
        <v>118</v>
      </c>
      <c r="B55" s="51" t="s">
        <v>116</v>
      </c>
      <c r="C55" s="50" t="s">
        <v>116</v>
      </c>
      <c r="D55" s="49"/>
    </row>
    <row r="56" spans="1:4">
      <c r="A56" s="52" t="s">
        <v>117</v>
      </c>
      <c r="B56" s="51" t="s">
        <v>116</v>
      </c>
      <c r="C56" s="50" t="s">
        <v>116</v>
      </c>
      <c r="D56" s="49"/>
    </row>
  </sheetData>
  <mergeCells count="2">
    <mergeCell ref="D16:D19"/>
    <mergeCell ref="D4:D15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1"/>
  <dimension ref="C2:M43"/>
  <sheetViews>
    <sheetView topLeftCell="A28" workbookViewId="0">
      <selection activeCell="G41" sqref="G41"/>
    </sheetView>
  </sheetViews>
  <sheetFormatPr defaultRowHeight="16.5"/>
  <cols>
    <col min="6" max="7" width="12.375" customWidth="1"/>
    <col min="8" max="8" width="11.25" customWidth="1"/>
  </cols>
  <sheetData>
    <row r="2" spans="4:6">
      <c r="D2">
        <v>68</v>
      </c>
      <c r="F2" t="s">
        <v>70</v>
      </c>
    </row>
    <row r="4" spans="4:6">
      <c r="D4" t="s">
        <v>69</v>
      </c>
    </row>
    <row r="5" spans="4:6">
      <c r="D5" t="s">
        <v>9</v>
      </c>
    </row>
    <row r="6" spans="4:6">
      <c r="D6">
        <v>0</v>
      </c>
    </row>
    <row r="7" spans="4:6">
      <c r="D7">
        <v>500</v>
      </c>
    </row>
    <row r="8" spans="4:6">
      <c r="D8">
        <v>1000</v>
      </c>
    </row>
    <row r="9" spans="4:6">
      <c r="D9">
        <v>1500</v>
      </c>
    </row>
    <row r="10" spans="4:6">
      <c r="D10">
        <v>2000</v>
      </c>
    </row>
    <row r="11" spans="4:6">
      <c r="D11">
        <v>3000</v>
      </c>
    </row>
    <row r="12" spans="4:6">
      <c r="D12">
        <v>4000</v>
      </c>
    </row>
    <row r="13" spans="4:6">
      <c r="D13">
        <v>5000</v>
      </c>
    </row>
    <row r="14" spans="4:6">
      <c r="D14">
        <v>6000</v>
      </c>
    </row>
    <row r="15" spans="4:6">
      <c r="D15">
        <v>7000</v>
      </c>
    </row>
    <row r="16" spans="4:6">
      <c r="D16">
        <v>8000</v>
      </c>
    </row>
    <row r="17" spans="4:13">
      <c r="D17">
        <v>9000</v>
      </c>
      <c r="I17" t="s">
        <v>75</v>
      </c>
      <c r="J17">
        <v>1024</v>
      </c>
    </row>
    <row r="18" spans="4:13">
      <c r="D18">
        <v>10000</v>
      </c>
      <c r="I18" t="s">
        <v>76</v>
      </c>
      <c r="J18">
        <v>2500</v>
      </c>
      <c r="K18" t="s">
        <v>77</v>
      </c>
    </row>
    <row r="19" spans="4:13">
      <c r="I19" t="s">
        <v>78</v>
      </c>
      <c r="J19">
        <f>J18/J17</f>
        <v>2.44140625</v>
      </c>
      <c r="K19" t="s">
        <v>19</v>
      </c>
    </row>
    <row r="21" spans="4:13">
      <c r="D21" t="s">
        <v>0</v>
      </c>
      <c r="E21">
        <v>3.3330000000000002</v>
      </c>
      <c r="F21" t="s">
        <v>81</v>
      </c>
    </row>
    <row r="23" spans="4:13" ht="17.25" thickBot="1">
      <c r="D23" t="s">
        <v>71</v>
      </c>
      <c r="E23" t="s">
        <v>80</v>
      </c>
      <c r="F23" t="s">
        <v>72</v>
      </c>
      <c r="G23" t="s">
        <v>82</v>
      </c>
      <c r="H23" t="s">
        <v>73</v>
      </c>
      <c r="I23" t="s">
        <v>74</v>
      </c>
      <c r="J23" t="s">
        <v>74</v>
      </c>
      <c r="L23" t="s">
        <v>79</v>
      </c>
      <c r="M23" t="s">
        <v>83</v>
      </c>
    </row>
    <row r="24" spans="4:13" ht="18" thickTop="1" thickBot="1">
      <c r="D24" s="22">
        <v>0</v>
      </c>
      <c r="E24" s="22">
        <f>$E$21*D24</f>
        <v>0</v>
      </c>
      <c r="F24" s="22">
        <v>0</v>
      </c>
      <c r="G24" s="22" t="e">
        <f>(F24-E24)/E24*100</f>
        <v>#DIV/0!</v>
      </c>
      <c r="H24" s="22">
        <v>0.3</v>
      </c>
      <c r="I24" s="23"/>
      <c r="L24">
        <f t="shared" ref="L24:L33" si="0">ROUND(H24/$J$19,0)</f>
        <v>0</v>
      </c>
      <c r="M24" t="e">
        <f>F24/D24</f>
        <v>#DIV/0!</v>
      </c>
    </row>
    <row r="25" spans="4:13" ht="18" thickTop="1" thickBot="1">
      <c r="D25" s="24">
        <v>0.06</v>
      </c>
      <c r="E25" s="22">
        <f t="shared" ref="E25:E33" si="1">$E$21*D25</f>
        <v>0.19997999999999999</v>
      </c>
      <c r="F25" s="24">
        <v>0.16900000000000001</v>
      </c>
      <c r="G25" s="22">
        <f t="shared" ref="G25:G33" si="2">(F25-E25)/E25*100</f>
        <v>-15.491549154915482</v>
      </c>
      <c r="H25" s="24">
        <v>11.4</v>
      </c>
      <c r="I25" s="24">
        <v>67.456000000000003</v>
      </c>
      <c r="J25">
        <f>H25/F25</f>
        <v>67.455621301775139</v>
      </c>
      <c r="L25">
        <f t="shared" si="0"/>
        <v>5</v>
      </c>
      <c r="M25">
        <f t="shared" ref="M25:M33" si="3">F25/D25</f>
        <v>2.8166666666666669</v>
      </c>
    </row>
    <row r="26" spans="4:13" ht="18" thickTop="1" thickBot="1">
      <c r="D26" s="25">
        <v>1</v>
      </c>
      <c r="E26" s="22">
        <f t="shared" si="1"/>
        <v>3.3330000000000002</v>
      </c>
      <c r="F26" s="25">
        <v>3.3180000000000001</v>
      </c>
      <c r="G26" s="22">
        <f t="shared" si="2"/>
        <v>-0.45004500450045382</v>
      </c>
      <c r="H26" s="25">
        <v>219</v>
      </c>
      <c r="I26" s="25">
        <v>66.004000000000005</v>
      </c>
      <c r="J26">
        <f t="shared" ref="J26:J33" si="4">H26/F26</f>
        <v>66.003616636528022</v>
      </c>
      <c r="L26">
        <f t="shared" si="0"/>
        <v>90</v>
      </c>
      <c r="M26">
        <f t="shared" si="3"/>
        <v>3.3180000000000001</v>
      </c>
    </row>
    <row r="27" spans="4:13" ht="18" thickTop="1" thickBot="1">
      <c r="D27" s="24">
        <v>2</v>
      </c>
      <c r="E27" s="22">
        <f t="shared" si="1"/>
        <v>6.6660000000000004</v>
      </c>
      <c r="F27" s="24">
        <v>6.6689999999999996</v>
      </c>
      <c r="G27" s="22">
        <f t="shared" si="2"/>
        <v>4.5004500450033388E-2</v>
      </c>
      <c r="H27" s="24">
        <v>440</v>
      </c>
      <c r="I27" s="24">
        <v>65.977000000000004</v>
      </c>
      <c r="J27">
        <f t="shared" si="4"/>
        <v>65.976908082171249</v>
      </c>
      <c r="L27">
        <f t="shared" si="0"/>
        <v>180</v>
      </c>
      <c r="M27">
        <f t="shared" si="3"/>
        <v>3.3344999999999998</v>
      </c>
    </row>
    <row r="28" spans="4:13" ht="18" thickTop="1" thickBot="1">
      <c r="D28" s="25">
        <v>3</v>
      </c>
      <c r="E28" s="22">
        <f t="shared" si="1"/>
        <v>9.9990000000000006</v>
      </c>
      <c r="F28" s="25">
        <v>10.022</v>
      </c>
      <c r="G28" s="22">
        <f t="shared" si="2"/>
        <v>0.23002300230022688</v>
      </c>
      <c r="H28" s="25">
        <v>661</v>
      </c>
      <c r="I28" s="25">
        <v>65.954999999999998</v>
      </c>
      <c r="J28">
        <f t="shared" si="4"/>
        <v>65.954899221712225</v>
      </c>
      <c r="L28">
        <f t="shared" si="0"/>
        <v>271</v>
      </c>
      <c r="M28">
        <f t="shared" si="3"/>
        <v>3.3406666666666669</v>
      </c>
    </row>
    <row r="29" spans="4:13" ht="18" thickTop="1" thickBot="1">
      <c r="D29" s="24">
        <v>4</v>
      </c>
      <c r="E29" s="22">
        <f t="shared" si="1"/>
        <v>13.332000000000001</v>
      </c>
      <c r="F29" s="24">
        <v>13.384</v>
      </c>
      <c r="G29" s="22">
        <f t="shared" si="2"/>
        <v>0.39003900390038704</v>
      </c>
      <c r="H29" s="24">
        <v>882</v>
      </c>
      <c r="I29" s="24">
        <v>65.900000000000006</v>
      </c>
      <c r="J29">
        <f t="shared" si="4"/>
        <v>65.89958158995816</v>
      </c>
      <c r="L29">
        <f t="shared" si="0"/>
        <v>361</v>
      </c>
      <c r="M29">
        <f t="shared" si="3"/>
        <v>3.3460000000000001</v>
      </c>
    </row>
    <row r="30" spans="4:13" ht="18" thickTop="1" thickBot="1">
      <c r="D30" s="25">
        <v>5</v>
      </c>
      <c r="E30" s="22">
        <f t="shared" si="1"/>
        <v>16.664999999999999</v>
      </c>
      <c r="F30" s="25">
        <v>16.736999999999998</v>
      </c>
      <c r="G30" s="22">
        <f t="shared" si="2"/>
        <v>0.43204320432042709</v>
      </c>
      <c r="H30" s="25">
        <v>1103</v>
      </c>
      <c r="I30" s="25">
        <v>65.902000000000001</v>
      </c>
      <c r="J30">
        <f t="shared" si="4"/>
        <v>65.901894007289243</v>
      </c>
      <c r="L30">
        <f t="shared" si="0"/>
        <v>452</v>
      </c>
      <c r="M30">
        <f t="shared" si="3"/>
        <v>3.3473999999999995</v>
      </c>
    </row>
    <row r="31" spans="4:13" ht="18" thickTop="1" thickBot="1">
      <c r="D31" s="24">
        <v>6</v>
      </c>
      <c r="E31" s="22">
        <f t="shared" si="1"/>
        <v>19.998000000000001</v>
      </c>
      <c r="F31" s="24">
        <v>20.088999999999999</v>
      </c>
      <c r="G31" s="22">
        <f t="shared" si="2"/>
        <v>0.45504550455044268</v>
      </c>
      <c r="H31" s="24">
        <v>1324</v>
      </c>
      <c r="I31" s="24">
        <v>65.906999999999996</v>
      </c>
      <c r="J31">
        <f t="shared" si="4"/>
        <v>65.906715117726122</v>
      </c>
      <c r="L31">
        <f t="shared" si="0"/>
        <v>542</v>
      </c>
      <c r="M31">
        <f t="shared" si="3"/>
        <v>3.3481666666666663</v>
      </c>
    </row>
    <row r="32" spans="4:13" ht="18" thickTop="1" thickBot="1">
      <c r="D32" s="25">
        <v>7</v>
      </c>
      <c r="E32" s="22">
        <f t="shared" si="1"/>
        <v>23.331000000000003</v>
      </c>
      <c r="F32" s="25">
        <v>23.443000000000001</v>
      </c>
      <c r="G32" s="22">
        <f t="shared" si="2"/>
        <v>0.48004800480047283</v>
      </c>
      <c r="H32" s="25">
        <v>1545</v>
      </c>
      <c r="I32" s="25">
        <v>65.905000000000001</v>
      </c>
      <c r="J32">
        <f t="shared" si="4"/>
        <v>65.904534402593526</v>
      </c>
      <c r="L32">
        <f t="shared" si="0"/>
        <v>633</v>
      </c>
      <c r="M32">
        <f t="shared" si="3"/>
        <v>3.3490000000000002</v>
      </c>
    </row>
    <row r="33" spans="3:13" ht="18" thickTop="1" thickBot="1">
      <c r="D33" s="24">
        <v>8</v>
      </c>
      <c r="E33" s="22">
        <f t="shared" si="1"/>
        <v>26.664000000000001</v>
      </c>
      <c r="F33" s="24">
        <v>26.808</v>
      </c>
      <c r="G33" s="22">
        <f t="shared" si="2"/>
        <v>0.54005400540053383</v>
      </c>
      <c r="H33" s="24">
        <v>1767</v>
      </c>
      <c r="I33" s="24">
        <v>65.912999999999997</v>
      </c>
      <c r="J33">
        <f t="shared" si="4"/>
        <v>65.913160250671439</v>
      </c>
      <c r="L33">
        <f t="shared" si="0"/>
        <v>724</v>
      </c>
      <c r="M33">
        <f t="shared" si="3"/>
        <v>3.351</v>
      </c>
    </row>
    <row r="37" spans="3:13">
      <c r="C37" s="26">
        <v>41039</v>
      </c>
    </row>
    <row r="38" spans="3:13">
      <c r="C38">
        <v>30.4</v>
      </c>
      <c r="D38">
        <v>512</v>
      </c>
    </row>
    <row r="39" spans="3:13">
      <c r="C39">
        <v>30.1</v>
      </c>
      <c r="D39">
        <v>507</v>
      </c>
    </row>
    <row r="40" spans="3:13">
      <c r="C40">
        <v>29.8</v>
      </c>
      <c r="D40">
        <v>501</v>
      </c>
    </row>
    <row r="41" spans="3:13">
      <c r="C41">
        <v>29.3</v>
      </c>
      <c r="D41">
        <v>494</v>
      </c>
    </row>
    <row r="43" spans="3:13">
      <c r="C43" t="s">
        <v>84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2">
    <tabColor rgb="FFFF0000"/>
  </sheetPr>
  <dimension ref="A1:T163"/>
  <sheetViews>
    <sheetView zoomScale="85" zoomScaleNormal="85" workbookViewId="0">
      <selection activeCell="G18" sqref="G18"/>
    </sheetView>
  </sheetViews>
  <sheetFormatPr defaultRowHeight="16.5"/>
  <cols>
    <col min="3" max="3" width="13.375" customWidth="1"/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194</v>
      </c>
    </row>
    <row r="2" spans="1:20" ht="21">
      <c r="A2" t="s">
        <v>38</v>
      </c>
      <c r="F2" s="84" t="s">
        <v>355</v>
      </c>
    </row>
    <row r="3" spans="1:20">
      <c r="A3" t="s">
        <v>39</v>
      </c>
      <c r="F3" t="s">
        <v>228</v>
      </c>
    </row>
    <row r="4" spans="1:20">
      <c r="A4" t="s">
        <v>197</v>
      </c>
      <c r="F4" t="s">
        <v>229</v>
      </c>
    </row>
    <row r="5" spans="1:20">
      <c r="A5" t="s">
        <v>197</v>
      </c>
    </row>
    <row r="6" spans="1:20">
      <c r="A6" t="s">
        <v>50</v>
      </c>
      <c r="H6" t="s">
        <v>195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53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107"/>
      <c r="J14" s="104">
        <v>33</v>
      </c>
      <c r="K14" s="107" t="s">
        <v>241</v>
      </c>
      <c r="L14" s="91"/>
      <c r="O14" s="932" t="s">
        <v>236</v>
      </c>
      <c r="P14" s="933"/>
      <c r="Q14" s="85" t="s">
        <v>245</v>
      </c>
      <c r="R14" s="85"/>
      <c r="S14" s="85"/>
      <c r="T14" s="86"/>
    </row>
    <row r="15" spans="1:20" ht="17.25" thickBot="1">
      <c r="H15" s="936" t="s">
        <v>111</v>
      </c>
      <c r="I15" s="937"/>
      <c r="J15" s="87">
        <f>VLOOKUP(J14,C22:J162,6)</f>
        <v>1747</v>
      </c>
      <c r="K15" s="106" t="s">
        <v>242</v>
      </c>
      <c r="L15" s="15"/>
      <c r="O15" s="934"/>
      <c r="P15" s="935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6" t="s">
        <v>104</v>
      </c>
      <c r="I16" s="937"/>
      <c r="J16" s="105">
        <v>2000</v>
      </c>
      <c r="K16" s="106"/>
      <c r="L16" s="15"/>
      <c r="M16" t="s">
        <v>243</v>
      </c>
      <c r="O16" s="932" t="s">
        <v>236</v>
      </c>
      <c r="P16" s="933"/>
      <c r="Q16" s="85" t="s">
        <v>246</v>
      </c>
      <c r="R16" s="85"/>
      <c r="S16" s="85"/>
      <c r="T16" s="86"/>
    </row>
    <row r="17" spans="3:20" ht="17.25" thickBot="1">
      <c r="D17" t="s">
        <v>2</v>
      </c>
      <c r="E17" s="64">
        <v>10</v>
      </c>
      <c r="F17" t="s">
        <v>5</v>
      </c>
      <c r="H17" s="936" t="s">
        <v>105</v>
      </c>
      <c r="I17" s="937"/>
      <c r="J17" s="106">
        <f>J16-J15</f>
        <v>253</v>
      </c>
      <c r="K17" s="106" t="s">
        <v>106</v>
      </c>
      <c r="L17" s="15"/>
      <c r="M17" s="92" t="str">
        <f>DEC2HEX(J17)</f>
        <v>FD</v>
      </c>
      <c r="N17" s="92"/>
      <c r="O17" s="934"/>
      <c r="P17" s="935"/>
      <c r="Q17" s="88" t="s">
        <v>247</v>
      </c>
      <c r="R17" s="88" t="s">
        <v>239</v>
      </c>
      <c r="S17" s="88"/>
      <c r="T17" s="89"/>
    </row>
    <row r="18" spans="3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3:20" ht="17.25" thickTop="1"/>
    <row r="21" spans="3:20">
      <c r="C21" t="s">
        <v>42</v>
      </c>
      <c r="D21" t="s">
        <v>199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3:20">
      <c r="C22">
        <v>-40</v>
      </c>
      <c r="D22" s="68">
        <v>197000</v>
      </c>
      <c r="E22">
        <f t="shared" ref="E22:E85" si="0">D22/1000</f>
        <v>197</v>
      </c>
      <c r="F22">
        <f t="shared" ref="F22:F61" si="1">$E$16/($E$17+E22)*E22</f>
        <v>3.1405797101449275</v>
      </c>
      <c r="G22">
        <f t="shared" ref="G22:G61" si="2">ROUND((F22*1000),2)</f>
        <v>3140.58</v>
      </c>
      <c r="H22">
        <f t="shared" ref="H22:H61" si="3">ROUNDDOWN(G22/$I$10,0)</f>
        <v>3898</v>
      </c>
      <c r="J22">
        <f t="shared" ref="J22:J61" si="4">H22/G22</f>
        <v>1.24117201281292</v>
      </c>
    </row>
    <row r="23" spans="3:20">
      <c r="C23">
        <v>-39</v>
      </c>
      <c r="D23" s="68">
        <v>187000</v>
      </c>
      <c r="E23">
        <f t="shared" si="0"/>
        <v>187</v>
      </c>
      <c r="F23">
        <f t="shared" si="1"/>
        <v>3.1324873096446697</v>
      </c>
      <c r="G23">
        <f t="shared" si="2"/>
        <v>3132.49</v>
      </c>
      <c r="H23">
        <f t="shared" si="3"/>
        <v>3888</v>
      </c>
      <c r="J23">
        <f t="shared" si="4"/>
        <v>1.2411851274864405</v>
      </c>
    </row>
    <row r="24" spans="3:20">
      <c r="C24">
        <v>-38</v>
      </c>
      <c r="D24" s="68">
        <v>177000</v>
      </c>
      <c r="E24">
        <f t="shared" si="0"/>
        <v>177</v>
      </c>
      <c r="F24">
        <f t="shared" si="1"/>
        <v>3.1235294117647059</v>
      </c>
      <c r="G24">
        <f t="shared" si="2"/>
        <v>3123.53</v>
      </c>
      <c r="H24">
        <f t="shared" si="3"/>
        <v>3876</v>
      </c>
      <c r="J24">
        <f t="shared" si="4"/>
        <v>1.2409037211104104</v>
      </c>
    </row>
    <row r="25" spans="3:20">
      <c r="C25">
        <v>-37</v>
      </c>
      <c r="D25" s="68">
        <v>168000</v>
      </c>
      <c r="E25">
        <f t="shared" si="0"/>
        <v>168</v>
      </c>
      <c r="F25">
        <f t="shared" si="1"/>
        <v>3.1146067415730334</v>
      </c>
      <c r="G25">
        <f t="shared" si="2"/>
        <v>3114.61</v>
      </c>
      <c r="H25">
        <f t="shared" si="3"/>
        <v>3865</v>
      </c>
      <c r="J25">
        <f t="shared" si="4"/>
        <v>1.2409258302002497</v>
      </c>
    </row>
    <row r="26" spans="3:20">
      <c r="C26">
        <v>-36</v>
      </c>
      <c r="D26" s="68">
        <v>159000</v>
      </c>
      <c r="E26">
        <f t="shared" si="0"/>
        <v>159</v>
      </c>
      <c r="F26">
        <f t="shared" si="1"/>
        <v>3.1047337278106508</v>
      </c>
      <c r="G26">
        <f t="shared" si="2"/>
        <v>3104.73</v>
      </c>
      <c r="H26">
        <f t="shared" si="3"/>
        <v>3853</v>
      </c>
      <c r="J26">
        <f t="shared" si="4"/>
        <v>1.2410096852222254</v>
      </c>
    </row>
    <row r="27" spans="3:20">
      <c r="C27">
        <v>-35</v>
      </c>
      <c r="D27" s="68">
        <v>151000</v>
      </c>
      <c r="E27">
        <f t="shared" si="0"/>
        <v>151</v>
      </c>
      <c r="F27">
        <f t="shared" si="1"/>
        <v>3.0950310559006211</v>
      </c>
      <c r="G27">
        <f t="shared" si="2"/>
        <v>3095.03</v>
      </c>
      <c r="H27">
        <f t="shared" si="3"/>
        <v>3841</v>
      </c>
      <c r="J27">
        <f t="shared" si="4"/>
        <v>1.2410218963951882</v>
      </c>
    </row>
    <row r="28" spans="3:20">
      <c r="C28">
        <v>-34</v>
      </c>
      <c r="D28" s="68">
        <v>143000</v>
      </c>
      <c r="E28">
        <f t="shared" si="0"/>
        <v>143</v>
      </c>
      <c r="F28">
        <f t="shared" si="1"/>
        <v>3.0843137254901962</v>
      </c>
      <c r="G28">
        <f t="shared" si="2"/>
        <v>3084.31</v>
      </c>
      <c r="H28">
        <f t="shared" si="3"/>
        <v>3828</v>
      </c>
      <c r="J28">
        <f t="shared" si="4"/>
        <v>1.2411203802471218</v>
      </c>
    </row>
    <row r="29" spans="3:20">
      <c r="C29">
        <v>-33</v>
      </c>
      <c r="D29" s="68">
        <v>136000</v>
      </c>
      <c r="E29">
        <f t="shared" si="0"/>
        <v>136</v>
      </c>
      <c r="F29">
        <f t="shared" si="1"/>
        <v>3.0739726027397256</v>
      </c>
      <c r="G29">
        <f t="shared" si="2"/>
        <v>3073.97</v>
      </c>
      <c r="H29">
        <f t="shared" si="3"/>
        <v>3815</v>
      </c>
      <c r="J29">
        <f t="shared" si="4"/>
        <v>1.2410661132021459</v>
      </c>
    </row>
    <row r="30" spans="3:20">
      <c r="C30">
        <v>-32</v>
      </c>
      <c r="D30" s="68">
        <v>129000</v>
      </c>
      <c r="E30">
        <f t="shared" si="0"/>
        <v>129</v>
      </c>
      <c r="F30">
        <f t="shared" si="1"/>
        <v>3.0625899280575539</v>
      </c>
      <c r="G30">
        <f t="shared" si="2"/>
        <v>3062.59</v>
      </c>
      <c r="H30">
        <f t="shared" si="3"/>
        <v>3801</v>
      </c>
      <c r="J30">
        <f t="shared" si="4"/>
        <v>1.2411063838123941</v>
      </c>
    </row>
    <row r="31" spans="3:20">
      <c r="C31">
        <v>-31</v>
      </c>
      <c r="D31" s="68">
        <v>123000</v>
      </c>
      <c r="E31">
        <f t="shared" si="0"/>
        <v>123</v>
      </c>
      <c r="F31">
        <f t="shared" si="1"/>
        <v>3.0518796992481203</v>
      </c>
      <c r="G31">
        <f t="shared" si="2"/>
        <v>3051.88</v>
      </c>
      <c r="H31">
        <f t="shared" si="3"/>
        <v>3788</v>
      </c>
      <c r="J31">
        <f t="shared" si="4"/>
        <v>1.2412021442520675</v>
      </c>
    </row>
    <row r="32" spans="3:20">
      <c r="C32">
        <v>-30</v>
      </c>
      <c r="D32" s="68">
        <v>116000</v>
      </c>
      <c r="E32">
        <f t="shared" si="0"/>
        <v>116</v>
      </c>
      <c r="F32">
        <f t="shared" si="1"/>
        <v>3.038095238095238</v>
      </c>
      <c r="G32">
        <f t="shared" si="2"/>
        <v>3038.1</v>
      </c>
      <c r="H32">
        <f t="shared" si="3"/>
        <v>3770</v>
      </c>
      <c r="J32">
        <f t="shared" si="4"/>
        <v>1.2409071459135645</v>
      </c>
    </row>
    <row r="33" spans="3:10">
      <c r="C33">
        <v>-29</v>
      </c>
      <c r="D33" s="68">
        <v>111000</v>
      </c>
      <c r="E33">
        <f t="shared" si="0"/>
        <v>111</v>
      </c>
      <c r="F33">
        <f t="shared" si="1"/>
        <v>3.0272727272727273</v>
      </c>
      <c r="G33">
        <f t="shared" si="2"/>
        <v>3027.27</v>
      </c>
      <c r="H33">
        <f t="shared" si="3"/>
        <v>3757</v>
      </c>
      <c r="J33">
        <f t="shared" si="4"/>
        <v>1.2410521691160683</v>
      </c>
    </row>
    <row r="34" spans="3:10">
      <c r="C34">
        <v>-28</v>
      </c>
      <c r="D34" s="68">
        <v>105000</v>
      </c>
      <c r="E34">
        <f t="shared" si="0"/>
        <v>105</v>
      </c>
      <c r="F34">
        <f t="shared" si="1"/>
        <v>3.0130434782608693</v>
      </c>
      <c r="G34">
        <f t="shared" si="2"/>
        <v>3013.04</v>
      </c>
      <c r="H34">
        <f t="shared" si="3"/>
        <v>3739</v>
      </c>
      <c r="J34">
        <f t="shared" si="4"/>
        <v>1.2409393834798077</v>
      </c>
    </row>
    <row r="35" spans="3:10">
      <c r="C35">
        <v>-27</v>
      </c>
      <c r="D35" s="68">
        <v>99700</v>
      </c>
      <c r="E35">
        <f t="shared" si="0"/>
        <v>99.7</v>
      </c>
      <c r="F35">
        <f t="shared" si="1"/>
        <v>2.9991795806745669</v>
      </c>
      <c r="G35">
        <f t="shared" si="2"/>
        <v>2999.18</v>
      </c>
      <c r="H35">
        <f t="shared" si="3"/>
        <v>3722</v>
      </c>
      <c r="J35">
        <f t="shared" si="4"/>
        <v>1.2410058749391502</v>
      </c>
    </row>
    <row r="36" spans="3:10">
      <c r="C36">
        <v>-26</v>
      </c>
      <c r="D36" s="68">
        <v>94800</v>
      </c>
      <c r="E36">
        <f t="shared" si="0"/>
        <v>94.8</v>
      </c>
      <c r="F36">
        <f t="shared" si="1"/>
        <v>2.9851145038167934</v>
      </c>
      <c r="G36">
        <f t="shared" si="2"/>
        <v>2985.11</v>
      </c>
      <c r="H36">
        <f t="shared" si="3"/>
        <v>3705</v>
      </c>
      <c r="J36">
        <f t="shared" si="4"/>
        <v>1.2411602922505367</v>
      </c>
    </row>
    <row r="37" spans="3:10">
      <c r="C37">
        <v>-25</v>
      </c>
      <c r="D37" s="68">
        <v>90100</v>
      </c>
      <c r="E37">
        <f t="shared" si="0"/>
        <v>90.1</v>
      </c>
      <c r="F37">
        <f t="shared" si="1"/>
        <v>2.9703296703296704</v>
      </c>
      <c r="G37">
        <f t="shared" si="2"/>
        <v>2970.33</v>
      </c>
      <c r="H37">
        <f t="shared" si="3"/>
        <v>3686</v>
      </c>
      <c r="J37">
        <f t="shared" si="4"/>
        <v>1.2409395589042296</v>
      </c>
    </row>
    <row r="38" spans="3:10">
      <c r="C38">
        <v>-24</v>
      </c>
      <c r="D38" s="68">
        <v>85700</v>
      </c>
      <c r="E38">
        <f t="shared" si="0"/>
        <v>85.7</v>
      </c>
      <c r="F38">
        <f t="shared" si="1"/>
        <v>2.9551724137931035</v>
      </c>
      <c r="G38">
        <f t="shared" si="2"/>
        <v>2955.17</v>
      </c>
      <c r="H38">
        <f t="shared" si="3"/>
        <v>3667</v>
      </c>
      <c r="J38">
        <f t="shared" si="4"/>
        <v>1.2408761594087649</v>
      </c>
    </row>
    <row r="39" spans="3:10">
      <c r="C39">
        <v>-23</v>
      </c>
      <c r="D39" s="68">
        <v>81500</v>
      </c>
      <c r="E39">
        <f t="shared" si="0"/>
        <v>81.5</v>
      </c>
      <c r="F39">
        <f t="shared" si="1"/>
        <v>2.9393442622950818</v>
      </c>
      <c r="G39">
        <f t="shared" si="2"/>
        <v>2939.34</v>
      </c>
      <c r="H39">
        <f t="shared" si="3"/>
        <v>3648</v>
      </c>
      <c r="J39">
        <f t="shared" si="4"/>
        <v>1.2410949396803364</v>
      </c>
    </row>
    <row r="40" spans="3:10">
      <c r="C40">
        <v>-22</v>
      </c>
      <c r="D40" s="68">
        <v>77600</v>
      </c>
      <c r="E40">
        <f t="shared" si="0"/>
        <v>77.599999999999994</v>
      </c>
      <c r="F40">
        <f t="shared" si="1"/>
        <v>2.9232876712328761</v>
      </c>
      <c r="G40">
        <f t="shared" si="2"/>
        <v>2923.29</v>
      </c>
      <c r="H40">
        <f t="shared" si="3"/>
        <v>3628</v>
      </c>
      <c r="J40">
        <f t="shared" si="4"/>
        <v>1.2410674274533147</v>
      </c>
    </row>
    <row r="41" spans="3:10">
      <c r="C41">
        <v>-21</v>
      </c>
      <c r="D41" s="68">
        <v>73900</v>
      </c>
      <c r="E41">
        <f t="shared" si="0"/>
        <v>73.900000000000006</v>
      </c>
      <c r="F41">
        <f t="shared" si="1"/>
        <v>2.9066746126340881</v>
      </c>
      <c r="G41">
        <f t="shared" si="2"/>
        <v>2906.67</v>
      </c>
      <c r="H41">
        <f t="shared" si="3"/>
        <v>3607</v>
      </c>
      <c r="J41">
        <f t="shared" si="4"/>
        <v>1.2409389438773579</v>
      </c>
    </row>
    <row r="42" spans="3:10">
      <c r="C42">
        <v>-20</v>
      </c>
      <c r="D42" s="68">
        <v>70300</v>
      </c>
      <c r="E42">
        <f t="shared" si="0"/>
        <v>70.3</v>
      </c>
      <c r="F42">
        <f t="shared" si="1"/>
        <v>2.8890410958904105</v>
      </c>
      <c r="G42">
        <f t="shared" si="2"/>
        <v>2889.04</v>
      </c>
      <c r="H42">
        <f t="shared" si="3"/>
        <v>3585</v>
      </c>
      <c r="J42">
        <f t="shared" si="4"/>
        <v>1.2408966300224296</v>
      </c>
    </row>
    <row r="43" spans="3:10">
      <c r="C43">
        <v>-19</v>
      </c>
      <c r="D43" s="68">
        <v>66900</v>
      </c>
      <c r="E43">
        <f t="shared" si="0"/>
        <v>66.900000000000006</v>
      </c>
      <c r="F43">
        <f t="shared" si="1"/>
        <v>2.8708712613784133</v>
      </c>
      <c r="G43">
        <f t="shared" si="2"/>
        <v>2870.87</v>
      </c>
      <c r="H43">
        <f t="shared" si="3"/>
        <v>3563</v>
      </c>
      <c r="J43">
        <f t="shared" si="4"/>
        <v>1.2410871965641077</v>
      </c>
    </row>
    <row r="44" spans="3:10">
      <c r="C44">
        <v>-18</v>
      </c>
      <c r="D44" s="68">
        <v>63800</v>
      </c>
      <c r="E44">
        <f t="shared" si="0"/>
        <v>63.8</v>
      </c>
      <c r="F44">
        <f t="shared" si="1"/>
        <v>2.8528455284552843</v>
      </c>
      <c r="G44">
        <f t="shared" si="2"/>
        <v>2852.85</v>
      </c>
      <c r="H44">
        <f t="shared" si="3"/>
        <v>3540</v>
      </c>
      <c r="J44">
        <f t="shared" si="4"/>
        <v>1.2408643987591357</v>
      </c>
    </row>
    <row r="45" spans="3:10">
      <c r="C45">
        <v>-17</v>
      </c>
      <c r="D45" s="68">
        <v>60700</v>
      </c>
      <c r="E45">
        <f t="shared" si="0"/>
        <v>60.7</v>
      </c>
      <c r="F45">
        <f t="shared" si="1"/>
        <v>2.8332390381895332</v>
      </c>
      <c r="G45">
        <f t="shared" si="2"/>
        <v>2833.24</v>
      </c>
      <c r="H45">
        <f t="shared" si="3"/>
        <v>3516</v>
      </c>
      <c r="J45">
        <f t="shared" si="4"/>
        <v>1.240982055879488</v>
      </c>
    </row>
    <row r="46" spans="3:10">
      <c r="C46">
        <v>-16</v>
      </c>
      <c r="D46" s="68">
        <v>57900</v>
      </c>
      <c r="E46">
        <f t="shared" si="0"/>
        <v>57.9</v>
      </c>
      <c r="F46">
        <f t="shared" si="1"/>
        <v>2.8139911634756993</v>
      </c>
      <c r="G46">
        <f t="shared" si="2"/>
        <v>2813.99</v>
      </c>
      <c r="H46">
        <f t="shared" si="3"/>
        <v>3492</v>
      </c>
      <c r="J46">
        <f t="shared" si="4"/>
        <v>1.2409425761996313</v>
      </c>
    </row>
    <row r="47" spans="3:10">
      <c r="C47">
        <v>-15</v>
      </c>
      <c r="D47" s="68">
        <v>55200</v>
      </c>
      <c r="E47">
        <f t="shared" si="0"/>
        <v>55.2</v>
      </c>
      <c r="F47">
        <f t="shared" si="1"/>
        <v>2.7938650306748465</v>
      </c>
      <c r="G47">
        <f t="shared" si="2"/>
        <v>2793.87</v>
      </c>
      <c r="H47">
        <f t="shared" si="3"/>
        <v>3467</v>
      </c>
      <c r="J47">
        <f t="shared" si="4"/>
        <v>1.2409310383088692</v>
      </c>
    </row>
    <row r="48" spans="3:10">
      <c r="C48">
        <v>-14</v>
      </c>
      <c r="D48" s="68">
        <v>52600</v>
      </c>
      <c r="E48">
        <f t="shared" si="0"/>
        <v>52.6</v>
      </c>
      <c r="F48">
        <f t="shared" si="1"/>
        <v>2.772843450479233</v>
      </c>
      <c r="G48">
        <f t="shared" si="2"/>
        <v>2772.84</v>
      </c>
      <c r="H48">
        <f t="shared" si="3"/>
        <v>3441</v>
      </c>
      <c r="J48">
        <f t="shared" si="4"/>
        <v>1.2409659410568226</v>
      </c>
    </row>
    <row r="49" spans="3:10">
      <c r="C49">
        <v>-13</v>
      </c>
      <c r="D49" s="68">
        <v>50200</v>
      </c>
      <c r="E49">
        <f t="shared" si="0"/>
        <v>50.2</v>
      </c>
      <c r="F49">
        <f t="shared" si="1"/>
        <v>2.7518272425249166</v>
      </c>
      <c r="G49">
        <f t="shared" si="2"/>
        <v>2751.83</v>
      </c>
      <c r="H49">
        <f t="shared" si="3"/>
        <v>3415</v>
      </c>
      <c r="J49">
        <f t="shared" si="4"/>
        <v>1.240992357812801</v>
      </c>
    </row>
    <row r="50" spans="3:10">
      <c r="C50">
        <v>-12</v>
      </c>
      <c r="D50" s="68">
        <v>47900</v>
      </c>
      <c r="E50">
        <f t="shared" si="0"/>
        <v>47.9</v>
      </c>
      <c r="F50">
        <f t="shared" si="1"/>
        <v>2.7300518134715026</v>
      </c>
      <c r="G50">
        <f t="shared" si="2"/>
        <v>2730.05</v>
      </c>
      <c r="H50">
        <f t="shared" si="3"/>
        <v>3388</v>
      </c>
      <c r="J50">
        <f t="shared" si="4"/>
        <v>1.241002912034578</v>
      </c>
    </row>
    <row r="51" spans="3:10">
      <c r="C51">
        <v>-11</v>
      </c>
      <c r="D51" s="68">
        <v>45700</v>
      </c>
      <c r="E51">
        <f t="shared" si="0"/>
        <v>45.7</v>
      </c>
      <c r="F51">
        <f t="shared" si="1"/>
        <v>2.7075403949730701</v>
      </c>
      <c r="G51">
        <f t="shared" si="2"/>
        <v>2707.54</v>
      </c>
      <c r="H51">
        <f t="shared" si="3"/>
        <v>3360</v>
      </c>
      <c r="J51">
        <f t="shared" si="4"/>
        <v>1.2409788959719894</v>
      </c>
    </row>
    <row r="52" spans="3:10">
      <c r="C52">
        <v>-10</v>
      </c>
      <c r="D52" s="68">
        <v>43600</v>
      </c>
      <c r="E52">
        <f t="shared" si="0"/>
        <v>43.6</v>
      </c>
      <c r="F52">
        <f t="shared" si="1"/>
        <v>2.6843283582089552</v>
      </c>
      <c r="G52">
        <f t="shared" si="2"/>
        <v>2684.33</v>
      </c>
      <c r="H52">
        <f t="shared" si="3"/>
        <v>3331</v>
      </c>
      <c r="J52">
        <f t="shared" si="4"/>
        <v>1.2409055518509275</v>
      </c>
    </row>
    <row r="53" spans="3:10">
      <c r="C53">
        <v>-9</v>
      </c>
      <c r="D53" s="68">
        <v>41600</v>
      </c>
      <c r="E53">
        <f t="shared" si="0"/>
        <v>41.6</v>
      </c>
      <c r="F53">
        <f t="shared" si="1"/>
        <v>2.6604651162790693</v>
      </c>
      <c r="G53">
        <f t="shared" si="2"/>
        <v>2660.47</v>
      </c>
      <c r="H53">
        <f t="shared" si="3"/>
        <v>3302</v>
      </c>
      <c r="J53">
        <f t="shared" si="4"/>
        <v>1.2411340853307875</v>
      </c>
    </row>
    <row r="54" spans="3:10">
      <c r="C54">
        <v>-8</v>
      </c>
      <c r="D54" s="68">
        <v>39700</v>
      </c>
      <c r="E54">
        <f t="shared" si="0"/>
        <v>39.700000000000003</v>
      </c>
      <c r="F54">
        <f t="shared" si="1"/>
        <v>2.6360160965794766</v>
      </c>
      <c r="G54">
        <f t="shared" si="2"/>
        <v>2636.02</v>
      </c>
      <c r="H54">
        <f t="shared" si="3"/>
        <v>3271</v>
      </c>
      <c r="J54">
        <f t="shared" si="4"/>
        <v>1.2408858809872458</v>
      </c>
    </row>
    <row r="55" spans="3:10">
      <c r="C55">
        <v>-7</v>
      </c>
      <c r="D55" s="68">
        <v>38000</v>
      </c>
      <c r="E55">
        <f t="shared" si="0"/>
        <v>38</v>
      </c>
      <c r="F55">
        <f t="shared" si="1"/>
        <v>2.6124999999999998</v>
      </c>
      <c r="G55">
        <f t="shared" si="2"/>
        <v>2612.5</v>
      </c>
      <c r="H55">
        <f t="shared" si="3"/>
        <v>3242</v>
      </c>
      <c r="J55">
        <f t="shared" si="4"/>
        <v>1.240956937799043</v>
      </c>
    </row>
    <row r="56" spans="3:10">
      <c r="C56">
        <v>-6</v>
      </c>
      <c r="D56" s="68">
        <v>36300</v>
      </c>
      <c r="E56">
        <f t="shared" si="0"/>
        <v>36.299999999999997</v>
      </c>
      <c r="F56">
        <f t="shared" si="1"/>
        <v>2.5872570194384448</v>
      </c>
      <c r="G56">
        <f t="shared" si="2"/>
        <v>2587.2600000000002</v>
      </c>
      <c r="H56">
        <f t="shared" si="3"/>
        <v>3211</v>
      </c>
      <c r="J56">
        <f t="shared" si="4"/>
        <v>1.2410812983619737</v>
      </c>
    </row>
    <row r="57" spans="3:10">
      <c r="C57">
        <v>-5</v>
      </c>
      <c r="D57" s="68">
        <v>34700</v>
      </c>
      <c r="E57">
        <f t="shared" si="0"/>
        <v>34.700000000000003</v>
      </c>
      <c r="F57">
        <f t="shared" si="1"/>
        <v>2.5617449664429528</v>
      </c>
      <c r="G57">
        <f t="shared" si="2"/>
        <v>2561.7399999999998</v>
      </c>
      <c r="H57">
        <f t="shared" si="3"/>
        <v>3179</v>
      </c>
      <c r="J57">
        <f t="shared" si="4"/>
        <v>1.2409534144760983</v>
      </c>
    </row>
    <row r="58" spans="3:10">
      <c r="C58">
        <v>-4</v>
      </c>
      <c r="D58" s="68">
        <v>33100</v>
      </c>
      <c r="E58">
        <f t="shared" si="0"/>
        <v>33.1</v>
      </c>
      <c r="F58">
        <f t="shared" si="1"/>
        <v>2.5343387470997678</v>
      </c>
      <c r="G58">
        <f t="shared" si="2"/>
        <v>2534.34</v>
      </c>
      <c r="H58">
        <f t="shared" si="3"/>
        <v>3145</v>
      </c>
      <c r="J58">
        <f t="shared" si="4"/>
        <v>1.2409542523891821</v>
      </c>
    </row>
    <row r="59" spans="3:10">
      <c r="C59">
        <v>-3</v>
      </c>
      <c r="D59" s="68">
        <v>31700</v>
      </c>
      <c r="E59">
        <f t="shared" si="0"/>
        <v>31.7</v>
      </c>
      <c r="F59">
        <f t="shared" si="1"/>
        <v>2.5086330935251797</v>
      </c>
      <c r="G59">
        <f t="shared" si="2"/>
        <v>2508.63</v>
      </c>
      <c r="H59">
        <f t="shared" si="3"/>
        <v>3113</v>
      </c>
      <c r="J59">
        <f t="shared" si="4"/>
        <v>1.2409163567365453</v>
      </c>
    </row>
    <row r="60" spans="3:10">
      <c r="C60">
        <v>-2</v>
      </c>
      <c r="D60" s="68">
        <v>30300</v>
      </c>
      <c r="E60">
        <f t="shared" si="0"/>
        <v>30.3</v>
      </c>
      <c r="F60">
        <f t="shared" si="1"/>
        <v>2.4811414392059552</v>
      </c>
      <c r="G60">
        <f t="shared" si="2"/>
        <v>2481.14</v>
      </c>
      <c r="H60">
        <f t="shared" si="3"/>
        <v>3079</v>
      </c>
      <c r="J60">
        <f t="shared" si="4"/>
        <v>1.2409618159394473</v>
      </c>
    </row>
    <row r="61" spans="3:10">
      <c r="C61">
        <v>-1</v>
      </c>
      <c r="D61" s="68">
        <v>29000</v>
      </c>
      <c r="E61">
        <f t="shared" si="0"/>
        <v>29</v>
      </c>
      <c r="F61">
        <f t="shared" si="1"/>
        <v>2.4538461538461536</v>
      </c>
      <c r="G61">
        <f t="shared" si="2"/>
        <v>2453.85</v>
      </c>
      <c r="H61">
        <f t="shared" si="3"/>
        <v>3045</v>
      </c>
      <c r="J61">
        <f t="shared" si="4"/>
        <v>1.2409071459135645</v>
      </c>
    </row>
    <row r="62" spans="3:10">
      <c r="C62">
        <v>0</v>
      </c>
      <c r="D62" s="68">
        <v>27700</v>
      </c>
      <c r="E62">
        <f t="shared" si="0"/>
        <v>27.7</v>
      </c>
      <c r="F62">
        <f>$E$16/($E$17+E62)*E62</f>
        <v>2.4246684350132623</v>
      </c>
      <c r="G62">
        <f>ROUND((F62*1000),2)</f>
        <v>2424.67</v>
      </c>
      <c r="H62">
        <f>ROUNDDOWN(G62/$I$10,0)</f>
        <v>3009</v>
      </c>
      <c r="J62">
        <f>H62/G62</f>
        <v>1.2409936197503164</v>
      </c>
    </row>
    <row r="63" spans="3:10">
      <c r="C63">
        <v>1</v>
      </c>
      <c r="D63" s="68">
        <v>26600</v>
      </c>
      <c r="E63">
        <f t="shared" si="0"/>
        <v>26.6</v>
      </c>
      <c r="F63">
        <f t="shared" ref="F63:F126" si="5">$E$16/($E$17+E63)*E63</f>
        <v>2.3983606557377048</v>
      </c>
      <c r="G63">
        <f t="shared" ref="G63:G126" si="6">ROUND((F63*1000),2)</f>
        <v>2398.36</v>
      </c>
      <c r="H63">
        <f t="shared" ref="H63:H126" si="7">ROUNDDOWN(G63/$I$10,0)</f>
        <v>2976</v>
      </c>
      <c r="J63">
        <f t="shared" ref="J63:J126" si="8">H63/G63</f>
        <v>1.2408479127403724</v>
      </c>
    </row>
    <row r="64" spans="3:10">
      <c r="C64">
        <v>2</v>
      </c>
      <c r="D64" s="68">
        <v>25400</v>
      </c>
      <c r="E64">
        <f t="shared" si="0"/>
        <v>25.4</v>
      </c>
      <c r="F64">
        <f t="shared" si="5"/>
        <v>2.3677966101694916</v>
      </c>
      <c r="G64">
        <f t="shared" si="6"/>
        <v>2367.8000000000002</v>
      </c>
      <c r="H64">
        <f t="shared" si="7"/>
        <v>2938</v>
      </c>
      <c r="J64">
        <f t="shared" si="8"/>
        <v>1.2408142579609764</v>
      </c>
    </row>
    <row r="65" spans="3:10">
      <c r="C65">
        <v>3</v>
      </c>
      <c r="D65" s="68">
        <v>24300</v>
      </c>
      <c r="E65">
        <f t="shared" si="0"/>
        <v>24.3</v>
      </c>
      <c r="F65">
        <f t="shared" si="5"/>
        <v>2.3379008746355687</v>
      </c>
      <c r="G65">
        <f t="shared" si="6"/>
        <v>2337.9</v>
      </c>
      <c r="H65">
        <f t="shared" si="7"/>
        <v>2901</v>
      </c>
      <c r="J65">
        <f t="shared" si="8"/>
        <v>1.240857179520082</v>
      </c>
    </row>
    <row r="66" spans="3:10">
      <c r="C66">
        <v>4</v>
      </c>
      <c r="D66" s="68">
        <v>23300</v>
      </c>
      <c r="E66">
        <f t="shared" si="0"/>
        <v>23.3</v>
      </c>
      <c r="F66">
        <f t="shared" si="5"/>
        <v>2.3090090090090092</v>
      </c>
      <c r="G66">
        <f t="shared" si="6"/>
        <v>2309.0100000000002</v>
      </c>
      <c r="H66">
        <f t="shared" si="7"/>
        <v>2865</v>
      </c>
      <c r="J66">
        <f t="shared" si="8"/>
        <v>1.240791508048904</v>
      </c>
    </row>
    <row r="67" spans="3:10">
      <c r="C67">
        <v>5</v>
      </c>
      <c r="D67" s="68">
        <v>22300</v>
      </c>
      <c r="E67">
        <f t="shared" si="0"/>
        <v>22.3</v>
      </c>
      <c r="F67">
        <f t="shared" si="5"/>
        <v>2.278328173374613</v>
      </c>
      <c r="G67">
        <f t="shared" si="6"/>
        <v>2278.33</v>
      </c>
      <c r="H67">
        <f t="shared" si="7"/>
        <v>2827</v>
      </c>
      <c r="J67">
        <f t="shared" si="8"/>
        <v>1.2408211277558563</v>
      </c>
    </row>
    <row r="68" spans="3:10">
      <c r="C68">
        <v>6</v>
      </c>
      <c r="D68" s="68">
        <v>21400</v>
      </c>
      <c r="E68">
        <f t="shared" si="0"/>
        <v>21.4</v>
      </c>
      <c r="F68">
        <f t="shared" si="5"/>
        <v>2.249044585987261</v>
      </c>
      <c r="G68">
        <f t="shared" si="6"/>
        <v>2249.04</v>
      </c>
      <c r="H68">
        <f t="shared" si="7"/>
        <v>2791</v>
      </c>
      <c r="J68">
        <f t="shared" si="8"/>
        <v>1.2409739266531499</v>
      </c>
    </row>
    <row r="69" spans="3:10">
      <c r="C69">
        <v>7</v>
      </c>
      <c r="D69" s="68">
        <v>20500</v>
      </c>
      <c r="E69">
        <f t="shared" si="0"/>
        <v>20.5</v>
      </c>
      <c r="F69">
        <f t="shared" si="5"/>
        <v>2.2180327868852459</v>
      </c>
      <c r="G69">
        <f t="shared" si="6"/>
        <v>2218.0300000000002</v>
      </c>
      <c r="H69">
        <f t="shared" si="7"/>
        <v>2753</v>
      </c>
      <c r="J69">
        <f t="shared" si="8"/>
        <v>1.2411915077794258</v>
      </c>
    </row>
    <row r="70" spans="3:10">
      <c r="C70">
        <v>8</v>
      </c>
      <c r="D70" s="68">
        <v>19700</v>
      </c>
      <c r="E70">
        <f t="shared" si="0"/>
        <v>19.7</v>
      </c>
      <c r="F70">
        <f t="shared" si="5"/>
        <v>2.1888888888888887</v>
      </c>
      <c r="G70">
        <f t="shared" si="6"/>
        <v>2188.89</v>
      </c>
      <c r="H70">
        <f t="shared" si="7"/>
        <v>2716</v>
      </c>
      <c r="J70">
        <f t="shared" si="8"/>
        <v>1.2408115528875368</v>
      </c>
    </row>
    <row r="71" spans="3:10">
      <c r="C71">
        <v>9</v>
      </c>
      <c r="D71" s="68">
        <v>18900</v>
      </c>
      <c r="E71">
        <f t="shared" si="0"/>
        <v>18.899999999999999</v>
      </c>
      <c r="F71">
        <f t="shared" si="5"/>
        <v>2.158131487889273</v>
      </c>
      <c r="G71">
        <f t="shared" si="6"/>
        <v>2158.13</v>
      </c>
      <c r="H71">
        <f t="shared" si="7"/>
        <v>2678</v>
      </c>
      <c r="J71">
        <f t="shared" si="8"/>
        <v>1.2408891030660802</v>
      </c>
    </row>
    <row r="72" spans="3:10">
      <c r="C72">
        <v>10</v>
      </c>
      <c r="D72" s="68">
        <v>18100</v>
      </c>
      <c r="E72">
        <f t="shared" si="0"/>
        <v>18.100000000000001</v>
      </c>
      <c r="F72">
        <f t="shared" si="5"/>
        <v>2.1256227758007116</v>
      </c>
      <c r="G72">
        <f t="shared" si="6"/>
        <v>2125.62</v>
      </c>
      <c r="H72">
        <f t="shared" si="7"/>
        <v>2638</v>
      </c>
      <c r="J72">
        <f t="shared" si="8"/>
        <v>1.2410496702138671</v>
      </c>
    </row>
    <row r="73" spans="3:10">
      <c r="C73">
        <v>11</v>
      </c>
      <c r="D73" s="68">
        <v>17400</v>
      </c>
      <c r="E73">
        <f t="shared" si="0"/>
        <v>17.399999999999999</v>
      </c>
      <c r="F73">
        <f t="shared" si="5"/>
        <v>2.0956204379562045</v>
      </c>
      <c r="G73">
        <f t="shared" si="6"/>
        <v>2095.62</v>
      </c>
      <c r="H73">
        <f t="shared" si="7"/>
        <v>2601</v>
      </c>
      <c r="J73">
        <f t="shared" si="8"/>
        <v>1.2411601339937586</v>
      </c>
    </row>
    <row r="74" spans="3:10">
      <c r="C74">
        <v>12</v>
      </c>
      <c r="D74" s="68">
        <v>16700</v>
      </c>
      <c r="E74">
        <f t="shared" si="0"/>
        <v>16.7</v>
      </c>
      <c r="F74">
        <f t="shared" si="5"/>
        <v>2.0640449438202246</v>
      </c>
      <c r="G74">
        <f t="shared" si="6"/>
        <v>2064.04</v>
      </c>
      <c r="H74">
        <f t="shared" si="7"/>
        <v>2561</v>
      </c>
      <c r="J74">
        <f t="shared" si="8"/>
        <v>1.2407705277029515</v>
      </c>
    </row>
    <row r="75" spans="3:10">
      <c r="C75">
        <v>13</v>
      </c>
      <c r="D75" s="68">
        <v>16000</v>
      </c>
      <c r="E75">
        <f t="shared" si="0"/>
        <v>16</v>
      </c>
      <c r="F75">
        <f t="shared" si="5"/>
        <v>2.0307692307692307</v>
      </c>
      <c r="G75">
        <f t="shared" si="6"/>
        <v>2030.77</v>
      </c>
      <c r="H75">
        <f t="shared" si="7"/>
        <v>2520</v>
      </c>
      <c r="J75">
        <f t="shared" si="8"/>
        <v>1.2409086208679467</v>
      </c>
    </row>
    <row r="76" spans="3:10">
      <c r="C76">
        <v>14</v>
      </c>
      <c r="D76" s="68">
        <v>15400</v>
      </c>
      <c r="E76">
        <f t="shared" si="0"/>
        <v>15.4</v>
      </c>
      <c r="F76">
        <f t="shared" si="5"/>
        <v>2.0007874015748031</v>
      </c>
      <c r="G76">
        <f t="shared" si="6"/>
        <v>2000.79</v>
      </c>
      <c r="H76">
        <f t="shared" si="7"/>
        <v>2483</v>
      </c>
      <c r="J76">
        <f t="shared" si="8"/>
        <v>1.2410098011285542</v>
      </c>
    </row>
    <row r="77" spans="3:10">
      <c r="C77">
        <v>15</v>
      </c>
      <c r="D77" s="68">
        <v>14800</v>
      </c>
      <c r="E77">
        <f t="shared" si="0"/>
        <v>14.8</v>
      </c>
      <c r="F77">
        <f t="shared" si="5"/>
        <v>1.9693548387096773</v>
      </c>
      <c r="G77">
        <f t="shared" si="6"/>
        <v>1969.35</v>
      </c>
      <c r="H77">
        <f t="shared" si="7"/>
        <v>2444</v>
      </c>
      <c r="J77">
        <f t="shared" si="8"/>
        <v>1.2410186102013354</v>
      </c>
    </row>
    <row r="78" spans="3:10">
      <c r="C78">
        <v>16</v>
      </c>
      <c r="D78" s="68">
        <v>14200</v>
      </c>
      <c r="E78">
        <f t="shared" si="0"/>
        <v>14.2</v>
      </c>
      <c r="F78">
        <f t="shared" si="5"/>
        <v>1.9363636363636361</v>
      </c>
      <c r="G78">
        <f t="shared" si="6"/>
        <v>1936.36</v>
      </c>
      <c r="H78">
        <f t="shared" si="7"/>
        <v>2403</v>
      </c>
      <c r="J78">
        <f t="shared" si="8"/>
        <v>1.2409882459873165</v>
      </c>
    </row>
    <row r="79" spans="3:10">
      <c r="C79">
        <v>17</v>
      </c>
      <c r="D79" s="68">
        <v>13600</v>
      </c>
      <c r="E79">
        <f t="shared" si="0"/>
        <v>13.6</v>
      </c>
      <c r="F79">
        <f t="shared" si="5"/>
        <v>1.9016949152542371</v>
      </c>
      <c r="G79">
        <f t="shared" si="6"/>
        <v>1901.69</v>
      </c>
      <c r="H79">
        <f t="shared" si="7"/>
        <v>2360</v>
      </c>
      <c r="J79">
        <f t="shared" si="8"/>
        <v>1.2410014250482466</v>
      </c>
    </row>
    <row r="80" spans="3:10">
      <c r="C80">
        <v>18</v>
      </c>
      <c r="D80" s="68">
        <v>13100</v>
      </c>
      <c r="E80">
        <f t="shared" si="0"/>
        <v>13.1</v>
      </c>
      <c r="F80">
        <f t="shared" si="5"/>
        <v>1.8714285714285712</v>
      </c>
      <c r="G80">
        <f t="shared" si="6"/>
        <v>1871.43</v>
      </c>
      <c r="H80">
        <f t="shared" si="7"/>
        <v>2322</v>
      </c>
      <c r="J80">
        <f t="shared" si="8"/>
        <v>1.2407624116317468</v>
      </c>
    </row>
    <row r="81" spans="3:10">
      <c r="C81">
        <v>19</v>
      </c>
      <c r="D81" s="68">
        <v>12600</v>
      </c>
      <c r="E81">
        <f t="shared" si="0"/>
        <v>12.6</v>
      </c>
      <c r="F81">
        <f t="shared" si="5"/>
        <v>1.8398230088495571</v>
      </c>
      <c r="G81">
        <f t="shared" si="6"/>
        <v>1839.82</v>
      </c>
      <c r="H81">
        <f t="shared" si="7"/>
        <v>2283</v>
      </c>
      <c r="J81">
        <f t="shared" si="8"/>
        <v>1.2408822602211087</v>
      </c>
    </row>
    <row r="82" spans="3:10">
      <c r="C82">
        <v>20</v>
      </c>
      <c r="D82" s="68">
        <v>12100</v>
      </c>
      <c r="E82">
        <f t="shared" si="0"/>
        <v>12.1</v>
      </c>
      <c r="F82">
        <f t="shared" si="5"/>
        <v>1.8067873303167417</v>
      </c>
      <c r="G82">
        <f t="shared" si="6"/>
        <v>1806.79</v>
      </c>
      <c r="H82">
        <f t="shared" si="7"/>
        <v>2242</v>
      </c>
      <c r="J82">
        <f t="shared" si="8"/>
        <v>1.2408747004355791</v>
      </c>
    </row>
    <row r="83" spans="3:10">
      <c r="C83">
        <v>21</v>
      </c>
      <c r="D83" s="68">
        <v>11700</v>
      </c>
      <c r="E83">
        <f t="shared" si="0"/>
        <v>11.7</v>
      </c>
      <c r="F83">
        <f t="shared" si="5"/>
        <v>1.7792626728110599</v>
      </c>
      <c r="G83">
        <f t="shared" si="6"/>
        <v>1779.26</v>
      </c>
      <c r="H83">
        <f t="shared" si="7"/>
        <v>2208</v>
      </c>
      <c r="J83">
        <f t="shared" si="8"/>
        <v>1.2409653451434866</v>
      </c>
    </row>
    <row r="84" spans="3:10">
      <c r="C84">
        <v>22</v>
      </c>
      <c r="D84" s="68">
        <v>11200</v>
      </c>
      <c r="E84">
        <f t="shared" si="0"/>
        <v>11.2</v>
      </c>
      <c r="F84">
        <f t="shared" si="5"/>
        <v>1.7433962264150942</v>
      </c>
      <c r="G84">
        <f t="shared" si="6"/>
        <v>1743.4</v>
      </c>
      <c r="H84">
        <f t="shared" si="7"/>
        <v>2163</v>
      </c>
      <c r="J84">
        <f t="shared" si="8"/>
        <v>1.24067913272915</v>
      </c>
    </row>
    <row r="85" spans="3:10">
      <c r="C85">
        <v>23</v>
      </c>
      <c r="D85" s="68">
        <v>10800</v>
      </c>
      <c r="E85">
        <f t="shared" si="0"/>
        <v>10.8</v>
      </c>
      <c r="F85">
        <f t="shared" si="5"/>
        <v>1.7134615384615386</v>
      </c>
      <c r="G85">
        <f t="shared" si="6"/>
        <v>1713.46</v>
      </c>
      <c r="H85">
        <f t="shared" si="7"/>
        <v>2126</v>
      </c>
      <c r="J85">
        <f t="shared" si="8"/>
        <v>1.2407643014718757</v>
      </c>
    </row>
    <row r="86" spans="3:10">
      <c r="C86">
        <v>24</v>
      </c>
      <c r="D86" s="68">
        <v>10400</v>
      </c>
      <c r="E86">
        <f t="shared" ref="E86:E149" si="9">D86/1000</f>
        <v>10.4</v>
      </c>
      <c r="F86">
        <f t="shared" si="5"/>
        <v>1.6823529411764708</v>
      </c>
      <c r="G86">
        <f t="shared" si="6"/>
        <v>1682.35</v>
      </c>
      <c r="H86">
        <f t="shared" si="7"/>
        <v>2088</v>
      </c>
      <c r="J86">
        <f t="shared" si="8"/>
        <v>1.2411210509109283</v>
      </c>
    </row>
    <row r="87" spans="3:10">
      <c r="C87">
        <v>25</v>
      </c>
      <c r="D87" s="68">
        <v>10000</v>
      </c>
      <c r="E87">
        <f t="shared" si="9"/>
        <v>10</v>
      </c>
      <c r="F87">
        <f t="shared" si="5"/>
        <v>1.65</v>
      </c>
      <c r="G87">
        <f t="shared" si="6"/>
        <v>1650</v>
      </c>
      <c r="H87">
        <f t="shared" si="7"/>
        <v>2048</v>
      </c>
      <c r="J87">
        <f t="shared" si="8"/>
        <v>1.2412121212121212</v>
      </c>
    </row>
    <row r="88" spans="3:10">
      <c r="C88">
        <v>26</v>
      </c>
      <c r="D88" s="68">
        <v>9630</v>
      </c>
      <c r="E88">
        <f t="shared" si="9"/>
        <v>9.6300000000000008</v>
      </c>
      <c r="F88">
        <f t="shared" si="5"/>
        <v>1.6188996434029546</v>
      </c>
      <c r="G88">
        <f t="shared" si="6"/>
        <v>1618.9</v>
      </c>
      <c r="H88">
        <f t="shared" si="7"/>
        <v>2009</v>
      </c>
      <c r="J88">
        <f t="shared" si="8"/>
        <v>1.2409660880845017</v>
      </c>
    </row>
    <row r="89" spans="3:10">
      <c r="C89">
        <v>27</v>
      </c>
      <c r="D89" s="68">
        <v>9280</v>
      </c>
      <c r="E89">
        <f t="shared" si="9"/>
        <v>9.2799999999999994</v>
      </c>
      <c r="F89">
        <f t="shared" si="5"/>
        <v>1.5883817427385889</v>
      </c>
      <c r="G89">
        <f t="shared" si="6"/>
        <v>1588.38</v>
      </c>
      <c r="H89">
        <f t="shared" si="7"/>
        <v>1971</v>
      </c>
      <c r="J89">
        <f t="shared" si="8"/>
        <v>1.2408869414120045</v>
      </c>
    </row>
    <row r="90" spans="3:10">
      <c r="C90">
        <v>28</v>
      </c>
      <c r="D90" s="68">
        <v>8940</v>
      </c>
      <c r="E90">
        <f t="shared" si="9"/>
        <v>8.94</v>
      </c>
      <c r="F90">
        <f t="shared" si="5"/>
        <v>1.5576557550158394</v>
      </c>
      <c r="G90">
        <f t="shared" si="6"/>
        <v>1557.66</v>
      </c>
      <c r="H90">
        <f t="shared" si="7"/>
        <v>1933</v>
      </c>
      <c r="J90">
        <f t="shared" si="8"/>
        <v>1.2409640101177406</v>
      </c>
    </row>
    <row r="91" spans="3:10">
      <c r="C91">
        <v>29</v>
      </c>
      <c r="D91" s="68">
        <v>8610</v>
      </c>
      <c r="E91">
        <f t="shared" si="9"/>
        <v>8.61</v>
      </c>
      <c r="F91">
        <f t="shared" si="5"/>
        <v>1.5267598065556152</v>
      </c>
      <c r="G91">
        <f t="shared" si="6"/>
        <v>1526.76</v>
      </c>
      <c r="H91">
        <f t="shared" si="7"/>
        <v>1895</v>
      </c>
      <c r="J91">
        <f t="shared" si="8"/>
        <v>1.2411904949042416</v>
      </c>
    </row>
    <row r="92" spans="3:10">
      <c r="C92">
        <v>30</v>
      </c>
      <c r="D92" s="68">
        <v>8300</v>
      </c>
      <c r="E92">
        <f t="shared" si="9"/>
        <v>8.3000000000000007</v>
      </c>
      <c r="F92">
        <f t="shared" si="5"/>
        <v>1.4967213114754099</v>
      </c>
      <c r="G92">
        <f t="shared" si="6"/>
        <v>1496.72</v>
      </c>
      <c r="H92">
        <f t="shared" si="7"/>
        <v>1857</v>
      </c>
      <c r="J92">
        <f t="shared" si="8"/>
        <v>1.240713025816452</v>
      </c>
    </row>
    <row r="93" spans="3:10">
      <c r="C93">
        <v>31</v>
      </c>
      <c r="D93" s="68">
        <v>8000</v>
      </c>
      <c r="E93">
        <f t="shared" si="9"/>
        <v>8</v>
      </c>
      <c r="F93">
        <f t="shared" si="5"/>
        <v>1.4666666666666666</v>
      </c>
      <c r="G93">
        <f t="shared" si="6"/>
        <v>1466.67</v>
      </c>
      <c r="H93">
        <f t="shared" si="7"/>
        <v>1820</v>
      </c>
      <c r="J93">
        <f t="shared" si="8"/>
        <v>1.2409062706675666</v>
      </c>
    </row>
    <row r="94" spans="3:10">
      <c r="C94">
        <v>32</v>
      </c>
      <c r="D94" s="68">
        <v>7720</v>
      </c>
      <c r="E94">
        <f t="shared" si="9"/>
        <v>7.72</v>
      </c>
      <c r="F94">
        <f t="shared" si="5"/>
        <v>1.4376975169300226</v>
      </c>
      <c r="G94">
        <f t="shared" si="6"/>
        <v>1437.7</v>
      </c>
      <c r="H94">
        <f t="shared" si="7"/>
        <v>1784</v>
      </c>
      <c r="J94">
        <f t="shared" si="8"/>
        <v>1.2408708353620366</v>
      </c>
    </row>
    <row r="95" spans="3:10">
      <c r="C95">
        <v>33</v>
      </c>
      <c r="D95" s="68">
        <v>7440</v>
      </c>
      <c r="E95">
        <f t="shared" si="9"/>
        <v>7.44</v>
      </c>
      <c r="F95">
        <f t="shared" si="5"/>
        <v>1.4077981651376146</v>
      </c>
      <c r="G95">
        <f t="shared" si="6"/>
        <v>1407.8</v>
      </c>
      <c r="H95">
        <f t="shared" si="7"/>
        <v>1747</v>
      </c>
      <c r="J95">
        <f t="shared" si="8"/>
        <v>1.2409433158119052</v>
      </c>
    </row>
    <row r="96" spans="3:10">
      <c r="C96">
        <v>34</v>
      </c>
      <c r="D96" s="68">
        <v>7180</v>
      </c>
      <c r="E96">
        <f t="shared" si="9"/>
        <v>7.18</v>
      </c>
      <c r="F96">
        <f t="shared" si="5"/>
        <v>1.3791618160651919</v>
      </c>
      <c r="G96">
        <f t="shared" si="6"/>
        <v>1379.16</v>
      </c>
      <c r="H96">
        <f t="shared" si="7"/>
        <v>1711</v>
      </c>
      <c r="J96">
        <f t="shared" si="8"/>
        <v>1.2406102265146901</v>
      </c>
    </row>
    <row r="97" spans="3:10">
      <c r="C97">
        <v>35</v>
      </c>
      <c r="D97" s="68">
        <v>6930</v>
      </c>
      <c r="E97">
        <f t="shared" si="9"/>
        <v>6.93</v>
      </c>
      <c r="F97">
        <f t="shared" si="5"/>
        <v>1.3507974010632013</v>
      </c>
      <c r="G97">
        <f t="shared" si="6"/>
        <v>1350.8</v>
      </c>
      <c r="H97">
        <f t="shared" si="7"/>
        <v>1676</v>
      </c>
      <c r="J97">
        <f t="shared" si="8"/>
        <v>1.2407462244595795</v>
      </c>
    </row>
    <row r="98" spans="3:10">
      <c r="C98">
        <v>36</v>
      </c>
      <c r="D98" s="68">
        <v>6690</v>
      </c>
      <c r="E98">
        <f t="shared" si="9"/>
        <v>6.69</v>
      </c>
      <c r="F98">
        <f t="shared" si="5"/>
        <v>1.3227681246255243</v>
      </c>
      <c r="G98">
        <f t="shared" si="6"/>
        <v>1322.77</v>
      </c>
      <c r="H98">
        <f t="shared" si="7"/>
        <v>1641</v>
      </c>
      <c r="J98">
        <f t="shared" si="8"/>
        <v>1.2405784830318196</v>
      </c>
    </row>
    <row r="99" spans="3:10">
      <c r="C99">
        <v>37</v>
      </c>
      <c r="D99" s="68">
        <v>6460</v>
      </c>
      <c r="E99">
        <f t="shared" si="9"/>
        <v>6.46</v>
      </c>
      <c r="F99">
        <f t="shared" si="5"/>
        <v>1.2951397326852976</v>
      </c>
      <c r="G99">
        <f t="shared" si="6"/>
        <v>1295.1400000000001</v>
      </c>
      <c r="H99">
        <f t="shared" si="7"/>
        <v>1607</v>
      </c>
      <c r="J99">
        <f t="shared" si="8"/>
        <v>1.2407925011967817</v>
      </c>
    </row>
    <row r="100" spans="3:10">
      <c r="C100">
        <v>38</v>
      </c>
      <c r="D100" s="68">
        <v>6240</v>
      </c>
      <c r="E100">
        <f t="shared" si="9"/>
        <v>6.24</v>
      </c>
      <c r="F100">
        <f t="shared" si="5"/>
        <v>1.2679802955665023</v>
      </c>
      <c r="G100">
        <f t="shared" si="6"/>
        <v>1267.98</v>
      </c>
      <c r="H100">
        <f t="shared" si="7"/>
        <v>1573</v>
      </c>
      <c r="J100">
        <f t="shared" si="8"/>
        <v>1.240555844729412</v>
      </c>
    </row>
    <row r="101" spans="3:10">
      <c r="C101">
        <v>39</v>
      </c>
      <c r="D101" s="68">
        <v>6020</v>
      </c>
      <c r="E101">
        <f t="shared" si="9"/>
        <v>6.02</v>
      </c>
      <c r="F101">
        <f t="shared" si="5"/>
        <v>1.2400749063670411</v>
      </c>
      <c r="G101">
        <f t="shared" si="6"/>
        <v>1240.07</v>
      </c>
      <c r="H101">
        <f t="shared" si="7"/>
        <v>1539</v>
      </c>
      <c r="J101">
        <f t="shared" si="8"/>
        <v>1.2410589724773602</v>
      </c>
    </row>
    <row r="102" spans="3:10">
      <c r="C102">
        <v>40</v>
      </c>
      <c r="D102" s="68">
        <v>5820</v>
      </c>
      <c r="E102">
        <f t="shared" si="9"/>
        <v>5.82</v>
      </c>
      <c r="F102">
        <f t="shared" si="5"/>
        <v>1.2140328697850822</v>
      </c>
      <c r="G102">
        <f t="shared" si="6"/>
        <v>1214.03</v>
      </c>
      <c r="H102">
        <f t="shared" si="7"/>
        <v>1506</v>
      </c>
      <c r="J102">
        <f t="shared" si="8"/>
        <v>1.2404965280923865</v>
      </c>
    </row>
    <row r="103" spans="3:10">
      <c r="C103">
        <v>41</v>
      </c>
      <c r="D103" s="68">
        <v>5620</v>
      </c>
      <c r="E103">
        <f t="shared" si="9"/>
        <v>5.62</v>
      </c>
      <c r="F103">
        <f t="shared" si="5"/>
        <v>1.1873239436619716</v>
      </c>
      <c r="G103">
        <f t="shared" si="6"/>
        <v>1187.32</v>
      </c>
      <c r="H103">
        <f t="shared" si="7"/>
        <v>1473</v>
      </c>
      <c r="J103">
        <f t="shared" si="8"/>
        <v>1.2406091028534851</v>
      </c>
    </row>
    <row r="104" spans="3:10">
      <c r="C104">
        <v>42</v>
      </c>
      <c r="D104" s="68">
        <v>5430</v>
      </c>
      <c r="E104">
        <f t="shared" si="9"/>
        <v>5.43</v>
      </c>
      <c r="F104">
        <f t="shared" si="5"/>
        <v>1.1613091380427738</v>
      </c>
      <c r="G104">
        <f t="shared" si="6"/>
        <v>1161.31</v>
      </c>
      <c r="H104">
        <f t="shared" si="7"/>
        <v>1441</v>
      </c>
      <c r="J104">
        <f t="shared" si="8"/>
        <v>1.2408400857652135</v>
      </c>
    </row>
    <row r="105" spans="3:10">
      <c r="C105">
        <v>43</v>
      </c>
      <c r="D105" s="68">
        <v>5250</v>
      </c>
      <c r="E105">
        <f t="shared" si="9"/>
        <v>5.25</v>
      </c>
      <c r="F105">
        <f t="shared" si="5"/>
        <v>1.1360655737704919</v>
      </c>
      <c r="G105">
        <f t="shared" si="6"/>
        <v>1136.07</v>
      </c>
      <c r="H105">
        <f t="shared" si="7"/>
        <v>1410</v>
      </c>
      <c r="J105">
        <f t="shared" si="8"/>
        <v>1.2411207055903246</v>
      </c>
    </row>
    <row r="106" spans="3:10">
      <c r="C106">
        <v>44</v>
      </c>
      <c r="D106" s="68">
        <v>5070</v>
      </c>
      <c r="E106">
        <f t="shared" si="9"/>
        <v>5.07</v>
      </c>
      <c r="F106">
        <f t="shared" si="5"/>
        <v>1.1102189781021898</v>
      </c>
      <c r="G106">
        <f t="shared" si="6"/>
        <v>1110.22</v>
      </c>
      <c r="H106">
        <f t="shared" si="7"/>
        <v>1378</v>
      </c>
      <c r="J106">
        <f t="shared" si="8"/>
        <v>1.2411954387418709</v>
      </c>
    </row>
    <row r="107" spans="3:10">
      <c r="C107">
        <v>45</v>
      </c>
      <c r="D107" s="68">
        <v>4910</v>
      </c>
      <c r="E107">
        <f t="shared" si="9"/>
        <v>4.91</v>
      </c>
      <c r="F107">
        <f t="shared" si="5"/>
        <v>1.0867203219315895</v>
      </c>
      <c r="G107">
        <f t="shared" si="6"/>
        <v>1086.72</v>
      </c>
      <c r="H107">
        <f t="shared" si="7"/>
        <v>1348</v>
      </c>
      <c r="J107">
        <f t="shared" si="8"/>
        <v>1.2404299175500588</v>
      </c>
    </row>
    <row r="108" spans="3:10">
      <c r="C108">
        <v>46</v>
      </c>
      <c r="D108" s="68">
        <v>4750</v>
      </c>
      <c r="E108">
        <f t="shared" si="9"/>
        <v>4.75</v>
      </c>
      <c r="F108">
        <f t="shared" si="5"/>
        <v>1.0627118644067797</v>
      </c>
      <c r="G108">
        <f t="shared" si="6"/>
        <v>1062.71</v>
      </c>
      <c r="H108">
        <f t="shared" si="7"/>
        <v>1319</v>
      </c>
      <c r="J108">
        <f t="shared" si="8"/>
        <v>1.2411664518071721</v>
      </c>
    </row>
    <row r="109" spans="3:10">
      <c r="C109">
        <v>47</v>
      </c>
      <c r="D109" s="68">
        <v>4590</v>
      </c>
      <c r="E109">
        <f t="shared" si="9"/>
        <v>4.59</v>
      </c>
      <c r="F109">
        <f t="shared" si="5"/>
        <v>1.0381768334475667</v>
      </c>
      <c r="G109">
        <f t="shared" si="6"/>
        <v>1038.18</v>
      </c>
      <c r="H109">
        <f t="shared" si="7"/>
        <v>1288</v>
      </c>
      <c r="J109">
        <f t="shared" si="8"/>
        <v>1.2406326455913232</v>
      </c>
    </row>
    <row r="110" spans="3:10">
      <c r="C110">
        <v>48</v>
      </c>
      <c r="D110" s="68">
        <v>4440</v>
      </c>
      <c r="E110">
        <f t="shared" si="9"/>
        <v>4.4400000000000004</v>
      </c>
      <c r="F110">
        <f t="shared" si="5"/>
        <v>1.0146814404432132</v>
      </c>
      <c r="G110">
        <f t="shared" si="6"/>
        <v>1014.68</v>
      </c>
      <c r="H110">
        <f t="shared" si="7"/>
        <v>1259</v>
      </c>
      <c r="J110">
        <f t="shared" si="8"/>
        <v>1.2407852722040447</v>
      </c>
    </row>
    <row r="111" spans="3:10">
      <c r="C111">
        <v>49</v>
      </c>
      <c r="D111" s="68">
        <v>4300</v>
      </c>
      <c r="E111">
        <f t="shared" si="9"/>
        <v>4.3</v>
      </c>
      <c r="F111">
        <f t="shared" si="5"/>
        <v>0.99230769230769222</v>
      </c>
      <c r="G111">
        <f t="shared" si="6"/>
        <v>992.31</v>
      </c>
      <c r="H111">
        <f t="shared" si="7"/>
        <v>1231</v>
      </c>
      <c r="J111">
        <f t="shared" si="8"/>
        <v>1.2405397506827505</v>
      </c>
    </row>
    <row r="112" spans="3:10">
      <c r="C112">
        <v>50</v>
      </c>
      <c r="D112" s="68">
        <v>4160</v>
      </c>
      <c r="E112">
        <f t="shared" si="9"/>
        <v>4.16</v>
      </c>
      <c r="F112">
        <f t="shared" si="5"/>
        <v>0.96949152542372885</v>
      </c>
      <c r="G112">
        <f t="shared" si="6"/>
        <v>969.49</v>
      </c>
      <c r="H112">
        <f t="shared" si="7"/>
        <v>1203</v>
      </c>
      <c r="J112">
        <f t="shared" si="8"/>
        <v>1.2408585957565317</v>
      </c>
    </row>
    <row r="113" spans="3:10">
      <c r="C113">
        <v>51</v>
      </c>
      <c r="D113" s="68">
        <v>4030</v>
      </c>
      <c r="E113">
        <f t="shared" si="9"/>
        <v>4.03</v>
      </c>
      <c r="F113">
        <f t="shared" si="5"/>
        <v>0.94789736279401282</v>
      </c>
      <c r="G113">
        <f t="shared" si="6"/>
        <v>947.9</v>
      </c>
      <c r="H113">
        <f t="shared" si="7"/>
        <v>1176</v>
      </c>
      <c r="J113">
        <f t="shared" si="8"/>
        <v>1.2406371980166684</v>
      </c>
    </row>
    <row r="114" spans="3:10">
      <c r="C114">
        <v>52</v>
      </c>
      <c r="D114" s="68">
        <v>3900</v>
      </c>
      <c r="E114">
        <f t="shared" si="9"/>
        <v>3.9</v>
      </c>
      <c r="F114">
        <f t="shared" si="5"/>
        <v>0.9258992805755395</v>
      </c>
      <c r="G114">
        <f t="shared" si="6"/>
        <v>925.9</v>
      </c>
      <c r="H114">
        <f t="shared" si="7"/>
        <v>1149</v>
      </c>
      <c r="J114">
        <f t="shared" si="8"/>
        <v>1.2409547467329085</v>
      </c>
    </row>
    <row r="115" spans="3:10">
      <c r="C115">
        <v>53</v>
      </c>
      <c r="D115" s="68">
        <v>3780</v>
      </c>
      <c r="E115">
        <f t="shared" si="9"/>
        <v>3.78</v>
      </c>
      <c r="F115">
        <f t="shared" si="5"/>
        <v>0.90522496371552974</v>
      </c>
      <c r="G115">
        <f t="shared" si="6"/>
        <v>905.22</v>
      </c>
      <c r="H115">
        <f t="shared" si="7"/>
        <v>1123</v>
      </c>
      <c r="J115">
        <f t="shared" si="8"/>
        <v>1.2405823998585979</v>
      </c>
    </row>
    <row r="116" spans="3:10">
      <c r="C116">
        <v>54</v>
      </c>
      <c r="D116" s="68">
        <v>3660</v>
      </c>
      <c r="E116">
        <f t="shared" si="9"/>
        <v>3.66</v>
      </c>
      <c r="F116">
        <f t="shared" si="5"/>
        <v>0.88418740849194721</v>
      </c>
      <c r="G116">
        <f t="shared" si="6"/>
        <v>884.19</v>
      </c>
      <c r="H116">
        <f t="shared" si="7"/>
        <v>1097</v>
      </c>
      <c r="J116">
        <f t="shared" si="8"/>
        <v>1.2406835634874855</v>
      </c>
    </row>
    <row r="117" spans="3:10">
      <c r="C117">
        <v>55</v>
      </c>
      <c r="D117" s="68">
        <v>3540</v>
      </c>
      <c r="E117">
        <f t="shared" si="9"/>
        <v>3.54</v>
      </c>
      <c r="F117">
        <f t="shared" si="5"/>
        <v>0.86277695716395864</v>
      </c>
      <c r="G117">
        <f t="shared" si="6"/>
        <v>862.78</v>
      </c>
      <c r="H117">
        <f t="shared" si="7"/>
        <v>1070</v>
      </c>
      <c r="J117">
        <f t="shared" si="8"/>
        <v>1.2401771019263312</v>
      </c>
    </row>
    <row r="118" spans="3:10">
      <c r="C118">
        <v>56</v>
      </c>
      <c r="D118" s="68">
        <v>3440</v>
      </c>
      <c r="E118">
        <f t="shared" si="9"/>
        <v>3.44</v>
      </c>
      <c r="F118">
        <f t="shared" si="5"/>
        <v>0.84464285714285714</v>
      </c>
      <c r="G118">
        <f t="shared" si="6"/>
        <v>844.64</v>
      </c>
      <c r="H118">
        <f t="shared" si="7"/>
        <v>1048</v>
      </c>
      <c r="J118">
        <f t="shared" si="8"/>
        <v>1.2407652964576625</v>
      </c>
    </row>
    <row r="119" spans="3:10">
      <c r="C119">
        <v>57</v>
      </c>
      <c r="D119" s="68">
        <v>3330</v>
      </c>
      <c r="E119">
        <f t="shared" si="9"/>
        <v>3.33</v>
      </c>
      <c r="F119">
        <f t="shared" si="5"/>
        <v>0.82438109527381842</v>
      </c>
      <c r="G119">
        <f t="shared" si="6"/>
        <v>824.38</v>
      </c>
      <c r="H119">
        <f t="shared" si="7"/>
        <v>1023</v>
      </c>
      <c r="J119">
        <f t="shared" si="8"/>
        <v>1.240932579635605</v>
      </c>
    </row>
    <row r="120" spans="3:10">
      <c r="C120">
        <v>58</v>
      </c>
      <c r="D120" s="68">
        <v>3230</v>
      </c>
      <c r="E120">
        <f t="shared" si="9"/>
        <v>3.23</v>
      </c>
      <c r="F120">
        <f t="shared" si="5"/>
        <v>0.80566893424036279</v>
      </c>
      <c r="G120">
        <f t="shared" si="6"/>
        <v>805.67</v>
      </c>
      <c r="H120">
        <f t="shared" si="7"/>
        <v>1000</v>
      </c>
      <c r="J120">
        <f t="shared" si="8"/>
        <v>1.2412029739223256</v>
      </c>
    </row>
    <row r="121" spans="3:10">
      <c r="C121">
        <v>59</v>
      </c>
      <c r="D121" s="68">
        <v>3130</v>
      </c>
      <c r="E121">
        <f t="shared" si="9"/>
        <v>3.13</v>
      </c>
      <c r="F121">
        <f t="shared" si="5"/>
        <v>0.78667174409748664</v>
      </c>
      <c r="G121">
        <f t="shared" si="6"/>
        <v>786.67</v>
      </c>
      <c r="H121">
        <f t="shared" si="7"/>
        <v>976</v>
      </c>
      <c r="J121">
        <f t="shared" si="8"/>
        <v>1.2406727090139449</v>
      </c>
    </row>
    <row r="122" spans="3:10">
      <c r="C122">
        <v>60</v>
      </c>
      <c r="D122" s="68">
        <v>3030</v>
      </c>
      <c r="E122">
        <f t="shared" si="9"/>
        <v>3.03</v>
      </c>
      <c r="F122">
        <f t="shared" si="5"/>
        <v>0.76738296239447423</v>
      </c>
      <c r="G122">
        <f t="shared" si="6"/>
        <v>767.38</v>
      </c>
      <c r="H122">
        <f t="shared" si="7"/>
        <v>952</v>
      </c>
      <c r="J122">
        <f t="shared" si="8"/>
        <v>1.2405848471422243</v>
      </c>
    </row>
    <row r="123" spans="3:10">
      <c r="C123">
        <v>61</v>
      </c>
      <c r="D123" s="68">
        <v>2940</v>
      </c>
      <c r="E123">
        <f t="shared" si="9"/>
        <v>2.94</v>
      </c>
      <c r="F123">
        <f t="shared" si="5"/>
        <v>0.74976816074188557</v>
      </c>
      <c r="G123">
        <f t="shared" si="6"/>
        <v>749.77</v>
      </c>
      <c r="H123">
        <f t="shared" si="7"/>
        <v>930</v>
      </c>
      <c r="J123">
        <f t="shared" si="8"/>
        <v>1.2403803833175508</v>
      </c>
    </row>
    <row r="124" spans="3:10">
      <c r="C124">
        <v>62</v>
      </c>
      <c r="D124" s="68">
        <v>2860</v>
      </c>
      <c r="E124">
        <f t="shared" si="9"/>
        <v>2.86</v>
      </c>
      <c r="F124">
        <f t="shared" si="5"/>
        <v>0.73390357698289266</v>
      </c>
      <c r="G124">
        <f t="shared" si="6"/>
        <v>733.9</v>
      </c>
      <c r="H124">
        <f t="shared" si="7"/>
        <v>910</v>
      </c>
      <c r="J124">
        <f t="shared" si="8"/>
        <v>1.2399509469955035</v>
      </c>
    </row>
    <row r="125" spans="3:10">
      <c r="C125">
        <v>63</v>
      </c>
      <c r="D125" s="68">
        <v>2770</v>
      </c>
      <c r="E125">
        <f t="shared" si="9"/>
        <v>2.77</v>
      </c>
      <c r="F125">
        <f t="shared" si="5"/>
        <v>0.71581832419733749</v>
      </c>
      <c r="G125">
        <f t="shared" si="6"/>
        <v>715.82</v>
      </c>
      <c r="H125">
        <f t="shared" si="7"/>
        <v>888</v>
      </c>
      <c r="J125">
        <f t="shared" si="8"/>
        <v>1.2405353301109217</v>
      </c>
    </row>
    <row r="126" spans="3:10">
      <c r="C126">
        <v>64</v>
      </c>
      <c r="D126" s="68">
        <v>2690</v>
      </c>
      <c r="E126">
        <f t="shared" si="9"/>
        <v>2.69</v>
      </c>
      <c r="F126">
        <f t="shared" si="5"/>
        <v>0.69952718676122927</v>
      </c>
      <c r="G126">
        <f t="shared" si="6"/>
        <v>699.53</v>
      </c>
      <c r="H126">
        <f t="shared" si="7"/>
        <v>868</v>
      </c>
      <c r="J126">
        <f t="shared" si="8"/>
        <v>1.2408331308164053</v>
      </c>
    </row>
    <row r="127" spans="3:10">
      <c r="C127">
        <v>65</v>
      </c>
      <c r="D127" s="68">
        <v>2610</v>
      </c>
      <c r="E127">
        <f t="shared" si="9"/>
        <v>2.61</v>
      </c>
      <c r="F127">
        <f t="shared" ref="F127:F162" si="10">$E$16/($E$17+E127)*E127</f>
        <v>0.68302934179222841</v>
      </c>
      <c r="G127">
        <f t="shared" ref="G127:G162" si="11">ROUND((F127*1000),2)</f>
        <v>683.03</v>
      </c>
      <c r="H127">
        <f t="shared" ref="H127:H162" si="12">ROUNDDOWN(G127/$I$10,0)</f>
        <v>847</v>
      </c>
      <c r="J127">
        <f t="shared" ref="J127:J162" si="13">H127/G127</f>
        <v>1.2400626619621393</v>
      </c>
    </row>
    <row r="128" spans="3:10">
      <c r="C128">
        <v>66</v>
      </c>
      <c r="D128" s="68">
        <v>2530</v>
      </c>
      <c r="E128">
        <f t="shared" si="9"/>
        <v>2.5299999999999998</v>
      </c>
      <c r="F128">
        <f t="shared" si="10"/>
        <v>0.66632083000798081</v>
      </c>
      <c r="G128">
        <f t="shared" si="11"/>
        <v>666.32</v>
      </c>
      <c r="H128">
        <f t="shared" si="12"/>
        <v>827</v>
      </c>
      <c r="J128">
        <f t="shared" si="13"/>
        <v>1.2411453956057148</v>
      </c>
    </row>
    <row r="129" spans="3:10">
      <c r="C129">
        <v>67</v>
      </c>
      <c r="D129" s="68">
        <v>2460</v>
      </c>
      <c r="E129">
        <f t="shared" si="9"/>
        <v>2.46</v>
      </c>
      <c r="F129">
        <f t="shared" si="10"/>
        <v>0.65152487961476713</v>
      </c>
      <c r="G129">
        <f t="shared" si="11"/>
        <v>651.52</v>
      </c>
      <c r="H129">
        <f t="shared" si="12"/>
        <v>808</v>
      </c>
      <c r="J129">
        <f t="shared" si="13"/>
        <v>1.2401768172888017</v>
      </c>
    </row>
    <row r="130" spans="3:10">
      <c r="C130">
        <v>68</v>
      </c>
      <c r="D130" s="68">
        <v>2390</v>
      </c>
      <c r="E130">
        <f t="shared" si="9"/>
        <v>2.39</v>
      </c>
      <c r="F130">
        <f t="shared" si="10"/>
        <v>0.63656174334140425</v>
      </c>
      <c r="G130">
        <f t="shared" si="11"/>
        <v>636.55999999999995</v>
      </c>
      <c r="H130">
        <f t="shared" si="12"/>
        <v>790</v>
      </c>
      <c r="J130">
        <f t="shared" si="13"/>
        <v>1.2410456202086215</v>
      </c>
    </row>
    <row r="131" spans="3:10">
      <c r="C131">
        <v>69</v>
      </c>
      <c r="D131" s="68">
        <v>2320</v>
      </c>
      <c r="E131">
        <f t="shared" si="9"/>
        <v>2.3199999999999998</v>
      </c>
      <c r="F131">
        <f t="shared" si="10"/>
        <v>0.62142857142857133</v>
      </c>
      <c r="G131">
        <f t="shared" si="11"/>
        <v>621.42999999999995</v>
      </c>
      <c r="H131">
        <f t="shared" si="12"/>
        <v>771</v>
      </c>
      <c r="J131">
        <f t="shared" si="13"/>
        <v>1.2406868030188438</v>
      </c>
    </row>
    <row r="132" spans="3:10">
      <c r="C132">
        <v>70</v>
      </c>
      <c r="D132" s="68">
        <v>2250</v>
      </c>
      <c r="E132">
        <f t="shared" si="9"/>
        <v>2.25</v>
      </c>
      <c r="F132">
        <f t="shared" si="10"/>
        <v>0.60612244897959189</v>
      </c>
      <c r="G132">
        <f t="shared" si="11"/>
        <v>606.12</v>
      </c>
      <c r="H132">
        <f t="shared" si="12"/>
        <v>752</v>
      </c>
      <c r="J132">
        <f t="shared" si="13"/>
        <v>1.2406784135154754</v>
      </c>
    </row>
    <row r="133" spans="3:10">
      <c r="C133">
        <v>71</v>
      </c>
      <c r="D133" s="68">
        <v>2190</v>
      </c>
      <c r="E133">
        <f t="shared" si="9"/>
        <v>2.19</v>
      </c>
      <c r="F133">
        <f t="shared" si="10"/>
        <v>0.59286300246103363</v>
      </c>
      <c r="G133">
        <f t="shared" si="11"/>
        <v>592.86</v>
      </c>
      <c r="H133">
        <f t="shared" si="12"/>
        <v>735</v>
      </c>
      <c r="J133">
        <f t="shared" si="13"/>
        <v>1.2397530614310293</v>
      </c>
    </row>
    <row r="134" spans="3:10">
      <c r="C134">
        <v>72</v>
      </c>
      <c r="D134" s="68">
        <v>2130</v>
      </c>
      <c r="E134">
        <f t="shared" si="9"/>
        <v>2.13</v>
      </c>
      <c r="F134">
        <f t="shared" si="10"/>
        <v>0.57947238252267108</v>
      </c>
      <c r="G134">
        <f t="shared" si="11"/>
        <v>579.47</v>
      </c>
      <c r="H134">
        <f t="shared" si="12"/>
        <v>719</v>
      </c>
      <c r="J134">
        <f t="shared" si="13"/>
        <v>1.2407889968419417</v>
      </c>
    </row>
    <row r="135" spans="3:10">
      <c r="C135">
        <v>73</v>
      </c>
      <c r="D135" s="68">
        <v>2070</v>
      </c>
      <c r="E135">
        <f t="shared" si="9"/>
        <v>2.0699999999999998</v>
      </c>
      <c r="F135">
        <f t="shared" si="10"/>
        <v>0.56594863297431641</v>
      </c>
      <c r="G135">
        <f t="shared" si="11"/>
        <v>565.95000000000005</v>
      </c>
      <c r="H135">
        <f t="shared" si="12"/>
        <v>702</v>
      </c>
      <c r="J135">
        <f t="shared" si="13"/>
        <v>1.2403922608004239</v>
      </c>
    </row>
    <row r="136" spans="3:10">
      <c r="C136">
        <v>74</v>
      </c>
      <c r="D136" s="68">
        <v>2010</v>
      </c>
      <c r="E136">
        <f t="shared" si="9"/>
        <v>2.0099999999999998</v>
      </c>
      <c r="F136">
        <f t="shared" si="10"/>
        <v>0.55228975853455442</v>
      </c>
      <c r="G136">
        <f t="shared" si="11"/>
        <v>552.29</v>
      </c>
      <c r="H136">
        <f t="shared" si="12"/>
        <v>685</v>
      </c>
      <c r="J136">
        <f t="shared" si="13"/>
        <v>1.2402904271306743</v>
      </c>
    </row>
    <row r="137" spans="3:10">
      <c r="C137">
        <v>75</v>
      </c>
      <c r="D137" s="68">
        <v>1950</v>
      </c>
      <c r="E137">
        <f t="shared" si="9"/>
        <v>1.95</v>
      </c>
      <c r="F137">
        <f t="shared" si="10"/>
        <v>0.53849372384937233</v>
      </c>
      <c r="G137">
        <f t="shared" si="11"/>
        <v>538.49</v>
      </c>
      <c r="H137">
        <f t="shared" si="12"/>
        <v>668</v>
      </c>
      <c r="J137">
        <f t="shared" si="13"/>
        <v>1.2405058589760256</v>
      </c>
    </row>
    <row r="138" spans="3:10">
      <c r="C138">
        <v>76</v>
      </c>
      <c r="D138" s="68">
        <v>1900</v>
      </c>
      <c r="E138">
        <f t="shared" si="9"/>
        <v>1.9</v>
      </c>
      <c r="F138">
        <f t="shared" si="10"/>
        <v>0.52689075630252091</v>
      </c>
      <c r="G138">
        <f t="shared" si="11"/>
        <v>526.89</v>
      </c>
      <c r="H138">
        <f t="shared" si="12"/>
        <v>653</v>
      </c>
      <c r="J138">
        <f t="shared" si="13"/>
        <v>1.2393478714722239</v>
      </c>
    </row>
    <row r="139" spans="3:10">
      <c r="C139">
        <v>77</v>
      </c>
      <c r="D139" s="68">
        <v>1850</v>
      </c>
      <c r="E139">
        <f t="shared" si="9"/>
        <v>1.85</v>
      </c>
      <c r="F139">
        <f t="shared" si="10"/>
        <v>0.51518987341772149</v>
      </c>
      <c r="G139">
        <f t="shared" si="11"/>
        <v>515.19000000000005</v>
      </c>
      <c r="H139">
        <f t="shared" si="12"/>
        <v>639</v>
      </c>
      <c r="J139">
        <f t="shared" si="13"/>
        <v>1.2403191055727012</v>
      </c>
    </row>
    <row r="140" spans="3:10">
      <c r="C140">
        <v>78</v>
      </c>
      <c r="D140" s="68">
        <v>1800</v>
      </c>
      <c r="E140">
        <f t="shared" si="9"/>
        <v>1.8</v>
      </c>
      <c r="F140">
        <f t="shared" si="10"/>
        <v>0.50338983050847452</v>
      </c>
      <c r="G140">
        <f t="shared" si="11"/>
        <v>503.39</v>
      </c>
      <c r="H140">
        <f t="shared" si="12"/>
        <v>624</v>
      </c>
      <c r="J140">
        <f t="shared" si="13"/>
        <v>1.2395955422237233</v>
      </c>
    </row>
    <row r="141" spans="3:10">
      <c r="C141">
        <v>79</v>
      </c>
      <c r="D141" s="68">
        <v>1750</v>
      </c>
      <c r="E141">
        <f t="shared" si="9"/>
        <v>1.75</v>
      </c>
      <c r="F141">
        <f t="shared" si="10"/>
        <v>0.49148936170212759</v>
      </c>
      <c r="G141">
        <f t="shared" si="11"/>
        <v>491.49</v>
      </c>
      <c r="H141">
        <f t="shared" si="12"/>
        <v>610</v>
      </c>
      <c r="J141">
        <f t="shared" si="13"/>
        <v>1.2411239292762823</v>
      </c>
    </row>
    <row r="142" spans="3:10">
      <c r="C142">
        <v>80</v>
      </c>
      <c r="D142" s="68">
        <v>1700</v>
      </c>
      <c r="E142">
        <f t="shared" si="9"/>
        <v>1.7</v>
      </c>
      <c r="F142">
        <f t="shared" si="10"/>
        <v>0.47948717948717945</v>
      </c>
      <c r="G142">
        <f t="shared" si="11"/>
        <v>479.49</v>
      </c>
      <c r="H142">
        <f t="shared" si="12"/>
        <v>595</v>
      </c>
      <c r="J142">
        <f t="shared" si="13"/>
        <v>1.2409017914867879</v>
      </c>
    </row>
    <row r="143" spans="3:10">
      <c r="C143">
        <v>81</v>
      </c>
      <c r="D143" s="68">
        <v>1650</v>
      </c>
      <c r="E143">
        <f t="shared" si="9"/>
        <v>1.65</v>
      </c>
      <c r="F143">
        <f t="shared" si="10"/>
        <v>0.46738197424892691</v>
      </c>
      <c r="G143">
        <f t="shared" si="11"/>
        <v>467.38</v>
      </c>
      <c r="H143">
        <f t="shared" si="12"/>
        <v>580</v>
      </c>
      <c r="J143">
        <f t="shared" si="13"/>
        <v>1.2409602464803799</v>
      </c>
    </row>
    <row r="144" spans="3:10">
      <c r="C144">
        <v>82</v>
      </c>
      <c r="D144" s="68">
        <v>1610</v>
      </c>
      <c r="E144">
        <f t="shared" si="9"/>
        <v>1.61</v>
      </c>
      <c r="F144">
        <f t="shared" si="10"/>
        <v>0.45762273901808787</v>
      </c>
      <c r="G144">
        <f t="shared" si="11"/>
        <v>457.62</v>
      </c>
      <c r="H144">
        <f t="shared" si="12"/>
        <v>568</v>
      </c>
      <c r="J144">
        <f t="shared" si="13"/>
        <v>1.2412044928106289</v>
      </c>
    </row>
    <row r="145" spans="3:10">
      <c r="C145">
        <v>83</v>
      </c>
      <c r="D145" s="68">
        <v>1570</v>
      </c>
      <c r="E145">
        <f t="shared" si="9"/>
        <v>1.57</v>
      </c>
      <c r="F145">
        <f t="shared" si="10"/>
        <v>0.44779602420051856</v>
      </c>
      <c r="G145">
        <f t="shared" si="11"/>
        <v>447.8</v>
      </c>
      <c r="H145">
        <f t="shared" si="12"/>
        <v>555</v>
      </c>
      <c r="J145">
        <f t="shared" si="13"/>
        <v>1.2393925859758821</v>
      </c>
    </row>
    <row r="146" spans="3:10">
      <c r="C146">
        <v>84</v>
      </c>
      <c r="D146" s="68">
        <v>1520</v>
      </c>
      <c r="E146">
        <f t="shared" si="9"/>
        <v>1.52</v>
      </c>
      <c r="F146">
        <f t="shared" si="10"/>
        <v>0.43541666666666662</v>
      </c>
      <c r="G146">
        <f t="shared" si="11"/>
        <v>435.42</v>
      </c>
      <c r="H146">
        <f t="shared" si="12"/>
        <v>540</v>
      </c>
      <c r="J146">
        <f t="shared" si="13"/>
        <v>1.2401818933443571</v>
      </c>
    </row>
    <row r="147" spans="3:10">
      <c r="C147">
        <v>85</v>
      </c>
      <c r="D147" s="68">
        <v>1480</v>
      </c>
      <c r="E147">
        <f t="shared" si="9"/>
        <v>1.48</v>
      </c>
      <c r="F147">
        <f t="shared" si="10"/>
        <v>0.42543554006968637</v>
      </c>
      <c r="G147">
        <f t="shared" si="11"/>
        <v>425.44</v>
      </c>
      <c r="H147">
        <f t="shared" si="12"/>
        <v>528</v>
      </c>
      <c r="J147">
        <f t="shared" si="13"/>
        <v>1.241068070703272</v>
      </c>
    </row>
    <row r="148" spans="3:10">
      <c r="C148">
        <v>86</v>
      </c>
      <c r="D148" s="68">
        <v>1450</v>
      </c>
      <c r="E148">
        <f t="shared" si="9"/>
        <v>1.45</v>
      </c>
      <c r="F148">
        <f t="shared" si="10"/>
        <v>0.41790393013100435</v>
      </c>
      <c r="G148">
        <f t="shared" si="11"/>
        <v>417.9</v>
      </c>
      <c r="H148">
        <f t="shared" si="12"/>
        <v>518</v>
      </c>
      <c r="J148">
        <f t="shared" si="13"/>
        <v>1.239530988274707</v>
      </c>
    </row>
    <row r="149" spans="3:10">
      <c r="C149">
        <v>87</v>
      </c>
      <c r="D149" s="68">
        <v>1410</v>
      </c>
      <c r="E149">
        <f t="shared" si="9"/>
        <v>1.41</v>
      </c>
      <c r="F149">
        <f t="shared" si="10"/>
        <v>0.40780017528483781</v>
      </c>
      <c r="G149">
        <f t="shared" si="11"/>
        <v>407.8</v>
      </c>
      <c r="H149">
        <f t="shared" si="12"/>
        <v>506</v>
      </c>
      <c r="J149">
        <f t="shared" si="13"/>
        <v>1.2408043158410986</v>
      </c>
    </row>
    <row r="150" spans="3:10">
      <c r="C150">
        <v>88</v>
      </c>
      <c r="D150" s="68">
        <v>1370</v>
      </c>
      <c r="E150">
        <f t="shared" ref="E150:E162" si="14">D150/1000</f>
        <v>1.37</v>
      </c>
      <c r="F150">
        <f t="shared" si="10"/>
        <v>0.39762532981530346</v>
      </c>
      <c r="G150">
        <f t="shared" si="11"/>
        <v>397.63</v>
      </c>
      <c r="H150">
        <f t="shared" si="12"/>
        <v>493</v>
      </c>
      <c r="J150">
        <f t="shared" si="13"/>
        <v>1.2398460880718256</v>
      </c>
    </row>
    <row r="151" spans="3:10">
      <c r="C151">
        <v>89</v>
      </c>
      <c r="D151" s="68">
        <v>1340</v>
      </c>
      <c r="E151">
        <f t="shared" si="14"/>
        <v>1.34</v>
      </c>
      <c r="F151">
        <f t="shared" si="10"/>
        <v>0.38994708994708993</v>
      </c>
      <c r="G151">
        <f t="shared" si="11"/>
        <v>389.95</v>
      </c>
      <c r="H151">
        <f t="shared" si="12"/>
        <v>484</v>
      </c>
      <c r="J151">
        <f t="shared" si="13"/>
        <v>1.2411847672778562</v>
      </c>
    </row>
    <row r="152" spans="3:10">
      <c r="C152">
        <v>90</v>
      </c>
      <c r="D152" s="68">
        <v>1300</v>
      </c>
      <c r="E152">
        <f t="shared" si="14"/>
        <v>1.3</v>
      </c>
      <c r="F152">
        <f t="shared" si="10"/>
        <v>0.37964601769911499</v>
      </c>
      <c r="G152">
        <f t="shared" si="11"/>
        <v>379.65</v>
      </c>
      <c r="H152">
        <f t="shared" si="12"/>
        <v>471</v>
      </c>
      <c r="J152">
        <f t="shared" si="13"/>
        <v>1.2406163571710787</v>
      </c>
    </row>
    <row r="153" spans="3:10">
      <c r="C153">
        <v>91</v>
      </c>
      <c r="D153" s="68">
        <v>1270</v>
      </c>
      <c r="E153">
        <f t="shared" si="14"/>
        <v>1.27</v>
      </c>
      <c r="F153">
        <f t="shared" si="10"/>
        <v>0.37187222715173024</v>
      </c>
      <c r="G153">
        <f t="shared" si="11"/>
        <v>371.87</v>
      </c>
      <c r="H153">
        <f t="shared" si="12"/>
        <v>461</v>
      </c>
      <c r="J153">
        <f t="shared" si="13"/>
        <v>1.2396805335197785</v>
      </c>
    </row>
    <row r="154" spans="3:10">
      <c r="C154">
        <v>92</v>
      </c>
      <c r="D154" s="68">
        <v>1240</v>
      </c>
      <c r="E154">
        <f t="shared" si="14"/>
        <v>1.24</v>
      </c>
      <c r="F154">
        <f t="shared" si="10"/>
        <v>0.36405693950177936</v>
      </c>
      <c r="G154">
        <f t="shared" si="11"/>
        <v>364.06</v>
      </c>
      <c r="H154">
        <f t="shared" si="12"/>
        <v>451</v>
      </c>
      <c r="J154">
        <f t="shared" si="13"/>
        <v>1.2388067900895456</v>
      </c>
    </row>
    <row r="155" spans="3:10">
      <c r="C155">
        <v>93</v>
      </c>
      <c r="D155" s="68">
        <v>1200</v>
      </c>
      <c r="E155">
        <f t="shared" si="14"/>
        <v>1.2</v>
      </c>
      <c r="F155">
        <f t="shared" si="10"/>
        <v>0.35357142857142859</v>
      </c>
      <c r="G155">
        <f t="shared" si="11"/>
        <v>353.57</v>
      </c>
      <c r="H155">
        <f t="shared" si="12"/>
        <v>438</v>
      </c>
      <c r="J155">
        <f t="shared" si="13"/>
        <v>1.2387928840116527</v>
      </c>
    </row>
    <row r="156" spans="3:10">
      <c r="C156">
        <v>94</v>
      </c>
      <c r="D156" s="68">
        <v>1170</v>
      </c>
      <c r="E156">
        <f t="shared" si="14"/>
        <v>1.17</v>
      </c>
      <c r="F156">
        <f t="shared" si="10"/>
        <v>0.34565801253357203</v>
      </c>
      <c r="G156">
        <f t="shared" si="11"/>
        <v>345.66</v>
      </c>
      <c r="H156">
        <f t="shared" si="12"/>
        <v>429</v>
      </c>
      <c r="J156">
        <f t="shared" si="13"/>
        <v>1.2411039750043393</v>
      </c>
    </row>
    <row r="157" spans="3:10">
      <c r="C157">
        <v>95</v>
      </c>
      <c r="D157" s="68">
        <v>1140</v>
      </c>
      <c r="E157">
        <f t="shared" si="14"/>
        <v>1.1399999999999999</v>
      </c>
      <c r="F157">
        <f t="shared" si="10"/>
        <v>0.33770197486535003</v>
      </c>
      <c r="G157">
        <f t="shared" si="11"/>
        <v>337.7</v>
      </c>
      <c r="H157">
        <f t="shared" si="12"/>
        <v>419</v>
      </c>
      <c r="J157">
        <f t="shared" si="13"/>
        <v>1.2407462244595795</v>
      </c>
    </row>
    <row r="158" spans="3:10">
      <c r="C158">
        <v>96</v>
      </c>
      <c r="D158" s="68">
        <v>1120</v>
      </c>
      <c r="E158">
        <f t="shared" si="14"/>
        <v>1.1200000000000001</v>
      </c>
      <c r="F158">
        <f t="shared" si="10"/>
        <v>0.33237410071942441</v>
      </c>
      <c r="G158">
        <f t="shared" si="11"/>
        <v>332.37</v>
      </c>
      <c r="H158">
        <f t="shared" si="12"/>
        <v>412</v>
      </c>
      <c r="J158">
        <f t="shared" si="13"/>
        <v>1.2395823931161056</v>
      </c>
    </row>
    <row r="159" spans="3:10">
      <c r="C159">
        <v>97</v>
      </c>
      <c r="D159" s="68">
        <v>1090</v>
      </c>
      <c r="E159">
        <f t="shared" si="14"/>
        <v>1.0900000000000001</v>
      </c>
      <c r="F159">
        <f t="shared" si="10"/>
        <v>0.324346257889991</v>
      </c>
      <c r="G159">
        <f t="shared" si="11"/>
        <v>324.35000000000002</v>
      </c>
      <c r="H159">
        <f t="shared" si="12"/>
        <v>402</v>
      </c>
      <c r="J159">
        <f t="shared" si="13"/>
        <v>1.2394018806844458</v>
      </c>
    </row>
    <row r="160" spans="3:10">
      <c r="C160">
        <v>98</v>
      </c>
      <c r="D160" s="68">
        <v>1060</v>
      </c>
      <c r="E160">
        <f t="shared" si="14"/>
        <v>1.06</v>
      </c>
      <c r="F160">
        <f t="shared" si="10"/>
        <v>0.31627486437613023</v>
      </c>
      <c r="G160">
        <f t="shared" si="11"/>
        <v>316.27</v>
      </c>
      <c r="H160">
        <f t="shared" si="12"/>
        <v>392</v>
      </c>
      <c r="J160">
        <f t="shared" si="13"/>
        <v>1.2394473076801469</v>
      </c>
    </row>
    <row r="161" spans="3:15">
      <c r="C161">
        <v>99</v>
      </c>
      <c r="D161" s="68">
        <v>1040</v>
      </c>
      <c r="E161">
        <f t="shared" si="14"/>
        <v>1.04</v>
      </c>
      <c r="F161">
        <f t="shared" si="10"/>
        <v>0.31086956521739129</v>
      </c>
      <c r="G161">
        <f t="shared" si="11"/>
        <v>310.87</v>
      </c>
      <c r="H161">
        <f t="shared" si="12"/>
        <v>385</v>
      </c>
      <c r="J161">
        <f t="shared" si="13"/>
        <v>1.2384598063499213</v>
      </c>
    </row>
    <row r="162" spans="3:15">
      <c r="C162">
        <v>100</v>
      </c>
      <c r="D162" s="68">
        <v>1010</v>
      </c>
      <c r="E162">
        <f t="shared" si="14"/>
        <v>1.01</v>
      </c>
      <c r="F162">
        <f t="shared" si="10"/>
        <v>0.30272479564032695</v>
      </c>
      <c r="G162">
        <f t="shared" si="11"/>
        <v>302.72000000000003</v>
      </c>
      <c r="H162">
        <f t="shared" si="12"/>
        <v>375</v>
      </c>
      <c r="J162">
        <f t="shared" si="13"/>
        <v>1.2387684989429175</v>
      </c>
      <c r="N162">
        <v>2863</v>
      </c>
      <c r="O162">
        <v>3544</v>
      </c>
    </row>
    <row r="163" spans="3:15">
      <c r="N163">
        <v>2849</v>
      </c>
      <c r="O163">
        <v>3537</v>
      </c>
    </row>
  </sheetData>
  <mergeCells count="5">
    <mergeCell ref="O14:P15"/>
    <mergeCell ref="H15:I15"/>
    <mergeCell ref="H16:I16"/>
    <mergeCell ref="O16:P17"/>
    <mergeCell ref="H17:I17"/>
  </mergeCells>
  <phoneticPr fontId="1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3"/>
  <dimension ref="A1:Q30"/>
  <sheetViews>
    <sheetView workbookViewId="0">
      <selection activeCell="E14" sqref="E14"/>
    </sheetView>
  </sheetViews>
  <sheetFormatPr defaultRowHeight="16.5"/>
  <cols>
    <col min="4" max="4" width="10.625" customWidth="1"/>
    <col min="5" max="5" width="9.5" bestFit="1" customWidth="1"/>
    <col min="8" max="8" width="8.625" customWidth="1"/>
    <col min="9" max="14" width="7.625" customWidth="1"/>
  </cols>
  <sheetData>
    <row r="1" spans="3:17">
      <c r="C1" t="s">
        <v>215</v>
      </c>
      <c r="F1" s="78">
        <f>(H1-1980)*512+K1*32+N1</f>
        <v>16757</v>
      </c>
      <c r="G1" s="77" t="s">
        <v>216</v>
      </c>
      <c r="H1" s="47">
        <v>2012</v>
      </c>
      <c r="J1" s="77" t="s">
        <v>217</v>
      </c>
      <c r="K1" s="47">
        <v>11</v>
      </c>
      <c r="M1" t="s">
        <v>218</v>
      </c>
      <c r="N1" s="47">
        <v>21</v>
      </c>
    </row>
    <row r="2" spans="3:17" ht="17.25" thickBot="1">
      <c r="C2" t="s">
        <v>89</v>
      </c>
    </row>
    <row r="3" spans="3:17" ht="17.25" thickTop="1">
      <c r="C3" s="33" t="s">
        <v>14</v>
      </c>
      <c r="D3" s="12"/>
      <c r="E3" s="12"/>
      <c r="F3" s="34"/>
      <c r="G3" s="13"/>
      <c r="H3" s="40" t="s">
        <v>91</v>
      </c>
      <c r="I3" s="40"/>
      <c r="J3" s="40"/>
      <c r="K3" s="41"/>
      <c r="L3" s="41"/>
      <c r="M3" s="41"/>
      <c r="N3" s="41"/>
    </row>
    <row r="4" spans="3:17" ht="17.25" thickBot="1">
      <c r="C4" s="14" t="s">
        <v>15</v>
      </c>
      <c r="D4" s="66">
        <v>12</v>
      </c>
      <c r="E4" s="10" t="s">
        <v>16</v>
      </c>
      <c r="F4" s="32">
        <f>2^D4</f>
        <v>4096</v>
      </c>
      <c r="G4" s="15"/>
      <c r="H4" s="41" t="s">
        <v>90</v>
      </c>
      <c r="I4" s="41"/>
      <c r="J4" s="41"/>
      <c r="K4" s="41"/>
      <c r="L4" s="41"/>
      <c r="M4" s="41"/>
      <c r="N4" s="41"/>
    </row>
    <row r="5" spans="3:17">
      <c r="C5" s="14" t="s">
        <v>17</v>
      </c>
      <c r="D5" s="66">
        <v>3.3</v>
      </c>
      <c r="E5" s="10" t="s">
        <v>18</v>
      </c>
      <c r="F5" s="29"/>
      <c r="G5" s="10"/>
      <c r="H5" s="43"/>
      <c r="I5" s="940" t="s">
        <v>94</v>
      </c>
      <c r="J5" s="940"/>
      <c r="K5" s="943" t="s">
        <v>214</v>
      </c>
      <c r="L5" s="943"/>
      <c r="M5" s="943" t="s">
        <v>213</v>
      </c>
      <c r="N5" s="944"/>
    </row>
    <row r="6" spans="3:17" ht="17.25" thickBot="1">
      <c r="C6" s="35" t="s">
        <v>85</v>
      </c>
      <c r="D6" s="30">
        <f>D5/F4*1000</f>
        <v>0.8056640625</v>
      </c>
      <c r="E6" s="30" t="s">
        <v>19</v>
      </c>
      <c r="F6" s="31"/>
      <c r="G6" s="10"/>
      <c r="H6" s="44" t="s">
        <v>93</v>
      </c>
      <c r="I6" s="941">
        <v>8320</v>
      </c>
      <c r="J6" s="941"/>
      <c r="K6" s="949">
        <f>I6*E10+E9</f>
        <v>2478.4523636363638</v>
      </c>
      <c r="L6" s="949"/>
      <c r="M6" s="945">
        <f>ROUND(K6,0)</f>
        <v>2478</v>
      </c>
      <c r="N6" s="946"/>
    </row>
    <row r="7" spans="3:17" ht="18" thickTop="1" thickBot="1">
      <c r="C7" s="14" t="s">
        <v>0</v>
      </c>
      <c r="D7" s="66">
        <v>2</v>
      </c>
      <c r="E7" s="10" t="s">
        <v>8</v>
      </c>
      <c r="F7" s="10">
        <f>D7/1000</f>
        <v>2E-3</v>
      </c>
      <c r="G7" s="10" t="s">
        <v>3</v>
      </c>
      <c r="H7" s="76" t="s">
        <v>95</v>
      </c>
      <c r="I7" s="942">
        <v>8000</v>
      </c>
      <c r="J7" s="942"/>
      <c r="K7" s="950">
        <f>I7*E14+E13</f>
        <v>1628.4703030303031</v>
      </c>
      <c r="L7" s="950"/>
      <c r="M7" s="947">
        <f>ROUND(K7,0)</f>
        <v>1628</v>
      </c>
      <c r="N7" s="948"/>
    </row>
    <row r="8" spans="3:17">
      <c r="C8" s="36" t="s">
        <v>12</v>
      </c>
      <c r="D8" s="27" t="s">
        <v>86</v>
      </c>
      <c r="E8" s="69">
        <v>120</v>
      </c>
      <c r="F8" s="27"/>
      <c r="G8" s="72"/>
    </row>
    <row r="9" spans="3:17">
      <c r="C9" s="42"/>
      <c r="D9" s="65" t="s">
        <v>88</v>
      </c>
      <c r="E9" s="66">
        <v>0</v>
      </c>
      <c r="F9" s="65" t="s">
        <v>97</v>
      </c>
      <c r="G9" s="15"/>
    </row>
    <row r="10" spans="3:17">
      <c r="C10" s="14" t="s">
        <v>92</v>
      </c>
      <c r="D10" s="65"/>
      <c r="E10" s="20">
        <f>F7*E8/D6</f>
        <v>0.2978909090909091</v>
      </c>
      <c r="F10" s="65"/>
      <c r="G10" s="15"/>
    </row>
    <row r="11" spans="3:17">
      <c r="C11" s="37" t="s">
        <v>200</v>
      </c>
      <c r="D11" s="28"/>
      <c r="E11" s="70"/>
      <c r="F11" s="28">
        <f>F4/E10</f>
        <v>13750</v>
      </c>
      <c r="G11" s="71" t="s">
        <v>201</v>
      </c>
    </row>
    <row r="12" spans="3:17">
      <c r="C12" s="36" t="s">
        <v>87</v>
      </c>
      <c r="D12" s="27" t="s">
        <v>86</v>
      </c>
      <c r="E12" s="69">
        <v>82</v>
      </c>
      <c r="F12" s="27"/>
      <c r="G12" s="72"/>
    </row>
    <row r="13" spans="3:17">
      <c r="C13" s="42"/>
      <c r="D13" s="65" t="s">
        <v>88</v>
      </c>
      <c r="E13" s="66">
        <v>0</v>
      </c>
      <c r="F13" s="65" t="s">
        <v>96</v>
      </c>
      <c r="G13" s="15"/>
    </row>
    <row r="14" spans="3:17">
      <c r="C14" s="14" t="s">
        <v>92</v>
      </c>
      <c r="D14" s="65"/>
      <c r="E14" s="20">
        <f>F7*E12/D6</f>
        <v>0.20355878787878789</v>
      </c>
      <c r="F14" s="65"/>
      <c r="G14" s="15"/>
    </row>
    <row r="15" spans="3:17">
      <c r="C15" s="37" t="s">
        <v>202</v>
      </c>
      <c r="D15" s="28"/>
      <c r="E15" s="70"/>
      <c r="F15" s="28">
        <f>F4/E14</f>
        <v>20121.951219512193</v>
      </c>
      <c r="G15" s="71" t="s">
        <v>201</v>
      </c>
    </row>
    <row r="16" spans="3:17" ht="17.25" thickBot="1">
      <c r="C16" s="38" t="s">
        <v>21</v>
      </c>
      <c r="D16" s="27" t="s">
        <v>2</v>
      </c>
      <c r="E16" s="69">
        <v>1000</v>
      </c>
      <c r="F16" s="27" t="s">
        <v>5</v>
      </c>
      <c r="G16" s="72"/>
      <c r="H16" s="73" t="s">
        <v>212</v>
      </c>
      <c r="I16" s="73"/>
      <c r="J16" s="73"/>
      <c r="K16" s="73"/>
      <c r="L16" s="73"/>
      <c r="M16" s="73"/>
      <c r="N16" s="73"/>
      <c r="O16" s="73"/>
      <c r="P16" s="73"/>
      <c r="Q16" s="73"/>
    </row>
    <row r="17" spans="1:14">
      <c r="C17" s="14"/>
      <c r="D17" s="65" t="s">
        <v>22</v>
      </c>
      <c r="E17" s="66">
        <v>43.2</v>
      </c>
      <c r="F17" s="65" t="s">
        <v>5</v>
      </c>
      <c r="G17" s="15"/>
      <c r="H17" s="45"/>
      <c r="I17" s="951" t="s">
        <v>208</v>
      </c>
      <c r="J17" s="951"/>
      <c r="K17" s="952" t="s">
        <v>214</v>
      </c>
      <c r="L17" s="952"/>
      <c r="M17" s="952" t="s">
        <v>213</v>
      </c>
      <c r="N17" s="953"/>
    </row>
    <row r="18" spans="1:14" ht="17.25" thickBot="1">
      <c r="C18" s="14"/>
      <c r="D18" s="65" t="s">
        <v>88</v>
      </c>
      <c r="E18" s="66">
        <v>0</v>
      </c>
      <c r="F18" s="65" t="s">
        <v>96</v>
      </c>
      <c r="G18" s="15"/>
      <c r="H18" s="46" t="s">
        <v>21</v>
      </c>
      <c r="I18" s="954">
        <v>32000</v>
      </c>
      <c r="J18" s="954"/>
      <c r="K18" s="955">
        <f>I18*E19</f>
        <v>1644.796430563302</v>
      </c>
      <c r="L18" s="955"/>
      <c r="M18" s="956">
        <f>ROUND(K18,0)</f>
        <v>1645</v>
      </c>
      <c r="N18" s="957"/>
    </row>
    <row r="19" spans="1:14">
      <c r="C19" s="14" t="s">
        <v>203</v>
      </c>
      <c r="D19" s="74"/>
      <c r="E19" s="75">
        <f>1/(D6/(E17/(E16+E17)))</f>
        <v>5.1399888455103189E-2</v>
      </c>
      <c r="F19" s="65"/>
      <c r="G19" s="15"/>
    </row>
    <row r="20" spans="1:14" ht="17.25" thickBot="1">
      <c r="C20" s="39" t="s">
        <v>206</v>
      </c>
      <c r="D20" s="18"/>
      <c r="E20" s="18"/>
      <c r="F20" s="18">
        <f>F4/E19</f>
        <v>79688.888888888876</v>
      </c>
      <c r="G20" s="19" t="s">
        <v>207</v>
      </c>
    </row>
    <row r="21" spans="1:14" ht="17.25" thickTop="1"/>
    <row r="22" spans="1:14">
      <c r="A22" t="s">
        <v>204</v>
      </c>
    </row>
    <row r="23" spans="1:14">
      <c r="A23" t="s">
        <v>38</v>
      </c>
    </row>
    <row r="24" spans="1:14">
      <c r="A24" t="s">
        <v>205</v>
      </c>
    </row>
    <row r="25" spans="1:14">
      <c r="A25" t="s">
        <v>211</v>
      </c>
    </row>
    <row r="26" spans="1:14">
      <c r="A26" t="s">
        <v>196</v>
      </c>
    </row>
    <row r="27" spans="1:14">
      <c r="A27" t="s">
        <v>196</v>
      </c>
    </row>
    <row r="28" spans="1:14">
      <c r="A28" t="s">
        <v>209</v>
      </c>
    </row>
    <row r="29" spans="1:14">
      <c r="A29" t="s">
        <v>210</v>
      </c>
    </row>
    <row r="30" spans="1:14">
      <c r="A30" t="s">
        <v>38</v>
      </c>
    </row>
  </sheetData>
  <mergeCells count="15">
    <mergeCell ref="I17:J17"/>
    <mergeCell ref="K17:L17"/>
    <mergeCell ref="M17:N17"/>
    <mergeCell ref="I18:J18"/>
    <mergeCell ref="K18:L18"/>
    <mergeCell ref="M18:N18"/>
    <mergeCell ref="I5:J5"/>
    <mergeCell ref="I6:J6"/>
    <mergeCell ref="I7:J7"/>
    <mergeCell ref="M5:N5"/>
    <mergeCell ref="M6:N6"/>
    <mergeCell ref="M7:N7"/>
    <mergeCell ref="K5:L5"/>
    <mergeCell ref="K6:L6"/>
    <mergeCell ref="K7:L7"/>
  </mergeCells>
  <phoneticPr fontId="10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4"/>
  <dimension ref="A1:P31"/>
  <sheetViews>
    <sheetView zoomScale="80" zoomScaleNormal="80" zoomScalePage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defaultColWidth="8.625" defaultRowHeight="30.75" customHeight="1"/>
  <cols>
    <col min="1" max="2" width="18.625" style="158" customWidth="1"/>
    <col min="3" max="3" width="12.5" style="158" customWidth="1"/>
    <col min="4" max="4" width="12" style="158" customWidth="1"/>
    <col min="5" max="5" width="10.875" style="158" customWidth="1"/>
    <col min="6" max="6" width="7.875" style="158" customWidth="1"/>
    <col min="7" max="7" width="13.625" style="158" hidden="1" customWidth="1"/>
    <col min="8" max="8" width="12.5" style="158" customWidth="1"/>
    <col min="9" max="9" width="6.625" style="158" customWidth="1"/>
    <col min="10" max="10" width="29.375" style="160" customWidth="1"/>
    <col min="11" max="11" width="9.125" style="158" customWidth="1"/>
    <col min="12" max="12" width="7.125" style="158" customWidth="1"/>
    <col min="13" max="13" width="9.625" style="158" customWidth="1"/>
    <col min="14" max="14" width="11.125" style="158" hidden="1" customWidth="1"/>
    <col min="15" max="15" width="21.75" style="159" customWidth="1"/>
    <col min="16" max="16" width="12.625" style="159" customWidth="1"/>
    <col min="17" max="16384" width="8.625" style="158"/>
  </cols>
  <sheetData>
    <row r="1" spans="1:16" ht="30.75" customHeight="1">
      <c r="A1" s="210" t="s">
        <v>544</v>
      </c>
      <c r="B1" s="210" t="s">
        <v>518</v>
      </c>
      <c r="C1" s="210" t="s">
        <v>517</v>
      </c>
      <c r="D1" s="210" t="s">
        <v>516</v>
      </c>
      <c r="E1" s="210" t="s">
        <v>543</v>
      </c>
      <c r="F1" s="210" t="s">
        <v>515</v>
      </c>
      <c r="G1" s="210" t="s">
        <v>514</v>
      </c>
      <c r="H1" s="210" t="s">
        <v>513</v>
      </c>
      <c r="I1" s="210" t="s">
        <v>512</v>
      </c>
      <c r="J1" s="210" t="s">
        <v>511</v>
      </c>
      <c r="K1" s="210" t="s">
        <v>510</v>
      </c>
      <c r="L1" s="210" t="s">
        <v>509</v>
      </c>
      <c r="M1" s="210" t="s">
        <v>508</v>
      </c>
      <c r="N1" s="210" t="s">
        <v>507</v>
      </c>
      <c r="O1" s="209" t="s">
        <v>542</v>
      </c>
      <c r="P1" s="209" t="s">
        <v>506</v>
      </c>
    </row>
    <row r="2" spans="1:16" ht="30.75" customHeight="1">
      <c r="A2" s="175" t="s">
        <v>502</v>
      </c>
      <c r="B2" s="195" t="s">
        <v>436</v>
      </c>
      <c r="C2" s="174" t="s">
        <v>505</v>
      </c>
      <c r="D2" s="175" t="s">
        <v>448</v>
      </c>
      <c r="E2" s="175" t="s">
        <v>520</v>
      </c>
      <c r="F2" s="175" t="s">
        <v>457</v>
      </c>
      <c r="G2" s="175">
        <v>1234430002</v>
      </c>
      <c r="H2" s="175">
        <v>2411003002</v>
      </c>
      <c r="I2" s="177" t="s">
        <v>500</v>
      </c>
      <c r="J2" s="176" t="s">
        <v>499</v>
      </c>
      <c r="K2" s="175" t="s">
        <v>445</v>
      </c>
      <c r="L2" s="175" t="s">
        <v>417</v>
      </c>
      <c r="M2" s="174">
        <v>2.6</v>
      </c>
      <c r="N2" s="173"/>
      <c r="O2" s="172" t="str">
        <f>[3]Sheet1!M15</f>
        <v>DAK740000-W0Q1E06LT</v>
      </c>
      <c r="P2" s="172" t="str">
        <f>[3]Sheet1!N15</f>
        <v>36V-B type</v>
      </c>
    </row>
    <row r="3" spans="1:16" ht="30.75" customHeight="1">
      <c r="A3" s="175" t="s">
        <v>502</v>
      </c>
      <c r="B3" s="195" t="s">
        <v>436</v>
      </c>
      <c r="C3" s="174" t="s">
        <v>504</v>
      </c>
      <c r="D3" s="174" t="s">
        <v>448</v>
      </c>
      <c r="E3" s="175" t="s">
        <v>520</v>
      </c>
      <c r="F3" s="175" t="s">
        <v>503</v>
      </c>
      <c r="G3" s="175" t="s">
        <v>421</v>
      </c>
      <c r="H3" s="175">
        <v>2411003003</v>
      </c>
      <c r="I3" s="177" t="s">
        <v>500</v>
      </c>
      <c r="J3" s="176" t="s">
        <v>499</v>
      </c>
      <c r="K3" s="175" t="s">
        <v>445</v>
      </c>
      <c r="L3" s="175" t="s">
        <v>417</v>
      </c>
      <c r="M3" s="174">
        <v>2.6</v>
      </c>
      <c r="N3" s="173"/>
      <c r="O3" s="172" t="str">
        <f>[3]Sheet1!M16</f>
        <v>DAK740000-W0Q1E06LT</v>
      </c>
      <c r="P3" s="172" t="str">
        <f>[3]Sheet1!N16</f>
        <v>36V-B type</v>
      </c>
    </row>
    <row r="4" spans="1:16" s="161" customFormat="1" ht="30.75" customHeight="1">
      <c r="A4" s="175" t="s">
        <v>502</v>
      </c>
      <c r="B4" s="195" t="s">
        <v>436</v>
      </c>
      <c r="C4" s="174" t="s">
        <v>501</v>
      </c>
      <c r="D4" s="174" t="s">
        <v>448</v>
      </c>
      <c r="E4" s="175" t="s">
        <v>520</v>
      </c>
      <c r="F4" s="174" t="s">
        <v>440</v>
      </c>
      <c r="G4" s="174"/>
      <c r="H4" s="174">
        <v>2411003014</v>
      </c>
      <c r="I4" s="204" t="s">
        <v>500</v>
      </c>
      <c r="J4" s="176" t="s">
        <v>499</v>
      </c>
      <c r="K4" s="174" t="s">
        <v>445</v>
      </c>
      <c r="L4" s="174" t="s">
        <v>417</v>
      </c>
      <c r="M4" s="174">
        <v>2.6</v>
      </c>
      <c r="N4" s="203"/>
      <c r="O4" s="172" t="str">
        <f>[3]Sheet1!M17</f>
        <v>DAK740000-W0Q1E06LT</v>
      </c>
      <c r="P4" s="172" t="str">
        <f>[3]Sheet1!N17</f>
        <v>36V-B type</v>
      </c>
    </row>
    <row r="5" spans="1:16" s="161" customFormat="1" ht="30.75" customHeight="1">
      <c r="A5" s="208" t="s">
        <v>541</v>
      </c>
      <c r="B5" s="186"/>
      <c r="C5" s="186" t="s">
        <v>540</v>
      </c>
      <c r="D5" s="186" t="s">
        <v>448</v>
      </c>
      <c r="E5" s="175" t="s">
        <v>520</v>
      </c>
      <c r="F5" s="186" t="s">
        <v>440</v>
      </c>
      <c r="G5" s="186"/>
      <c r="H5" s="186">
        <v>2411043016</v>
      </c>
      <c r="I5" s="207" t="s">
        <v>539</v>
      </c>
      <c r="J5" s="193" t="s">
        <v>499</v>
      </c>
      <c r="K5" s="186" t="s">
        <v>445</v>
      </c>
      <c r="L5" s="186" t="s">
        <v>417</v>
      </c>
      <c r="M5" s="186">
        <v>2.6</v>
      </c>
      <c r="N5" s="206"/>
      <c r="O5" s="205" t="str">
        <f>[3]Sheet1!M18</f>
        <v>DAK740000-W0Q1E06LT</v>
      </c>
      <c r="P5" s="205" t="str">
        <f>[3]Sheet1!N18</f>
        <v>36V-B type</v>
      </c>
    </row>
    <row r="6" spans="1:16" ht="30.75" customHeight="1">
      <c r="A6" s="175" t="s">
        <v>497</v>
      </c>
      <c r="B6" s="195" t="s">
        <v>436</v>
      </c>
      <c r="C6" s="174" t="s">
        <v>498</v>
      </c>
      <c r="D6" s="174" t="s">
        <v>490</v>
      </c>
      <c r="E6" s="191" t="s">
        <v>522</v>
      </c>
      <c r="F6" s="175" t="s">
        <v>434</v>
      </c>
      <c r="G6" s="175">
        <v>1231830001</v>
      </c>
      <c r="H6" s="175">
        <v>2410763001</v>
      </c>
      <c r="I6" s="204" t="s">
        <v>494</v>
      </c>
      <c r="J6" s="176" t="s">
        <v>493</v>
      </c>
      <c r="K6" s="175" t="s">
        <v>487</v>
      </c>
      <c r="L6" s="175" t="s">
        <v>417</v>
      </c>
      <c r="M6" s="174">
        <v>2.6</v>
      </c>
      <c r="N6" s="203"/>
      <c r="O6" s="171" t="s">
        <v>486</v>
      </c>
      <c r="P6" s="166" t="s">
        <v>443</v>
      </c>
    </row>
    <row r="7" spans="1:16" ht="30.75" customHeight="1">
      <c r="A7" s="175" t="s">
        <v>497</v>
      </c>
      <c r="B7" s="195" t="s">
        <v>436</v>
      </c>
      <c r="C7" s="175" t="s">
        <v>496</v>
      </c>
      <c r="D7" s="174" t="s">
        <v>495</v>
      </c>
      <c r="E7" s="191" t="s">
        <v>522</v>
      </c>
      <c r="F7" s="175" t="s">
        <v>457</v>
      </c>
      <c r="G7" s="175">
        <v>1231830003</v>
      </c>
      <c r="H7" s="175">
        <v>2410763003</v>
      </c>
      <c r="I7" s="204" t="s">
        <v>494</v>
      </c>
      <c r="J7" s="176" t="s">
        <v>493</v>
      </c>
      <c r="K7" s="175" t="s">
        <v>487</v>
      </c>
      <c r="L7" s="175" t="s">
        <v>417</v>
      </c>
      <c r="M7" s="174">
        <v>2.6</v>
      </c>
      <c r="N7" s="203"/>
      <c r="O7" s="171" t="s">
        <v>486</v>
      </c>
      <c r="P7" s="166" t="s">
        <v>443</v>
      </c>
    </row>
    <row r="8" spans="1:16" s="165" customFormat="1" ht="30.75" customHeight="1">
      <c r="A8" s="181" t="s">
        <v>492</v>
      </c>
      <c r="B8" s="195" t="s">
        <v>436</v>
      </c>
      <c r="C8" s="178" t="s">
        <v>491</v>
      </c>
      <c r="D8" s="174" t="s">
        <v>490</v>
      </c>
      <c r="E8" s="191" t="s">
        <v>522</v>
      </c>
      <c r="F8" s="178" t="s">
        <v>421</v>
      </c>
      <c r="G8" s="181">
        <v>1231830002</v>
      </c>
      <c r="H8" s="181">
        <v>2410763002</v>
      </c>
      <c r="I8" s="190" t="s">
        <v>489</v>
      </c>
      <c r="J8" s="176" t="s">
        <v>488</v>
      </c>
      <c r="K8" s="181" t="s">
        <v>487</v>
      </c>
      <c r="L8" s="181" t="s">
        <v>417</v>
      </c>
      <c r="M8" s="181">
        <v>2.6</v>
      </c>
      <c r="N8" s="202"/>
      <c r="O8" s="171" t="s">
        <v>486</v>
      </c>
      <c r="P8" s="166" t="s">
        <v>443</v>
      </c>
    </row>
    <row r="9" spans="1:16" s="168" customFormat="1" ht="30.75" customHeight="1">
      <c r="A9" s="201" t="s">
        <v>538</v>
      </c>
      <c r="B9" s="197" t="s">
        <v>424</v>
      </c>
      <c r="C9" s="178" t="s">
        <v>485</v>
      </c>
      <c r="D9" s="174" t="s">
        <v>484</v>
      </c>
      <c r="E9" s="174" t="s">
        <v>537</v>
      </c>
      <c r="F9" s="178" t="s">
        <v>457</v>
      </c>
      <c r="G9" s="181" t="s">
        <v>421</v>
      </c>
      <c r="H9" s="178">
        <v>2410522001</v>
      </c>
      <c r="I9" s="181" t="s">
        <v>483</v>
      </c>
      <c r="J9" s="200" t="s">
        <v>477</v>
      </c>
      <c r="K9" s="178" t="s">
        <v>482</v>
      </c>
      <c r="L9" s="181" t="s">
        <v>417</v>
      </c>
      <c r="M9" s="181">
        <v>2.6</v>
      </c>
      <c r="N9" s="171"/>
      <c r="O9" s="169" t="s">
        <v>430</v>
      </c>
      <c r="P9" s="166" t="s">
        <v>476</v>
      </c>
    </row>
    <row r="10" spans="1:16" s="168" customFormat="1" ht="30.75" customHeight="1">
      <c r="A10" s="201" t="s">
        <v>536</v>
      </c>
      <c r="B10" s="195" t="s">
        <v>436</v>
      </c>
      <c r="C10" s="178" t="s">
        <v>481</v>
      </c>
      <c r="D10" s="174" t="s">
        <v>480</v>
      </c>
      <c r="E10" s="191" t="s">
        <v>522</v>
      </c>
      <c r="F10" s="178" t="s">
        <v>479</v>
      </c>
      <c r="G10" s="178"/>
      <c r="H10" s="178">
        <v>2410762001</v>
      </c>
      <c r="I10" s="194" t="s">
        <v>478</v>
      </c>
      <c r="J10" s="200" t="s">
        <v>477</v>
      </c>
      <c r="K10" s="178" t="s">
        <v>431</v>
      </c>
      <c r="L10" s="178" t="s">
        <v>417</v>
      </c>
      <c r="M10" s="178">
        <v>2.6</v>
      </c>
      <c r="N10" s="199"/>
      <c r="O10" s="169" t="s">
        <v>430</v>
      </c>
      <c r="P10" s="166" t="s">
        <v>476</v>
      </c>
    </row>
    <row r="11" spans="1:16" s="168" customFormat="1" ht="30.75" customHeight="1">
      <c r="A11" s="181" t="s">
        <v>473</v>
      </c>
      <c r="B11" s="197" t="s">
        <v>424</v>
      </c>
      <c r="C11" s="178" t="s">
        <v>475</v>
      </c>
      <c r="D11" s="174" t="s">
        <v>448</v>
      </c>
      <c r="E11" s="175" t="s">
        <v>520</v>
      </c>
      <c r="F11" s="178" t="s">
        <v>457</v>
      </c>
      <c r="G11" s="178">
        <v>1234430005</v>
      </c>
      <c r="H11" s="181">
        <v>2411003012</v>
      </c>
      <c r="I11" s="181" t="s">
        <v>471</v>
      </c>
      <c r="J11" s="191" t="s">
        <v>474</v>
      </c>
      <c r="K11" s="181" t="s">
        <v>445</v>
      </c>
      <c r="L11" s="181" t="s">
        <v>417</v>
      </c>
      <c r="M11" s="181">
        <v>2.6</v>
      </c>
      <c r="N11" s="180"/>
      <c r="O11" s="169" t="s">
        <v>444</v>
      </c>
      <c r="P11" s="166" t="s">
        <v>443</v>
      </c>
    </row>
    <row r="12" spans="1:16" s="165" customFormat="1" ht="30.75" customHeight="1">
      <c r="A12" s="181" t="s">
        <v>473</v>
      </c>
      <c r="B12" s="197" t="s">
        <v>424</v>
      </c>
      <c r="C12" s="178" t="s">
        <v>472</v>
      </c>
      <c r="D12" s="174" t="s">
        <v>448</v>
      </c>
      <c r="E12" s="175" t="s">
        <v>520</v>
      </c>
      <c r="F12" s="178" t="s">
        <v>434</v>
      </c>
      <c r="G12" s="178">
        <v>1234430004</v>
      </c>
      <c r="H12" s="181">
        <v>2411003013</v>
      </c>
      <c r="I12" s="181" t="s">
        <v>471</v>
      </c>
      <c r="J12" s="175" t="s">
        <v>470</v>
      </c>
      <c r="K12" s="181" t="s">
        <v>445</v>
      </c>
      <c r="L12" s="181" t="s">
        <v>417</v>
      </c>
      <c r="M12" s="181">
        <v>2.6</v>
      </c>
      <c r="N12" s="180"/>
      <c r="O12" s="169" t="s">
        <v>444</v>
      </c>
      <c r="P12" s="166" t="s">
        <v>443</v>
      </c>
    </row>
    <row r="13" spans="1:16" s="168" customFormat="1" ht="30.75" customHeight="1">
      <c r="A13" s="198" t="s">
        <v>468</v>
      </c>
      <c r="B13" s="197" t="s">
        <v>424</v>
      </c>
      <c r="C13" s="178" t="s">
        <v>469</v>
      </c>
      <c r="D13" s="174" t="s">
        <v>422</v>
      </c>
      <c r="E13" s="175" t="s">
        <v>520</v>
      </c>
      <c r="F13" s="178" t="s">
        <v>434</v>
      </c>
      <c r="G13" s="181" t="s">
        <v>421</v>
      </c>
      <c r="H13" s="178">
        <v>2411004001</v>
      </c>
      <c r="I13" s="194" t="s">
        <v>466</v>
      </c>
      <c r="J13" s="175" t="s">
        <v>465</v>
      </c>
      <c r="K13" s="181" t="s">
        <v>425</v>
      </c>
      <c r="L13" s="181" t="s">
        <v>417</v>
      </c>
      <c r="M13" s="181">
        <v>2.6</v>
      </c>
      <c r="N13" s="171"/>
      <c r="O13" s="167" t="s">
        <v>416</v>
      </c>
      <c r="P13" s="166" t="s">
        <v>415</v>
      </c>
    </row>
    <row r="14" spans="1:16" s="165" customFormat="1" ht="30.75" customHeight="1">
      <c r="A14" s="198" t="s">
        <v>468</v>
      </c>
      <c r="B14" s="197" t="s">
        <v>424</v>
      </c>
      <c r="C14" s="178" t="s">
        <v>467</v>
      </c>
      <c r="D14" s="174" t="s">
        <v>422</v>
      </c>
      <c r="E14" s="175" t="s">
        <v>520</v>
      </c>
      <c r="F14" s="178" t="s">
        <v>457</v>
      </c>
      <c r="G14" s="181" t="s">
        <v>421</v>
      </c>
      <c r="H14" s="178">
        <v>2411004002</v>
      </c>
      <c r="I14" s="178" t="s">
        <v>466</v>
      </c>
      <c r="J14" s="175" t="s">
        <v>465</v>
      </c>
      <c r="K14" s="181" t="s">
        <v>425</v>
      </c>
      <c r="L14" s="181" t="s">
        <v>417</v>
      </c>
      <c r="M14" s="181">
        <v>2.6</v>
      </c>
      <c r="N14" s="171"/>
      <c r="O14" s="167" t="s">
        <v>416</v>
      </c>
      <c r="P14" s="166" t="s">
        <v>415</v>
      </c>
    </row>
    <row r="15" spans="1:16" s="165" customFormat="1" ht="30.75" customHeight="1">
      <c r="A15" s="198" t="s">
        <v>463</v>
      </c>
      <c r="B15" s="197" t="s">
        <v>424</v>
      </c>
      <c r="C15" s="178" t="s">
        <v>464</v>
      </c>
      <c r="D15" s="174" t="s">
        <v>422</v>
      </c>
      <c r="E15" s="175" t="s">
        <v>520</v>
      </c>
      <c r="F15" s="178" t="s">
        <v>434</v>
      </c>
      <c r="G15" s="181" t="s">
        <v>421</v>
      </c>
      <c r="H15" s="181">
        <v>2411004005</v>
      </c>
      <c r="I15" s="181" t="s">
        <v>461</v>
      </c>
      <c r="J15" s="174" t="s">
        <v>460</v>
      </c>
      <c r="K15" s="181" t="s">
        <v>425</v>
      </c>
      <c r="L15" s="181" t="s">
        <v>417</v>
      </c>
      <c r="M15" s="181">
        <v>2.6</v>
      </c>
      <c r="N15" s="180"/>
      <c r="O15" s="167" t="s">
        <v>416</v>
      </c>
      <c r="P15" s="166" t="s">
        <v>415</v>
      </c>
    </row>
    <row r="16" spans="1:16" s="170" customFormat="1" ht="30.75" customHeight="1">
      <c r="A16" s="198" t="s">
        <v>463</v>
      </c>
      <c r="B16" s="197" t="s">
        <v>424</v>
      </c>
      <c r="C16" s="181" t="s">
        <v>462</v>
      </c>
      <c r="D16" s="175" t="s">
        <v>422</v>
      </c>
      <c r="E16" s="175" t="s">
        <v>520</v>
      </c>
      <c r="F16" s="181" t="s">
        <v>457</v>
      </c>
      <c r="G16" s="181" t="s">
        <v>421</v>
      </c>
      <c r="H16" s="181">
        <v>2411004006</v>
      </c>
      <c r="I16" s="181" t="s">
        <v>461</v>
      </c>
      <c r="J16" s="174" t="s">
        <v>460</v>
      </c>
      <c r="K16" s="181" t="s">
        <v>425</v>
      </c>
      <c r="L16" s="181" t="s">
        <v>417</v>
      </c>
      <c r="M16" s="181">
        <v>2.6</v>
      </c>
      <c r="N16" s="180"/>
      <c r="O16" s="167" t="s">
        <v>416</v>
      </c>
      <c r="P16" s="166" t="s">
        <v>415</v>
      </c>
    </row>
    <row r="17" spans="1:16" s="168" customFormat="1" ht="30.75" customHeight="1">
      <c r="A17" s="196" t="s">
        <v>535</v>
      </c>
      <c r="B17" s="195" t="s">
        <v>436</v>
      </c>
      <c r="C17" s="178" t="s">
        <v>459</v>
      </c>
      <c r="D17" s="174" t="s">
        <v>448</v>
      </c>
      <c r="E17" s="175" t="s">
        <v>520</v>
      </c>
      <c r="F17" s="178" t="s">
        <v>434</v>
      </c>
      <c r="G17" s="178"/>
      <c r="H17" s="178">
        <v>2411003008</v>
      </c>
      <c r="I17" s="194" t="s">
        <v>456</v>
      </c>
      <c r="J17" s="191" t="s">
        <v>455</v>
      </c>
      <c r="K17" s="178" t="s">
        <v>445</v>
      </c>
      <c r="L17" s="178" t="s">
        <v>417</v>
      </c>
      <c r="M17" s="178">
        <v>2.6</v>
      </c>
      <c r="N17" s="171"/>
      <c r="O17" s="169" t="s">
        <v>444</v>
      </c>
      <c r="P17" s="166" t="s">
        <v>443</v>
      </c>
    </row>
    <row r="18" spans="1:16" s="168" customFormat="1" ht="30.75" customHeight="1">
      <c r="A18" s="196" t="s">
        <v>535</v>
      </c>
      <c r="B18" s="195" t="s">
        <v>436</v>
      </c>
      <c r="C18" s="178" t="s">
        <v>458</v>
      </c>
      <c r="D18" s="174" t="s">
        <v>448</v>
      </c>
      <c r="E18" s="175" t="s">
        <v>520</v>
      </c>
      <c r="F18" s="178" t="s">
        <v>457</v>
      </c>
      <c r="G18" s="178"/>
      <c r="H18" s="178">
        <v>2411003009</v>
      </c>
      <c r="I18" s="194" t="s">
        <v>456</v>
      </c>
      <c r="J18" s="191" t="s">
        <v>455</v>
      </c>
      <c r="K18" s="178" t="s">
        <v>445</v>
      </c>
      <c r="L18" s="178" t="s">
        <v>417</v>
      </c>
      <c r="M18" s="178">
        <v>2.6</v>
      </c>
      <c r="N18" s="171"/>
      <c r="O18" s="169" t="s">
        <v>444</v>
      </c>
      <c r="P18" s="166" t="s">
        <v>443</v>
      </c>
    </row>
    <row r="19" spans="1:16" s="168" customFormat="1" ht="30.75" customHeight="1">
      <c r="A19" s="185" t="s">
        <v>534</v>
      </c>
      <c r="B19" s="186"/>
      <c r="C19" s="185" t="s">
        <v>533</v>
      </c>
      <c r="D19" s="186" t="s">
        <v>448</v>
      </c>
      <c r="E19" s="175" t="s">
        <v>520</v>
      </c>
      <c r="F19" s="186" t="s">
        <v>440</v>
      </c>
      <c r="G19" s="185"/>
      <c r="H19" s="185" t="s">
        <v>532</v>
      </c>
      <c r="I19" s="185" t="s">
        <v>531</v>
      </c>
      <c r="J19" s="193" t="s">
        <v>530</v>
      </c>
      <c r="K19" s="185" t="s">
        <v>445</v>
      </c>
      <c r="L19" s="185" t="s">
        <v>417</v>
      </c>
      <c r="M19" s="185">
        <v>2.6</v>
      </c>
      <c r="N19" s="184"/>
      <c r="O19" s="183" t="s">
        <v>430</v>
      </c>
      <c r="P19" s="182" t="s">
        <v>476</v>
      </c>
    </row>
    <row r="20" spans="1:16" s="165" customFormat="1" ht="30.75" customHeight="1">
      <c r="A20" s="179" t="s">
        <v>454</v>
      </c>
      <c r="B20" s="191" t="s">
        <v>436</v>
      </c>
      <c r="C20" s="179" t="s">
        <v>453</v>
      </c>
      <c r="D20" s="191" t="s">
        <v>448</v>
      </c>
      <c r="E20" s="175" t="s">
        <v>520</v>
      </c>
      <c r="F20" s="179" t="s">
        <v>434</v>
      </c>
      <c r="G20" s="179" t="s">
        <v>421</v>
      </c>
      <c r="H20" s="179">
        <v>2411003010</v>
      </c>
      <c r="I20" s="192" t="s">
        <v>452</v>
      </c>
      <c r="J20" s="191" t="s">
        <v>451</v>
      </c>
      <c r="K20" s="179" t="s">
        <v>445</v>
      </c>
      <c r="L20" s="178" t="s">
        <v>417</v>
      </c>
      <c r="M20" s="178">
        <v>2.6</v>
      </c>
      <c r="N20" s="171"/>
      <c r="O20" s="189" t="s">
        <v>444</v>
      </c>
      <c r="P20" s="188" t="s">
        <v>443</v>
      </c>
    </row>
    <row r="21" spans="1:16" s="165" customFormat="1" ht="30.75" customHeight="1">
      <c r="A21" s="179" t="s">
        <v>529</v>
      </c>
      <c r="B21" s="191" t="s">
        <v>436</v>
      </c>
      <c r="C21" s="179" t="s">
        <v>528</v>
      </c>
      <c r="D21" s="191" t="s">
        <v>527</v>
      </c>
      <c r="E21" s="175" t="s">
        <v>526</v>
      </c>
      <c r="F21" s="179" t="s">
        <v>434</v>
      </c>
      <c r="G21" s="179"/>
      <c r="H21" s="179">
        <v>2411303001</v>
      </c>
      <c r="I21" s="192" t="s">
        <v>525</v>
      </c>
      <c r="J21" s="191" t="s">
        <v>451</v>
      </c>
      <c r="K21" s="179" t="s">
        <v>524</v>
      </c>
      <c r="L21" s="178" t="s">
        <v>417</v>
      </c>
      <c r="M21" s="178">
        <v>2.6</v>
      </c>
      <c r="N21" s="171"/>
      <c r="O21" s="189" t="s">
        <v>444</v>
      </c>
      <c r="P21" s="188" t="s">
        <v>443</v>
      </c>
    </row>
    <row r="22" spans="1:16" s="165" customFormat="1" ht="30.75" customHeight="1">
      <c r="A22" s="179" t="s">
        <v>442</v>
      </c>
      <c r="B22" s="179" t="s">
        <v>424</v>
      </c>
      <c r="C22" s="179" t="s">
        <v>441</v>
      </c>
      <c r="D22" s="191" t="s">
        <v>523</v>
      </c>
      <c r="E22" s="191" t="s">
        <v>522</v>
      </c>
      <c r="F22" s="179" t="s">
        <v>440</v>
      </c>
      <c r="G22" s="179" t="s">
        <v>421</v>
      </c>
      <c r="H22" s="179">
        <v>2410782002</v>
      </c>
      <c r="I22" s="179" t="s">
        <v>439</v>
      </c>
      <c r="J22" s="191" t="s">
        <v>438</v>
      </c>
      <c r="K22" s="179" t="s">
        <v>431</v>
      </c>
      <c r="L22" s="178" t="s">
        <v>417</v>
      </c>
      <c r="M22" s="178">
        <v>2.6</v>
      </c>
      <c r="N22" s="171"/>
      <c r="O22" s="189" t="s">
        <v>430</v>
      </c>
      <c r="P22" s="188" t="s">
        <v>429</v>
      </c>
    </row>
    <row r="23" spans="1:16" s="165" customFormat="1" ht="30.75" customHeight="1">
      <c r="A23" s="179" t="s">
        <v>437</v>
      </c>
      <c r="B23" s="191" t="s">
        <v>436</v>
      </c>
      <c r="C23" s="179" t="s">
        <v>435</v>
      </c>
      <c r="D23" s="191" t="s">
        <v>523</v>
      </c>
      <c r="E23" s="191" t="s">
        <v>522</v>
      </c>
      <c r="F23" s="179" t="s">
        <v>434</v>
      </c>
      <c r="G23" s="179" t="s">
        <v>421</v>
      </c>
      <c r="H23" s="179">
        <v>2410782003</v>
      </c>
      <c r="I23" s="179" t="s">
        <v>433</v>
      </c>
      <c r="J23" s="191" t="s">
        <v>432</v>
      </c>
      <c r="K23" s="179" t="s">
        <v>431</v>
      </c>
      <c r="L23" s="178" t="s">
        <v>417</v>
      </c>
      <c r="M23" s="178">
        <v>2.6</v>
      </c>
      <c r="N23" s="171"/>
      <c r="O23" s="189" t="s">
        <v>430</v>
      </c>
      <c r="P23" s="188" t="s">
        <v>429</v>
      </c>
    </row>
    <row r="24" spans="1:16" s="165" customFormat="1" ht="30.75" customHeight="1">
      <c r="A24" s="178" t="s">
        <v>450</v>
      </c>
      <c r="B24" s="179" t="s">
        <v>424</v>
      </c>
      <c r="C24" s="178" t="s">
        <v>449</v>
      </c>
      <c r="D24" s="175" t="s">
        <v>448</v>
      </c>
      <c r="E24" s="175" t="s">
        <v>520</v>
      </c>
      <c r="F24" s="181" t="s">
        <v>434</v>
      </c>
      <c r="G24" s="181" t="s">
        <v>421</v>
      </c>
      <c r="H24" s="181">
        <v>2411003011</v>
      </c>
      <c r="I24" s="190" t="s">
        <v>447</v>
      </c>
      <c r="J24" s="175" t="s">
        <v>446</v>
      </c>
      <c r="K24" s="181" t="s">
        <v>445</v>
      </c>
      <c r="L24" s="181" t="s">
        <v>417</v>
      </c>
      <c r="M24" s="181">
        <v>2.6</v>
      </c>
      <c r="N24" s="180"/>
      <c r="O24" s="189" t="s">
        <v>444</v>
      </c>
      <c r="P24" s="188" t="s">
        <v>443</v>
      </c>
    </row>
    <row r="25" spans="1:16" s="165" customFormat="1" ht="30.75" customHeight="1">
      <c r="A25" s="185" t="s">
        <v>521</v>
      </c>
      <c r="B25" s="185"/>
      <c r="C25" s="185"/>
      <c r="D25" s="186" t="s">
        <v>448</v>
      </c>
      <c r="E25" s="175" t="s">
        <v>520</v>
      </c>
      <c r="F25" s="185"/>
      <c r="G25" s="185"/>
      <c r="H25" s="185"/>
      <c r="I25" s="187"/>
      <c r="J25" s="186"/>
      <c r="K25" s="185" t="s">
        <v>445</v>
      </c>
      <c r="L25" s="185" t="s">
        <v>417</v>
      </c>
      <c r="M25" s="185">
        <v>2.6</v>
      </c>
      <c r="N25" s="184"/>
      <c r="O25" s="183" t="s">
        <v>444</v>
      </c>
      <c r="P25" s="182" t="s">
        <v>443</v>
      </c>
    </row>
    <row r="26" spans="1:16" s="165" customFormat="1" ht="30.75" customHeight="1">
      <c r="A26" s="179"/>
      <c r="B26" s="179" t="s">
        <v>424</v>
      </c>
      <c r="C26" s="178" t="s">
        <v>428</v>
      </c>
      <c r="D26" s="174" t="s">
        <v>422</v>
      </c>
      <c r="E26" s="175" t="s">
        <v>520</v>
      </c>
      <c r="F26" s="178" t="s">
        <v>421</v>
      </c>
      <c r="G26" s="181" t="s">
        <v>421</v>
      </c>
      <c r="H26" s="181">
        <v>2411004003</v>
      </c>
      <c r="I26" s="178" t="s">
        <v>427</v>
      </c>
      <c r="J26" s="175" t="s">
        <v>426</v>
      </c>
      <c r="K26" s="181" t="s">
        <v>425</v>
      </c>
      <c r="L26" s="181" t="s">
        <v>417</v>
      </c>
      <c r="M26" s="181">
        <v>2.6</v>
      </c>
      <c r="N26" s="180"/>
      <c r="O26" s="167" t="s">
        <v>416</v>
      </c>
      <c r="P26" s="166" t="s">
        <v>415</v>
      </c>
    </row>
    <row r="27" spans="1:16" s="165" customFormat="1" ht="30.75" customHeight="1">
      <c r="A27" s="179"/>
      <c r="B27" s="179" t="s">
        <v>424</v>
      </c>
      <c r="C27" s="178" t="s">
        <v>423</v>
      </c>
      <c r="D27" s="174" t="s">
        <v>422</v>
      </c>
      <c r="E27" s="175" t="s">
        <v>520</v>
      </c>
      <c r="F27" s="178" t="s">
        <v>421</v>
      </c>
      <c r="G27" s="178" t="s">
        <v>421</v>
      </c>
      <c r="H27" s="178">
        <v>2411004004</v>
      </c>
      <c r="I27" s="178" t="s">
        <v>420</v>
      </c>
      <c r="J27" s="174" t="s">
        <v>419</v>
      </c>
      <c r="K27" s="178" t="s">
        <v>418</v>
      </c>
      <c r="L27" s="178" t="s">
        <v>417</v>
      </c>
      <c r="M27" s="178">
        <v>2.6</v>
      </c>
      <c r="N27" s="171"/>
      <c r="O27" s="167" t="s">
        <v>416</v>
      </c>
      <c r="P27" s="166" t="s">
        <v>415</v>
      </c>
    </row>
    <row r="30" spans="1:16" s="161" customFormat="1" ht="30.75" customHeight="1">
      <c r="J30" s="163"/>
      <c r="O30" s="162"/>
      <c r="P30" s="162"/>
    </row>
    <row r="31" spans="1:16" s="161" customFormat="1" ht="30.75" customHeight="1">
      <c r="A31" s="164"/>
      <c r="B31" s="164"/>
      <c r="C31" s="164"/>
      <c r="J31" s="163"/>
      <c r="O31" s="162"/>
      <c r="P31" s="162"/>
    </row>
  </sheetData>
  <phoneticPr fontId="10" type="noConversion"/>
  <pageMargins left="0.7" right="0.7" top="0.75" bottom="0.75" header="0.3" footer="0.3"/>
  <pageSetup paperSize="9" orientation="portrait" horizontalDpi="4294967292" verticalDpi="429496729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5"/>
  <dimension ref="A1:O33"/>
  <sheetViews>
    <sheetView zoomScale="80" zoomScaleNormal="80" zoomScalePageLayoutView="80" workbookViewId="0">
      <pane xSplit="1" ySplit="1" topLeftCell="C17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8.625" defaultRowHeight="30.75" customHeight="1"/>
  <cols>
    <col min="1" max="1" width="17" style="158" customWidth="1"/>
    <col min="2" max="2" width="18.625" style="158" hidden="1" customWidth="1"/>
    <col min="3" max="3" width="20.25" style="158" customWidth="1"/>
    <col min="4" max="4" width="11.5" style="158" customWidth="1"/>
    <col min="5" max="5" width="9.75" style="158" customWidth="1"/>
    <col min="6" max="6" width="13.625" style="158" customWidth="1"/>
    <col min="7" max="7" width="14.625" style="158" customWidth="1"/>
    <col min="8" max="8" width="8.5" style="158" customWidth="1"/>
    <col min="9" max="9" width="19.125" style="160" customWidth="1"/>
    <col min="10" max="10" width="9.125" style="158" customWidth="1"/>
    <col min="11" max="11" width="10.125" style="158" customWidth="1"/>
    <col min="12" max="12" width="9.625" style="158" customWidth="1"/>
    <col min="13" max="13" width="11.125" style="158" hidden="1" customWidth="1"/>
    <col min="14" max="14" width="20" style="159" customWidth="1"/>
    <col min="15" max="15" width="9" style="159" customWidth="1"/>
    <col min="16" max="16384" width="8.625" style="158"/>
  </cols>
  <sheetData>
    <row r="1" spans="1:15" ht="30.75" customHeight="1">
      <c r="A1" s="210" t="s">
        <v>544</v>
      </c>
      <c r="B1" s="210" t="s">
        <v>518</v>
      </c>
      <c r="C1" s="210" t="s">
        <v>517</v>
      </c>
      <c r="D1" s="210" t="s">
        <v>516</v>
      </c>
      <c r="E1" s="210" t="s">
        <v>515</v>
      </c>
      <c r="F1" s="210" t="s">
        <v>514</v>
      </c>
      <c r="G1" s="210" t="s">
        <v>513</v>
      </c>
      <c r="H1" s="210" t="s">
        <v>545</v>
      </c>
      <c r="I1" s="210" t="s">
        <v>546</v>
      </c>
      <c r="J1" s="210" t="s">
        <v>547</v>
      </c>
      <c r="K1" s="210" t="s">
        <v>548</v>
      </c>
      <c r="L1" s="210" t="s">
        <v>549</v>
      </c>
      <c r="M1" s="210" t="s">
        <v>550</v>
      </c>
      <c r="N1" s="209" t="s">
        <v>551</v>
      </c>
      <c r="O1" s="209" t="s">
        <v>552</v>
      </c>
    </row>
    <row r="2" spans="1:15" ht="30.75" customHeight="1">
      <c r="A2" s="175" t="s">
        <v>553</v>
      </c>
      <c r="B2" s="195" t="s">
        <v>554</v>
      </c>
      <c r="C2" s="174" t="s">
        <v>555</v>
      </c>
      <c r="D2" s="175" t="s">
        <v>556</v>
      </c>
      <c r="E2" s="175" t="s">
        <v>557</v>
      </c>
      <c r="F2" s="175">
        <v>1234430002</v>
      </c>
      <c r="G2" s="175">
        <v>2411003002</v>
      </c>
      <c r="H2" s="177" t="s">
        <v>558</v>
      </c>
      <c r="I2" s="176" t="s">
        <v>559</v>
      </c>
      <c r="J2" s="175" t="s">
        <v>560</v>
      </c>
      <c r="K2" s="175" t="s">
        <v>561</v>
      </c>
      <c r="L2" s="174">
        <v>2.6</v>
      </c>
      <c r="M2" s="173"/>
      <c r="N2" s="172" t="str">
        <f>[4]Sheet1!M15</f>
        <v>DAK740000-W0Q1E06LT</v>
      </c>
      <c r="O2" s="172" t="str">
        <f>[4]Sheet1!N15</f>
        <v>36V-B type</v>
      </c>
    </row>
    <row r="3" spans="1:15" ht="30.75" customHeight="1">
      <c r="A3" s="175" t="s">
        <v>553</v>
      </c>
      <c r="B3" s="195" t="s">
        <v>554</v>
      </c>
      <c r="C3" s="174" t="s">
        <v>562</v>
      </c>
      <c r="D3" s="174" t="s">
        <v>556</v>
      </c>
      <c r="E3" s="175" t="s">
        <v>563</v>
      </c>
      <c r="F3" s="175" t="s">
        <v>564</v>
      </c>
      <c r="G3" s="175">
        <v>2411003003</v>
      </c>
      <c r="H3" s="177" t="s">
        <v>558</v>
      </c>
      <c r="I3" s="176" t="s">
        <v>559</v>
      </c>
      <c r="J3" s="175" t="s">
        <v>560</v>
      </c>
      <c r="K3" s="175" t="s">
        <v>561</v>
      </c>
      <c r="L3" s="174">
        <v>2.6</v>
      </c>
      <c r="M3" s="173"/>
      <c r="N3" s="172" t="str">
        <f>[4]Sheet1!M16</f>
        <v>DAK740000-W0Q1E06LT</v>
      </c>
      <c r="O3" s="172" t="str">
        <f>[4]Sheet1!N16</f>
        <v>36V-B type</v>
      </c>
    </row>
    <row r="4" spans="1:15" s="161" customFormat="1" ht="30.75" customHeight="1">
      <c r="A4" s="175" t="s">
        <v>553</v>
      </c>
      <c r="B4" s="195" t="s">
        <v>554</v>
      </c>
      <c r="C4" s="174" t="s">
        <v>565</v>
      </c>
      <c r="D4" s="174" t="s">
        <v>556</v>
      </c>
      <c r="E4" s="174" t="s">
        <v>566</v>
      </c>
      <c r="F4" s="174"/>
      <c r="G4" s="174">
        <v>2411003014</v>
      </c>
      <c r="H4" s="204" t="s">
        <v>558</v>
      </c>
      <c r="I4" s="176" t="s">
        <v>559</v>
      </c>
      <c r="J4" s="174" t="s">
        <v>560</v>
      </c>
      <c r="K4" s="174" t="s">
        <v>561</v>
      </c>
      <c r="L4" s="174">
        <v>2.6</v>
      </c>
      <c r="M4" s="203"/>
      <c r="N4" s="172" t="str">
        <f>[4]Sheet1!M17</f>
        <v>DAK740000-W0Q1E06LT</v>
      </c>
      <c r="O4" s="172" t="str">
        <f>[4]Sheet1!N17</f>
        <v>36V-B type</v>
      </c>
    </row>
    <row r="5" spans="1:15" s="215" customFormat="1" ht="30.75" customHeight="1">
      <c r="A5" s="179" t="s">
        <v>567</v>
      </c>
      <c r="B5" s="191" t="s">
        <v>568</v>
      </c>
      <c r="C5" s="191" t="s">
        <v>569</v>
      </c>
      <c r="D5" s="191" t="s">
        <v>556</v>
      </c>
      <c r="E5" s="191" t="s">
        <v>566</v>
      </c>
      <c r="F5" s="191"/>
      <c r="G5" s="191">
        <v>2411043016</v>
      </c>
      <c r="H5" s="211" t="s">
        <v>539</v>
      </c>
      <c r="I5" s="212" t="s">
        <v>559</v>
      </c>
      <c r="J5" s="191" t="s">
        <v>560</v>
      </c>
      <c r="K5" s="191" t="s">
        <v>561</v>
      </c>
      <c r="L5" s="191">
        <v>2.6</v>
      </c>
      <c r="M5" s="213"/>
      <c r="N5" s="214" t="str">
        <f>[4]Sheet1!M18</f>
        <v>DAK740000-W0Q1E06LT</v>
      </c>
      <c r="O5" s="214" t="str">
        <f>[4]Sheet1!N18</f>
        <v>36V-B type</v>
      </c>
    </row>
    <row r="6" spans="1:15" ht="30.75" customHeight="1">
      <c r="A6" s="175" t="s">
        <v>570</v>
      </c>
      <c r="B6" s="195" t="s">
        <v>554</v>
      </c>
      <c r="C6" s="174" t="s">
        <v>571</v>
      </c>
      <c r="D6" s="174" t="s">
        <v>572</v>
      </c>
      <c r="E6" s="175" t="s">
        <v>573</v>
      </c>
      <c r="F6" s="175">
        <v>1231830001</v>
      </c>
      <c r="G6" s="175">
        <v>2410763001</v>
      </c>
      <c r="H6" s="204" t="s">
        <v>574</v>
      </c>
      <c r="I6" s="176" t="s">
        <v>575</v>
      </c>
      <c r="J6" s="175" t="s">
        <v>576</v>
      </c>
      <c r="K6" s="175" t="s">
        <v>561</v>
      </c>
      <c r="L6" s="174">
        <v>2.6</v>
      </c>
      <c r="M6" s="203"/>
      <c r="N6" s="171" t="s">
        <v>577</v>
      </c>
      <c r="O6" s="166" t="s">
        <v>578</v>
      </c>
    </row>
    <row r="7" spans="1:15" ht="30.75" customHeight="1">
      <c r="A7" s="175" t="s">
        <v>570</v>
      </c>
      <c r="B7" s="195" t="s">
        <v>554</v>
      </c>
      <c r="C7" s="175" t="s">
        <v>579</v>
      </c>
      <c r="D7" s="174" t="s">
        <v>495</v>
      </c>
      <c r="E7" s="175" t="s">
        <v>557</v>
      </c>
      <c r="F7" s="175">
        <v>1231830003</v>
      </c>
      <c r="G7" s="175">
        <v>2410763003</v>
      </c>
      <c r="H7" s="204" t="s">
        <v>574</v>
      </c>
      <c r="I7" s="176" t="s">
        <v>575</v>
      </c>
      <c r="J7" s="175" t="s">
        <v>576</v>
      </c>
      <c r="K7" s="175" t="s">
        <v>561</v>
      </c>
      <c r="L7" s="174">
        <v>2.6</v>
      </c>
      <c r="M7" s="203"/>
      <c r="N7" s="171" t="s">
        <v>577</v>
      </c>
      <c r="O7" s="166" t="s">
        <v>578</v>
      </c>
    </row>
    <row r="8" spans="1:15" s="165" customFormat="1" ht="30.75" customHeight="1">
      <c r="A8" s="181" t="s">
        <v>580</v>
      </c>
      <c r="B8" s="195" t="s">
        <v>554</v>
      </c>
      <c r="C8" s="178" t="s">
        <v>581</v>
      </c>
      <c r="D8" s="174" t="s">
        <v>572</v>
      </c>
      <c r="E8" s="178" t="s">
        <v>564</v>
      </c>
      <c r="F8" s="181">
        <v>1231830002</v>
      </c>
      <c r="G8" s="181">
        <v>2410763002</v>
      </c>
      <c r="H8" s="190" t="s">
        <v>582</v>
      </c>
      <c r="I8" s="176" t="s">
        <v>583</v>
      </c>
      <c r="J8" s="181" t="s">
        <v>576</v>
      </c>
      <c r="K8" s="181" t="s">
        <v>561</v>
      </c>
      <c r="L8" s="181">
        <v>2.6</v>
      </c>
      <c r="M8" s="202"/>
      <c r="N8" s="171" t="s">
        <v>577</v>
      </c>
      <c r="O8" s="166" t="s">
        <v>578</v>
      </c>
    </row>
    <row r="9" spans="1:15" s="168" customFormat="1" ht="30.75" customHeight="1">
      <c r="A9" s="178" t="s">
        <v>584</v>
      </c>
      <c r="B9" s="197" t="s">
        <v>585</v>
      </c>
      <c r="C9" s="178" t="s">
        <v>586</v>
      </c>
      <c r="D9" s="174" t="s">
        <v>484</v>
      </c>
      <c r="E9" s="178" t="s">
        <v>557</v>
      </c>
      <c r="F9" s="181" t="s">
        <v>564</v>
      </c>
      <c r="G9" s="178">
        <v>2410522001</v>
      </c>
      <c r="H9" s="181" t="s">
        <v>587</v>
      </c>
      <c r="I9" s="200" t="s">
        <v>588</v>
      </c>
      <c r="J9" s="178" t="s">
        <v>589</v>
      </c>
      <c r="K9" s="181" t="s">
        <v>561</v>
      </c>
      <c r="L9" s="181">
        <v>2.6</v>
      </c>
      <c r="M9" s="171"/>
      <c r="N9" s="169" t="s">
        <v>430</v>
      </c>
      <c r="O9" s="166" t="s">
        <v>590</v>
      </c>
    </row>
    <row r="10" spans="1:15" s="168" customFormat="1" ht="30.75" customHeight="1">
      <c r="A10" s="178" t="s">
        <v>591</v>
      </c>
      <c r="B10" s="195" t="s">
        <v>554</v>
      </c>
      <c r="C10" s="178" t="s">
        <v>592</v>
      </c>
      <c r="D10" s="174" t="s">
        <v>480</v>
      </c>
      <c r="E10" s="178" t="s">
        <v>593</v>
      </c>
      <c r="F10" s="178"/>
      <c r="G10" s="178">
        <v>2410762001</v>
      </c>
      <c r="H10" s="194" t="s">
        <v>594</v>
      </c>
      <c r="I10" s="200" t="s">
        <v>588</v>
      </c>
      <c r="J10" s="178" t="s">
        <v>595</v>
      </c>
      <c r="K10" s="178" t="s">
        <v>561</v>
      </c>
      <c r="L10" s="178">
        <v>2.6</v>
      </c>
      <c r="M10" s="199"/>
      <c r="N10" s="169" t="s">
        <v>430</v>
      </c>
      <c r="O10" s="166" t="s">
        <v>590</v>
      </c>
    </row>
    <row r="11" spans="1:15" s="168" customFormat="1" ht="30.75" customHeight="1">
      <c r="A11" s="181" t="s">
        <v>596</v>
      </c>
      <c r="B11" s="197" t="s">
        <v>585</v>
      </c>
      <c r="C11" s="178" t="s">
        <v>597</v>
      </c>
      <c r="D11" s="174" t="s">
        <v>556</v>
      </c>
      <c r="E11" s="178" t="s">
        <v>557</v>
      </c>
      <c r="F11" s="178">
        <v>1234430005</v>
      </c>
      <c r="G11" s="181">
        <v>2411003012</v>
      </c>
      <c r="H11" s="181" t="s">
        <v>598</v>
      </c>
      <c r="I11" s="191" t="s">
        <v>474</v>
      </c>
      <c r="J11" s="181" t="s">
        <v>560</v>
      </c>
      <c r="K11" s="181" t="s">
        <v>561</v>
      </c>
      <c r="L11" s="181">
        <v>2.6</v>
      </c>
      <c r="M11" s="180"/>
      <c r="N11" s="169" t="s">
        <v>444</v>
      </c>
      <c r="O11" s="166" t="s">
        <v>578</v>
      </c>
    </row>
    <row r="12" spans="1:15" s="165" customFormat="1" ht="30.75" customHeight="1">
      <c r="A12" s="181" t="s">
        <v>596</v>
      </c>
      <c r="B12" s="197" t="s">
        <v>585</v>
      </c>
      <c r="C12" s="178" t="s">
        <v>599</v>
      </c>
      <c r="D12" s="174" t="s">
        <v>556</v>
      </c>
      <c r="E12" s="178" t="s">
        <v>573</v>
      </c>
      <c r="F12" s="178">
        <v>1234430004</v>
      </c>
      <c r="G12" s="181">
        <v>2411003013</v>
      </c>
      <c r="H12" s="181" t="s">
        <v>598</v>
      </c>
      <c r="I12" s="175" t="s">
        <v>470</v>
      </c>
      <c r="J12" s="181" t="s">
        <v>560</v>
      </c>
      <c r="K12" s="181" t="s">
        <v>561</v>
      </c>
      <c r="L12" s="181">
        <v>2.6</v>
      </c>
      <c r="M12" s="180"/>
      <c r="N12" s="169" t="s">
        <v>444</v>
      </c>
      <c r="O12" s="166" t="s">
        <v>578</v>
      </c>
    </row>
    <row r="13" spans="1:15" s="168" customFormat="1" ht="30.75" customHeight="1">
      <c r="A13" s="179" t="s">
        <v>600</v>
      </c>
      <c r="B13" s="197" t="s">
        <v>585</v>
      </c>
      <c r="C13" s="178" t="s">
        <v>601</v>
      </c>
      <c r="D13" s="174" t="s">
        <v>602</v>
      </c>
      <c r="E13" s="178" t="s">
        <v>573</v>
      </c>
      <c r="F13" s="181" t="s">
        <v>564</v>
      </c>
      <c r="G13" s="178">
        <v>2411004001</v>
      </c>
      <c r="H13" s="194" t="s">
        <v>603</v>
      </c>
      <c r="I13" s="175" t="s">
        <v>604</v>
      </c>
      <c r="J13" s="181" t="s">
        <v>605</v>
      </c>
      <c r="K13" s="181" t="s">
        <v>561</v>
      </c>
      <c r="L13" s="181">
        <v>2.6</v>
      </c>
      <c r="M13" s="171"/>
      <c r="N13" s="167" t="s">
        <v>606</v>
      </c>
      <c r="O13" s="166" t="s">
        <v>607</v>
      </c>
    </row>
    <row r="14" spans="1:15" s="165" customFormat="1" ht="30.75" customHeight="1">
      <c r="A14" s="179" t="s">
        <v>600</v>
      </c>
      <c r="B14" s="197" t="s">
        <v>585</v>
      </c>
      <c r="C14" s="178" t="s">
        <v>608</v>
      </c>
      <c r="D14" s="174" t="s">
        <v>602</v>
      </c>
      <c r="E14" s="178" t="s">
        <v>557</v>
      </c>
      <c r="F14" s="181" t="s">
        <v>564</v>
      </c>
      <c r="G14" s="178">
        <v>2411004002</v>
      </c>
      <c r="H14" s="178" t="s">
        <v>603</v>
      </c>
      <c r="I14" s="175" t="s">
        <v>604</v>
      </c>
      <c r="J14" s="181" t="s">
        <v>605</v>
      </c>
      <c r="K14" s="181" t="s">
        <v>561</v>
      </c>
      <c r="L14" s="181">
        <v>2.6</v>
      </c>
      <c r="M14" s="171"/>
      <c r="N14" s="167" t="s">
        <v>606</v>
      </c>
      <c r="O14" s="166" t="s">
        <v>607</v>
      </c>
    </row>
    <row r="15" spans="1:15" s="165" customFormat="1" ht="30.75" customHeight="1">
      <c r="A15" s="179" t="s">
        <v>609</v>
      </c>
      <c r="B15" s="197" t="s">
        <v>585</v>
      </c>
      <c r="C15" s="178" t="s">
        <v>610</v>
      </c>
      <c r="D15" s="174" t="s">
        <v>602</v>
      </c>
      <c r="E15" s="178" t="s">
        <v>573</v>
      </c>
      <c r="F15" s="181" t="s">
        <v>564</v>
      </c>
      <c r="G15" s="181">
        <v>2411004005</v>
      </c>
      <c r="H15" s="181" t="s">
        <v>611</v>
      </c>
      <c r="I15" s="174" t="s">
        <v>612</v>
      </c>
      <c r="J15" s="181" t="s">
        <v>605</v>
      </c>
      <c r="K15" s="181" t="s">
        <v>561</v>
      </c>
      <c r="L15" s="181">
        <v>2.6</v>
      </c>
      <c r="M15" s="180"/>
      <c r="N15" s="167" t="s">
        <v>606</v>
      </c>
      <c r="O15" s="166" t="s">
        <v>607</v>
      </c>
    </row>
    <row r="16" spans="1:15" s="170" customFormat="1" ht="30.75" customHeight="1">
      <c r="A16" s="179" t="s">
        <v>609</v>
      </c>
      <c r="B16" s="197" t="s">
        <v>585</v>
      </c>
      <c r="C16" s="181" t="s">
        <v>613</v>
      </c>
      <c r="D16" s="175" t="s">
        <v>602</v>
      </c>
      <c r="E16" s="181" t="s">
        <v>557</v>
      </c>
      <c r="F16" s="181" t="s">
        <v>564</v>
      </c>
      <c r="G16" s="181">
        <v>2411004006</v>
      </c>
      <c r="H16" s="181" t="s">
        <v>611</v>
      </c>
      <c r="I16" s="174" t="s">
        <v>612</v>
      </c>
      <c r="J16" s="181" t="s">
        <v>605</v>
      </c>
      <c r="K16" s="181" t="s">
        <v>561</v>
      </c>
      <c r="L16" s="181">
        <v>2.6</v>
      </c>
      <c r="M16" s="180"/>
      <c r="N16" s="167" t="s">
        <v>606</v>
      </c>
      <c r="O16" s="166" t="s">
        <v>607</v>
      </c>
    </row>
    <row r="17" spans="1:15" s="168" customFormat="1" ht="30.75" customHeight="1">
      <c r="A17" s="181" t="s">
        <v>614</v>
      </c>
      <c r="B17" s="195" t="s">
        <v>554</v>
      </c>
      <c r="C17" s="178" t="s">
        <v>615</v>
      </c>
      <c r="D17" s="174" t="s">
        <v>556</v>
      </c>
      <c r="E17" s="178" t="s">
        <v>573</v>
      </c>
      <c r="F17" s="178"/>
      <c r="G17" s="178">
        <v>2411003008</v>
      </c>
      <c r="H17" s="194" t="s">
        <v>616</v>
      </c>
      <c r="I17" s="191" t="s">
        <v>617</v>
      </c>
      <c r="J17" s="178" t="s">
        <v>560</v>
      </c>
      <c r="K17" s="178" t="s">
        <v>561</v>
      </c>
      <c r="L17" s="178">
        <v>2.6</v>
      </c>
      <c r="M17" s="171"/>
      <c r="N17" s="169" t="s">
        <v>444</v>
      </c>
      <c r="O17" s="166" t="s">
        <v>578</v>
      </c>
    </row>
    <row r="18" spans="1:15" s="168" customFormat="1" ht="30.75" customHeight="1">
      <c r="A18" s="181" t="s">
        <v>614</v>
      </c>
      <c r="B18" s="195" t="s">
        <v>554</v>
      </c>
      <c r="C18" s="178" t="s">
        <v>618</v>
      </c>
      <c r="D18" s="174" t="s">
        <v>556</v>
      </c>
      <c r="E18" s="178" t="s">
        <v>557</v>
      </c>
      <c r="F18" s="178"/>
      <c r="G18" s="178">
        <v>2411003009</v>
      </c>
      <c r="H18" s="194" t="s">
        <v>616</v>
      </c>
      <c r="I18" s="191" t="s">
        <v>617</v>
      </c>
      <c r="J18" s="178" t="s">
        <v>560</v>
      </c>
      <c r="K18" s="178" t="s">
        <v>561</v>
      </c>
      <c r="L18" s="178">
        <v>2.6</v>
      </c>
      <c r="M18" s="171"/>
      <c r="N18" s="169" t="s">
        <v>444</v>
      </c>
      <c r="O18" s="166" t="s">
        <v>578</v>
      </c>
    </row>
    <row r="19" spans="1:15" s="222" customFormat="1" ht="30.75" customHeight="1">
      <c r="A19" s="216" t="s">
        <v>619</v>
      </c>
      <c r="B19" s="217" t="s">
        <v>568</v>
      </c>
      <c r="C19" s="216" t="s">
        <v>620</v>
      </c>
      <c r="D19" s="186" t="s">
        <v>556</v>
      </c>
      <c r="E19" s="186" t="s">
        <v>566</v>
      </c>
      <c r="F19" s="218"/>
      <c r="G19" s="216">
        <v>2411043015</v>
      </c>
      <c r="H19" s="216" t="s">
        <v>621</v>
      </c>
      <c r="I19" s="217" t="s">
        <v>622</v>
      </c>
      <c r="J19" s="185" t="s">
        <v>560</v>
      </c>
      <c r="K19" s="185" t="s">
        <v>561</v>
      </c>
      <c r="L19" s="185">
        <v>2.6</v>
      </c>
      <c r="M19" s="219"/>
      <c r="N19" s="220"/>
      <c r="O19" s="221"/>
    </row>
    <row r="20" spans="1:15" s="222" customFormat="1" ht="30.75" customHeight="1">
      <c r="A20" s="216" t="s">
        <v>623</v>
      </c>
      <c r="B20" s="217" t="s">
        <v>568</v>
      </c>
      <c r="C20" s="216" t="s">
        <v>624</v>
      </c>
      <c r="D20" s="186" t="s">
        <v>556</v>
      </c>
      <c r="E20" s="186" t="s">
        <v>566</v>
      </c>
      <c r="F20" s="218"/>
      <c r="G20" s="216">
        <v>2411043017</v>
      </c>
      <c r="H20" s="216" t="s">
        <v>625</v>
      </c>
      <c r="I20" s="217" t="s">
        <v>626</v>
      </c>
      <c r="J20" s="185" t="s">
        <v>560</v>
      </c>
      <c r="K20" s="185" t="s">
        <v>561</v>
      </c>
      <c r="L20" s="185">
        <v>2.6</v>
      </c>
      <c r="M20" s="219"/>
      <c r="N20" s="220"/>
      <c r="O20" s="221"/>
    </row>
    <row r="21" spans="1:15" s="165" customFormat="1" ht="30.75" customHeight="1">
      <c r="A21" s="179" t="s">
        <v>627</v>
      </c>
      <c r="B21" s="191" t="s">
        <v>554</v>
      </c>
      <c r="C21" s="179" t="s">
        <v>628</v>
      </c>
      <c r="D21" s="191" t="s">
        <v>556</v>
      </c>
      <c r="E21" s="179" t="s">
        <v>573</v>
      </c>
      <c r="F21" s="179" t="s">
        <v>564</v>
      </c>
      <c r="G21" s="179">
        <v>2411003010</v>
      </c>
      <c r="H21" s="192" t="s">
        <v>629</v>
      </c>
      <c r="I21" s="191" t="s">
        <v>630</v>
      </c>
      <c r="J21" s="179" t="s">
        <v>560</v>
      </c>
      <c r="K21" s="178" t="s">
        <v>561</v>
      </c>
      <c r="L21" s="178">
        <v>2.6</v>
      </c>
      <c r="M21" s="171"/>
      <c r="N21" s="189"/>
      <c r="O21" s="188"/>
    </row>
    <row r="22" spans="1:15" s="165" customFormat="1" ht="30.75" customHeight="1">
      <c r="A22" s="179" t="s">
        <v>631</v>
      </c>
      <c r="B22" s="191" t="s">
        <v>554</v>
      </c>
      <c r="C22" s="179" t="s">
        <v>632</v>
      </c>
      <c r="D22" s="191" t="s">
        <v>633</v>
      </c>
      <c r="E22" s="179" t="s">
        <v>573</v>
      </c>
      <c r="F22" s="179"/>
      <c r="G22" s="179">
        <v>2411303001</v>
      </c>
      <c r="H22" s="192" t="s">
        <v>525</v>
      </c>
      <c r="I22" s="191" t="s">
        <v>630</v>
      </c>
      <c r="J22" s="179" t="s">
        <v>634</v>
      </c>
      <c r="K22" s="178" t="s">
        <v>561</v>
      </c>
      <c r="L22" s="178">
        <v>2.6</v>
      </c>
      <c r="M22" s="171"/>
      <c r="N22" s="189"/>
      <c r="O22" s="188"/>
    </row>
    <row r="23" spans="1:15" s="165" customFormat="1" ht="30.75" customHeight="1">
      <c r="A23" s="179" t="s">
        <v>635</v>
      </c>
      <c r="B23" s="179" t="s">
        <v>585</v>
      </c>
      <c r="C23" s="179" t="s">
        <v>636</v>
      </c>
      <c r="D23" s="191" t="s">
        <v>637</v>
      </c>
      <c r="E23" s="179" t="s">
        <v>566</v>
      </c>
      <c r="F23" s="179" t="s">
        <v>564</v>
      </c>
      <c r="G23" s="179">
        <v>2410782002</v>
      </c>
      <c r="H23" s="179" t="s">
        <v>638</v>
      </c>
      <c r="I23" s="191" t="s">
        <v>639</v>
      </c>
      <c r="J23" s="179" t="s">
        <v>595</v>
      </c>
      <c r="K23" s="178" t="s">
        <v>561</v>
      </c>
      <c r="L23" s="178">
        <v>2.6</v>
      </c>
      <c r="M23" s="171"/>
      <c r="N23" s="189"/>
      <c r="O23" s="188"/>
    </row>
    <row r="24" spans="1:15" s="165" customFormat="1" ht="30.75" customHeight="1">
      <c r="A24" s="179" t="s">
        <v>640</v>
      </c>
      <c r="B24" s="191" t="s">
        <v>554</v>
      </c>
      <c r="C24" s="179" t="s">
        <v>641</v>
      </c>
      <c r="D24" s="191" t="s">
        <v>637</v>
      </c>
      <c r="E24" s="179" t="s">
        <v>573</v>
      </c>
      <c r="F24" s="179" t="s">
        <v>564</v>
      </c>
      <c r="G24" s="179">
        <v>2410782003</v>
      </c>
      <c r="H24" s="179" t="s">
        <v>642</v>
      </c>
      <c r="I24" s="191" t="s">
        <v>432</v>
      </c>
      <c r="J24" s="179" t="s">
        <v>595</v>
      </c>
      <c r="K24" s="178" t="s">
        <v>561</v>
      </c>
      <c r="L24" s="178">
        <v>2.6</v>
      </c>
      <c r="M24" s="171"/>
      <c r="N24" s="189"/>
      <c r="O24" s="188"/>
    </row>
    <row r="25" spans="1:15" s="165" customFormat="1" ht="30.75" customHeight="1">
      <c r="A25" s="178" t="s">
        <v>643</v>
      </c>
      <c r="B25" s="179" t="s">
        <v>585</v>
      </c>
      <c r="C25" s="178" t="s">
        <v>644</v>
      </c>
      <c r="D25" s="175" t="s">
        <v>556</v>
      </c>
      <c r="E25" s="181" t="s">
        <v>573</v>
      </c>
      <c r="F25" s="181" t="s">
        <v>564</v>
      </c>
      <c r="G25" s="181">
        <v>2411003011</v>
      </c>
      <c r="H25" s="190" t="s">
        <v>645</v>
      </c>
      <c r="I25" s="175" t="s">
        <v>646</v>
      </c>
      <c r="J25" s="181" t="s">
        <v>560</v>
      </c>
      <c r="K25" s="181" t="s">
        <v>561</v>
      </c>
      <c r="L25" s="181">
        <v>2.6</v>
      </c>
      <c r="M25" s="180"/>
      <c r="N25" s="189"/>
      <c r="O25" s="188"/>
    </row>
    <row r="26" spans="1:15" s="165" customFormat="1" ht="30.75" customHeight="1">
      <c r="A26" s="185" t="s">
        <v>647</v>
      </c>
      <c r="B26" s="185" t="s">
        <v>568</v>
      </c>
      <c r="C26" s="185" t="s">
        <v>648</v>
      </c>
      <c r="D26" s="186" t="s">
        <v>556</v>
      </c>
      <c r="E26" s="185" t="s">
        <v>557</v>
      </c>
      <c r="F26" s="185"/>
      <c r="G26" s="185">
        <v>2411003006</v>
      </c>
      <c r="H26" s="185" t="s">
        <v>649</v>
      </c>
      <c r="I26" s="186" t="s">
        <v>650</v>
      </c>
      <c r="J26" s="185" t="s">
        <v>560</v>
      </c>
      <c r="K26" s="185" t="s">
        <v>561</v>
      </c>
      <c r="L26" s="185">
        <v>2.6</v>
      </c>
      <c r="M26" s="184"/>
      <c r="N26" s="183"/>
      <c r="O26" s="182"/>
    </row>
    <row r="27" spans="1:15" s="165" customFormat="1" ht="30.75" customHeight="1">
      <c r="A27" s="185" t="s">
        <v>659</v>
      </c>
      <c r="B27" s="185" t="s">
        <v>568</v>
      </c>
      <c r="C27" s="185" t="s">
        <v>651</v>
      </c>
      <c r="D27" s="186" t="s">
        <v>556</v>
      </c>
      <c r="E27" s="185" t="s">
        <v>573</v>
      </c>
      <c r="F27" s="185"/>
      <c r="G27" s="185">
        <v>2411003007</v>
      </c>
      <c r="H27" s="185" t="s">
        <v>649</v>
      </c>
      <c r="I27" s="186" t="s">
        <v>650</v>
      </c>
      <c r="J27" s="185" t="s">
        <v>560</v>
      </c>
      <c r="K27" s="185" t="s">
        <v>561</v>
      </c>
      <c r="L27" s="185">
        <v>2.6</v>
      </c>
      <c r="M27" s="184"/>
      <c r="N27" s="183"/>
      <c r="O27" s="182"/>
    </row>
    <row r="28" spans="1:15" s="165" customFormat="1" ht="30.75" customHeight="1">
      <c r="A28" s="179"/>
      <c r="B28" s="179" t="s">
        <v>585</v>
      </c>
      <c r="C28" s="178" t="s">
        <v>652</v>
      </c>
      <c r="D28" s="174" t="s">
        <v>602</v>
      </c>
      <c r="E28" s="178" t="s">
        <v>564</v>
      </c>
      <c r="F28" s="181" t="s">
        <v>564</v>
      </c>
      <c r="G28" s="181">
        <v>2411004003</v>
      </c>
      <c r="H28" s="178" t="s">
        <v>653</v>
      </c>
      <c r="I28" s="175" t="s">
        <v>654</v>
      </c>
      <c r="J28" s="181" t="s">
        <v>605</v>
      </c>
      <c r="K28" s="181" t="s">
        <v>561</v>
      </c>
      <c r="L28" s="181">
        <v>2.6</v>
      </c>
      <c r="M28" s="180"/>
      <c r="N28" s="167" t="s">
        <v>606</v>
      </c>
      <c r="O28" s="166" t="s">
        <v>607</v>
      </c>
    </row>
    <row r="29" spans="1:15" s="165" customFormat="1" ht="30.75" customHeight="1">
      <c r="A29" s="179"/>
      <c r="B29" s="179" t="s">
        <v>585</v>
      </c>
      <c r="C29" s="178" t="s">
        <v>655</v>
      </c>
      <c r="D29" s="174" t="s">
        <v>602</v>
      </c>
      <c r="E29" s="178" t="s">
        <v>564</v>
      </c>
      <c r="F29" s="178" t="s">
        <v>564</v>
      </c>
      <c r="G29" s="178">
        <v>2411004004</v>
      </c>
      <c r="H29" s="178" t="s">
        <v>656</v>
      </c>
      <c r="I29" s="174" t="s">
        <v>657</v>
      </c>
      <c r="J29" s="178" t="s">
        <v>658</v>
      </c>
      <c r="K29" s="178" t="s">
        <v>561</v>
      </c>
      <c r="L29" s="178">
        <v>2.6</v>
      </c>
      <c r="M29" s="171"/>
      <c r="N29" s="167" t="s">
        <v>606</v>
      </c>
      <c r="O29" s="166" t="s">
        <v>607</v>
      </c>
    </row>
    <row r="32" spans="1:15" s="161" customFormat="1" ht="30.75" customHeight="1">
      <c r="I32" s="163"/>
      <c r="N32" s="162"/>
      <c r="O32" s="162"/>
    </row>
    <row r="33" spans="1:15" s="161" customFormat="1" ht="30.75" customHeight="1">
      <c r="A33" s="164"/>
      <c r="B33" s="164"/>
      <c r="C33" s="164"/>
      <c r="I33" s="163"/>
      <c r="N33" s="162"/>
      <c r="O33" s="162"/>
    </row>
  </sheetData>
  <phoneticPr fontId="10" type="noConversion"/>
  <pageMargins left="0.15748031496062992" right="0.19685039370078741" top="0.31496062992125984" bottom="0.23622047244094491" header="0.31496062992125984" footer="0.31496062992125984"/>
  <pageSetup paperSize="9" scale="80" orientation="portrait" horizontalDpi="4294967292" verticalDpi="4294967292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6">
    <tabColor theme="5" tint="0.39997558519241921"/>
  </sheetPr>
  <dimension ref="A1:Y20"/>
  <sheetViews>
    <sheetView topLeftCell="A19" workbookViewId="0">
      <selection activeCell="F26" sqref="F26"/>
    </sheetView>
  </sheetViews>
  <sheetFormatPr defaultColWidth="8.875" defaultRowHeight="12.75"/>
  <cols>
    <col min="1" max="1" width="4.25" style="95" customWidth="1"/>
    <col min="2" max="2" width="8.375" style="95" customWidth="1"/>
    <col min="3" max="3" width="17.875" style="95" customWidth="1"/>
    <col min="4" max="4" width="18" style="95" customWidth="1"/>
    <col min="5" max="5" width="9.125" style="95" customWidth="1"/>
    <col min="6" max="7" width="8.375" style="95" customWidth="1"/>
    <col min="8" max="8" width="5.875" style="95" customWidth="1"/>
    <col min="9" max="9" width="6" style="95" customWidth="1"/>
    <col min="10" max="11" width="11.375" style="95" customWidth="1"/>
    <col min="12" max="12" width="14" style="95" customWidth="1"/>
    <col min="13" max="13" width="10.875" style="95" customWidth="1"/>
    <col min="14" max="14" width="13" style="95" customWidth="1"/>
    <col min="15" max="15" width="6.75" style="95" customWidth="1"/>
    <col min="16" max="17" width="14.5" style="95" customWidth="1"/>
    <col min="18" max="18" width="11.5" style="95" customWidth="1"/>
    <col min="19" max="19" width="9.625" style="95" customWidth="1"/>
    <col min="20" max="20" width="8.625" style="95" customWidth="1"/>
    <col min="21" max="21" width="8.875" style="95" customWidth="1"/>
    <col min="22" max="22" width="8.625" style="95" customWidth="1"/>
    <col min="23" max="23" width="8.25" style="95" bestFit="1" customWidth="1"/>
    <col min="24" max="24" width="8.625" style="95" customWidth="1"/>
    <col min="25" max="25" width="8.25" style="95" customWidth="1"/>
    <col min="26" max="16384" width="8.875" style="95"/>
  </cols>
  <sheetData>
    <row r="1" spans="1:25" ht="18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60" t="s">
        <v>255</v>
      </c>
      <c r="S1" s="960"/>
      <c r="T1" s="960" t="s">
        <v>256</v>
      </c>
      <c r="U1" s="960"/>
      <c r="V1" s="960"/>
      <c r="W1" s="960"/>
      <c r="X1" s="960"/>
      <c r="Y1" s="960"/>
    </row>
    <row r="2" spans="1:25" ht="13.5" thickBot="1">
      <c r="A2" s="96" t="s">
        <v>257</v>
      </c>
      <c r="B2" s="96" t="s">
        <v>258</v>
      </c>
      <c r="C2" s="96" t="s">
        <v>259</v>
      </c>
      <c r="D2" s="96" t="s">
        <v>260</v>
      </c>
      <c r="E2" s="96" t="s">
        <v>261</v>
      </c>
      <c r="F2" s="96" t="s">
        <v>262</v>
      </c>
      <c r="G2" s="96" t="s">
        <v>263</v>
      </c>
      <c r="H2" s="96" t="s">
        <v>264</v>
      </c>
      <c r="I2" s="96" t="s">
        <v>265</v>
      </c>
      <c r="J2" s="96" t="s">
        <v>266</v>
      </c>
      <c r="K2" s="96" t="s">
        <v>267</v>
      </c>
      <c r="L2" s="96" t="s">
        <v>268</v>
      </c>
      <c r="M2" s="96" t="s">
        <v>269</v>
      </c>
      <c r="N2" s="96" t="s">
        <v>354</v>
      </c>
      <c r="O2" s="97" t="s">
        <v>270</v>
      </c>
      <c r="P2" s="97" t="s">
        <v>271</v>
      </c>
      <c r="Q2" s="97" t="s">
        <v>272</v>
      </c>
      <c r="R2" s="97" t="s">
        <v>273</v>
      </c>
      <c r="S2" s="97" t="s">
        <v>274</v>
      </c>
      <c r="T2" s="97" t="s">
        <v>275</v>
      </c>
      <c r="U2" s="97" t="s">
        <v>273</v>
      </c>
      <c r="V2" s="97" t="s">
        <v>276</v>
      </c>
      <c r="W2" s="97" t="s">
        <v>277</v>
      </c>
      <c r="X2" s="97" t="s">
        <v>278</v>
      </c>
      <c r="Y2" s="97" t="s">
        <v>279</v>
      </c>
    </row>
    <row r="3" spans="1:25" s="126" customFormat="1" ht="13.5" thickBot="1">
      <c r="A3" s="127">
        <v>1</v>
      </c>
      <c r="B3" s="127" t="s">
        <v>280</v>
      </c>
      <c r="C3" s="127" t="s">
        <v>281</v>
      </c>
      <c r="D3" s="128" t="s">
        <v>404</v>
      </c>
      <c r="E3" s="127" t="s">
        <v>282</v>
      </c>
      <c r="F3" s="127" t="s">
        <v>283</v>
      </c>
      <c r="G3" s="127" t="s">
        <v>284</v>
      </c>
      <c r="H3" s="127" t="s">
        <v>285</v>
      </c>
      <c r="I3" s="127" t="s">
        <v>286</v>
      </c>
      <c r="J3" s="127" t="s">
        <v>287</v>
      </c>
      <c r="K3" s="127" t="s">
        <v>288</v>
      </c>
      <c r="L3" s="127" t="s">
        <v>289</v>
      </c>
      <c r="M3" s="127" t="s">
        <v>290</v>
      </c>
      <c r="N3" s="128" t="s">
        <v>404</v>
      </c>
      <c r="O3" s="129" t="s">
        <v>291</v>
      </c>
      <c r="P3" s="129" t="s">
        <v>292</v>
      </c>
      <c r="Q3" s="129" t="s">
        <v>293</v>
      </c>
      <c r="R3" s="129" t="s">
        <v>294</v>
      </c>
      <c r="S3" s="129" t="s">
        <v>295</v>
      </c>
      <c r="T3" s="130" t="s">
        <v>296</v>
      </c>
      <c r="U3" s="130" t="s">
        <v>294</v>
      </c>
      <c r="V3" s="130" t="s">
        <v>297</v>
      </c>
      <c r="W3" s="130" t="s">
        <v>298</v>
      </c>
      <c r="X3" s="130" t="s">
        <v>299</v>
      </c>
      <c r="Y3" s="130" t="s">
        <v>300</v>
      </c>
    </row>
    <row r="4" spans="1:25" s="126" customFormat="1" ht="39" thickBot="1">
      <c r="A4" s="122">
        <v>2</v>
      </c>
      <c r="B4" s="122" t="s">
        <v>280</v>
      </c>
      <c r="C4" s="122" t="s">
        <v>301</v>
      </c>
      <c r="D4" s="101" t="s">
        <v>405</v>
      </c>
      <c r="E4" s="122" t="s">
        <v>282</v>
      </c>
      <c r="F4" s="122" t="s">
        <v>283</v>
      </c>
      <c r="G4" s="122" t="s">
        <v>302</v>
      </c>
      <c r="H4" s="122" t="s">
        <v>303</v>
      </c>
      <c r="I4" s="122" t="s">
        <v>304</v>
      </c>
      <c r="J4" s="122" t="s">
        <v>287</v>
      </c>
      <c r="K4" s="122" t="s">
        <v>288</v>
      </c>
      <c r="L4" s="135" t="s">
        <v>400</v>
      </c>
      <c r="M4" s="122" t="s">
        <v>305</v>
      </c>
      <c r="N4" s="100" t="s">
        <v>401</v>
      </c>
      <c r="O4" s="124" t="s">
        <v>291</v>
      </c>
      <c r="P4" s="124" t="s">
        <v>292</v>
      </c>
      <c r="Q4" s="124" t="s">
        <v>293</v>
      </c>
      <c r="R4" s="124" t="s">
        <v>306</v>
      </c>
      <c r="S4" s="124" t="s">
        <v>307</v>
      </c>
      <c r="T4" s="125" t="s">
        <v>296</v>
      </c>
      <c r="U4" s="125" t="s">
        <v>294</v>
      </c>
      <c r="V4" s="125" t="s">
        <v>297</v>
      </c>
      <c r="W4" s="125" t="s">
        <v>308</v>
      </c>
      <c r="X4" s="125" t="s">
        <v>299</v>
      </c>
      <c r="Y4" s="125" t="s">
        <v>298</v>
      </c>
    </row>
    <row r="5" spans="1:25" s="126" customFormat="1" ht="26.25" thickBot="1">
      <c r="A5" s="122">
        <f>A4+1</f>
        <v>3</v>
      </c>
      <c r="B5" s="122" t="s">
        <v>280</v>
      </c>
      <c r="C5" s="122" t="s">
        <v>309</v>
      </c>
      <c r="D5" s="123"/>
      <c r="E5" s="122" t="s">
        <v>310</v>
      </c>
      <c r="F5" s="122" t="s">
        <v>311</v>
      </c>
      <c r="G5" s="122" t="s">
        <v>312</v>
      </c>
      <c r="H5" s="122" t="s">
        <v>303</v>
      </c>
      <c r="I5" s="122" t="s">
        <v>304</v>
      </c>
      <c r="J5" s="122" t="s">
        <v>287</v>
      </c>
      <c r="K5" s="122" t="s">
        <v>288</v>
      </c>
      <c r="L5" s="135" t="s">
        <v>400</v>
      </c>
      <c r="M5" s="122" t="s">
        <v>305</v>
      </c>
      <c r="N5" s="100" t="s">
        <v>401</v>
      </c>
      <c r="O5" s="124" t="s">
        <v>291</v>
      </c>
      <c r="P5" s="124" t="s">
        <v>313</v>
      </c>
      <c r="Q5" s="124" t="s">
        <v>293</v>
      </c>
      <c r="R5" s="124" t="s">
        <v>294</v>
      </c>
      <c r="S5" s="124" t="s">
        <v>314</v>
      </c>
      <c r="T5" s="125" t="s">
        <v>296</v>
      </c>
      <c r="U5" s="125" t="s">
        <v>294</v>
      </c>
      <c r="V5" s="125" t="s">
        <v>297</v>
      </c>
      <c r="W5" s="125" t="s">
        <v>315</v>
      </c>
      <c r="X5" s="125" t="s">
        <v>299</v>
      </c>
      <c r="Y5" s="125" t="s">
        <v>298</v>
      </c>
    </row>
    <row r="6" spans="1:25" s="126" customFormat="1" ht="39" thickBot="1">
      <c r="A6" s="122">
        <f t="shared" ref="A6:A19" si="0">A5+1</f>
        <v>4</v>
      </c>
      <c r="B6" s="122" t="s">
        <v>280</v>
      </c>
      <c r="C6" s="122" t="s">
        <v>316</v>
      </c>
      <c r="D6" s="101" t="s">
        <v>399</v>
      </c>
      <c r="E6" s="122" t="s">
        <v>310</v>
      </c>
      <c r="F6" s="122" t="s">
        <v>311</v>
      </c>
      <c r="G6" s="122" t="s">
        <v>284</v>
      </c>
      <c r="H6" s="122" t="s">
        <v>303</v>
      </c>
      <c r="I6" s="122" t="s">
        <v>304</v>
      </c>
      <c r="J6" s="122" t="s">
        <v>287</v>
      </c>
      <c r="K6" s="122" t="s">
        <v>288</v>
      </c>
      <c r="L6" s="135" t="s">
        <v>400</v>
      </c>
      <c r="M6" s="122" t="s">
        <v>290</v>
      </c>
      <c r="N6" s="100" t="s">
        <v>401</v>
      </c>
      <c r="O6" s="124" t="s">
        <v>291</v>
      </c>
      <c r="P6" s="124" t="s">
        <v>313</v>
      </c>
      <c r="Q6" s="124" t="s">
        <v>293</v>
      </c>
      <c r="R6" s="124" t="s">
        <v>294</v>
      </c>
      <c r="S6" s="124" t="s">
        <v>307</v>
      </c>
      <c r="T6" s="125" t="s">
        <v>296</v>
      </c>
      <c r="U6" s="125" t="s">
        <v>294</v>
      </c>
      <c r="V6" s="125" t="s">
        <v>297</v>
      </c>
      <c r="W6" s="125" t="s">
        <v>308</v>
      </c>
      <c r="X6" s="125" t="s">
        <v>299</v>
      </c>
      <c r="Y6" s="125" t="s">
        <v>298</v>
      </c>
    </row>
    <row r="7" spans="1:25" s="126" customFormat="1" ht="13.5" thickBot="1">
      <c r="A7" s="127">
        <f t="shared" si="0"/>
        <v>5</v>
      </c>
      <c r="B7" s="127" t="s">
        <v>280</v>
      </c>
      <c r="C7" s="127" t="s">
        <v>317</v>
      </c>
      <c r="D7" s="128" t="s">
        <v>318</v>
      </c>
      <c r="E7" s="127" t="s">
        <v>318</v>
      </c>
      <c r="F7" s="127" t="s">
        <v>319</v>
      </c>
      <c r="G7" s="127" t="s">
        <v>319</v>
      </c>
      <c r="H7" s="127" t="s">
        <v>319</v>
      </c>
      <c r="I7" s="127" t="s">
        <v>319</v>
      </c>
      <c r="J7" s="127" t="s">
        <v>319</v>
      </c>
      <c r="K7" s="127" t="s">
        <v>319</v>
      </c>
      <c r="L7" s="127" t="s">
        <v>319</v>
      </c>
      <c r="M7" s="127" t="s">
        <v>319</v>
      </c>
      <c r="N7" s="128" t="s">
        <v>318</v>
      </c>
      <c r="O7" s="129" t="s">
        <v>291</v>
      </c>
      <c r="P7" s="129" t="s">
        <v>292</v>
      </c>
      <c r="Q7" s="129" t="s">
        <v>293</v>
      </c>
      <c r="R7" s="129" t="s">
        <v>306</v>
      </c>
      <c r="S7" s="129" t="s">
        <v>295</v>
      </c>
      <c r="T7" s="130" t="s">
        <v>296</v>
      </c>
      <c r="U7" s="130" t="s">
        <v>294</v>
      </c>
      <c r="V7" s="130" t="s">
        <v>297</v>
      </c>
      <c r="W7" s="130" t="s">
        <v>298</v>
      </c>
      <c r="X7" s="130" t="s">
        <v>299</v>
      </c>
      <c r="Y7" s="130" t="s">
        <v>300</v>
      </c>
    </row>
    <row r="8" spans="1:25" s="126" customFormat="1" ht="39" thickBot="1">
      <c r="A8" s="131">
        <f t="shared" si="0"/>
        <v>6</v>
      </c>
      <c r="B8" s="131" t="s">
        <v>280</v>
      </c>
      <c r="C8" s="98" t="s">
        <v>320</v>
      </c>
      <c r="D8" s="99" t="s">
        <v>406</v>
      </c>
      <c r="E8" s="98" t="s">
        <v>321</v>
      </c>
      <c r="F8" s="98" t="s">
        <v>322</v>
      </c>
      <c r="G8" s="98" t="s">
        <v>323</v>
      </c>
      <c r="H8" s="99" t="s">
        <v>303</v>
      </c>
      <c r="I8" s="99" t="s">
        <v>324</v>
      </c>
      <c r="J8" s="98" t="s">
        <v>325</v>
      </c>
      <c r="K8" s="98" t="s">
        <v>326</v>
      </c>
      <c r="L8" s="98" t="s">
        <v>327</v>
      </c>
      <c r="M8" s="98" t="s">
        <v>328</v>
      </c>
      <c r="N8" s="98" t="s">
        <v>401</v>
      </c>
      <c r="O8" s="132" t="s">
        <v>291</v>
      </c>
      <c r="P8" s="132" t="s">
        <v>292</v>
      </c>
      <c r="Q8" s="132" t="s">
        <v>293</v>
      </c>
      <c r="R8" s="132" t="s">
        <v>306</v>
      </c>
      <c r="S8" s="132" t="s">
        <v>295</v>
      </c>
      <c r="T8" s="132" t="s">
        <v>296</v>
      </c>
      <c r="U8" s="132" t="s">
        <v>294</v>
      </c>
      <c r="V8" s="132" t="s">
        <v>297</v>
      </c>
      <c r="W8" s="132" t="s">
        <v>298</v>
      </c>
      <c r="X8" s="132" t="s">
        <v>299</v>
      </c>
      <c r="Y8" s="132" t="s">
        <v>300</v>
      </c>
    </row>
    <row r="9" spans="1:25" s="145" customFormat="1" ht="39" thickBot="1">
      <c r="A9" s="141">
        <f t="shared" si="0"/>
        <v>7</v>
      </c>
      <c r="B9" s="141" t="s">
        <v>280</v>
      </c>
      <c r="C9" s="142" t="s">
        <v>329</v>
      </c>
      <c r="D9" s="143" t="s">
        <v>407</v>
      </c>
      <c r="E9" s="142" t="s">
        <v>330</v>
      </c>
      <c r="F9" s="142" t="s">
        <v>331</v>
      </c>
      <c r="G9" s="142" t="s">
        <v>332</v>
      </c>
      <c r="H9" s="142" t="s">
        <v>303</v>
      </c>
      <c r="I9" s="142" t="s">
        <v>304</v>
      </c>
      <c r="J9" s="142" t="s">
        <v>325</v>
      </c>
      <c r="K9" s="142" t="s">
        <v>326</v>
      </c>
      <c r="L9" s="142" t="s">
        <v>327</v>
      </c>
      <c r="M9" s="142" t="s">
        <v>333</v>
      </c>
      <c r="N9" s="142" t="s">
        <v>401</v>
      </c>
      <c r="O9" s="144" t="s">
        <v>291</v>
      </c>
      <c r="P9" s="144" t="s">
        <v>292</v>
      </c>
      <c r="Q9" s="144" t="s">
        <v>293</v>
      </c>
      <c r="R9" s="144" t="s">
        <v>306</v>
      </c>
      <c r="S9" s="144" t="s">
        <v>295</v>
      </c>
      <c r="T9" s="144" t="s">
        <v>296</v>
      </c>
      <c r="U9" s="144" t="s">
        <v>294</v>
      </c>
      <c r="V9" s="144" t="s">
        <v>297</v>
      </c>
      <c r="W9" s="144" t="s">
        <v>298</v>
      </c>
      <c r="X9" s="144" t="s">
        <v>299</v>
      </c>
      <c r="Y9" s="144" t="s">
        <v>300</v>
      </c>
    </row>
    <row r="10" spans="1:25" s="140" customFormat="1" ht="39" thickBot="1">
      <c r="A10" s="137">
        <f t="shared" si="0"/>
        <v>8</v>
      </c>
      <c r="B10" s="137" t="s">
        <v>280</v>
      </c>
      <c r="C10" s="138" t="s">
        <v>334</v>
      </c>
      <c r="D10" s="136" t="s">
        <v>408</v>
      </c>
      <c r="E10" s="138" t="s">
        <v>335</v>
      </c>
      <c r="F10" s="138" t="s">
        <v>283</v>
      </c>
      <c r="G10" s="138" t="s">
        <v>332</v>
      </c>
      <c r="H10" s="138" t="s">
        <v>303</v>
      </c>
      <c r="I10" s="138" t="s">
        <v>304</v>
      </c>
      <c r="J10" s="138" t="s">
        <v>325</v>
      </c>
      <c r="K10" s="138" t="s">
        <v>326</v>
      </c>
      <c r="L10" s="138" t="s">
        <v>327</v>
      </c>
      <c r="M10" s="138" t="s">
        <v>333</v>
      </c>
      <c r="N10" s="138" t="s">
        <v>401</v>
      </c>
      <c r="O10" s="139" t="s">
        <v>291</v>
      </c>
      <c r="P10" s="139" t="s">
        <v>292</v>
      </c>
      <c r="Q10" s="139" t="s">
        <v>293</v>
      </c>
      <c r="R10" s="139" t="s">
        <v>306</v>
      </c>
      <c r="S10" s="139" t="s">
        <v>295</v>
      </c>
      <c r="T10" s="139" t="s">
        <v>296</v>
      </c>
      <c r="U10" s="139" t="s">
        <v>294</v>
      </c>
      <c r="V10" s="139" t="s">
        <v>297</v>
      </c>
      <c r="W10" s="139" t="s">
        <v>298</v>
      </c>
      <c r="X10" s="139" t="s">
        <v>299</v>
      </c>
      <c r="Y10" s="139" t="s">
        <v>300</v>
      </c>
    </row>
    <row r="11" spans="1:25" s="126" customFormat="1" ht="39" thickBot="1">
      <c r="A11" s="131">
        <f>A10+1</f>
        <v>9</v>
      </c>
      <c r="B11" s="131" t="s">
        <v>280</v>
      </c>
      <c r="C11" s="98" t="s">
        <v>336</v>
      </c>
      <c r="D11" s="99" t="s">
        <v>406</v>
      </c>
      <c r="E11" s="98" t="s">
        <v>321</v>
      </c>
      <c r="F11" s="98" t="s">
        <v>322</v>
      </c>
      <c r="G11" s="98" t="s">
        <v>323</v>
      </c>
      <c r="H11" s="99" t="s">
        <v>303</v>
      </c>
      <c r="I11" s="99" t="s">
        <v>324</v>
      </c>
      <c r="J11" s="98" t="s">
        <v>325</v>
      </c>
      <c r="K11" s="98" t="s">
        <v>326</v>
      </c>
      <c r="L11" s="98" t="s">
        <v>327</v>
      </c>
      <c r="M11" s="98" t="s">
        <v>328</v>
      </c>
      <c r="N11" s="98" t="s">
        <v>401</v>
      </c>
      <c r="O11" s="132" t="s">
        <v>291</v>
      </c>
      <c r="P11" s="132" t="s">
        <v>292</v>
      </c>
      <c r="Q11" s="132" t="s">
        <v>293</v>
      </c>
      <c r="R11" s="132" t="s">
        <v>306</v>
      </c>
      <c r="S11" s="132" t="s">
        <v>295</v>
      </c>
      <c r="T11" s="132" t="s">
        <v>296</v>
      </c>
      <c r="U11" s="132" t="s">
        <v>294</v>
      </c>
      <c r="V11" s="132" t="s">
        <v>297</v>
      </c>
      <c r="W11" s="132" t="s">
        <v>298</v>
      </c>
      <c r="X11" s="132" t="s">
        <v>299</v>
      </c>
      <c r="Y11" s="132" t="s">
        <v>300</v>
      </c>
    </row>
    <row r="12" spans="1:25" s="145" customFormat="1" ht="39" thickBot="1">
      <c r="A12" s="141">
        <f>A11+1</f>
        <v>10</v>
      </c>
      <c r="B12" s="141" t="s">
        <v>280</v>
      </c>
      <c r="C12" s="142" t="s">
        <v>337</v>
      </c>
      <c r="D12" s="143" t="s">
        <v>398</v>
      </c>
      <c r="E12" s="142" t="s">
        <v>338</v>
      </c>
      <c r="F12" s="142" t="s">
        <v>331</v>
      </c>
      <c r="G12" s="142" t="s">
        <v>332</v>
      </c>
      <c r="H12" s="142" t="s">
        <v>303</v>
      </c>
      <c r="I12" s="142" t="s">
        <v>304</v>
      </c>
      <c r="J12" s="142" t="s">
        <v>325</v>
      </c>
      <c r="K12" s="142" t="s">
        <v>326</v>
      </c>
      <c r="L12" s="142" t="s">
        <v>327</v>
      </c>
      <c r="M12" s="142" t="s">
        <v>333</v>
      </c>
      <c r="N12" s="142" t="s">
        <v>401</v>
      </c>
      <c r="O12" s="144" t="s">
        <v>291</v>
      </c>
      <c r="P12" s="144" t="s">
        <v>292</v>
      </c>
      <c r="Q12" s="144" t="s">
        <v>293</v>
      </c>
      <c r="R12" s="144" t="s">
        <v>306</v>
      </c>
      <c r="S12" s="144" t="s">
        <v>295</v>
      </c>
      <c r="T12" s="144" t="s">
        <v>296</v>
      </c>
      <c r="U12" s="144" t="s">
        <v>294</v>
      </c>
      <c r="V12" s="144" t="s">
        <v>297</v>
      </c>
      <c r="W12" s="144" t="s">
        <v>298</v>
      </c>
      <c r="X12" s="144" t="s">
        <v>299</v>
      </c>
      <c r="Y12" s="144" t="s">
        <v>300</v>
      </c>
    </row>
    <row r="13" spans="1:25" s="140" customFormat="1" ht="39" thickBot="1">
      <c r="A13" s="137">
        <f t="shared" si="0"/>
        <v>11</v>
      </c>
      <c r="B13" s="137" t="s">
        <v>280</v>
      </c>
      <c r="C13" s="138" t="s">
        <v>339</v>
      </c>
      <c r="D13" s="136" t="s">
        <v>409</v>
      </c>
      <c r="E13" s="138" t="s">
        <v>282</v>
      </c>
      <c r="F13" s="138" t="s">
        <v>283</v>
      </c>
      <c r="G13" s="138" t="s">
        <v>332</v>
      </c>
      <c r="H13" s="138" t="s">
        <v>303</v>
      </c>
      <c r="I13" s="138" t="s">
        <v>304</v>
      </c>
      <c r="J13" s="138" t="s">
        <v>325</v>
      </c>
      <c r="K13" s="138" t="s">
        <v>326</v>
      </c>
      <c r="L13" s="138" t="s">
        <v>327</v>
      </c>
      <c r="M13" s="138" t="s">
        <v>333</v>
      </c>
      <c r="N13" s="138" t="s">
        <v>403</v>
      </c>
      <c r="O13" s="139" t="s">
        <v>291</v>
      </c>
      <c r="P13" s="139" t="s">
        <v>292</v>
      </c>
      <c r="Q13" s="139" t="s">
        <v>293</v>
      </c>
      <c r="R13" s="139" t="s">
        <v>306</v>
      </c>
      <c r="S13" s="139" t="s">
        <v>295</v>
      </c>
      <c r="T13" s="139"/>
      <c r="U13" s="139"/>
      <c r="V13" s="139"/>
      <c r="W13" s="139"/>
      <c r="X13" s="139"/>
      <c r="Y13" s="139"/>
    </row>
    <row r="14" spans="1:25" s="149" customFormat="1" ht="13.5" thickBot="1">
      <c r="A14" s="146">
        <f t="shared" si="0"/>
        <v>12</v>
      </c>
      <c r="B14" s="146" t="s">
        <v>280</v>
      </c>
      <c r="C14" s="147" t="s">
        <v>340</v>
      </c>
      <c r="D14" s="961" t="s">
        <v>397</v>
      </c>
      <c r="E14" s="147" t="s">
        <v>282</v>
      </c>
      <c r="F14" s="147" t="s">
        <v>283</v>
      </c>
      <c r="G14" s="147" t="s">
        <v>332</v>
      </c>
      <c r="H14" s="147" t="s">
        <v>303</v>
      </c>
      <c r="I14" s="147" t="s">
        <v>304</v>
      </c>
      <c r="J14" s="147" t="s">
        <v>287</v>
      </c>
      <c r="K14" s="147" t="s">
        <v>341</v>
      </c>
      <c r="L14" s="147" t="s">
        <v>327</v>
      </c>
      <c r="M14" s="147" t="s">
        <v>290</v>
      </c>
      <c r="N14" s="963" t="s">
        <v>402</v>
      </c>
      <c r="O14" s="148" t="s">
        <v>291</v>
      </c>
      <c r="P14" s="148" t="s">
        <v>313</v>
      </c>
      <c r="Q14" s="148" t="s">
        <v>293</v>
      </c>
      <c r="R14" s="148" t="s">
        <v>294</v>
      </c>
      <c r="S14" s="148" t="s">
        <v>342</v>
      </c>
      <c r="T14" s="148" t="s">
        <v>296</v>
      </c>
      <c r="U14" s="148" t="s">
        <v>300</v>
      </c>
      <c r="V14" s="148" t="s">
        <v>297</v>
      </c>
      <c r="W14" s="148" t="s">
        <v>308</v>
      </c>
      <c r="X14" s="148" t="s">
        <v>299</v>
      </c>
      <c r="Y14" s="148" t="s">
        <v>298</v>
      </c>
    </row>
    <row r="15" spans="1:25" s="149" customFormat="1" ht="13.5" thickBot="1">
      <c r="A15" s="146">
        <f t="shared" si="0"/>
        <v>13</v>
      </c>
      <c r="B15" s="146" t="s">
        <v>280</v>
      </c>
      <c r="C15" s="147" t="s">
        <v>343</v>
      </c>
      <c r="D15" s="962"/>
      <c r="E15" s="147" t="s">
        <v>282</v>
      </c>
      <c r="F15" s="147" t="s">
        <v>283</v>
      </c>
      <c r="G15" s="147" t="s">
        <v>332</v>
      </c>
      <c r="H15" s="147" t="s">
        <v>303</v>
      </c>
      <c r="I15" s="147" t="s">
        <v>304</v>
      </c>
      <c r="J15" s="147" t="s">
        <v>287</v>
      </c>
      <c r="K15" s="147" t="s">
        <v>288</v>
      </c>
      <c r="L15" s="147" t="s">
        <v>327</v>
      </c>
      <c r="M15" s="147" t="s">
        <v>290</v>
      </c>
      <c r="N15" s="964"/>
      <c r="O15" s="148" t="s">
        <v>291</v>
      </c>
      <c r="P15" s="148" t="s">
        <v>313</v>
      </c>
      <c r="Q15" s="148" t="s">
        <v>293</v>
      </c>
      <c r="R15" s="148" t="s">
        <v>294</v>
      </c>
      <c r="S15" s="148" t="s">
        <v>342</v>
      </c>
      <c r="T15" s="148" t="s">
        <v>296</v>
      </c>
      <c r="U15" s="148" t="s">
        <v>300</v>
      </c>
      <c r="V15" s="148" t="s">
        <v>297</v>
      </c>
      <c r="W15" s="148" t="s">
        <v>308</v>
      </c>
      <c r="X15" s="148" t="s">
        <v>299</v>
      </c>
      <c r="Y15" s="148" t="s">
        <v>298</v>
      </c>
    </row>
    <row r="16" spans="1:25" s="126" customFormat="1" ht="26.25" thickBot="1">
      <c r="A16" s="133">
        <f t="shared" si="0"/>
        <v>14</v>
      </c>
      <c r="B16" s="133" t="s">
        <v>280</v>
      </c>
      <c r="C16" s="103" t="s">
        <v>344</v>
      </c>
      <c r="D16" s="102" t="s">
        <v>396</v>
      </c>
      <c r="E16" s="108" t="s">
        <v>345</v>
      </c>
      <c r="F16" s="108" t="s">
        <v>346</v>
      </c>
      <c r="G16" s="103" t="s">
        <v>302</v>
      </c>
      <c r="H16" s="103" t="s">
        <v>303</v>
      </c>
      <c r="I16" s="103" t="s">
        <v>304</v>
      </c>
      <c r="J16" s="103" t="s">
        <v>325</v>
      </c>
      <c r="K16" s="103" t="s">
        <v>347</v>
      </c>
      <c r="L16" s="103" t="s">
        <v>327</v>
      </c>
      <c r="M16" s="103" t="s">
        <v>348</v>
      </c>
      <c r="N16" s="965" t="s">
        <v>403</v>
      </c>
      <c r="O16" s="134" t="s">
        <v>291</v>
      </c>
      <c r="P16" s="134" t="s">
        <v>313</v>
      </c>
      <c r="Q16" s="134" t="s">
        <v>293</v>
      </c>
      <c r="R16" s="134" t="s">
        <v>306</v>
      </c>
      <c r="S16" s="134" t="s">
        <v>314</v>
      </c>
      <c r="T16" s="134" t="s">
        <v>296</v>
      </c>
      <c r="U16" s="134" t="s">
        <v>300</v>
      </c>
      <c r="V16" s="134" t="s">
        <v>297</v>
      </c>
      <c r="W16" s="134" t="s">
        <v>308</v>
      </c>
      <c r="X16" s="134" t="s">
        <v>299</v>
      </c>
      <c r="Y16" s="134" t="s">
        <v>298</v>
      </c>
    </row>
    <row r="17" spans="1:25" s="126" customFormat="1" ht="26.25" thickBot="1">
      <c r="A17" s="133">
        <f t="shared" si="0"/>
        <v>15</v>
      </c>
      <c r="B17" s="133" t="s">
        <v>280</v>
      </c>
      <c r="C17" s="103" t="s">
        <v>344</v>
      </c>
      <c r="D17" s="102" t="s">
        <v>396</v>
      </c>
      <c r="E17" s="108" t="s">
        <v>349</v>
      </c>
      <c r="F17" s="108" t="s">
        <v>350</v>
      </c>
      <c r="G17" s="103" t="s">
        <v>302</v>
      </c>
      <c r="H17" s="103" t="s">
        <v>303</v>
      </c>
      <c r="I17" s="103" t="s">
        <v>304</v>
      </c>
      <c r="J17" s="103" t="s">
        <v>325</v>
      </c>
      <c r="K17" s="103" t="s">
        <v>347</v>
      </c>
      <c r="L17" s="103" t="s">
        <v>327</v>
      </c>
      <c r="M17" s="103" t="s">
        <v>348</v>
      </c>
      <c r="N17" s="966"/>
      <c r="O17" s="134" t="s">
        <v>291</v>
      </c>
      <c r="P17" s="134" t="s">
        <v>313</v>
      </c>
      <c r="Q17" s="134" t="s">
        <v>293</v>
      </c>
      <c r="R17" s="134" t="s">
        <v>306</v>
      </c>
      <c r="S17" s="134" t="s">
        <v>314</v>
      </c>
      <c r="T17" s="134" t="s">
        <v>296</v>
      </c>
      <c r="U17" s="134" t="s">
        <v>300</v>
      </c>
      <c r="V17" s="134" t="s">
        <v>297</v>
      </c>
      <c r="W17" s="134" t="s">
        <v>308</v>
      </c>
      <c r="X17" s="134" t="s">
        <v>299</v>
      </c>
      <c r="Y17" s="134" t="s">
        <v>298</v>
      </c>
    </row>
    <row r="18" spans="1:25" s="154" customFormat="1" ht="13.5" thickBot="1">
      <c r="A18" s="150">
        <f t="shared" si="0"/>
        <v>16</v>
      </c>
      <c r="B18" s="150" t="s">
        <v>280</v>
      </c>
      <c r="C18" s="151" t="s">
        <v>351</v>
      </c>
      <c r="D18" s="152"/>
      <c r="E18" s="151" t="s">
        <v>330</v>
      </c>
      <c r="F18" s="151" t="s">
        <v>322</v>
      </c>
      <c r="G18" s="150" t="s">
        <v>312</v>
      </c>
      <c r="H18" s="151" t="s">
        <v>303</v>
      </c>
      <c r="I18" s="151" t="s">
        <v>304</v>
      </c>
      <c r="J18" s="151" t="s">
        <v>287</v>
      </c>
      <c r="K18" s="151" t="s">
        <v>288</v>
      </c>
      <c r="L18" s="151" t="s">
        <v>327</v>
      </c>
      <c r="M18" s="151" t="s">
        <v>290</v>
      </c>
      <c r="N18" s="958" t="s">
        <v>413</v>
      </c>
      <c r="O18" s="153" t="s">
        <v>291</v>
      </c>
      <c r="P18" s="153" t="s">
        <v>313</v>
      </c>
      <c r="Q18" s="153" t="s">
        <v>293</v>
      </c>
      <c r="R18" s="153" t="s">
        <v>294</v>
      </c>
      <c r="S18" s="153" t="s">
        <v>307</v>
      </c>
      <c r="T18" s="153" t="s">
        <v>296</v>
      </c>
      <c r="U18" s="153" t="s">
        <v>352</v>
      </c>
      <c r="V18" s="153" t="s">
        <v>297</v>
      </c>
      <c r="W18" s="153" t="s">
        <v>315</v>
      </c>
      <c r="X18" s="153" t="s">
        <v>299</v>
      </c>
      <c r="Y18" s="153" t="s">
        <v>298</v>
      </c>
    </row>
    <row r="19" spans="1:25" s="154" customFormat="1" ht="13.5" thickBot="1">
      <c r="A19" s="150">
        <f t="shared" si="0"/>
        <v>17</v>
      </c>
      <c r="B19" s="150" t="s">
        <v>411</v>
      </c>
      <c r="C19" s="151" t="s">
        <v>353</v>
      </c>
      <c r="D19" s="152"/>
      <c r="E19" s="151" t="s">
        <v>330</v>
      </c>
      <c r="F19" s="151" t="s">
        <v>331</v>
      </c>
      <c r="G19" s="150" t="s">
        <v>312</v>
      </c>
      <c r="H19" s="151" t="s">
        <v>303</v>
      </c>
      <c r="I19" s="151" t="s">
        <v>304</v>
      </c>
      <c r="J19" s="151" t="s">
        <v>287</v>
      </c>
      <c r="K19" s="151" t="s">
        <v>288</v>
      </c>
      <c r="L19" s="151" t="s">
        <v>327</v>
      </c>
      <c r="M19" s="151" t="s">
        <v>290</v>
      </c>
      <c r="N19" s="959"/>
      <c r="O19" s="153" t="s">
        <v>291</v>
      </c>
      <c r="P19" s="153" t="s">
        <v>313</v>
      </c>
      <c r="Q19" s="153" t="s">
        <v>293</v>
      </c>
      <c r="R19" s="153" t="s">
        <v>294</v>
      </c>
      <c r="S19" s="153" t="s">
        <v>307</v>
      </c>
      <c r="T19" s="153" t="s">
        <v>296</v>
      </c>
      <c r="U19" s="153" t="s">
        <v>352</v>
      </c>
      <c r="V19" s="153" t="s">
        <v>297</v>
      </c>
      <c r="W19" s="153" t="s">
        <v>315</v>
      </c>
      <c r="X19" s="153" t="s">
        <v>299</v>
      </c>
      <c r="Y19" s="153" t="s">
        <v>298</v>
      </c>
    </row>
    <row r="20" spans="1:25" ht="28.5" customHeight="1" thickBot="1">
      <c r="A20" s="155">
        <v>18</v>
      </c>
      <c r="B20" s="156" t="s">
        <v>410</v>
      </c>
      <c r="C20" s="156" t="s">
        <v>412</v>
      </c>
      <c r="D20" s="157"/>
      <c r="E20" s="108" t="s">
        <v>349</v>
      </c>
      <c r="F20" s="108" t="s">
        <v>350</v>
      </c>
      <c r="G20" s="147" t="s">
        <v>332</v>
      </c>
      <c r="H20" s="147" t="s">
        <v>303</v>
      </c>
      <c r="I20" s="147" t="s">
        <v>304</v>
      </c>
      <c r="J20" s="147" t="s">
        <v>287</v>
      </c>
      <c r="K20" s="147" t="s">
        <v>288</v>
      </c>
      <c r="L20" s="147" t="s">
        <v>327</v>
      </c>
      <c r="M20" s="147" t="s">
        <v>290</v>
      </c>
      <c r="N20" s="142" t="s">
        <v>401</v>
      </c>
      <c r="O20" s="142" t="s">
        <v>414</v>
      </c>
      <c r="P20" s="142" t="s">
        <v>414</v>
      </c>
      <c r="Q20" s="142" t="s">
        <v>414</v>
      </c>
      <c r="R20" s="142" t="s">
        <v>414</v>
      </c>
      <c r="S20" s="142" t="s">
        <v>414</v>
      </c>
      <c r="T20" s="142" t="s">
        <v>414</v>
      </c>
      <c r="U20" s="142" t="s">
        <v>414</v>
      </c>
      <c r="V20" s="142" t="s">
        <v>414</v>
      </c>
      <c r="W20" s="142" t="s">
        <v>414</v>
      </c>
      <c r="X20" s="142" t="s">
        <v>414</v>
      </c>
      <c r="Y20" s="142" t="s">
        <v>414</v>
      </c>
    </row>
  </sheetData>
  <mergeCells count="6">
    <mergeCell ref="N18:N19"/>
    <mergeCell ref="R1:S1"/>
    <mergeCell ref="T1:Y1"/>
    <mergeCell ref="D14:D15"/>
    <mergeCell ref="N14:N15"/>
    <mergeCell ref="N16:N17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65"/>
  <sheetViews>
    <sheetView zoomScale="80" zoomScaleNormal="80" zoomScalePageLayoutView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42" sqref="A42:XFD43"/>
    </sheetView>
  </sheetViews>
  <sheetFormatPr defaultColWidth="8.625" defaultRowHeight="30.75" customHeight="1"/>
  <cols>
    <col min="1" max="1" width="20.25" style="158" customWidth="1"/>
    <col min="2" max="2" width="16.75" style="158" customWidth="1"/>
    <col min="3" max="3" width="18.625" style="158" customWidth="1"/>
    <col min="4" max="4" width="20.25" style="158" customWidth="1"/>
    <col min="5" max="5" width="11.5" style="158" customWidth="1"/>
    <col min="6" max="6" width="9.75" style="158" customWidth="1"/>
    <col min="7" max="7" width="13.625" style="158" hidden="1" customWidth="1"/>
    <col min="8" max="8" width="14.625" style="158" hidden="1" customWidth="1"/>
    <col min="9" max="9" width="8.5" style="158" hidden="1" customWidth="1"/>
    <col min="10" max="10" width="19.125" style="160" customWidth="1"/>
    <col min="11" max="11" width="9.125" style="158" customWidth="1"/>
    <col min="12" max="12" width="10.125" style="158" customWidth="1"/>
    <col min="13" max="13" width="9.625" style="158" customWidth="1"/>
    <col min="14" max="14" width="11.125" style="158" hidden="1" customWidth="1"/>
    <col min="15" max="15" width="20" style="159" customWidth="1"/>
    <col min="16" max="16" width="9" style="159" customWidth="1"/>
    <col min="17" max="16384" width="8.625" style="158"/>
  </cols>
  <sheetData>
    <row r="1" spans="1:16" ht="30.75" customHeight="1">
      <c r="A1" s="210" t="s">
        <v>929</v>
      </c>
      <c r="B1" s="210" t="s">
        <v>928</v>
      </c>
      <c r="C1" s="210" t="s">
        <v>927</v>
      </c>
      <c r="D1" s="210" t="s">
        <v>926</v>
      </c>
      <c r="E1" s="210" t="s">
        <v>925</v>
      </c>
      <c r="F1" s="210" t="s">
        <v>924</v>
      </c>
      <c r="G1" s="210" t="s">
        <v>923</v>
      </c>
      <c r="H1" s="210" t="s">
        <v>922</v>
      </c>
      <c r="I1" s="210" t="s">
        <v>921</v>
      </c>
      <c r="J1" s="210" t="s">
        <v>920</v>
      </c>
      <c r="K1" s="210" t="s">
        <v>919</v>
      </c>
      <c r="L1" s="210" t="s">
        <v>918</v>
      </c>
      <c r="M1" s="210" t="s">
        <v>917</v>
      </c>
      <c r="N1" s="210" t="s">
        <v>916</v>
      </c>
      <c r="O1" s="209" t="s">
        <v>915</v>
      </c>
      <c r="P1" s="209" t="s">
        <v>914</v>
      </c>
    </row>
    <row r="2" spans="1:16" ht="30.75" customHeight="1">
      <c r="A2" s="195" t="s">
        <v>907</v>
      </c>
      <c r="B2" s="195" t="s">
        <v>906</v>
      </c>
      <c r="C2" s="195" t="s">
        <v>802</v>
      </c>
      <c r="D2" s="195" t="s">
        <v>913</v>
      </c>
      <c r="E2" s="195" t="s">
        <v>776</v>
      </c>
      <c r="F2" s="195" t="s">
        <v>781</v>
      </c>
      <c r="G2" s="195">
        <v>1234430002</v>
      </c>
      <c r="H2" s="195">
        <v>2411003002</v>
      </c>
      <c r="I2" s="270" t="s">
        <v>904</v>
      </c>
      <c r="J2" s="269" t="s">
        <v>900</v>
      </c>
      <c r="K2" s="195" t="s">
        <v>773</v>
      </c>
      <c r="L2" s="195" t="s">
        <v>766</v>
      </c>
      <c r="M2" s="195" t="s">
        <v>765</v>
      </c>
      <c r="N2" s="271"/>
      <c r="O2" s="267" t="str">
        <f>[2]Sheet1!M15</f>
        <v>DAK740000-W0Q1E06LT</v>
      </c>
      <c r="P2" s="267" t="str">
        <f>[2]Sheet1!N15</f>
        <v>36V-B type</v>
      </c>
    </row>
    <row r="3" spans="1:16" ht="30.75" customHeight="1">
      <c r="A3" s="195" t="s">
        <v>907</v>
      </c>
      <c r="B3" s="195" t="s">
        <v>906</v>
      </c>
      <c r="C3" s="195" t="s">
        <v>802</v>
      </c>
      <c r="D3" s="195" t="s">
        <v>912</v>
      </c>
      <c r="E3" s="195" t="s">
        <v>776</v>
      </c>
      <c r="F3" s="195" t="s">
        <v>781</v>
      </c>
      <c r="G3" s="195">
        <v>1234430002</v>
      </c>
      <c r="H3" s="195">
        <v>2411003002</v>
      </c>
      <c r="I3" s="270" t="s">
        <v>904</v>
      </c>
      <c r="J3" s="269" t="s">
        <v>900</v>
      </c>
      <c r="K3" s="195" t="s">
        <v>773</v>
      </c>
      <c r="L3" s="272" t="s">
        <v>766</v>
      </c>
      <c r="M3" s="272" t="s">
        <v>783</v>
      </c>
      <c r="N3" s="271"/>
      <c r="O3" s="267" t="str">
        <f>[2]Sheet1!M16</f>
        <v>DAK740000-W0Q1E06LT</v>
      </c>
      <c r="P3" s="267" t="str">
        <f>[2]Sheet1!N16</f>
        <v>36V-B type</v>
      </c>
    </row>
    <row r="4" spans="1:16" ht="30.75" customHeight="1">
      <c r="A4" s="195" t="s">
        <v>907</v>
      </c>
      <c r="B4" s="195" t="s">
        <v>906</v>
      </c>
      <c r="C4" s="195" t="s">
        <v>802</v>
      </c>
      <c r="D4" s="195" t="s">
        <v>911</v>
      </c>
      <c r="E4" s="195" t="s">
        <v>776</v>
      </c>
      <c r="F4" s="195" t="s">
        <v>909</v>
      </c>
      <c r="G4" s="195" t="s">
        <v>770</v>
      </c>
      <c r="H4" s="195">
        <v>2411003003</v>
      </c>
      <c r="I4" s="270" t="s">
        <v>904</v>
      </c>
      <c r="J4" s="269" t="s">
        <v>900</v>
      </c>
      <c r="K4" s="195" t="s">
        <v>773</v>
      </c>
      <c r="L4" s="195" t="s">
        <v>766</v>
      </c>
      <c r="M4" s="195" t="s">
        <v>765</v>
      </c>
      <c r="N4" s="271"/>
      <c r="O4" s="267" t="str">
        <f>[2]Sheet1!M16</f>
        <v>DAK740000-W0Q1E06LT</v>
      </c>
      <c r="P4" s="267" t="str">
        <f>[2]Sheet1!N16</f>
        <v>36V-B type</v>
      </c>
    </row>
    <row r="5" spans="1:16" ht="30.75" customHeight="1">
      <c r="A5" s="195" t="s">
        <v>907</v>
      </c>
      <c r="B5" s="195" t="s">
        <v>906</v>
      </c>
      <c r="C5" s="195" t="s">
        <v>802</v>
      </c>
      <c r="D5" s="195" t="s">
        <v>910</v>
      </c>
      <c r="E5" s="195" t="s">
        <v>776</v>
      </c>
      <c r="F5" s="195" t="s">
        <v>909</v>
      </c>
      <c r="G5" s="195" t="s">
        <v>770</v>
      </c>
      <c r="H5" s="195">
        <v>2411003003</v>
      </c>
      <c r="I5" s="270" t="s">
        <v>904</v>
      </c>
      <c r="J5" s="269" t="s">
        <v>900</v>
      </c>
      <c r="K5" s="195" t="s">
        <v>773</v>
      </c>
      <c r="L5" s="272" t="s">
        <v>766</v>
      </c>
      <c r="M5" s="272" t="s">
        <v>783</v>
      </c>
      <c r="N5" s="271"/>
      <c r="O5" s="267" t="str">
        <f>[2]Sheet1!M17</f>
        <v>DAK740000-W0Q1E06LT</v>
      </c>
      <c r="P5" s="267" t="str">
        <f>[2]Sheet1!N17</f>
        <v>36V-B type</v>
      </c>
    </row>
    <row r="6" spans="1:16" s="161" customFormat="1" ht="30.75" customHeight="1">
      <c r="A6" s="195" t="s">
        <v>907</v>
      </c>
      <c r="B6" s="195" t="s">
        <v>906</v>
      </c>
      <c r="C6" s="195" t="s">
        <v>802</v>
      </c>
      <c r="D6" s="195" t="s">
        <v>908</v>
      </c>
      <c r="E6" s="195" t="s">
        <v>776</v>
      </c>
      <c r="F6" s="195" t="s">
        <v>820</v>
      </c>
      <c r="G6" s="195"/>
      <c r="H6" s="195">
        <v>2411003014</v>
      </c>
      <c r="I6" s="270" t="s">
        <v>904</v>
      </c>
      <c r="J6" s="269" t="s">
        <v>900</v>
      </c>
      <c r="K6" s="195" t="s">
        <v>773</v>
      </c>
      <c r="L6" s="195" t="s">
        <v>766</v>
      </c>
      <c r="M6" s="195" t="s">
        <v>765</v>
      </c>
      <c r="N6" s="268"/>
      <c r="O6" s="267" t="str">
        <f>[2]Sheet1!M17</f>
        <v>DAK740000-W0Q1E06LT</v>
      </c>
      <c r="P6" s="267" t="str">
        <f>[2]Sheet1!N17</f>
        <v>36V-B type</v>
      </c>
    </row>
    <row r="7" spans="1:16" s="161" customFormat="1" ht="30.75" customHeight="1">
      <c r="A7" s="195" t="s">
        <v>907</v>
      </c>
      <c r="B7" s="195" t="s">
        <v>906</v>
      </c>
      <c r="C7" s="195" t="s">
        <v>802</v>
      </c>
      <c r="D7" s="195" t="s">
        <v>905</v>
      </c>
      <c r="E7" s="195" t="s">
        <v>776</v>
      </c>
      <c r="F7" s="195" t="s">
        <v>820</v>
      </c>
      <c r="G7" s="195"/>
      <c r="H7" s="195">
        <v>2411003014</v>
      </c>
      <c r="I7" s="270" t="s">
        <v>904</v>
      </c>
      <c r="J7" s="269" t="s">
        <v>900</v>
      </c>
      <c r="K7" s="195" t="s">
        <v>773</v>
      </c>
      <c r="L7" s="272" t="s">
        <v>766</v>
      </c>
      <c r="M7" s="272" t="s">
        <v>783</v>
      </c>
      <c r="N7" s="268"/>
      <c r="O7" s="267" t="str">
        <f>[2]Sheet1!M18</f>
        <v>DAK740000-W0Q1E06LT</v>
      </c>
      <c r="P7" s="267" t="str">
        <f>[2]Sheet1!N18</f>
        <v>36V-B type</v>
      </c>
    </row>
    <row r="8" spans="1:16" s="215" customFormat="1" ht="30.75" customHeight="1">
      <c r="A8" s="239" t="s">
        <v>902</v>
      </c>
      <c r="B8" s="239" t="s">
        <v>770</v>
      </c>
      <c r="C8" s="195" t="s">
        <v>778</v>
      </c>
      <c r="D8" s="195" t="s">
        <v>903</v>
      </c>
      <c r="E8" s="195" t="s">
        <v>776</v>
      </c>
      <c r="F8" s="195" t="s">
        <v>820</v>
      </c>
      <c r="G8" s="195"/>
      <c r="H8" s="195">
        <v>2411043016</v>
      </c>
      <c r="I8" s="270" t="s">
        <v>539</v>
      </c>
      <c r="J8" s="269" t="s">
        <v>900</v>
      </c>
      <c r="K8" s="195" t="s">
        <v>773</v>
      </c>
      <c r="L8" s="195" t="s">
        <v>766</v>
      </c>
      <c r="M8" s="195" t="s">
        <v>765</v>
      </c>
      <c r="N8" s="268"/>
      <c r="O8" s="267" t="str">
        <f>[2]Sheet1!M18</f>
        <v>DAK740000-W0Q1E06LT</v>
      </c>
      <c r="P8" s="267" t="str">
        <f>[2]Sheet1!N18</f>
        <v>36V-B type</v>
      </c>
    </row>
    <row r="9" spans="1:16" s="215" customFormat="1" ht="30.75" customHeight="1">
      <c r="A9" s="239" t="s">
        <v>902</v>
      </c>
      <c r="B9" s="239" t="s">
        <v>770</v>
      </c>
      <c r="C9" s="195" t="s">
        <v>778</v>
      </c>
      <c r="D9" s="195" t="s">
        <v>901</v>
      </c>
      <c r="E9" s="195" t="s">
        <v>776</v>
      </c>
      <c r="F9" s="195" t="s">
        <v>820</v>
      </c>
      <c r="G9" s="195"/>
      <c r="H9" s="195">
        <v>2411043016</v>
      </c>
      <c r="I9" s="270" t="s">
        <v>539</v>
      </c>
      <c r="J9" s="269" t="s">
        <v>900</v>
      </c>
      <c r="K9" s="195" t="s">
        <v>773</v>
      </c>
      <c r="L9" s="272" t="s">
        <v>766</v>
      </c>
      <c r="M9" s="272" t="s">
        <v>783</v>
      </c>
      <c r="N9" s="268"/>
      <c r="O9" s="267" t="str">
        <f>[2]Sheet1!M19</f>
        <v>DAK740000-W0Q1E06LT</v>
      </c>
      <c r="P9" s="267" t="str">
        <f>[2]Sheet1!N19</f>
        <v>36V-B type</v>
      </c>
    </row>
    <row r="10" spans="1:16" ht="30.75" customHeight="1">
      <c r="A10" s="249" t="s">
        <v>896</v>
      </c>
      <c r="B10" s="249" t="s">
        <v>895</v>
      </c>
      <c r="C10" s="249" t="s">
        <v>802</v>
      </c>
      <c r="D10" s="249" t="s">
        <v>899</v>
      </c>
      <c r="E10" s="249" t="s">
        <v>887</v>
      </c>
      <c r="F10" s="249" t="s">
        <v>775</v>
      </c>
      <c r="G10" s="249">
        <v>1231830001</v>
      </c>
      <c r="H10" s="249">
        <v>2410763001</v>
      </c>
      <c r="I10" s="266" t="s">
        <v>893</v>
      </c>
      <c r="J10" s="265" t="s">
        <v>892</v>
      </c>
      <c r="K10" s="249" t="s">
        <v>884</v>
      </c>
      <c r="L10" s="249" t="s">
        <v>766</v>
      </c>
      <c r="M10" s="249" t="s">
        <v>765</v>
      </c>
      <c r="N10" s="264"/>
      <c r="O10" s="248" t="s">
        <v>883</v>
      </c>
      <c r="P10" s="246" t="s">
        <v>772</v>
      </c>
    </row>
    <row r="11" spans="1:16" ht="30.75" customHeight="1">
      <c r="A11" s="249" t="s">
        <v>896</v>
      </c>
      <c r="B11" s="249" t="s">
        <v>895</v>
      </c>
      <c r="C11" s="249" t="s">
        <v>802</v>
      </c>
      <c r="D11" s="249" t="s">
        <v>898</v>
      </c>
      <c r="E11" s="249" t="s">
        <v>887</v>
      </c>
      <c r="F11" s="249" t="s">
        <v>775</v>
      </c>
      <c r="G11" s="249">
        <v>1231830001</v>
      </c>
      <c r="H11" s="249">
        <v>2410763001</v>
      </c>
      <c r="I11" s="266" t="s">
        <v>893</v>
      </c>
      <c r="J11" s="265" t="s">
        <v>892</v>
      </c>
      <c r="K11" s="249" t="s">
        <v>884</v>
      </c>
      <c r="L11" s="274" t="s">
        <v>766</v>
      </c>
      <c r="M11" s="274" t="s">
        <v>783</v>
      </c>
      <c r="N11" s="264"/>
      <c r="O11" s="248" t="s">
        <v>883</v>
      </c>
      <c r="P11" s="246" t="s">
        <v>772</v>
      </c>
    </row>
    <row r="12" spans="1:16" ht="30.75" customHeight="1">
      <c r="A12" s="249" t="s">
        <v>896</v>
      </c>
      <c r="B12" s="249" t="s">
        <v>895</v>
      </c>
      <c r="C12" s="249" t="s">
        <v>802</v>
      </c>
      <c r="D12" s="249" t="s">
        <v>897</v>
      </c>
      <c r="E12" s="249" t="s">
        <v>495</v>
      </c>
      <c r="F12" s="249" t="s">
        <v>781</v>
      </c>
      <c r="G12" s="249">
        <v>1231830003</v>
      </c>
      <c r="H12" s="249">
        <v>2410763003</v>
      </c>
      <c r="I12" s="266" t="s">
        <v>893</v>
      </c>
      <c r="J12" s="265" t="s">
        <v>892</v>
      </c>
      <c r="K12" s="249" t="s">
        <v>884</v>
      </c>
      <c r="L12" s="249" t="s">
        <v>766</v>
      </c>
      <c r="M12" s="249" t="s">
        <v>765</v>
      </c>
      <c r="N12" s="264"/>
      <c r="O12" s="248" t="s">
        <v>883</v>
      </c>
      <c r="P12" s="246" t="s">
        <v>772</v>
      </c>
    </row>
    <row r="13" spans="1:16" ht="30.75" customHeight="1">
      <c r="A13" s="249" t="s">
        <v>896</v>
      </c>
      <c r="B13" s="249" t="s">
        <v>895</v>
      </c>
      <c r="C13" s="249" t="s">
        <v>802</v>
      </c>
      <c r="D13" s="249" t="s">
        <v>894</v>
      </c>
      <c r="E13" s="249" t="s">
        <v>495</v>
      </c>
      <c r="F13" s="249" t="s">
        <v>781</v>
      </c>
      <c r="G13" s="249">
        <v>1231830003</v>
      </c>
      <c r="H13" s="249">
        <v>2410763003</v>
      </c>
      <c r="I13" s="266" t="s">
        <v>893</v>
      </c>
      <c r="J13" s="265" t="s">
        <v>892</v>
      </c>
      <c r="K13" s="249" t="s">
        <v>884</v>
      </c>
      <c r="L13" s="274" t="s">
        <v>766</v>
      </c>
      <c r="M13" s="274" t="s">
        <v>783</v>
      </c>
      <c r="N13" s="264"/>
      <c r="O13" s="248" t="s">
        <v>883</v>
      </c>
      <c r="P13" s="246" t="s">
        <v>772</v>
      </c>
    </row>
    <row r="14" spans="1:16" s="165" customFormat="1" ht="30.75" customHeight="1">
      <c r="A14" s="185" t="s">
        <v>890</v>
      </c>
      <c r="B14" s="185" t="s">
        <v>889</v>
      </c>
      <c r="C14" s="186" t="s">
        <v>802</v>
      </c>
      <c r="D14" s="185" t="s">
        <v>891</v>
      </c>
      <c r="E14" s="186" t="s">
        <v>887</v>
      </c>
      <c r="F14" s="185" t="s">
        <v>770</v>
      </c>
      <c r="G14" s="185">
        <v>1231830002</v>
      </c>
      <c r="H14" s="185">
        <v>2410763002</v>
      </c>
      <c r="I14" s="187" t="s">
        <v>886</v>
      </c>
      <c r="J14" s="193" t="s">
        <v>885</v>
      </c>
      <c r="K14" s="185" t="s">
        <v>884</v>
      </c>
      <c r="L14" s="185" t="s">
        <v>766</v>
      </c>
      <c r="M14" s="186" t="s">
        <v>765</v>
      </c>
      <c r="N14" s="263"/>
      <c r="O14" s="184" t="s">
        <v>883</v>
      </c>
      <c r="P14" s="182" t="s">
        <v>772</v>
      </c>
    </row>
    <row r="15" spans="1:16" s="165" customFormat="1" ht="30.75" customHeight="1">
      <c r="A15" s="185" t="s">
        <v>890</v>
      </c>
      <c r="B15" s="185" t="s">
        <v>889</v>
      </c>
      <c r="C15" s="186" t="s">
        <v>802</v>
      </c>
      <c r="D15" s="185" t="s">
        <v>888</v>
      </c>
      <c r="E15" s="186" t="s">
        <v>887</v>
      </c>
      <c r="F15" s="185" t="s">
        <v>770</v>
      </c>
      <c r="G15" s="185">
        <v>1231830002</v>
      </c>
      <c r="H15" s="185">
        <v>2410763002</v>
      </c>
      <c r="I15" s="187" t="s">
        <v>886</v>
      </c>
      <c r="J15" s="193" t="s">
        <v>885</v>
      </c>
      <c r="K15" s="185" t="s">
        <v>884</v>
      </c>
      <c r="L15" s="197" t="s">
        <v>766</v>
      </c>
      <c r="M15" s="276" t="s">
        <v>783</v>
      </c>
      <c r="N15" s="263"/>
      <c r="O15" s="184" t="s">
        <v>883</v>
      </c>
      <c r="P15" s="182" t="s">
        <v>772</v>
      </c>
    </row>
    <row r="16" spans="1:16" s="168" customFormat="1" ht="30.75" customHeight="1">
      <c r="A16" s="259" t="s">
        <v>881</v>
      </c>
      <c r="B16" s="259" t="s">
        <v>770</v>
      </c>
      <c r="C16" s="259" t="s">
        <v>762</v>
      </c>
      <c r="D16" s="259" t="s">
        <v>882</v>
      </c>
      <c r="E16" s="258" t="s">
        <v>484</v>
      </c>
      <c r="F16" s="259" t="s">
        <v>781</v>
      </c>
      <c r="G16" s="259" t="s">
        <v>770</v>
      </c>
      <c r="H16" s="259">
        <v>2410522001</v>
      </c>
      <c r="I16" s="259" t="s">
        <v>879</v>
      </c>
      <c r="J16" s="260" t="s">
        <v>870</v>
      </c>
      <c r="K16" s="259" t="s">
        <v>878</v>
      </c>
      <c r="L16" s="259" t="s">
        <v>766</v>
      </c>
      <c r="M16" s="258" t="s">
        <v>765</v>
      </c>
      <c r="N16" s="262"/>
      <c r="O16" s="256" t="s">
        <v>430</v>
      </c>
      <c r="P16" s="255" t="s">
        <v>869</v>
      </c>
    </row>
    <row r="17" spans="1:16" s="168" customFormat="1" ht="30.75" customHeight="1">
      <c r="A17" s="259" t="s">
        <v>881</v>
      </c>
      <c r="B17" s="259" t="s">
        <v>770</v>
      </c>
      <c r="C17" s="259" t="s">
        <v>762</v>
      </c>
      <c r="D17" s="259" t="s">
        <v>880</v>
      </c>
      <c r="E17" s="258" t="s">
        <v>484</v>
      </c>
      <c r="F17" s="259" t="s">
        <v>781</v>
      </c>
      <c r="G17" s="259" t="s">
        <v>770</v>
      </c>
      <c r="H17" s="259">
        <v>2410522001</v>
      </c>
      <c r="I17" s="259" t="s">
        <v>879</v>
      </c>
      <c r="J17" s="260" t="s">
        <v>870</v>
      </c>
      <c r="K17" s="259" t="s">
        <v>878</v>
      </c>
      <c r="L17" s="277" t="s">
        <v>766</v>
      </c>
      <c r="M17" s="278" t="s">
        <v>783</v>
      </c>
      <c r="N17" s="262"/>
      <c r="O17" s="256" t="s">
        <v>430</v>
      </c>
      <c r="P17" s="255" t="s">
        <v>869</v>
      </c>
    </row>
    <row r="18" spans="1:16" s="168" customFormat="1" ht="30.75" customHeight="1">
      <c r="A18" s="259" t="s">
        <v>873</v>
      </c>
      <c r="B18" s="259" t="s">
        <v>770</v>
      </c>
      <c r="C18" s="258" t="s">
        <v>802</v>
      </c>
      <c r="D18" s="259" t="s">
        <v>877</v>
      </c>
      <c r="E18" s="258" t="s">
        <v>480</v>
      </c>
      <c r="F18" s="259" t="s">
        <v>875</v>
      </c>
      <c r="G18" s="259"/>
      <c r="H18" s="259">
        <v>2410762001</v>
      </c>
      <c r="I18" s="261" t="s">
        <v>874</v>
      </c>
      <c r="J18" s="260" t="s">
        <v>870</v>
      </c>
      <c r="K18" s="259" t="s">
        <v>817</v>
      </c>
      <c r="L18" s="259" t="s">
        <v>766</v>
      </c>
      <c r="M18" s="258" t="s">
        <v>765</v>
      </c>
      <c r="N18" s="257"/>
      <c r="O18" s="256" t="s">
        <v>430</v>
      </c>
      <c r="P18" s="255" t="s">
        <v>869</v>
      </c>
    </row>
    <row r="19" spans="1:16" s="168" customFormat="1" ht="30.75" customHeight="1">
      <c r="A19" s="259" t="s">
        <v>873</v>
      </c>
      <c r="B19" s="259" t="s">
        <v>770</v>
      </c>
      <c r="C19" s="258" t="s">
        <v>802</v>
      </c>
      <c r="D19" s="259" t="s">
        <v>876</v>
      </c>
      <c r="E19" s="258" t="s">
        <v>480</v>
      </c>
      <c r="F19" s="259" t="s">
        <v>875</v>
      </c>
      <c r="G19" s="259"/>
      <c r="H19" s="259">
        <v>2410762001</v>
      </c>
      <c r="I19" s="261" t="s">
        <v>874</v>
      </c>
      <c r="J19" s="260" t="s">
        <v>870</v>
      </c>
      <c r="K19" s="259" t="s">
        <v>817</v>
      </c>
      <c r="L19" s="277" t="s">
        <v>766</v>
      </c>
      <c r="M19" s="278" t="s">
        <v>783</v>
      </c>
      <c r="N19" s="257"/>
      <c r="O19" s="256" t="s">
        <v>430</v>
      </c>
      <c r="P19" s="255" t="s">
        <v>869</v>
      </c>
    </row>
    <row r="20" spans="1:16" s="168" customFormat="1" ht="30.75" customHeight="1">
      <c r="A20" s="259" t="s">
        <v>873</v>
      </c>
      <c r="B20" s="259" t="s">
        <v>770</v>
      </c>
      <c r="C20" s="258" t="s">
        <v>802</v>
      </c>
      <c r="D20" s="259" t="s">
        <v>872</v>
      </c>
      <c r="E20" s="258" t="s">
        <v>480</v>
      </c>
      <c r="F20" s="259" t="s">
        <v>871</v>
      </c>
      <c r="G20" s="259"/>
      <c r="H20" s="259" t="s">
        <v>770</v>
      </c>
      <c r="I20" s="259" t="s">
        <v>770</v>
      </c>
      <c r="J20" s="260" t="s">
        <v>870</v>
      </c>
      <c r="K20" s="259" t="s">
        <v>817</v>
      </c>
      <c r="L20" s="259" t="s">
        <v>766</v>
      </c>
      <c r="M20" s="258" t="s">
        <v>765</v>
      </c>
      <c r="N20" s="257"/>
      <c r="O20" s="256" t="s">
        <v>430</v>
      </c>
      <c r="P20" s="255" t="s">
        <v>869</v>
      </c>
    </row>
    <row r="21" spans="1:16" s="252" customFormat="1" ht="30.75" customHeight="1">
      <c r="A21" s="250" t="s">
        <v>868</v>
      </c>
      <c r="B21" s="250" t="s">
        <v>841</v>
      </c>
      <c r="C21" s="250" t="s">
        <v>762</v>
      </c>
      <c r="D21" s="250" t="s">
        <v>867</v>
      </c>
      <c r="E21" s="249" t="s">
        <v>776</v>
      </c>
      <c r="F21" s="254" t="s">
        <v>775</v>
      </c>
      <c r="G21" s="250"/>
      <c r="H21" s="250">
        <v>2411003001</v>
      </c>
      <c r="I21" s="251" t="s">
        <v>866</v>
      </c>
      <c r="J21" s="249" t="s">
        <v>865</v>
      </c>
      <c r="K21" s="250" t="s">
        <v>773</v>
      </c>
      <c r="L21" s="250" t="s">
        <v>766</v>
      </c>
      <c r="M21" s="249" t="s">
        <v>765</v>
      </c>
      <c r="N21" s="253"/>
      <c r="O21" s="247" t="s">
        <v>444</v>
      </c>
      <c r="P21" s="246" t="s">
        <v>772</v>
      </c>
    </row>
    <row r="22" spans="1:16" s="168" customFormat="1" ht="30.75" customHeight="1">
      <c r="A22" s="250" t="s">
        <v>863</v>
      </c>
      <c r="B22" s="250" t="s">
        <v>770</v>
      </c>
      <c r="C22" s="250" t="s">
        <v>762</v>
      </c>
      <c r="D22" s="250" t="s">
        <v>864</v>
      </c>
      <c r="E22" s="249" t="s">
        <v>776</v>
      </c>
      <c r="F22" s="250" t="s">
        <v>781</v>
      </c>
      <c r="G22" s="250">
        <v>1234430005</v>
      </c>
      <c r="H22" s="250"/>
      <c r="I22" s="250"/>
      <c r="J22" s="249" t="s">
        <v>474</v>
      </c>
      <c r="K22" s="250" t="s">
        <v>773</v>
      </c>
      <c r="L22" s="250" t="s">
        <v>766</v>
      </c>
      <c r="M22" s="249" t="s">
        <v>765</v>
      </c>
      <c r="N22" s="248"/>
      <c r="O22" s="247" t="s">
        <v>444</v>
      </c>
      <c r="P22" s="246" t="s">
        <v>772</v>
      </c>
    </row>
    <row r="23" spans="1:16" s="165" customFormat="1" ht="30.75" customHeight="1">
      <c r="A23" s="250" t="s">
        <v>863</v>
      </c>
      <c r="B23" s="250" t="s">
        <v>770</v>
      </c>
      <c r="C23" s="250" t="s">
        <v>762</v>
      </c>
      <c r="D23" s="250" t="s">
        <v>862</v>
      </c>
      <c r="E23" s="249" t="s">
        <v>776</v>
      </c>
      <c r="F23" s="250" t="s">
        <v>775</v>
      </c>
      <c r="G23" s="250">
        <v>1234430004</v>
      </c>
      <c r="H23" s="250"/>
      <c r="I23" s="250"/>
      <c r="J23" s="249" t="s">
        <v>470</v>
      </c>
      <c r="K23" s="250" t="s">
        <v>773</v>
      </c>
      <c r="L23" s="250" t="s">
        <v>766</v>
      </c>
      <c r="M23" s="249" t="s">
        <v>765</v>
      </c>
      <c r="N23" s="248"/>
      <c r="O23" s="247" t="s">
        <v>444</v>
      </c>
      <c r="P23" s="246" t="s">
        <v>772</v>
      </c>
    </row>
    <row r="24" spans="1:16" s="165" customFormat="1" ht="30.75" customHeight="1">
      <c r="A24" s="250" t="s">
        <v>861</v>
      </c>
      <c r="B24" s="250" t="s">
        <v>770</v>
      </c>
      <c r="C24" s="250" t="s">
        <v>762</v>
      </c>
      <c r="D24" s="250" t="s">
        <v>860</v>
      </c>
      <c r="E24" s="249" t="s">
        <v>859</v>
      </c>
      <c r="F24" s="250" t="s">
        <v>781</v>
      </c>
      <c r="G24" s="250"/>
      <c r="H24" s="250"/>
      <c r="I24" s="250"/>
      <c r="J24" s="249" t="s">
        <v>855</v>
      </c>
      <c r="K24" s="250" t="s">
        <v>858</v>
      </c>
      <c r="L24" s="250" t="s">
        <v>766</v>
      </c>
      <c r="M24" s="249" t="s">
        <v>765</v>
      </c>
      <c r="N24" s="248"/>
      <c r="O24" s="247" t="s">
        <v>444</v>
      </c>
      <c r="P24" s="246" t="s">
        <v>772</v>
      </c>
    </row>
    <row r="25" spans="1:16" s="168" customFormat="1" ht="30.75" customHeight="1">
      <c r="A25" s="250" t="s">
        <v>854</v>
      </c>
      <c r="B25" s="250" t="s">
        <v>770</v>
      </c>
      <c r="C25" s="250" t="s">
        <v>762</v>
      </c>
      <c r="D25" s="250" t="s">
        <v>857</v>
      </c>
      <c r="E25" s="249" t="s">
        <v>760</v>
      </c>
      <c r="F25" s="250" t="s">
        <v>775</v>
      </c>
      <c r="G25" s="250" t="s">
        <v>770</v>
      </c>
      <c r="H25" s="250"/>
      <c r="I25" s="251"/>
      <c r="J25" s="249" t="s">
        <v>855</v>
      </c>
      <c r="K25" s="250" t="s">
        <v>767</v>
      </c>
      <c r="L25" s="250" t="s">
        <v>766</v>
      </c>
      <c r="M25" s="249" t="s">
        <v>765</v>
      </c>
      <c r="N25" s="248"/>
      <c r="O25" s="247" t="s">
        <v>764</v>
      </c>
      <c r="P25" s="246" t="s">
        <v>763</v>
      </c>
    </row>
    <row r="26" spans="1:16" s="165" customFormat="1" ht="30.75" customHeight="1">
      <c r="A26" s="250" t="s">
        <v>854</v>
      </c>
      <c r="B26" s="250" t="s">
        <v>770</v>
      </c>
      <c r="C26" s="250" t="s">
        <v>762</v>
      </c>
      <c r="D26" s="250" t="s">
        <v>856</v>
      </c>
      <c r="E26" s="249" t="s">
        <v>760</v>
      </c>
      <c r="F26" s="250" t="s">
        <v>781</v>
      </c>
      <c r="G26" s="250" t="s">
        <v>770</v>
      </c>
      <c r="H26" s="250"/>
      <c r="I26" s="250"/>
      <c r="J26" s="249" t="s">
        <v>855</v>
      </c>
      <c r="K26" s="250" t="s">
        <v>767</v>
      </c>
      <c r="L26" s="250" t="s">
        <v>766</v>
      </c>
      <c r="M26" s="249" t="s">
        <v>765</v>
      </c>
      <c r="N26" s="248"/>
      <c r="O26" s="247" t="s">
        <v>764</v>
      </c>
      <c r="P26" s="246" t="s">
        <v>763</v>
      </c>
    </row>
    <row r="27" spans="1:16" s="165" customFormat="1" ht="30.75" customHeight="1">
      <c r="A27" s="250" t="s">
        <v>854</v>
      </c>
      <c r="B27" s="250" t="s">
        <v>770</v>
      </c>
      <c r="C27" s="250" t="s">
        <v>762</v>
      </c>
      <c r="D27" s="250" t="s">
        <v>853</v>
      </c>
      <c r="E27" s="249" t="s">
        <v>760</v>
      </c>
      <c r="F27" s="250" t="s">
        <v>781</v>
      </c>
      <c r="G27" s="250" t="s">
        <v>770</v>
      </c>
      <c r="H27" s="250"/>
      <c r="I27" s="250"/>
      <c r="J27" s="249" t="s">
        <v>852</v>
      </c>
      <c r="K27" s="250" t="s">
        <v>767</v>
      </c>
      <c r="L27" s="250" t="s">
        <v>851</v>
      </c>
      <c r="M27" s="249" t="s">
        <v>850</v>
      </c>
      <c r="N27" s="248"/>
      <c r="O27" s="247" t="s">
        <v>770</v>
      </c>
      <c r="P27" s="246" t="s">
        <v>763</v>
      </c>
    </row>
    <row r="28" spans="1:16" s="165" customFormat="1" ht="30.75" customHeight="1">
      <c r="A28" s="250" t="s">
        <v>847</v>
      </c>
      <c r="B28" s="250" t="s">
        <v>770</v>
      </c>
      <c r="C28" s="250" t="s">
        <v>762</v>
      </c>
      <c r="D28" s="250" t="s">
        <v>849</v>
      </c>
      <c r="E28" s="249" t="s">
        <v>760</v>
      </c>
      <c r="F28" s="250" t="s">
        <v>775</v>
      </c>
      <c r="G28" s="250" t="s">
        <v>770</v>
      </c>
      <c r="H28" s="250"/>
      <c r="I28" s="250"/>
      <c r="J28" s="249" t="s">
        <v>845</v>
      </c>
      <c r="K28" s="250" t="s">
        <v>767</v>
      </c>
      <c r="L28" s="250" t="s">
        <v>766</v>
      </c>
      <c r="M28" s="249" t="s">
        <v>765</v>
      </c>
      <c r="N28" s="248"/>
      <c r="O28" s="247" t="s">
        <v>764</v>
      </c>
      <c r="P28" s="246" t="s">
        <v>763</v>
      </c>
    </row>
    <row r="29" spans="1:16" s="165" customFormat="1" ht="30.75" customHeight="1">
      <c r="A29" s="250" t="s">
        <v>847</v>
      </c>
      <c r="B29" s="250" t="s">
        <v>770</v>
      </c>
      <c r="C29" s="250" t="s">
        <v>762</v>
      </c>
      <c r="D29" s="250" t="s">
        <v>848</v>
      </c>
      <c r="E29" s="249" t="s">
        <v>760</v>
      </c>
      <c r="F29" s="250" t="s">
        <v>775</v>
      </c>
      <c r="G29" s="250" t="s">
        <v>770</v>
      </c>
      <c r="H29" s="250"/>
      <c r="I29" s="250"/>
      <c r="J29" s="249" t="s">
        <v>845</v>
      </c>
      <c r="K29" s="279" t="s">
        <v>767</v>
      </c>
      <c r="L29" s="279" t="s">
        <v>766</v>
      </c>
      <c r="M29" s="273" t="s">
        <v>783</v>
      </c>
      <c r="N29" s="248"/>
      <c r="O29" s="247" t="s">
        <v>764</v>
      </c>
      <c r="P29" s="246" t="s">
        <v>763</v>
      </c>
    </row>
    <row r="30" spans="1:16" s="170" customFormat="1" ht="30.75" customHeight="1">
      <c r="A30" s="250" t="s">
        <v>847</v>
      </c>
      <c r="B30" s="250" t="s">
        <v>770</v>
      </c>
      <c r="C30" s="250" t="s">
        <v>762</v>
      </c>
      <c r="D30" s="250" t="s">
        <v>846</v>
      </c>
      <c r="E30" s="249" t="s">
        <v>760</v>
      </c>
      <c r="F30" s="250" t="s">
        <v>781</v>
      </c>
      <c r="G30" s="250" t="s">
        <v>770</v>
      </c>
      <c r="H30" s="250"/>
      <c r="I30" s="250"/>
      <c r="J30" s="249" t="s">
        <v>845</v>
      </c>
      <c r="K30" s="250" t="s">
        <v>767</v>
      </c>
      <c r="L30" s="250" t="s">
        <v>766</v>
      </c>
      <c r="M30" s="249" t="s">
        <v>765</v>
      </c>
      <c r="N30" s="248"/>
      <c r="O30" s="247" t="s">
        <v>764</v>
      </c>
      <c r="P30" s="246" t="s">
        <v>763</v>
      </c>
    </row>
    <row r="31" spans="1:16" s="168" customFormat="1" ht="30.75" customHeight="1">
      <c r="A31" s="250" t="s">
        <v>842</v>
      </c>
      <c r="B31" s="250" t="s">
        <v>841</v>
      </c>
      <c r="C31" s="249" t="s">
        <v>802</v>
      </c>
      <c r="D31" s="250" t="s">
        <v>844</v>
      </c>
      <c r="E31" s="249" t="s">
        <v>776</v>
      </c>
      <c r="F31" s="250" t="s">
        <v>775</v>
      </c>
      <c r="G31" s="250"/>
      <c r="H31" s="250"/>
      <c r="I31" s="251"/>
      <c r="J31" s="249" t="s">
        <v>839</v>
      </c>
      <c r="K31" s="250" t="s">
        <v>773</v>
      </c>
      <c r="L31" s="250" t="s">
        <v>766</v>
      </c>
      <c r="M31" s="249" t="s">
        <v>765</v>
      </c>
      <c r="N31" s="248"/>
      <c r="O31" s="247" t="s">
        <v>444</v>
      </c>
      <c r="P31" s="246" t="s">
        <v>772</v>
      </c>
    </row>
    <row r="32" spans="1:16" s="168" customFormat="1" ht="30.75" customHeight="1">
      <c r="A32" s="250" t="s">
        <v>842</v>
      </c>
      <c r="B32" s="250" t="s">
        <v>841</v>
      </c>
      <c r="C32" s="249" t="s">
        <v>802</v>
      </c>
      <c r="D32" s="250" t="s">
        <v>843</v>
      </c>
      <c r="E32" s="249" t="s">
        <v>776</v>
      </c>
      <c r="F32" s="250" t="s">
        <v>781</v>
      </c>
      <c r="G32" s="250"/>
      <c r="H32" s="250"/>
      <c r="I32" s="251"/>
      <c r="J32" s="249" t="s">
        <v>839</v>
      </c>
      <c r="K32" s="250" t="s">
        <v>773</v>
      </c>
      <c r="L32" s="250" t="s">
        <v>766</v>
      </c>
      <c r="M32" s="249" t="s">
        <v>765</v>
      </c>
      <c r="N32" s="248"/>
      <c r="O32" s="247" t="s">
        <v>444</v>
      </c>
      <c r="P32" s="246" t="s">
        <v>772</v>
      </c>
    </row>
    <row r="33" spans="1:16" s="168" customFormat="1" ht="30.75" customHeight="1">
      <c r="A33" s="250" t="s">
        <v>842</v>
      </c>
      <c r="B33" s="250" t="s">
        <v>841</v>
      </c>
      <c r="C33" s="249" t="s">
        <v>802</v>
      </c>
      <c r="D33" s="250" t="s">
        <v>840</v>
      </c>
      <c r="E33" s="249" t="s">
        <v>776</v>
      </c>
      <c r="F33" s="250" t="s">
        <v>781</v>
      </c>
      <c r="G33" s="250"/>
      <c r="H33" s="250"/>
      <c r="I33" s="251"/>
      <c r="J33" s="249" t="s">
        <v>839</v>
      </c>
      <c r="K33" s="279" t="s">
        <v>773</v>
      </c>
      <c r="L33" s="279" t="s">
        <v>766</v>
      </c>
      <c r="M33" s="273" t="s">
        <v>783</v>
      </c>
      <c r="N33" s="248"/>
      <c r="O33" s="247" t="s">
        <v>444</v>
      </c>
      <c r="P33" s="246" t="s">
        <v>772</v>
      </c>
    </row>
    <row r="34" spans="1:16" s="241" customFormat="1" ht="30.75" customHeight="1">
      <c r="A34" s="244" t="s">
        <v>837</v>
      </c>
      <c r="B34" s="244" t="s">
        <v>832</v>
      </c>
      <c r="C34" s="244" t="s">
        <v>802</v>
      </c>
      <c r="D34" s="244" t="s">
        <v>838</v>
      </c>
      <c r="E34" s="197" t="s">
        <v>776</v>
      </c>
      <c r="F34" s="197" t="s">
        <v>820</v>
      </c>
      <c r="G34" s="245"/>
      <c r="H34" s="244">
        <v>2411043015</v>
      </c>
      <c r="I34" s="244" t="s">
        <v>835</v>
      </c>
      <c r="J34" s="244" t="s">
        <v>834</v>
      </c>
      <c r="K34" s="197" t="s">
        <v>773</v>
      </c>
      <c r="L34" s="197" t="s">
        <v>766</v>
      </c>
      <c r="M34" s="197" t="s">
        <v>765</v>
      </c>
      <c r="N34" s="243"/>
      <c r="O34" s="242" t="s">
        <v>770</v>
      </c>
      <c r="P34" s="242" t="s">
        <v>770</v>
      </c>
    </row>
    <row r="35" spans="1:16" s="241" customFormat="1" ht="30.75" customHeight="1">
      <c r="A35" s="244" t="s">
        <v>837</v>
      </c>
      <c r="B35" s="244" t="s">
        <v>832</v>
      </c>
      <c r="C35" s="244" t="s">
        <v>802</v>
      </c>
      <c r="D35" s="244" t="s">
        <v>836</v>
      </c>
      <c r="E35" s="197" t="s">
        <v>776</v>
      </c>
      <c r="F35" s="197" t="s">
        <v>820</v>
      </c>
      <c r="G35" s="245"/>
      <c r="H35" s="244">
        <v>2411043015</v>
      </c>
      <c r="I35" s="244" t="s">
        <v>835</v>
      </c>
      <c r="J35" s="244" t="s">
        <v>834</v>
      </c>
      <c r="K35" s="197" t="s">
        <v>773</v>
      </c>
      <c r="L35" s="275" t="s">
        <v>766</v>
      </c>
      <c r="M35" s="275" t="s">
        <v>783</v>
      </c>
      <c r="N35" s="243"/>
      <c r="O35" s="242" t="s">
        <v>770</v>
      </c>
      <c r="P35" s="242" t="s">
        <v>770</v>
      </c>
    </row>
    <row r="36" spans="1:16" s="241" customFormat="1" ht="30.75" customHeight="1">
      <c r="A36" s="244" t="s">
        <v>833</v>
      </c>
      <c r="B36" s="244" t="s">
        <v>832</v>
      </c>
      <c r="C36" s="244" t="s">
        <v>802</v>
      </c>
      <c r="D36" s="244" t="s">
        <v>624</v>
      </c>
      <c r="E36" s="197" t="s">
        <v>776</v>
      </c>
      <c r="F36" s="197" t="s">
        <v>820</v>
      </c>
      <c r="G36" s="245"/>
      <c r="H36" s="244">
        <v>2411043017</v>
      </c>
      <c r="I36" s="244" t="s">
        <v>830</v>
      </c>
      <c r="J36" s="244" t="s">
        <v>829</v>
      </c>
      <c r="K36" s="197" t="s">
        <v>773</v>
      </c>
      <c r="L36" s="197" t="s">
        <v>766</v>
      </c>
      <c r="M36" s="197" t="s">
        <v>765</v>
      </c>
      <c r="N36" s="243"/>
      <c r="O36" s="242" t="s">
        <v>770</v>
      </c>
      <c r="P36" s="242" t="s">
        <v>770</v>
      </c>
    </row>
    <row r="37" spans="1:16" s="241" customFormat="1" ht="30.75" customHeight="1">
      <c r="A37" s="244" t="s">
        <v>833</v>
      </c>
      <c r="B37" s="244" t="s">
        <v>832</v>
      </c>
      <c r="C37" s="244" t="s">
        <v>802</v>
      </c>
      <c r="D37" s="244" t="s">
        <v>831</v>
      </c>
      <c r="E37" s="197" t="s">
        <v>776</v>
      </c>
      <c r="F37" s="197" t="s">
        <v>820</v>
      </c>
      <c r="G37" s="245"/>
      <c r="H37" s="244">
        <v>2411043017</v>
      </c>
      <c r="I37" s="244" t="s">
        <v>830</v>
      </c>
      <c r="J37" s="244" t="s">
        <v>829</v>
      </c>
      <c r="K37" s="197" t="s">
        <v>773</v>
      </c>
      <c r="L37" s="275" t="s">
        <v>766</v>
      </c>
      <c r="M37" s="275" t="s">
        <v>783</v>
      </c>
      <c r="N37" s="243"/>
      <c r="O37" s="242" t="s">
        <v>770</v>
      </c>
      <c r="P37" s="242" t="s">
        <v>770</v>
      </c>
    </row>
    <row r="38" spans="1:16" s="165" customFormat="1" ht="30.75" customHeight="1">
      <c r="A38" s="239" t="s">
        <v>827</v>
      </c>
      <c r="B38" s="239" t="s">
        <v>770</v>
      </c>
      <c r="C38" s="195" t="s">
        <v>802</v>
      </c>
      <c r="D38" s="239" t="s">
        <v>828</v>
      </c>
      <c r="E38" s="195" t="s">
        <v>821</v>
      </c>
      <c r="F38" s="239" t="s">
        <v>775</v>
      </c>
      <c r="G38" s="239" t="s">
        <v>770</v>
      </c>
      <c r="H38" s="239">
        <v>2410782003</v>
      </c>
      <c r="I38" s="239" t="s">
        <v>825</v>
      </c>
      <c r="J38" s="195" t="s">
        <v>432</v>
      </c>
      <c r="K38" s="239" t="s">
        <v>817</v>
      </c>
      <c r="L38" s="239" t="s">
        <v>766</v>
      </c>
      <c r="M38" s="195" t="s">
        <v>765</v>
      </c>
      <c r="N38" s="238"/>
      <c r="O38" s="236" t="s">
        <v>770</v>
      </c>
      <c r="P38" s="236" t="s">
        <v>770</v>
      </c>
    </row>
    <row r="39" spans="1:16" s="165" customFormat="1" ht="30.75" customHeight="1">
      <c r="A39" s="239" t="s">
        <v>827</v>
      </c>
      <c r="B39" s="239" t="s">
        <v>770</v>
      </c>
      <c r="C39" s="195" t="s">
        <v>802</v>
      </c>
      <c r="D39" s="239" t="s">
        <v>826</v>
      </c>
      <c r="E39" s="195" t="s">
        <v>821</v>
      </c>
      <c r="F39" s="239" t="s">
        <v>775</v>
      </c>
      <c r="G39" s="239" t="s">
        <v>770</v>
      </c>
      <c r="H39" s="239">
        <v>2410782003</v>
      </c>
      <c r="I39" s="239" t="s">
        <v>825</v>
      </c>
      <c r="J39" s="195" t="s">
        <v>432</v>
      </c>
      <c r="K39" s="239" t="s">
        <v>817</v>
      </c>
      <c r="L39" s="275" t="s">
        <v>766</v>
      </c>
      <c r="M39" s="272" t="s">
        <v>783</v>
      </c>
      <c r="N39" s="238"/>
      <c r="O39" s="236" t="s">
        <v>770</v>
      </c>
      <c r="P39" s="236" t="s">
        <v>770</v>
      </c>
    </row>
    <row r="40" spans="1:16" s="165" customFormat="1" ht="30.75" customHeight="1">
      <c r="A40" s="239" t="s">
        <v>823</v>
      </c>
      <c r="B40" s="239" t="s">
        <v>770</v>
      </c>
      <c r="C40" s="239" t="s">
        <v>762</v>
      </c>
      <c r="D40" s="239" t="s">
        <v>824</v>
      </c>
      <c r="E40" s="195" t="s">
        <v>821</v>
      </c>
      <c r="F40" s="239" t="s">
        <v>820</v>
      </c>
      <c r="G40" s="239" t="s">
        <v>770</v>
      </c>
      <c r="H40" s="239">
        <v>2410782002</v>
      </c>
      <c r="I40" s="239" t="s">
        <v>819</v>
      </c>
      <c r="J40" s="195" t="s">
        <v>818</v>
      </c>
      <c r="K40" s="239" t="s">
        <v>817</v>
      </c>
      <c r="L40" s="239" t="s">
        <v>766</v>
      </c>
      <c r="M40" s="195" t="s">
        <v>765</v>
      </c>
      <c r="N40" s="238"/>
      <c r="O40" s="236" t="s">
        <v>770</v>
      </c>
      <c r="P40" s="236" t="s">
        <v>770</v>
      </c>
    </row>
    <row r="41" spans="1:16" s="165" customFormat="1" ht="30.75" customHeight="1">
      <c r="A41" s="239" t="s">
        <v>823</v>
      </c>
      <c r="B41" s="239" t="s">
        <v>770</v>
      </c>
      <c r="C41" s="239" t="s">
        <v>762</v>
      </c>
      <c r="D41" s="239" t="s">
        <v>822</v>
      </c>
      <c r="E41" s="195" t="s">
        <v>821</v>
      </c>
      <c r="F41" s="239" t="s">
        <v>820</v>
      </c>
      <c r="G41" s="239" t="s">
        <v>770</v>
      </c>
      <c r="H41" s="239">
        <v>2410782002</v>
      </c>
      <c r="I41" s="239" t="s">
        <v>819</v>
      </c>
      <c r="J41" s="195" t="s">
        <v>818</v>
      </c>
      <c r="K41" s="239" t="s">
        <v>817</v>
      </c>
      <c r="L41" s="275" t="s">
        <v>766</v>
      </c>
      <c r="M41" s="272" t="s">
        <v>783</v>
      </c>
      <c r="N41" s="238"/>
      <c r="O41" s="236" t="s">
        <v>770</v>
      </c>
      <c r="P41" s="236" t="s">
        <v>770</v>
      </c>
    </row>
    <row r="42" spans="1:16" s="165" customFormat="1" ht="30.75" customHeight="1">
      <c r="A42" s="239" t="s">
        <v>816</v>
      </c>
      <c r="B42" s="239" t="s">
        <v>770</v>
      </c>
      <c r="C42" s="195" t="s">
        <v>802</v>
      </c>
      <c r="D42" s="239" t="s">
        <v>935</v>
      </c>
      <c r="E42" s="195" t="s">
        <v>776</v>
      </c>
      <c r="F42" s="239" t="s">
        <v>775</v>
      </c>
      <c r="G42" s="239" t="s">
        <v>770</v>
      </c>
      <c r="H42" s="239">
        <v>2411003010</v>
      </c>
      <c r="I42" s="240" t="s">
        <v>814</v>
      </c>
      <c r="J42" s="195" t="s">
        <v>809</v>
      </c>
      <c r="K42" s="239" t="s">
        <v>773</v>
      </c>
      <c r="L42" s="239" t="s">
        <v>766</v>
      </c>
      <c r="M42" s="195" t="s">
        <v>765</v>
      </c>
      <c r="N42" s="238"/>
      <c r="O42" s="236" t="s">
        <v>770</v>
      </c>
      <c r="P42" s="236" t="s">
        <v>770</v>
      </c>
    </row>
    <row r="43" spans="1:16" s="165" customFormat="1" ht="30.75" customHeight="1">
      <c r="A43" s="239" t="s">
        <v>816</v>
      </c>
      <c r="B43" s="239" t="s">
        <v>770</v>
      </c>
      <c r="C43" s="195" t="s">
        <v>802</v>
      </c>
      <c r="D43" s="239" t="s">
        <v>815</v>
      </c>
      <c r="E43" s="195" t="s">
        <v>776</v>
      </c>
      <c r="F43" s="239" t="s">
        <v>775</v>
      </c>
      <c r="G43" s="239" t="s">
        <v>770</v>
      </c>
      <c r="H43" s="239">
        <v>2411003010</v>
      </c>
      <c r="I43" s="240" t="s">
        <v>814</v>
      </c>
      <c r="J43" s="195" t="s">
        <v>809</v>
      </c>
      <c r="K43" s="239" t="s">
        <v>773</v>
      </c>
      <c r="L43" s="275" t="s">
        <v>766</v>
      </c>
      <c r="M43" s="272" t="s">
        <v>783</v>
      </c>
      <c r="N43" s="238"/>
      <c r="O43" s="236" t="s">
        <v>770</v>
      </c>
      <c r="P43" s="236" t="s">
        <v>770</v>
      </c>
    </row>
    <row r="44" spans="1:16" s="165" customFormat="1" ht="30.75" customHeight="1">
      <c r="A44" s="239" t="s">
        <v>812</v>
      </c>
      <c r="B44" s="239" t="s">
        <v>770</v>
      </c>
      <c r="C44" s="195" t="s">
        <v>802</v>
      </c>
      <c r="D44" s="239" t="s">
        <v>813</v>
      </c>
      <c r="E44" s="195" t="s">
        <v>810</v>
      </c>
      <c r="F44" s="239" t="s">
        <v>775</v>
      </c>
      <c r="G44" s="239"/>
      <c r="H44" s="239">
        <v>2411303001</v>
      </c>
      <c r="I44" s="240" t="s">
        <v>525</v>
      </c>
      <c r="J44" s="195" t="s">
        <v>809</v>
      </c>
      <c r="K44" s="239" t="s">
        <v>808</v>
      </c>
      <c r="L44" s="239" t="s">
        <v>766</v>
      </c>
      <c r="M44" s="195" t="s">
        <v>765</v>
      </c>
      <c r="N44" s="238"/>
      <c r="O44" s="236" t="s">
        <v>770</v>
      </c>
      <c r="P44" s="236" t="s">
        <v>770</v>
      </c>
    </row>
    <row r="45" spans="1:16" s="165" customFormat="1" ht="30.75" customHeight="1">
      <c r="A45" s="239" t="s">
        <v>812</v>
      </c>
      <c r="B45" s="239" t="s">
        <v>770</v>
      </c>
      <c r="C45" s="195" t="s">
        <v>802</v>
      </c>
      <c r="D45" s="239" t="s">
        <v>811</v>
      </c>
      <c r="E45" s="195" t="s">
        <v>810</v>
      </c>
      <c r="F45" s="239" t="s">
        <v>775</v>
      </c>
      <c r="G45" s="239"/>
      <c r="H45" s="239">
        <v>2411303001</v>
      </c>
      <c r="I45" s="240" t="s">
        <v>525</v>
      </c>
      <c r="J45" s="195" t="s">
        <v>809</v>
      </c>
      <c r="K45" s="239" t="s">
        <v>808</v>
      </c>
      <c r="L45" s="275" t="s">
        <v>766</v>
      </c>
      <c r="M45" s="272" t="s">
        <v>783</v>
      </c>
      <c r="N45" s="238"/>
      <c r="O45" s="236" t="s">
        <v>770</v>
      </c>
      <c r="P45" s="236" t="s">
        <v>770</v>
      </c>
    </row>
    <row r="46" spans="1:16" s="165" customFormat="1" ht="30.75" customHeight="1">
      <c r="A46" s="239" t="s">
        <v>803</v>
      </c>
      <c r="B46" s="239" t="s">
        <v>770</v>
      </c>
      <c r="C46" s="195" t="s">
        <v>802</v>
      </c>
      <c r="D46" s="239" t="s">
        <v>807</v>
      </c>
      <c r="E46" s="195" t="s">
        <v>760</v>
      </c>
      <c r="F46" s="239"/>
      <c r="G46" s="239"/>
      <c r="H46" s="239"/>
      <c r="I46" s="240"/>
      <c r="J46" s="195"/>
      <c r="K46" s="239"/>
      <c r="L46" s="239" t="s">
        <v>766</v>
      </c>
      <c r="M46" s="195" t="s">
        <v>765</v>
      </c>
      <c r="N46" s="238"/>
      <c r="O46" s="236" t="s">
        <v>770</v>
      </c>
      <c r="P46" s="236" t="s">
        <v>770</v>
      </c>
    </row>
    <row r="47" spans="1:16" s="165" customFormat="1" ht="30.75" customHeight="1">
      <c r="A47" s="239" t="s">
        <v>803</v>
      </c>
      <c r="B47" s="239" t="s">
        <v>770</v>
      </c>
      <c r="C47" s="195" t="s">
        <v>802</v>
      </c>
      <c r="D47" s="239" t="s">
        <v>806</v>
      </c>
      <c r="E47" s="195" t="s">
        <v>760</v>
      </c>
      <c r="F47" s="239"/>
      <c r="G47" s="239"/>
      <c r="H47" s="239"/>
      <c r="I47" s="240"/>
      <c r="J47" s="195"/>
      <c r="K47" s="239"/>
      <c r="L47" s="275" t="s">
        <v>766</v>
      </c>
      <c r="M47" s="272" t="s">
        <v>783</v>
      </c>
      <c r="N47" s="238"/>
      <c r="O47" s="236" t="s">
        <v>770</v>
      </c>
      <c r="P47" s="236" t="s">
        <v>770</v>
      </c>
    </row>
    <row r="48" spans="1:16" s="165" customFormat="1" ht="30.75" customHeight="1">
      <c r="A48" s="239" t="s">
        <v>805</v>
      </c>
      <c r="B48" s="239" t="s">
        <v>770</v>
      </c>
      <c r="C48" s="195" t="s">
        <v>802</v>
      </c>
      <c r="D48" s="239" t="s">
        <v>804</v>
      </c>
      <c r="E48" s="195" t="s">
        <v>800</v>
      </c>
      <c r="F48" s="239"/>
      <c r="G48" s="239"/>
      <c r="H48" s="239"/>
      <c r="I48" s="240"/>
      <c r="J48" s="195"/>
      <c r="K48" s="239"/>
      <c r="L48" s="239" t="s">
        <v>766</v>
      </c>
      <c r="M48" s="195" t="s">
        <v>765</v>
      </c>
      <c r="N48" s="238"/>
      <c r="O48" s="236" t="s">
        <v>770</v>
      </c>
      <c r="P48" s="236" t="s">
        <v>770</v>
      </c>
    </row>
    <row r="49" spans="1:16" s="165" customFormat="1" ht="30.75" customHeight="1">
      <c r="A49" s="239" t="s">
        <v>803</v>
      </c>
      <c r="B49" s="239" t="s">
        <v>770</v>
      </c>
      <c r="C49" s="195" t="s">
        <v>802</v>
      </c>
      <c r="D49" s="239" t="s">
        <v>801</v>
      </c>
      <c r="E49" s="195" t="s">
        <v>800</v>
      </c>
      <c r="F49" s="239"/>
      <c r="G49" s="239"/>
      <c r="H49" s="239"/>
      <c r="I49" s="240"/>
      <c r="J49" s="195"/>
      <c r="K49" s="239"/>
      <c r="L49" s="275" t="s">
        <v>766</v>
      </c>
      <c r="M49" s="272" t="s">
        <v>783</v>
      </c>
      <c r="N49" s="238"/>
      <c r="O49" s="236" t="s">
        <v>770</v>
      </c>
      <c r="P49" s="236" t="s">
        <v>770</v>
      </c>
    </row>
    <row r="50" spans="1:16" s="165" customFormat="1" ht="30.75" customHeight="1">
      <c r="A50" s="239" t="s">
        <v>799</v>
      </c>
      <c r="B50" s="239" t="s">
        <v>770</v>
      </c>
      <c r="C50" s="239" t="s">
        <v>762</v>
      </c>
      <c r="D50" s="239" t="s">
        <v>798</v>
      </c>
      <c r="E50" s="195" t="s">
        <v>776</v>
      </c>
      <c r="F50" s="239" t="s">
        <v>775</v>
      </c>
      <c r="G50" s="239" t="s">
        <v>770</v>
      </c>
      <c r="H50" s="239">
        <v>2411003011</v>
      </c>
      <c r="I50" s="240" t="s">
        <v>797</v>
      </c>
      <c r="J50" s="195" t="s">
        <v>793</v>
      </c>
      <c r="K50" s="239" t="s">
        <v>773</v>
      </c>
      <c r="L50" s="239" t="s">
        <v>766</v>
      </c>
      <c r="M50" s="195" t="s">
        <v>765</v>
      </c>
      <c r="N50" s="238"/>
      <c r="O50" s="236" t="s">
        <v>770</v>
      </c>
      <c r="P50" s="236" t="s">
        <v>770</v>
      </c>
    </row>
    <row r="51" spans="1:16" s="165" customFormat="1" ht="30.75" customHeight="1">
      <c r="A51" s="239" t="s">
        <v>796</v>
      </c>
      <c r="B51" s="239" t="s">
        <v>770</v>
      </c>
      <c r="C51" s="239" t="s">
        <v>762</v>
      </c>
      <c r="D51" s="239" t="s">
        <v>795</v>
      </c>
      <c r="E51" s="195" t="s">
        <v>776</v>
      </c>
      <c r="F51" s="239" t="s">
        <v>794</v>
      </c>
      <c r="G51" s="239" t="s">
        <v>770</v>
      </c>
      <c r="H51" s="239"/>
      <c r="I51" s="240"/>
      <c r="J51" s="195" t="s">
        <v>793</v>
      </c>
      <c r="K51" s="239" t="s">
        <v>773</v>
      </c>
      <c r="L51" s="239" t="s">
        <v>766</v>
      </c>
      <c r="M51" s="195" t="s">
        <v>765</v>
      </c>
      <c r="N51" s="238"/>
      <c r="O51" s="236" t="s">
        <v>770</v>
      </c>
      <c r="P51" s="236" t="s">
        <v>770</v>
      </c>
    </row>
    <row r="52" spans="1:16" s="165" customFormat="1" ht="30.75" customHeight="1">
      <c r="A52" s="239" t="s">
        <v>792</v>
      </c>
      <c r="B52" s="239" t="s">
        <v>770</v>
      </c>
      <c r="C52" s="239" t="s">
        <v>762</v>
      </c>
      <c r="D52" s="239" t="s">
        <v>791</v>
      </c>
      <c r="E52" s="195" t="s">
        <v>760</v>
      </c>
      <c r="F52" s="239"/>
      <c r="G52" s="239"/>
      <c r="H52" s="239"/>
      <c r="I52" s="240"/>
      <c r="J52" s="195"/>
      <c r="K52" s="239"/>
      <c r="L52" s="239" t="s">
        <v>766</v>
      </c>
      <c r="M52" s="195" t="s">
        <v>765</v>
      </c>
      <c r="N52" s="238"/>
      <c r="O52" s="236" t="s">
        <v>770</v>
      </c>
      <c r="P52" s="236" t="s">
        <v>770</v>
      </c>
    </row>
    <row r="53" spans="1:16" s="165" customFormat="1" ht="30.75" customHeight="1">
      <c r="A53" s="239" t="s">
        <v>790</v>
      </c>
      <c r="B53" s="239" t="s">
        <v>770</v>
      </c>
      <c r="C53" s="239" t="s">
        <v>762</v>
      </c>
      <c r="D53" s="239" t="s">
        <v>789</v>
      </c>
      <c r="E53" s="195" t="s">
        <v>760</v>
      </c>
      <c r="F53" s="239"/>
      <c r="G53" s="239"/>
      <c r="H53" s="239"/>
      <c r="I53" s="240"/>
      <c r="J53" s="195"/>
      <c r="K53" s="239"/>
      <c r="L53" s="239" t="s">
        <v>766</v>
      </c>
      <c r="M53" s="195" t="s">
        <v>765</v>
      </c>
      <c r="N53" s="238"/>
      <c r="O53" s="236" t="s">
        <v>770</v>
      </c>
      <c r="P53" s="236" t="s">
        <v>770</v>
      </c>
    </row>
    <row r="54" spans="1:16" s="165" customFormat="1" ht="30.75" customHeight="1">
      <c r="A54" s="185" t="s">
        <v>785</v>
      </c>
      <c r="B54" s="185" t="s">
        <v>779</v>
      </c>
      <c r="C54" s="185" t="s">
        <v>778</v>
      </c>
      <c r="D54" s="185" t="s">
        <v>788</v>
      </c>
      <c r="E54" s="186" t="s">
        <v>776</v>
      </c>
      <c r="F54" s="185" t="s">
        <v>775</v>
      </c>
      <c r="G54" s="185"/>
      <c r="H54" s="185"/>
      <c r="I54" s="187"/>
      <c r="J54" s="186" t="s">
        <v>774</v>
      </c>
      <c r="K54" s="185" t="s">
        <v>773</v>
      </c>
      <c r="L54" s="185" t="s">
        <v>766</v>
      </c>
      <c r="M54" s="186" t="s">
        <v>765</v>
      </c>
      <c r="N54" s="184"/>
      <c r="O54" s="183" t="s">
        <v>444</v>
      </c>
      <c r="P54" s="182" t="s">
        <v>772</v>
      </c>
    </row>
    <row r="55" spans="1:16" s="165" customFormat="1" ht="30.75" customHeight="1">
      <c r="A55" s="185" t="s">
        <v>785</v>
      </c>
      <c r="B55" s="185" t="s">
        <v>779</v>
      </c>
      <c r="C55" s="185" t="s">
        <v>778</v>
      </c>
      <c r="D55" s="185" t="s">
        <v>787</v>
      </c>
      <c r="E55" s="186" t="s">
        <v>776</v>
      </c>
      <c r="F55" s="185" t="s">
        <v>775</v>
      </c>
      <c r="G55" s="185"/>
      <c r="H55" s="185"/>
      <c r="I55" s="185"/>
      <c r="J55" s="186" t="s">
        <v>774</v>
      </c>
      <c r="K55" s="185" t="s">
        <v>773</v>
      </c>
      <c r="L55" s="275" t="s">
        <v>766</v>
      </c>
      <c r="M55" s="272" t="s">
        <v>783</v>
      </c>
      <c r="N55" s="184"/>
      <c r="O55" s="183" t="s">
        <v>444</v>
      </c>
      <c r="P55" s="182" t="s">
        <v>772</v>
      </c>
    </row>
    <row r="56" spans="1:16" s="165" customFormat="1" ht="30.75" customHeight="1">
      <c r="A56" s="185" t="s">
        <v>785</v>
      </c>
      <c r="B56" s="185" t="s">
        <v>779</v>
      </c>
      <c r="C56" s="185" t="s">
        <v>778</v>
      </c>
      <c r="D56" s="185" t="s">
        <v>786</v>
      </c>
      <c r="E56" s="186" t="s">
        <v>776</v>
      </c>
      <c r="F56" s="185" t="s">
        <v>781</v>
      </c>
      <c r="G56" s="185"/>
      <c r="H56" s="185"/>
      <c r="I56" s="187"/>
      <c r="J56" s="186" t="s">
        <v>774</v>
      </c>
      <c r="K56" s="185" t="s">
        <v>773</v>
      </c>
      <c r="L56" s="185" t="s">
        <v>766</v>
      </c>
      <c r="M56" s="185" t="s">
        <v>765</v>
      </c>
      <c r="N56" s="184"/>
      <c r="O56" s="183" t="s">
        <v>444</v>
      </c>
      <c r="P56" s="182" t="s">
        <v>772</v>
      </c>
    </row>
    <row r="57" spans="1:16" s="165" customFormat="1" ht="30.75" customHeight="1">
      <c r="A57" s="185" t="s">
        <v>785</v>
      </c>
      <c r="B57" s="185" t="s">
        <v>779</v>
      </c>
      <c r="C57" s="185" t="s">
        <v>778</v>
      </c>
      <c r="D57" s="185" t="s">
        <v>784</v>
      </c>
      <c r="E57" s="186" t="s">
        <v>776</v>
      </c>
      <c r="F57" s="185" t="s">
        <v>781</v>
      </c>
      <c r="G57" s="185"/>
      <c r="H57" s="185"/>
      <c r="I57" s="185"/>
      <c r="J57" s="186" t="s">
        <v>774</v>
      </c>
      <c r="K57" s="185" t="s">
        <v>773</v>
      </c>
      <c r="L57" s="275" t="s">
        <v>766</v>
      </c>
      <c r="M57" s="272" t="s">
        <v>783</v>
      </c>
      <c r="N57" s="184"/>
      <c r="O57" s="183" t="s">
        <v>444</v>
      </c>
      <c r="P57" s="182" t="s">
        <v>772</v>
      </c>
    </row>
    <row r="58" spans="1:16" s="165" customFormat="1" ht="30.75" customHeight="1">
      <c r="A58" s="185" t="s">
        <v>780</v>
      </c>
      <c r="B58" s="185" t="s">
        <v>779</v>
      </c>
      <c r="C58" s="185" t="s">
        <v>778</v>
      </c>
      <c r="D58" s="185" t="s">
        <v>782</v>
      </c>
      <c r="E58" s="186" t="s">
        <v>776</v>
      </c>
      <c r="F58" s="185" t="s">
        <v>781</v>
      </c>
      <c r="G58" s="185"/>
      <c r="H58" s="185"/>
      <c r="I58" s="185"/>
      <c r="J58" s="186" t="s">
        <v>774</v>
      </c>
      <c r="K58" s="185" t="s">
        <v>773</v>
      </c>
      <c r="L58" s="185" t="s">
        <v>766</v>
      </c>
      <c r="M58" s="186" t="s">
        <v>765</v>
      </c>
      <c r="N58" s="184"/>
      <c r="O58" s="183" t="s">
        <v>444</v>
      </c>
      <c r="P58" s="182" t="s">
        <v>772</v>
      </c>
    </row>
    <row r="59" spans="1:16" s="165" customFormat="1" ht="30.75" customHeight="1">
      <c r="A59" s="185" t="s">
        <v>780</v>
      </c>
      <c r="B59" s="185" t="s">
        <v>779</v>
      </c>
      <c r="C59" s="185" t="s">
        <v>778</v>
      </c>
      <c r="D59" s="185" t="s">
        <v>777</v>
      </c>
      <c r="E59" s="186" t="s">
        <v>776</v>
      </c>
      <c r="F59" s="185" t="s">
        <v>775</v>
      </c>
      <c r="G59" s="185"/>
      <c r="H59" s="185"/>
      <c r="I59" s="185"/>
      <c r="J59" s="186" t="s">
        <v>774</v>
      </c>
      <c r="K59" s="185" t="s">
        <v>773</v>
      </c>
      <c r="L59" s="185" t="s">
        <v>766</v>
      </c>
      <c r="M59" s="186" t="s">
        <v>765</v>
      </c>
      <c r="N59" s="184"/>
      <c r="O59" s="183" t="s">
        <v>444</v>
      </c>
      <c r="P59" s="182" t="s">
        <v>772</v>
      </c>
    </row>
    <row r="60" spans="1:16" s="165" customFormat="1" ht="30.75" customHeight="1">
      <c r="A60" s="239"/>
      <c r="B60" s="239"/>
      <c r="C60" s="239" t="s">
        <v>762</v>
      </c>
      <c r="D60" s="239" t="s">
        <v>771</v>
      </c>
      <c r="E60" s="195" t="s">
        <v>760</v>
      </c>
      <c r="F60" s="239" t="s">
        <v>770</v>
      </c>
      <c r="G60" s="239" t="s">
        <v>770</v>
      </c>
      <c r="H60" s="239">
        <v>2411004003</v>
      </c>
      <c r="I60" s="239" t="s">
        <v>769</v>
      </c>
      <c r="J60" s="195" t="s">
        <v>768</v>
      </c>
      <c r="K60" s="239" t="s">
        <v>767</v>
      </c>
      <c r="L60" s="239" t="s">
        <v>766</v>
      </c>
      <c r="M60" s="195" t="s">
        <v>765</v>
      </c>
      <c r="N60" s="238"/>
      <c r="O60" s="237" t="s">
        <v>764</v>
      </c>
      <c r="P60" s="236" t="s">
        <v>763</v>
      </c>
    </row>
    <row r="61" spans="1:16" s="165" customFormat="1" ht="30.75" customHeight="1">
      <c r="A61" s="239"/>
      <c r="B61" s="239"/>
      <c r="C61" s="239" t="s">
        <v>762</v>
      </c>
      <c r="D61" s="239" t="s">
        <v>761</v>
      </c>
      <c r="E61" s="195" t="s">
        <v>760</v>
      </c>
      <c r="F61" s="239" t="s">
        <v>421</v>
      </c>
      <c r="G61" s="239" t="s">
        <v>421</v>
      </c>
      <c r="H61" s="239">
        <v>2411004004</v>
      </c>
      <c r="I61" s="239" t="s">
        <v>420</v>
      </c>
      <c r="J61" s="195" t="s">
        <v>419</v>
      </c>
      <c r="K61" s="239" t="s">
        <v>418</v>
      </c>
      <c r="L61" s="239" t="s">
        <v>417</v>
      </c>
      <c r="M61" s="195" t="s">
        <v>759</v>
      </c>
      <c r="N61" s="238"/>
      <c r="O61" s="237" t="s">
        <v>416</v>
      </c>
      <c r="P61" s="236" t="s">
        <v>415</v>
      </c>
    </row>
    <row r="64" spans="1:16" s="161" customFormat="1" ht="30.75" customHeight="1">
      <c r="J64" s="163"/>
      <c r="O64" s="162"/>
      <c r="P64" s="162"/>
    </row>
    <row r="65" spans="1:16" s="161" customFormat="1" ht="30.75" customHeight="1">
      <c r="A65" s="164"/>
      <c r="B65" s="164"/>
      <c r="C65" s="164"/>
      <c r="D65" s="164"/>
      <c r="J65" s="163"/>
      <c r="O65" s="162"/>
      <c r="P65" s="162"/>
    </row>
  </sheetData>
  <phoneticPr fontId="10" type="noConversion"/>
  <pageMargins left="0.15748031496062992" right="0.19685039370078741" top="0.31496062992125984" bottom="0.23622047244094491" header="0.31496062992125984" footer="0.31496062992125984"/>
  <pageSetup paperSize="9" scale="70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236"/>
  <sheetViews>
    <sheetView zoomScale="55" zoomScaleNormal="55" workbookViewId="0">
      <pane xSplit="1" ySplit="4" topLeftCell="B127" activePane="bottomRight" state="frozen"/>
      <selection activeCell="C64" sqref="C64"/>
      <selection pane="topRight" activeCell="C64" sqref="C64"/>
      <selection pane="bottomLeft" activeCell="C64" sqref="C64"/>
      <selection pane="bottomRight" activeCell="AC136" sqref="AC136"/>
    </sheetView>
  </sheetViews>
  <sheetFormatPr defaultRowHeight="16.5"/>
  <cols>
    <col min="1" max="1" width="31.5" style="647" customWidth="1"/>
    <col min="2" max="2" width="16.25" style="648" customWidth="1"/>
    <col min="3" max="3" width="23.5" style="648" customWidth="1"/>
    <col min="4" max="4" width="15.25" style="647" customWidth="1"/>
    <col min="5" max="5" width="7.75" style="648" customWidth="1"/>
    <col min="6" max="6" width="11.875" style="648" customWidth="1"/>
    <col min="7" max="7" width="4.5" style="648" customWidth="1"/>
    <col min="8" max="8" width="5.125" style="647" customWidth="1"/>
    <col min="9" max="10" width="6.375" style="647" customWidth="1"/>
    <col min="11" max="11" width="6" style="647" customWidth="1"/>
    <col min="12" max="12" width="7.125" style="647" customWidth="1"/>
    <col min="13" max="13" width="6.5" style="647" customWidth="1"/>
    <col min="14" max="14" width="6.25" style="647" customWidth="1"/>
    <col min="15" max="15" width="6.875" style="647" customWidth="1"/>
    <col min="16" max="16" width="8.375" style="647" customWidth="1"/>
    <col min="17" max="17" width="6.125" style="647" customWidth="1"/>
    <col min="18" max="18" width="7.625" style="647" customWidth="1"/>
    <col min="19" max="19" width="8.125" style="647" customWidth="1"/>
    <col min="20" max="20" width="6.875" style="647" customWidth="1"/>
    <col min="21" max="21" width="7.125" style="647" customWidth="1"/>
    <col min="22" max="22" width="9.25" style="647" customWidth="1"/>
    <col min="23" max="24" width="10.125" style="647" customWidth="1"/>
    <col min="25" max="25" width="10.375" style="647" customWidth="1"/>
    <col min="26" max="26" width="8.125" style="648" customWidth="1"/>
    <col min="27" max="27" width="6" style="648" customWidth="1"/>
    <col min="28" max="28" width="5.625" style="648" customWidth="1"/>
    <col min="29" max="29" width="22.75" style="649" customWidth="1"/>
    <col min="30" max="30" width="22.875" style="647" customWidth="1"/>
    <col min="31" max="31" width="18.625" style="648" customWidth="1"/>
    <col min="32" max="32" width="24" style="648" customWidth="1"/>
    <col min="33" max="33" width="19.625" style="648" customWidth="1"/>
    <col min="34" max="34" width="14.125" style="648" customWidth="1"/>
    <col min="35" max="35" width="17.875" style="648" customWidth="1"/>
    <col min="36" max="36" width="4" style="648" customWidth="1"/>
    <col min="37" max="37" width="3.25" style="648" customWidth="1"/>
    <col min="38" max="38" width="4" style="648" customWidth="1"/>
    <col min="39" max="39" width="3.875" style="648" customWidth="1"/>
    <col min="40" max="40" width="4.625" style="648" customWidth="1"/>
    <col min="41" max="41" width="3.875" style="648" customWidth="1"/>
    <col min="42" max="42" width="4" style="648" customWidth="1"/>
    <col min="43" max="43" width="5.375" style="648" customWidth="1"/>
    <col min="44" max="44" width="7" style="648" customWidth="1"/>
    <col min="45" max="45" width="20.25" style="648" customWidth="1"/>
    <col min="46" max="46" width="27.625" style="648" customWidth="1"/>
    <col min="47" max="47" width="36.75" style="648" customWidth="1"/>
    <col min="48" max="48" width="10.125" style="648" customWidth="1"/>
    <col min="49" max="49" width="6.125" style="648" customWidth="1"/>
    <col min="50" max="50" width="21.625" style="648" customWidth="1"/>
    <col min="51" max="51" width="24.25" style="648" customWidth="1"/>
    <col min="52" max="52" width="17.375" style="648" customWidth="1"/>
    <col min="53" max="53" width="17" style="648" customWidth="1"/>
    <col min="54" max="16384" width="9" style="648"/>
  </cols>
  <sheetData>
    <row r="1" spans="1:52" ht="31.5" customHeight="1">
      <c r="A1" s="647" t="s">
        <v>1188</v>
      </c>
    </row>
    <row r="2" spans="1:52" s="650" customFormat="1" ht="34.5" customHeight="1">
      <c r="B2" s="651" t="s">
        <v>701</v>
      </c>
      <c r="C2" s="651"/>
      <c r="D2" s="651"/>
      <c r="E2" s="283" t="s">
        <v>947</v>
      </c>
      <c r="F2" s="651"/>
      <c r="G2" s="651"/>
      <c r="H2" s="651" t="s">
        <v>697</v>
      </c>
      <c r="I2" s="651" t="s">
        <v>1108</v>
      </c>
      <c r="J2" s="651" t="s">
        <v>733</v>
      </c>
      <c r="K2" s="651" t="s">
        <v>703</v>
      </c>
      <c r="L2" s="651" t="s">
        <v>1216</v>
      </c>
      <c r="M2" s="651" t="s">
        <v>704</v>
      </c>
      <c r="N2" s="651" t="s">
        <v>705</v>
      </c>
      <c r="O2" s="651" t="s">
        <v>702</v>
      </c>
      <c r="P2" s="651" t="s">
        <v>1093</v>
      </c>
      <c r="Q2" s="651" t="s">
        <v>1092</v>
      </c>
      <c r="R2" s="651" t="s">
        <v>1982</v>
      </c>
      <c r="S2" s="651" t="s">
        <v>1983</v>
      </c>
      <c r="T2" s="651" t="s">
        <v>734</v>
      </c>
      <c r="U2" s="651" t="s">
        <v>735</v>
      </c>
      <c r="V2" s="651" t="s">
        <v>746</v>
      </c>
      <c r="W2" s="651" t="s">
        <v>747</v>
      </c>
      <c r="X2" s="651" t="s">
        <v>1386</v>
      </c>
      <c r="Y2" s="651" t="s">
        <v>1387</v>
      </c>
      <c r="Z2" s="651" t="s">
        <v>953</v>
      </c>
      <c r="AA2" s="651" t="s">
        <v>2107</v>
      </c>
      <c r="AB2" s="651" t="s">
        <v>2091</v>
      </c>
    </row>
    <row r="3" spans="1:52" ht="12.75" customHeight="1"/>
    <row r="4" spans="1:52" s="660" customFormat="1" ht="47.25" customHeight="1">
      <c r="A4" s="652" t="s">
        <v>730</v>
      </c>
      <c r="B4" s="652" t="s">
        <v>700</v>
      </c>
      <c r="C4" s="652" t="s">
        <v>931</v>
      </c>
      <c r="D4" s="652" t="s">
        <v>699</v>
      </c>
      <c r="E4" s="653" t="s">
        <v>936</v>
      </c>
      <c r="F4" s="654" t="s">
        <v>714</v>
      </c>
      <c r="G4" s="855" t="s">
        <v>698</v>
      </c>
      <c r="H4" s="856" t="s">
        <v>2085</v>
      </c>
      <c r="I4" s="856" t="s">
        <v>2086</v>
      </c>
      <c r="J4" s="655" t="s">
        <v>2087</v>
      </c>
      <c r="K4" s="655" t="s">
        <v>2088</v>
      </c>
      <c r="L4" s="655" t="s">
        <v>1217</v>
      </c>
      <c r="M4" s="656" t="s">
        <v>704</v>
      </c>
      <c r="N4" s="656" t="s">
        <v>1986</v>
      </c>
      <c r="O4" s="652" t="s">
        <v>736</v>
      </c>
      <c r="P4" s="656" t="s">
        <v>696</v>
      </c>
      <c r="Q4" s="656" t="s">
        <v>1091</v>
      </c>
      <c r="R4" s="656" t="s">
        <v>1984</v>
      </c>
      <c r="S4" s="656" t="s">
        <v>1985</v>
      </c>
      <c r="T4" s="857" t="s">
        <v>2089</v>
      </c>
      <c r="U4" s="658" t="s">
        <v>2090</v>
      </c>
      <c r="V4" s="657" t="s">
        <v>744</v>
      </c>
      <c r="W4" s="658" t="s">
        <v>745</v>
      </c>
      <c r="X4" s="658" t="s">
        <v>1388</v>
      </c>
      <c r="Y4" s="658" t="s">
        <v>1389</v>
      </c>
      <c r="Z4" s="659" t="s">
        <v>954</v>
      </c>
      <c r="AA4" s="659" t="s">
        <v>2093</v>
      </c>
      <c r="AB4" s="659" t="s">
        <v>2092</v>
      </c>
      <c r="AC4" s="660" t="s">
        <v>1236</v>
      </c>
      <c r="AD4" s="661" t="s">
        <v>948</v>
      </c>
      <c r="AE4" s="662"/>
      <c r="AF4" s="663"/>
      <c r="AJ4" s="660" t="s">
        <v>716</v>
      </c>
      <c r="AK4" s="660" t="s">
        <v>717</v>
      </c>
      <c r="AL4" s="660" t="s">
        <v>718</v>
      </c>
      <c r="AM4" s="660" t="s">
        <v>719</v>
      </c>
      <c r="AN4" s="660" t="s">
        <v>720</v>
      </c>
      <c r="AO4" s="660" t="s">
        <v>721</v>
      </c>
      <c r="AP4" s="660" t="s">
        <v>722</v>
      </c>
      <c r="AQ4" s="660" t="s">
        <v>723</v>
      </c>
      <c r="AT4" s="660" t="s">
        <v>725</v>
      </c>
      <c r="AU4" s="660" t="s">
        <v>726</v>
      </c>
      <c r="AV4" s="660" t="s">
        <v>943</v>
      </c>
      <c r="AW4" s="660" t="s">
        <v>944</v>
      </c>
      <c r="AX4" s="660" t="s">
        <v>945</v>
      </c>
      <c r="AY4" s="660" t="s">
        <v>946</v>
      </c>
      <c r="AZ4" s="660" t="s">
        <v>2094</v>
      </c>
    </row>
    <row r="5" spans="1:52" s="225" customFormat="1" ht="23.25" customHeight="1">
      <c r="A5" s="668" t="s">
        <v>1363</v>
      </c>
      <c r="B5" s="669" t="s">
        <v>1365</v>
      </c>
      <c r="C5" s="670"/>
      <c r="D5" s="668" t="s">
        <v>738</v>
      </c>
      <c r="E5" s="280" t="str">
        <f>AR5</f>
        <v>10S4P</v>
      </c>
      <c r="F5" s="718" t="s">
        <v>715</v>
      </c>
      <c r="G5" s="719" t="s">
        <v>685</v>
      </c>
      <c r="H5" s="720">
        <v>5</v>
      </c>
      <c r="I5" s="721"/>
      <c r="J5" s="668"/>
      <c r="K5" s="668" t="s">
        <v>116</v>
      </c>
      <c r="L5" s="668"/>
      <c r="M5" s="668"/>
      <c r="N5" s="722"/>
      <c r="O5" s="668"/>
      <c r="P5" s="723"/>
      <c r="Q5" s="724"/>
      <c r="R5" s="722"/>
      <c r="S5" s="668"/>
      <c r="T5" s="725"/>
      <c r="U5" s="668"/>
      <c r="V5" s="668"/>
      <c r="W5" s="668"/>
      <c r="X5" s="668"/>
      <c r="Y5" s="668"/>
      <c r="Z5" s="726"/>
      <c r="AA5" s="726"/>
      <c r="AB5" s="726"/>
      <c r="AC5" s="727"/>
      <c r="AD5" s="284" t="str">
        <f>A5&amp;"_"&amp;E5&amp;AS5&amp;AT5&amp;AU5&amp;AZ5</f>
        <v>Aurola_36100_N_10S4P5LED_SDI26H_SW1_</v>
      </c>
      <c r="AJ5" s="225">
        <f>FIND("V",UPPER(TRIM(D5)))</f>
        <v>3</v>
      </c>
      <c r="AK5" s="225">
        <f>FIND("AH",UPPER(TRIM(D5)))</f>
        <v>9</v>
      </c>
      <c r="AL5" s="225">
        <f t="shared" ref="AL5:AL141" si="0">VALUE(MID(TRIM(D5),1,AJ5-1))</f>
        <v>36</v>
      </c>
      <c r="AM5" s="225">
        <f t="shared" ref="AM5:AM141" si="1">VALUE(MID(TRIM(D5),AJ5+2,(AK5) -(AJ5+2) ))</f>
        <v>10</v>
      </c>
      <c r="AN5" s="225">
        <f>VALUE(MID(TRIM(F5),4,2))</f>
        <v>26</v>
      </c>
      <c r="AO5" s="225">
        <f>ROUNDDOWN(AL5/3.5,0)</f>
        <v>10</v>
      </c>
      <c r="AP5" s="225">
        <f>ROUNDUP(AM5*10/AN5,0)</f>
        <v>4</v>
      </c>
      <c r="AQ5" s="225" t="str">
        <f>IF(OR(ISERROR(AO5),ISERROR(AP5)),"error","ok")</f>
        <v>ok</v>
      </c>
      <c r="AR5" s="225" t="str">
        <f>IF(AQ5="ok", TEXT(AO5,0)&amp;"S"&amp; TEXT(AP5,0)&amp;"P","_")</f>
        <v>10S4P</v>
      </c>
      <c r="AS5" s="225" t="str">
        <f>IF(ISBLANK(H5),"",H5&amp;$H$2&amp;IF(UPPER(TRIM(I5))="V",$I$2,"")&amp;"_"&amp;F5&amp;"_")</f>
        <v>5LED_SDI26H_</v>
      </c>
      <c r="AT5" s="225" t="str">
        <f>IF(UPPER(TRIM(J5))="V",$J$2&amp;"_","")&amp;IF(UPPER(TRIM(K5))="V",$K$2&amp;"_","")&amp;IF(UPPER(TRIM(L5))="V",$L$2&amp;"_","")&amp;IF(UPPER(TRIM(M5))="V",$M$2&amp;"_","")&amp;IF(UPPER(TRIM(N5))="V",$N$2&amp;"_","")&amp;IF(UPPER(TRIM(O5))="V",$O$2&amp;"_","")</f>
        <v>SW1_</v>
      </c>
      <c r="AU5" s="225" t="str">
        <f>IF(UPPER(TRIM(P5))="V",$P$2&amp;"_","")&amp;IF(UPPER(TRIM(Q5))="V",$Q$2&amp;"_","")&amp;IF(UPPER(TRIM(R5))="V",$R$2&amp;"_","")&amp;IF(UPPER(TRIM(S5))="V",$S$2&amp;"_","")&amp;IF(UPPER(TRIM(T5))="V",$T$2&amp;"_","")&amp;IF(UPPER(TRIM(U5))="V",$U$2&amp;"_","")&amp;IF(UPPER(TRIM(V5))="V",$V$2&amp;"_","")&amp;IF(UPPER(TRIM(W5))="V",$W$2&amp;"_","")</f>
        <v/>
      </c>
      <c r="AV5" s="225" t="e">
        <f>FIND("
",C5)</f>
        <v>#VALUE!</v>
      </c>
      <c r="AW5" s="225" t="b">
        <f>IF(ISBLANK(C5),TRUE,(TRIM(C5)=""))</f>
        <v>1</v>
      </c>
      <c r="AX5" s="225" t="str">
        <f>IF(AW5=TRUE,"",IF(NOT(ISERROR(AV5)),TRIM(MID(C5,1,AV5-1))&amp;"_",TRIM(C5)&amp;"_"))</f>
        <v/>
      </c>
      <c r="AY5" s="225" t="str">
        <f>SUBSTITUTE(AX5,"-","_")</f>
        <v/>
      </c>
      <c r="AZ5" s="664" t="str">
        <f>IF(UPPER(TRIM(X5))="V",$X$2&amp;"_","")&amp;IF(UPPER(TRIM(Y5))="V",$Y$2&amp;"_","")&amp;IF(ISBLANK(Z5),"",Z5&amp;$Z$2&amp;"_")</f>
        <v/>
      </c>
    </row>
    <row r="6" spans="1:52" s="225" customFormat="1" ht="21">
      <c r="A6" s="668" t="s">
        <v>694</v>
      </c>
      <c r="B6" s="669" t="s">
        <v>706</v>
      </c>
      <c r="C6" s="670"/>
      <c r="D6" s="668" t="s">
        <v>738</v>
      </c>
      <c r="E6" s="280" t="str">
        <f t="shared" ref="E6:E140" si="2">AR6</f>
        <v>10S4P</v>
      </c>
      <c r="F6" s="718" t="s">
        <v>715</v>
      </c>
      <c r="G6" s="719" t="s">
        <v>685</v>
      </c>
      <c r="H6" s="720">
        <v>5</v>
      </c>
      <c r="I6" s="721"/>
      <c r="J6" s="668" t="s">
        <v>116</v>
      </c>
      <c r="K6" s="668" t="s">
        <v>116</v>
      </c>
      <c r="L6" s="668"/>
      <c r="M6" s="668"/>
      <c r="N6" s="722"/>
      <c r="O6" s="728" t="s">
        <v>116</v>
      </c>
      <c r="P6" s="722" t="s">
        <v>116</v>
      </c>
      <c r="Q6" s="668"/>
      <c r="R6" s="722"/>
      <c r="S6" s="668"/>
      <c r="T6" s="725"/>
      <c r="U6" s="668"/>
      <c r="V6" s="668"/>
      <c r="W6" s="668"/>
      <c r="X6" s="668"/>
      <c r="Y6" s="668"/>
      <c r="Z6" s="726"/>
      <c r="AA6" s="726"/>
      <c r="AB6" s="726"/>
      <c r="AC6" s="727"/>
      <c r="AD6" s="284" t="str">
        <f t="shared" ref="AD6:AD140" si="3">A6&amp;"_"&amp;E6&amp;AS6&amp;AT6&amp;AU6&amp;AZ6</f>
        <v>Aurola_36100_SU_10S4P5LED_SDI26H_COM_SW1_USBC_Aslp_</v>
      </c>
      <c r="AJ6" s="225">
        <f t="shared" ref="AJ6:AJ69" si="4">FIND("V",UPPER(TRIM(D6)))</f>
        <v>3</v>
      </c>
      <c r="AK6" s="225">
        <f t="shared" ref="AK6:AK69" si="5">FIND("AH",UPPER(TRIM(D6)))</f>
        <v>9</v>
      </c>
      <c r="AL6" s="225">
        <f t="shared" si="0"/>
        <v>36</v>
      </c>
      <c r="AM6" s="225">
        <f t="shared" si="1"/>
        <v>10</v>
      </c>
      <c r="AN6" s="225">
        <f t="shared" ref="AN6:AN69" si="6">VALUE(MID(TRIM(F6),4,2))</f>
        <v>26</v>
      </c>
      <c r="AO6" s="225">
        <f t="shared" ref="AO6:AO69" si="7">ROUNDDOWN(AL6/3.5,0)</f>
        <v>10</v>
      </c>
      <c r="AP6" s="225">
        <f t="shared" ref="AP6:AP69" si="8">ROUNDUP(AM6*10/AN6,0)</f>
        <v>4</v>
      </c>
      <c r="AQ6" s="225" t="str">
        <f t="shared" ref="AQ6:AQ69" si="9">IF(OR(ISERROR(AO6),ISERROR(AP6)),"error","ok")</f>
        <v>ok</v>
      </c>
      <c r="AR6" s="225" t="str">
        <f t="shared" ref="AR6:AR141" si="10">IF(AQ6="ok", TEXT(AO6,0)&amp;"S"&amp; TEXT(AP6,0)&amp;"P","_")</f>
        <v>10S4P</v>
      </c>
      <c r="AS6" s="225" t="str">
        <f t="shared" ref="AS6:AS141" si="11">IF(ISBLANK(H6),"",H6&amp;$H$2&amp;IF(UPPER(TRIM(I6))="V",$I$2,"")&amp;"_"&amp;F6&amp;"_")</f>
        <v>5LED_SDI26H_</v>
      </c>
      <c r="AT6" s="225" t="str">
        <f t="shared" ref="AT6:AT141" si="12">IF(UPPER(TRIM(J6))="V",$J$2&amp;"_","")&amp;IF(UPPER(TRIM(K6))="V",$K$2&amp;"_","")&amp;IF(UPPER(TRIM(L6))="V",$L$2&amp;"_","")&amp;IF(UPPER(TRIM(M6))="V",$M$2&amp;"_","")&amp;IF(UPPER(TRIM(N6))="V",$N$2&amp;"_","")&amp;IF(UPPER(TRIM(O6))="V",$O$2&amp;"_","")</f>
        <v>COM_SW1_USBC_</v>
      </c>
      <c r="AU6" s="225" t="str">
        <f t="shared" ref="AU6:AU69" si="13">IF(UPPER(TRIM(P6))="V",$P$2&amp;"_","")&amp;IF(UPPER(TRIM(Q6))="V",$Q$2&amp;"_","")&amp;IF(UPPER(TRIM(R6))="V",$R$2&amp;"_","")&amp;IF(UPPER(TRIM(S6))="V",$S$2&amp;"_","")&amp;IF(UPPER(TRIM(T6))="V",$T$2&amp;"_","")&amp;IF(UPPER(TRIM(U6))="V",$U$2&amp;"_","")&amp;IF(UPPER(TRIM(V6))="V",$V$2&amp;"_","")&amp;IF(UPPER(TRIM(W6))="V",$W$2&amp;"_","")</f>
        <v>Aslp_</v>
      </c>
      <c r="AV6" s="225" t="e">
        <f>FIND("
",C6)</f>
        <v>#VALUE!</v>
      </c>
      <c r="AW6" s="225" t="b">
        <f>IF(ISBLANK(C6),TRUE,(TRIM(C6)=""))</f>
        <v>1</v>
      </c>
      <c r="AX6" s="225" t="str">
        <f t="shared" ref="AX6:AX141" si="14">IF(AW6=TRUE,"",IF(NOT(ISERROR(AV6)),TRIM(MID(C6,1,AV6-1))&amp;"_",TRIM(C6)&amp;"_"))</f>
        <v/>
      </c>
      <c r="AY6" s="225" t="str">
        <f t="shared" ref="AY6:AY141" si="15">SUBSTITUTE(AX6,"-","_")</f>
        <v/>
      </c>
      <c r="AZ6" s="664" t="str">
        <f t="shared" ref="AZ6:AZ74" si="16">IF(UPPER(TRIM(X6))="V",$X$2&amp;"_","")&amp;IF(UPPER(TRIM(Y6))="V",$Y$2&amp;"_","")&amp;IF(ISBLANK(Z6),"",Z6&amp;$Z$2&amp;"_")</f>
        <v/>
      </c>
    </row>
    <row r="7" spans="1:52" s="225" customFormat="1" ht="21">
      <c r="A7" s="668" t="s">
        <v>693</v>
      </c>
      <c r="B7" s="669" t="s">
        <v>707</v>
      </c>
      <c r="C7" s="670"/>
      <c r="D7" s="668" t="s">
        <v>739</v>
      </c>
      <c r="E7" s="280" t="str">
        <f t="shared" si="2"/>
        <v>10S3P</v>
      </c>
      <c r="F7" s="718" t="s">
        <v>715</v>
      </c>
      <c r="G7" s="719" t="s">
        <v>685</v>
      </c>
      <c r="H7" s="720">
        <v>4</v>
      </c>
      <c r="I7" s="721"/>
      <c r="J7" s="668"/>
      <c r="K7" s="668" t="s">
        <v>116</v>
      </c>
      <c r="L7" s="668"/>
      <c r="M7" s="668"/>
      <c r="N7" s="722"/>
      <c r="O7" s="668"/>
      <c r="P7" s="723"/>
      <c r="Q7" s="724"/>
      <c r="R7" s="668"/>
      <c r="S7" s="668"/>
      <c r="T7" s="725"/>
      <c r="U7" s="668"/>
      <c r="V7" s="668"/>
      <c r="W7" s="668"/>
      <c r="X7" s="668"/>
      <c r="Y7" s="668"/>
      <c r="Z7" s="726"/>
      <c r="AA7" s="726"/>
      <c r="AB7" s="726"/>
      <c r="AC7" s="727"/>
      <c r="AD7" s="284" t="str">
        <f t="shared" si="3"/>
        <v>Eos_36076_N_10S3P4LED_SDI26H_SW1_</v>
      </c>
      <c r="AJ7" s="225">
        <f t="shared" si="4"/>
        <v>3</v>
      </c>
      <c r="AK7" s="225">
        <f t="shared" si="5"/>
        <v>8</v>
      </c>
      <c r="AL7" s="225">
        <f t="shared" si="0"/>
        <v>36</v>
      </c>
      <c r="AM7" s="225">
        <f t="shared" si="1"/>
        <v>7.6</v>
      </c>
      <c r="AN7" s="225">
        <f t="shared" si="6"/>
        <v>26</v>
      </c>
      <c r="AO7" s="225">
        <f t="shared" si="7"/>
        <v>10</v>
      </c>
      <c r="AP7" s="225">
        <f t="shared" si="8"/>
        <v>3</v>
      </c>
      <c r="AQ7" s="225" t="str">
        <f t="shared" si="9"/>
        <v>ok</v>
      </c>
      <c r="AR7" s="225" t="str">
        <f t="shared" si="10"/>
        <v>10S3P</v>
      </c>
      <c r="AS7" s="225" t="str">
        <f t="shared" si="11"/>
        <v>4LED_SDI26H_</v>
      </c>
      <c r="AT7" s="225" t="str">
        <f t="shared" si="12"/>
        <v>SW1_</v>
      </c>
      <c r="AU7" s="225" t="str">
        <f t="shared" si="13"/>
        <v/>
      </c>
      <c r="AV7" s="225" t="e">
        <f t="shared" ref="AV7:AV141" si="17">FIND("
",C7)</f>
        <v>#VALUE!</v>
      </c>
      <c r="AW7" s="225" t="b">
        <f t="shared" ref="AW7:AW141" si="18">IF(ISBLANK(C7),TRUE,(TRIM(C7)=""))</f>
        <v>1</v>
      </c>
      <c r="AX7" s="225" t="str">
        <f t="shared" si="14"/>
        <v/>
      </c>
      <c r="AY7" s="225" t="str">
        <f t="shared" si="15"/>
        <v/>
      </c>
      <c r="AZ7" s="664" t="str">
        <f t="shared" si="16"/>
        <v/>
      </c>
    </row>
    <row r="8" spans="1:52" s="225" customFormat="1" ht="21">
      <c r="A8" s="668" t="s">
        <v>692</v>
      </c>
      <c r="B8" s="669" t="s">
        <v>708</v>
      </c>
      <c r="C8" s="670"/>
      <c r="D8" s="668" t="s">
        <v>682</v>
      </c>
      <c r="E8" s="280" t="str">
        <f t="shared" si="2"/>
        <v>10S4P</v>
      </c>
      <c r="F8" s="718" t="s">
        <v>715</v>
      </c>
      <c r="G8" s="719" t="s">
        <v>685</v>
      </c>
      <c r="H8" s="720">
        <v>3</v>
      </c>
      <c r="I8" s="721"/>
      <c r="J8" s="668" t="s">
        <v>116</v>
      </c>
      <c r="K8" s="668" t="s">
        <v>116</v>
      </c>
      <c r="L8" s="668"/>
      <c r="M8" s="668"/>
      <c r="N8" s="722"/>
      <c r="O8" s="668"/>
      <c r="P8" s="723"/>
      <c r="Q8" s="724"/>
      <c r="R8" s="668"/>
      <c r="S8" s="668"/>
      <c r="T8" s="725"/>
      <c r="U8" s="668"/>
      <c r="V8" s="668"/>
      <c r="W8" s="668"/>
      <c r="X8" s="668"/>
      <c r="Y8" s="668"/>
      <c r="Z8" s="726"/>
      <c r="AA8" s="726"/>
      <c r="AB8" s="726"/>
      <c r="AC8" s="727"/>
      <c r="AD8" s="284" t="str">
        <f t="shared" si="3"/>
        <v>Demeter_B215_36100_S_10S4P3LED_SDI26H_COM_SW1_</v>
      </c>
      <c r="AJ8" s="225">
        <f t="shared" si="4"/>
        <v>3</v>
      </c>
      <c r="AK8" s="225">
        <f t="shared" si="5"/>
        <v>9</v>
      </c>
      <c r="AL8" s="225">
        <f t="shared" si="0"/>
        <v>36</v>
      </c>
      <c r="AM8" s="225">
        <f t="shared" si="1"/>
        <v>10</v>
      </c>
      <c r="AN8" s="225">
        <f t="shared" si="6"/>
        <v>26</v>
      </c>
      <c r="AO8" s="225">
        <f t="shared" si="7"/>
        <v>10</v>
      </c>
      <c r="AP8" s="225">
        <f t="shared" si="8"/>
        <v>4</v>
      </c>
      <c r="AQ8" s="225" t="str">
        <f t="shared" si="9"/>
        <v>ok</v>
      </c>
      <c r="AR8" s="225" t="str">
        <f t="shared" si="10"/>
        <v>10S4P</v>
      </c>
      <c r="AS8" s="225" t="str">
        <f t="shared" si="11"/>
        <v>3LED_SDI26H_</v>
      </c>
      <c r="AT8" s="225" t="str">
        <f t="shared" si="12"/>
        <v>COM_SW1_</v>
      </c>
      <c r="AU8" s="225" t="str">
        <f t="shared" si="13"/>
        <v/>
      </c>
      <c r="AV8" s="225" t="e">
        <f t="shared" si="17"/>
        <v>#VALUE!</v>
      </c>
      <c r="AW8" s="225" t="b">
        <f t="shared" si="18"/>
        <v>1</v>
      </c>
      <c r="AX8" s="225" t="str">
        <f t="shared" si="14"/>
        <v/>
      </c>
      <c r="AY8" s="225" t="str">
        <f t="shared" si="15"/>
        <v/>
      </c>
      <c r="AZ8" s="664" t="str">
        <f t="shared" si="16"/>
        <v/>
      </c>
    </row>
    <row r="9" spans="1:52" s="225" customFormat="1" ht="21">
      <c r="A9" s="668" t="s">
        <v>691</v>
      </c>
      <c r="B9" s="669" t="s">
        <v>709</v>
      </c>
      <c r="C9" s="670"/>
      <c r="D9" s="668" t="s">
        <v>495</v>
      </c>
      <c r="E9" s="280" t="str">
        <f t="shared" si="2"/>
        <v>10S3P</v>
      </c>
      <c r="F9" s="718" t="s">
        <v>715</v>
      </c>
      <c r="G9" s="719" t="s">
        <v>685</v>
      </c>
      <c r="H9" s="720">
        <v>0</v>
      </c>
      <c r="I9" s="721"/>
      <c r="J9" s="668"/>
      <c r="K9" s="668"/>
      <c r="L9" s="668"/>
      <c r="M9" s="668"/>
      <c r="N9" s="722"/>
      <c r="O9" s="668"/>
      <c r="P9" s="723"/>
      <c r="Q9" s="724"/>
      <c r="R9" s="668"/>
      <c r="S9" s="668"/>
      <c r="T9" s="725"/>
      <c r="U9" s="668"/>
      <c r="V9" s="668"/>
      <c r="W9" s="668"/>
      <c r="X9" s="668"/>
      <c r="Y9" s="668"/>
      <c r="Z9" s="726"/>
      <c r="AA9" s="726"/>
      <c r="AB9" s="726"/>
      <c r="AC9" s="727"/>
      <c r="AD9" s="284" t="str">
        <f t="shared" si="3"/>
        <v>Ceres_36076_N_10S3P0LED_SDI26H_</v>
      </c>
      <c r="AJ9" s="225">
        <f t="shared" si="4"/>
        <v>3</v>
      </c>
      <c r="AK9" s="225">
        <f t="shared" si="5"/>
        <v>8</v>
      </c>
      <c r="AL9" s="225">
        <f t="shared" si="0"/>
        <v>36</v>
      </c>
      <c r="AM9" s="225">
        <f t="shared" si="1"/>
        <v>7.6</v>
      </c>
      <c r="AN9" s="225">
        <f t="shared" si="6"/>
        <v>26</v>
      </c>
      <c r="AO9" s="225">
        <f t="shared" si="7"/>
        <v>10</v>
      </c>
      <c r="AP9" s="225">
        <f t="shared" si="8"/>
        <v>3</v>
      </c>
      <c r="AQ9" s="225" t="str">
        <f t="shared" si="9"/>
        <v>ok</v>
      </c>
      <c r="AR9" s="225" t="str">
        <f t="shared" si="10"/>
        <v>10S3P</v>
      </c>
      <c r="AS9" s="225" t="str">
        <f t="shared" si="11"/>
        <v>0LED_SDI26H_</v>
      </c>
      <c r="AT9" s="225" t="str">
        <f t="shared" si="12"/>
        <v/>
      </c>
      <c r="AU9" s="225" t="str">
        <f t="shared" si="13"/>
        <v/>
      </c>
      <c r="AV9" s="225" t="e">
        <f t="shared" si="17"/>
        <v>#VALUE!</v>
      </c>
      <c r="AW9" s="225" t="b">
        <f t="shared" si="18"/>
        <v>1</v>
      </c>
      <c r="AX9" s="225" t="str">
        <f t="shared" si="14"/>
        <v/>
      </c>
      <c r="AY9" s="225" t="str">
        <f t="shared" si="15"/>
        <v/>
      </c>
      <c r="AZ9" s="664" t="str">
        <f t="shared" si="16"/>
        <v/>
      </c>
    </row>
    <row r="10" spans="1:52" s="225" customFormat="1" ht="21">
      <c r="A10" s="668" t="s">
        <v>690</v>
      </c>
      <c r="B10" s="669" t="s">
        <v>710</v>
      </c>
      <c r="C10" s="670"/>
      <c r="D10" s="668" t="s">
        <v>484</v>
      </c>
      <c r="E10" s="280" t="str">
        <f t="shared" si="2"/>
        <v>7S2P</v>
      </c>
      <c r="F10" s="718" t="s">
        <v>715</v>
      </c>
      <c r="G10" s="719" t="s">
        <v>685</v>
      </c>
      <c r="H10" s="720">
        <v>5</v>
      </c>
      <c r="I10" s="721"/>
      <c r="J10" s="668" t="s">
        <v>116</v>
      </c>
      <c r="K10" s="668" t="s">
        <v>116</v>
      </c>
      <c r="L10" s="668"/>
      <c r="M10" s="668"/>
      <c r="N10" s="722"/>
      <c r="O10" s="668" t="s">
        <v>116</v>
      </c>
      <c r="P10" s="723"/>
      <c r="Q10" s="724"/>
      <c r="R10" s="668"/>
      <c r="S10" s="668"/>
      <c r="T10" s="725"/>
      <c r="U10" s="668"/>
      <c r="V10" s="668"/>
      <c r="W10" s="668"/>
      <c r="X10" s="668"/>
      <c r="Y10" s="668"/>
      <c r="Z10" s="726"/>
      <c r="AA10" s="726"/>
      <c r="AB10" s="726"/>
      <c r="AC10" s="727"/>
      <c r="AD10" s="284" t="str">
        <f t="shared" si="3"/>
        <v>Cupid _26050_SU_7S2P5LED_SDI26H_COM_SW1_USBC_</v>
      </c>
      <c r="AJ10" s="225">
        <f t="shared" si="4"/>
        <v>3</v>
      </c>
      <c r="AK10" s="225">
        <f t="shared" si="5"/>
        <v>8</v>
      </c>
      <c r="AL10" s="225">
        <f t="shared" si="0"/>
        <v>26</v>
      </c>
      <c r="AM10" s="225">
        <f t="shared" si="1"/>
        <v>5</v>
      </c>
      <c r="AN10" s="225">
        <f t="shared" si="6"/>
        <v>26</v>
      </c>
      <c r="AO10" s="225">
        <f t="shared" si="7"/>
        <v>7</v>
      </c>
      <c r="AP10" s="225">
        <f t="shared" si="8"/>
        <v>2</v>
      </c>
      <c r="AQ10" s="225" t="str">
        <f t="shared" si="9"/>
        <v>ok</v>
      </c>
      <c r="AR10" s="225" t="str">
        <f t="shared" si="10"/>
        <v>7S2P</v>
      </c>
      <c r="AS10" s="225" t="str">
        <f t="shared" si="11"/>
        <v>5LED_SDI26H_</v>
      </c>
      <c r="AT10" s="225" t="str">
        <f t="shared" si="12"/>
        <v>COM_SW1_USBC_</v>
      </c>
      <c r="AU10" s="225" t="str">
        <f t="shared" si="13"/>
        <v/>
      </c>
      <c r="AV10" s="225" t="e">
        <f t="shared" si="17"/>
        <v>#VALUE!</v>
      </c>
      <c r="AW10" s="225" t="b">
        <f t="shared" si="18"/>
        <v>1</v>
      </c>
      <c r="AX10" s="225" t="str">
        <f t="shared" si="14"/>
        <v/>
      </c>
      <c r="AY10" s="225" t="str">
        <f t="shared" si="15"/>
        <v/>
      </c>
      <c r="AZ10" s="664" t="str">
        <f t="shared" si="16"/>
        <v/>
      </c>
    </row>
    <row r="11" spans="1:52" s="225" customFormat="1" ht="21">
      <c r="A11" s="668" t="s">
        <v>2042</v>
      </c>
      <c r="B11" s="669" t="s">
        <v>711</v>
      </c>
      <c r="C11" s="670"/>
      <c r="D11" s="668" t="s">
        <v>480</v>
      </c>
      <c r="E11" s="280" t="str">
        <f t="shared" si="2"/>
        <v>7S3P</v>
      </c>
      <c r="F11" s="718" t="s">
        <v>715</v>
      </c>
      <c r="G11" s="719" t="s">
        <v>685</v>
      </c>
      <c r="H11" s="720">
        <v>5</v>
      </c>
      <c r="I11" s="721"/>
      <c r="J11" s="668" t="s">
        <v>116</v>
      </c>
      <c r="K11" s="668" t="s">
        <v>116</v>
      </c>
      <c r="L11" s="668"/>
      <c r="M11" s="668"/>
      <c r="N11" s="722"/>
      <c r="O11" s="668" t="s">
        <v>116</v>
      </c>
      <c r="P11" s="723"/>
      <c r="Q11" s="724"/>
      <c r="R11" s="668"/>
      <c r="S11" s="668"/>
      <c r="T11" s="725"/>
      <c r="U11" s="668"/>
      <c r="V11" s="668"/>
      <c r="W11" s="668"/>
      <c r="X11" s="668"/>
      <c r="Y11" s="668"/>
      <c r="Z11" s="726"/>
      <c r="AA11" s="726"/>
      <c r="AB11" s="726"/>
      <c r="AC11" s="727"/>
      <c r="AD11" s="284" t="str">
        <f t="shared" si="3"/>
        <v>Cupid_26076_SU_7S3P5LED_SDI26H_COM_SW1_USBC_</v>
      </c>
      <c r="AJ11" s="225">
        <f t="shared" si="4"/>
        <v>3</v>
      </c>
      <c r="AK11" s="225">
        <f t="shared" si="5"/>
        <v>8</v>
      </c>
      <c r="AL11" s="225">
        <f t="shared" si="0"/>
        <v>26</v>
      </c>
      <c r="AM11" s="225">
        <f t="shared" si="1"/>
        <v>7.6</v>
      </c>
      <c r="AN11" s="225">
        <f t="shared" si="6"/>
        <v>26</v>
      </c>
      <c r="AO11" s="225">
        <f t="shared" si="7"/>
        <v>7</v>
      </c>
      <c r="AP11" s="225">
        <f t="shared" si="8"/>
        <v>3</v>
      </c>
      <c r="AQ11" s="225" t="str">
        <f t="shared" si="9"/>
        <v>ok</v>
      </c>
      <c r="AR11" s="225" t="str">
        <f t="shared" si="10"/>
        <v>7S3P</v>
      </c>
      <c r="AS11" s="225" t="str">
        <f t="shared" si="11"/>
        <v>5LED_SDI26H_</v>
      </c>
      <c r="AT11" s="225" t="str">
        <f t="shared" si="12"/>
        <v>COM_SW1_USBC_</v>
      </c>
      <c r="AU11" s="225" t="str">
        <f t="shared" si="13"/>
        <v/>
      </c>
      <c r="AV11" s="225" t="e">
        <f t="shared" si="17"/>
        <v>#VALUE!</v>
      </c>
      <c r="AW11" s="225" t="b">
        <f t="shared" si="18"/>
        <v>1</v>
      </c>
      <c r="AX11" s="225" t="str">
        <f t="shared" si="14"/>
        <v/>
      </c>
      <c r="AY11" s="225" t="str">
        <f t="shared" si="15"/>
        <v/>
      </c>
      <c r="AZ11" s="664" t="str">
        <f t="shared" si="16"/>
        <v/>
      </c>
    </row>
    <row r="12" spans="1:52" s="225" customFormat="1" ht="21">
      <c r="A12" s="668" t="s">
        <v>689</v>
      </c>
      <c r="B12" s="669" t="s">
        <v>712</v>
      </c>
      <c r="C12" s="670"/>
      <c r="D12" s="668" t="s">
        <v>682</v>
      </c>
      <c r="E12" s="280" t="str">
        <f t="shared" si="2"/>
        <v>10S4P</v>
      </c>
      <c r="F12" s="718" t="s">
        <v>715</v>
      </c>
      <c r="G12" s="719" t="s">
        <v>685</v>
      </c>
      <c r="H12" s="720">
        <v>3</v>
      </c>
      <c r="I12" s="721"/>
      <c r="J12" s="668"/>
      <c r="K12" s="668" t="s">
        <v>116</v>
      </c>
      <c r="L12" s="668"/>
      <c r="M12" s="668"/>
      <c r="N12" s="722"/>
      <c r="O12" s="668"/>
      <c r="P12" s="723"/>
      <c r="Q12" s="724"/>
      <c r="R12" s="668"/>
      <c r="S12" s="668"/>
      <c r="T12" s="725"/>
      <c r="U12" s="668"/>
      <c r="V12" s="668"/>
      <c r="W12" s="668"/>
      <c r="X12" s="668"/>
      <c r="Y12" s="668"/>
      <c r="Z12" s="726"/>
      <c r="AA12" s="726"/>
      <c r="AB12" s="726"/>
      <c r="AC12" s="727"/>
      <c r="AD12" s="284" t="str">
        <f t="shared" si="3"/>
        <v>Pan_B285_36100_N_10S4P3LED_SDI26H_SW1_</v>
      </c>
      <c r="AJ12" s="225">
        <f t="shared" si="4"/>
        <v>3</v>
      </c>
      <c r="AK12" s="225">
        <f t="shared" si="5"/>
        <v>9</v>
      </c>
      <c r="AL12" s="225">
        <f t="shared" si="0"/>
        <v>36</v>
      </c>
      <c r="AM12" s="225">
        <f t="shared" si="1"/>
        <v>10</v>
      </c>
      <c r="AN12" s="225">
        <f t="shared" si="6"/>
        <v>26</v>
      </c>
      <c r="AO12" s="225">
        <f t="shared" si="7"/>
        <v>10</v>
      </c>
      <c r="AP12" s="225">
        <f t="shared" si="8"/>
        <v>4</v>
      </c>
      <c r="AQ12" s="225" t="str">
        <f t="shared" si="9"/>
        <v>ok</v>
      </c>
      <c r="AR12" s="225" t="str">
        <f t="shared" si="10"/>
        <v>10S4P</v>
      </c>
      <c r="AS12" s="225" t="str">
        <f t="shared" si="11"/>
        <v>3LED_SDI26H_</v>
      </c>
      <c r="AT12" s="225" t="str">
        <f t="shared" si="12"/>
        <v>SW1_</v>
      </c>
      <c r="AU12" s="225" t="str">
        <f t="shared" si="13"/>
        <v/>
      </c>
      <c r="AV12" s="225" t="e">
        <f t="shared" si="17"/>
        <v>#VALUE!</v>
      </c>
      <c r="AW12" s="225" t="b">
        <f t="shared" si="18"/>
        <v>1</v>
      </c>
      <c r="AX12" s="225" t="str">
        <f t="shared" si="14"/>
        <v/>
      </c>
      <c r="AY12" s="225" t="str">
        <f t="shared" si="15"/>
        <v/>
      </c>
      <c r="AZ12" s="664" t="str">
        <f t="shared" si="16"/>
        <v/>
      </c>
    </row>
    <row r="13" spans="1:52" s="289" customFormat="1" ht="21">
      <c r="A13" s="671" t="s">
        <v>957</v>
      </c>
      <c r="B13" s="672" t="s">
        <v>958</v>
      </c>
      <c r="C13" s="673"/>
      <c r="D13" s="671" t="s">
        <v>959</v>
      </c>
      <c r="E13" s="287" t="str">
        <f t="shared" si="2"/>
        <v>10S5P</v>
      </c>
      <c r="F13" s="671" t="s">
        <v>715</v>
      </c>
      <c r="G13" s="671" t="s">
        <v>685</v>
      </c>
      <c r="H13" s="671">
        <v>3</v>
      </c>
      <c r="I13" s="729"/>
      <c r="J13" s="671"/>
      <c r="K13" s="671" t="s">
        <v>116</v>
      </c>
      <c r="L13" s="671"/>
      <c r="M13" s="671"/>
      <c r="N13" s="730"/>
      <c r="O13" s="671"/>
      <c r="P13" s="731"/>
      <c r="Q13" s="732"/>
      <c r="R13" s="671"/>
      <c r="S13" s="671"/>
      <c r="T13" s="733"/>
      <c r="U13" s="671"/>
      <c r="V13" s="671"/>
      <c r="W13" s="671"/>
      <c r="X13" s="671"/>
      <c r="Y13" s="671"/>
      <c r="Z13" s="734"/>
      <c r="AA13" s="734"/>
      <c r="AB13" s="734"/>
      <c r="AC13" s="735"/>
      <c r="AD13" s="288" t="str">
        <f t="shared" si="3"/>
        <v>Pan_B285_36130_N_10S5P3LED_SDI26H_SW1_</v>
      </c>
      <c r="AJ13" s="289">
        <f t="shared" si="4"/>
        <v>3</v>
      </c>
      <c r="AK13" s="289">
        <f t="shared" si="5"/>
        <v>9</v>
      </c>
      <c r="AL13" s="289">
        <f t="shared" si="0"/>
        <v>36</v>
      </c>
      <c r="AM13" s="289">
        <f t="shared" si="1"/>
        <v>13</v>
      </c>
      <c r="AN13" s="289">
        <f t="shared" si="6"/>
        <v>26</v>
      </c>
      <c r="AO13" s="289">
        <f t="shared" si="7"/>
        <v>10</v>
      </c>
      <c r="AP13" s="289">
        <f t="shared" si="8"/>
        <v>5</v>
      </c>
      <c r="AQ13" s="289" t="str">
        <f t="shared" si="9"/>
        <v>ok</v>
      </c>
      <c r="AR13" s="289" t="str">
        <f t="shared" si="10"/>
        <v>10S5P</v>
      </c>
      <c r="AS13" s="225" t="str">
        <f t="shared" si="11"/>
        <v>3LED_SDI26H_</v>
      </c>
      <c r="AT13" s="225" t="str">
        <f t="shared" si="12"/>
        <v>SW1_</v>
      </c>
      <c r="AU13" s="225" t="str">
        <f t="shared" si="13"/>
        <v/>
      </c>
      <c r="AV13" s="289" t="e">
        <f t="shared" si="17"/>
        <v>#VALUE!</v>
      </c>
      <c r="AW13" s="289" t="b">
        <f t="shared" si="18"/>
        <v>1</v>
      </c>
      <c r="AX13" s="289" t="str">
        <f t="shared" si="14"/>
        <v/>
      </c>
      <c r="AY13" s="289" t="str">
        <f t="shared" si="15"/>
        <v/>
      </c>
      <c r="AZ13" s="664" t="str">
        <f t="shared" si="16"/>
        <v/>
      </c>
    </row>
    <row r="14" spans="1:52" s="225" customFormat="1" ht="21">
      <c r="A14" s="668" t="s">
        <v>688</v>
      </c>
      <c r="B14" s="669" t="s">
        <v>713</v>
      </c>
      <c r="C14" s="670"/>
      <c r="D14" s="668" t="s">
        <v>686</v>
      </c>
      <c r="E14" s="280" t="str">
        <f t="shared" si="2"/>
        <v>7S3P</v>
      </c>
      <c r="F14" s="718" t="s">
        <v>715</v>
      </c>
      <c r="G14" s="719" t="s">
        <v>685</v>
      </c>
      <c r="H14" s="720">
        <v>3</v>
      </c>
      <c r="I14" s="721"/>
      <c r="J14" s="668"/>
      <c r="K14" s="668" t="s">
        <v>116</v>
      </c>
      <c r="L14" s="668"/>
      <c r="M14" s="668"/>
      <c r="N14" s="722"/>
      <c r="O14" s="668"/>
      <c r="P14" s="723"/>
      <c r="Q14" s="724"/>
      <c r="R14" s="668"/>
      <c r="S14" s="668"/>
      <c r="T14" s="725"/>
      <c r="U14" s="668"/>
      <c r="V14" s="668"/>
      <c r="W14" s="668"/>
      <c r="X14" s="668"/>
      <c r="Y14" s="668"/>
      <c r="Z14" s="726"/>
      <c r="AA14" s="726"/>
      <c r="AB14" s="726"/>
      <c r="AC14" s="727"/>
      <c r="AD14" s="284" t="str">
        <f t="shared" si="3"/>
        <v>Pan_B285_26076_N_7S3P3LED_SDI26H_SW1_</v>
      </c>
      <c r="AJ14" s="225">
        <f t="shared" si="4"/>
        <v>3</v>
      </c>
      <c r="AK14" s="225">
        <f t="shared" si="5"/>
        <v>8</v>
      </c>
      <c r="AL14" s="225">
        <f t="shared" si="0"/>
        <v>26</v>
      </c>
      <c r="AM14" s="225">
        <f t="shared" si="1"/>
        <v>7.8</v>
      </c>
      <c r="AN14" s="225">
        <f t="shared" si="6"/>
        <v>26</v>
      </c>
      <c r="AO14" s="225">
        <f t="shared" si="7"/>
        <v>7</v>
      </c>
      <c r="AP14" s="225">
        <f t="shared" si="8"/>
        <v>3</v>
      </c>
      <c r="AQ14" s="225" t="str">
        <f t="shared" si="9"/>
        <v>ok</v>
      </c>
      <c r="AR14" s="225" t="str">
        <f t="shared" si="10"/>
        <v>7S3P</v>
      </c>
      <c r="AS14" s="225" t="str">
        <f t="shared" si="11"/>
        <v>3LED_SDI26H_</v>
      </c>
      <c r="AT14" s="225" t="str">
        <f t="shared" si="12"/>
        <v>SW1_</v>
      </c>
      <c r="AU14" s="225" t="str">
        <f t="shared" si="13"/>
        <v/>
      </c>
      <c r="AV14" s="225" t="e">
        <f t="shared" si="17"/>
        <v>#VALUE!</v>
      </c>
      <c r="AW14" s="225" t="b">
        <f t="shared" si="18"/>
        <v>1</v>
      </c>
      <c r="AX14" s="225" t="str">
        <f t="shared" si="14"/>
        <v/>
      </c>
      <c r="AY14" s="225" t="str">
        <f t="shared" si="15"/>
        <v/>
      </c>
      <c r="AZ14" s="664" t="str">
        <f t="shared" si="16"/>
        <v/>
      </c>
    </row>
    <row r="15" spans="1:52" s="225" customFormat="1" ht="21">
      <c r="A15" s="668" t="s">
        <v>687</v>
      </c>
      <c r="B15" s="669" t="s">
        <v>713</v>
      </c>
      <c r="C15" s="670"/>
      <c r="D15" s="668" t="s">
        <v>686</v>
      </c>
      <c r="E15" s="280" t="str">
        <f t="shared" si="2"/>
        <v>7S3P</v>
      </c>
      <c r="F15" s="718" t="s">
        <v>715</v>
      </c>
      <c r="G15" s="719" t="s">
        <v>685</v>
      </c>
      <c r="H15" s="720">
        <v>3</v>
      </c>
      <c r="I15" s="721"/>
      <c r="J15" s="668"/>
      <c r="K15" s="668" t="s">
        <v>116</v>
      </c>
      <c r="L15" s="668"/>
      <c r="M15" s="668"/>
      <c r="N15" s="722"/>
      <c r="O15" s="668"/>
      <c r="P15" s="723"/>
      <c r="Q15" s="724"/>
      <c r="R15" s="668"/>
      <c r="S15" s="668"/>
      <c r="T15" s="725"/>
      <c r="U15" s="668"/>
      <c r="V15" s="668"/>
      <c r="W15" s="668"/>
      <c r="X15" s="668"/>
      <c r="Y15" s="668"/>
      <c r="Z15" s="726"/>
      <c r="AA15" s="726"/>
      <c r="AB15" s="726"/>
      <c r="AC15" s="727"/>
      <c r="AD15" s="284" t="str">
        <f t="shared" si="3"/>
        <v>Pan_B190_26076_N_7S3P3LED_SDI26H_SW1_</v>
      </c>
      <c r="AJ15" s="225">
        <f t="shared" si="4"/>
        <v>3</v>
      </c>
      <c r="AK15" s="225">
        <f t="shared" si="5"/>
        <v>8</v>
      </c>
      <c r="AL15" s="225">
        <f t="shared" si="0"/>
        <v>26</v>
      </c>
      <c r="AM15" s="225">
        <f t="shared" si="1"/>
        <v>7.8</v>
      </c>
      <c r="AN15" s="225">
        <f t="shared" si="6"/>
        <v>26</v>
      </c>
      <c r="AO15" s="225">
        <f t="shared" si="7"/>
        <v>7</v>
      </c>
      <c r="AP15" s="225">
        <f t="shared" si="8"/>
        <v>3</v>
      </c>
      <c r="AQ15" s="225" t="str">
        <f t="shared" si="9"/>
        <v>ok</v>
      </c>
      <c r="AR15" s="225" t="str">
        <f t="shared" si="10"/>
        <v>7S3P</v>
      </c>
      <c r="AS15" s="225" t="str">
        <f t="shared" si="11"/>
        <v>3LED_SDI26H_</v>
      </c>
      <c r="AT15" s="225" t="str">
        <f t="shared" si="12"/>
        <v>SW1_</v>
      </c>
      <c r="AU15" s="225" t="str">
        <f t="shared" si="13"/>
        <v/>
      </c>
      <c r="AV15" s="225" t="e">
        <f t="shared" si="17"/>
        <v>#VALUE!</v>
      </c>
      <c r="AW15" s="225" t="b">
        <f t="shared" si="18"/>
        <v>1</v>
      </c>
      <c r="AX15" s="225" t="str">
        <f t="shared" si="14"/>
        <v/>
      </c>
      <c r="AY15" s="225" t="str">
        <f t="shared" si="15"/>
        <v/>
      </c>
      <c r="AZ15" s="664" t="str">
        <f t="shared" si="16"/>
        <v/>
      </c>
    </row>
    <row r="16" spans="1:52" s="225" customFormat="1" ht="42">
      <c r="A16" s="668" t="s">
        <v>731</v>
      </c>
      <c r="B16" s="669" t="s">
        <v>684</v>
      </c>
      <c r="C16" s="670"/>
      <c r="D16" s="668" t="s">
        <v>682</v>
      </c>
      <c r="E16" s="280" t="str">
        <f t="shared" si="2"/>
        <v>10S4P</v>
      </c>
      <c r="F16" s="718" t="s">
        <v>715</v>
      </c>
      <c r="G16" s="719" t="s">
        <v>116</v>
      </c>
      <c r="H16" s="720">
        <v>5</v>
      </c>
      <c r="I16" s="721" t="s">
        <v>116</v>
      </c>
      <c r="J16" s="668"/>
      <c r="K16" s="668" t="s">
        <v>116</v>
      </c>
      <c r="L16" s="668"/>
      <c r="M16" s="668" t="s">
        <v>116</v>
      </c>
      <c r="N16" s="722" t="s">
        <v>116</v>
      </c>
      <c r="O16" s="668" t="s">
        <v>116</v>
      </c>
      <c r="P16" s="736" t="s">
        <v>116</v>
      </c>
      <c r="Q16" s="737"/>
      <c r="R16" s="728"/>
      <c r="S16" s="728"/>
      <c r="T16" s="725" t="s">
        <v>116</v>
      </c>
      <c r="U16" s="728" t="s">
        <v>737</v>
      </c>
      <c r="V16" s="728"/>
      <c r="W16" s="728"/>
      <c r="X16" s="728"/>
      <c r="Y16" s="728"/>
      <c r="Z16" s="726"/>
      <c r="AA16" s="726"/>
      <c r="AB16" s="726"/>
      <c r="AC16" s="727"/>
      <c r="AD16" s="284" t="str">
        <f t="shared" si="3"/>
        <v>Ares_HM_36100_SU_10S4P5LEDLowDrv_SDI26H_SW1_NTC2_SW2_USBC_Aslp_Blight_</v>
      </c>
      <c r="AJ16" s="225">
        <f t="shared" si="4"/>
        <v>3</v>
      </c>
      <c r="AK16" s="225">
        <f t="shared" si="5"/>
        <v>9</v>
      </c>
      <c r="AL16" s="225">
        <f t="shared" si="0"/>
        <v>36</v>
      </c>
      <c r="AM16" s="225">
        <f t="shared" si="1"/>
        <v>10</v>
      </c>
      <c r="AN16" s="225">
        <f t="shared" si="6"/>
        <v>26</v>
      </c>
      <c r="AO16" s="225">
        <f t="shared" si="7"/>
        <v>10</v>
      </c>
      <c r="AP16" s="225">
        <f t="shared" si="8"/>
        <v>4</v>
      </c>
      <c r="AQ16" s="225" t="str">
        <f t="shared" si="9"/>
        <v>ok</v>
      </c>
      <c r="AR16" s="225" t="str">
        <f t="shared" si="10"/>
        <v>10S4P</v>
      </c>
      <c r="AS16" s="225" t="str">
        <f t="shared" si="11"/>
        <v>5LEDLowDrv_SDI26H_</v>
      </c>
      <c r="AT16" s="225" t="str">
        <f t="shared" si="12"/>
        <v>SW1_NTC2_SW2_USBC_</v>
      </c>
      <c r="AU16" s="225" t="str">
        <f t="shared" si="13"/>
        <v>Aslp_Blight_</v>
      </c>
      <c r="AV16" s="225" t="e">
        <f t="shared" si="17"/>
        <v>#VALUE!</v>
      </c>
      <c r="AW16" s="225" t="b">
        <f t="shared" si="18"/>
        <v>1</v>
      </c>
      <c r="AX16" s="225" t="str">
        <f t="shared" si="14"/>
        <v/>
      </c>
      <c r="AY16" s="225" t="str">
        <f t="shared" si="15"/>
        <v/>
      </c>
      <c r="AZ16" s="664" t="str">
        <f t="shared" si="16"/>
        <v/>
      </c>
    </row>
    <row r="17" spans="1:52" s="225" customFormat="1" ht="42">
      <c r="A17" s="668" t="s">
        <v>727</v>
      </c>
      <c r="B17" s="669" t="s">
        <v>684</v>
      </c>
      <c r="C17" s="670"/>
      <c r="D17" s="668" t="s">
        <v>682</v>
      </c>
      <c r="E17" s="280" t="str">
        <f t="shared" si="2"/>
        <v>10S4P</v>
      </c>
      <c r="F17" s="718" t="s">
        <v>715</v>
      </c>
      <c r="G17" s="719" t="s">
        <v>116</v>
      </c>
      <c r="H17" s="720">
        <v>5</v>
      </c>
      <c r="I17" s="721" t="s">
        <v>116</v>
      </c>
      <c r="J17" s="668" t="s">
        <v>743</v>
      </c>
      <c r="K17" s="668" t="s">
        <v>116</v>
      </c>
      <c r="L17" s="668"/>
      <c r="M17" s="668" t="s">
        <v>116</v>
      </c>
      <c r="N17" s="722" t="s">
        <v>116</v>
      </c>
      <c r="O17" s="668" t="s">
        <v>116</v>
      </c>
      <c r="P17" s="736" t="s">
        <v>116</v>
      </c>
      <c r="Q17" s="737"/>
      <c r="R17" s="728"/>
      <c r="S17" s="728"/>
      <c r="T17" s="725" t="s">
        <v>116</v>
      </c>
      <c r="U17" s="728" t="s">
        <v>737</v>
      </c>
      <c r="V17" s="728"/>
      <c r="W17" s="728"/>
      <c r="X17" s="728"/>
      <c r="Y17" s="728"/>
      <c r="Z17" s="726"/>
      <c r="AA17" s="726"/>
      <c r="AB17" s="726"/>
      <c r="AC17" s="727"/>
      <c r="AD17" s="284" t="str">
        <f t="shared" si="3"/>
        <v>Ares_HM_36100_NU_10S4P5LEDLowDrv_SDI26H_COM_SW1_NTC2_SW2_USBC_Aslp_Blight_</v>
      </c>
      <c r="AJ17" s="225">
        <f t="shared" si="4"/>
        <v>3</v>
      </c>
      <c r="AK17" s="225">
        <f t="shared" si="5"/>
        <v>9</v>
      </c>
      <c r="AL17" s="225">
        <f t="shared" si="0"/>
        <v>36</v>
      </c>
      <c r="AM17" s="225">
        <f t="shared" si="1"/>
        <v>10</v>
      </c>
      <c r="AN17" s="225">
        <f t="shared" si="6"/>
        <v>26</v>
      </c>
      <c r="AO17" s="225">
        <f t="shared" si="7"/>
        <v>10</v>
      </c>
      <c r="AP17" s="225">
        <f t="shared" si="8"/>
        <v>4</v>
      </c>
      <c r="AQ17" s="225" t="str">
        <f t="shared" si="9"/>
        <v>ok</v>
      </c>
      <c r="AR17" s="225" t="str">
        <f t="shared" si="10"/>
        <v>10S4P</v>
      </c>
      <c r="AS17" s="225" t="str">
        <f t="shared" si="11"/>
        <v>5LEDLowDrv_SDI26H_</v>
      </c>
      <c r="AT17" s="225" t="str">
        <f t="shared" si="12"/>
        <v>COM_SW1_NTC2_SW2_USBC_</v>
      </c>
      <c r="AU17" s="225" t="str">
        <f t="shared" si="13"/>
        <v>Aslp_Blight_</v>
      </c>
      <c r="AV17" s="225" t="e">
        <f t="shared" si="17"/>
        <v>#VALUE!</v>
      </c>
      <c r="AW17" s="225" t="b">
        <f t="shared" si="18"/>
        <v>1</v>
      </c>
      <c r="AX17" s="225" t="str">
        <f t="shared" si="14"/>
        <v/>
      </c>
      <c r="AY17" s="225" t="str">
        <f t="shared" si="15"/>
        <v/>
      </c>
      <c r="AZ17" s="664" t="str">
        <f t="shared" si="16"/>
        <v/>
      </c>
    </row>
    <row r="18" spans="1:52" s="225" customFormat="1" ht="28.5">
      <c r="A18" s="668" t="s">
        <v>728</v>
      </c>
      <c r="B18" s="669" t="s">
        <v>683</v>
      </c>
      <c r="C18" s="670"/>
      <c r="D18" s="668" t="s">
        <v>682</v>
      </c>
      <c r="E18" s="280" t="str">
        <f t="shared" si="2"/>
        <v>10S4P</v>
      </c>
      <c r="F18" s="718" t="s">
        <v>724</v>
      </c>
      <c r="G18" s="719" t="s">
        <v>116</v>
      </c>
      <c r="H18" s="720">
        <v>4</v>
      </c>
      <c r="I18" s="721" t="s">
        <v>116</v>
      </c>
      <c r="J18" s="668"/>
      <c r="K18" s="668" t="s">
        <v>116</v>
      </c>
      <c r="L18" s="668"/>
      <c r="M18" s="668"/>
      <c r="N18" s="722"/>
      <c r="O18" s="668"/>
      <c r="P18" s="728" t="s">
        <v>116</v>
      </c>
      <c r="Q18" s="738"/>
      <c r="R18" s="668"/>
      <c r="S18" s="668"/>
      <c r="T18" s="739" t="s">
        <v>729</v>
      </c>
      <c r="U18" s="668"/>
      <c r="V18" s="668"/>
      <c r="W18" s="668"/>
      <c r="X18" s="668"/>
      <c r="Y18" s="668"/>
      <c r="Z18" s="726"/>
      <c r="AA18" s="726"/>
      <c r="AB18" s="726"/>
      <c r="AC18" s="727"/>
      <c r="AD18" s="284" t="str">
        <f t="shared" si="3"/>
        <v>Ares_TB300_36100_N_10S4P4LEDLowDrv_SDI26H_SW1_Aslp_</v>
      </c>
      <c r="AJ18" s="225">
        <f t="shared" si="4"/>
        <v>3</v>
      </c>
      <c r="AK18" s="225">
        <f t="shared" si="5"/>
        <v>9</v>
      </c>
      <c r="AL18" s="225">
        <f t="shared" si="0"/>
        <v>36</v>
      </c>
      <c r="AM18" s="225">
        <f t="shared" si="1"/>
        <v>10</v>
      </c>
      <c r="AN18" s="225">
        <f t="shared" si="6"/>
        <v>26</v>
      </c>
      <c r="AO18" s="225">
        <f t="shared" si="7"/>
        <v>10</v>
      </c>
      <c r="AP18" s="225">
        <f t="shared" si="8"/>
        <v>4</v>
      </c>
      <c r="AQ18" s="225" t="str">
        <f t="shared" si="9"/>
        <v>ok</v>
      </c>
      <c r="AR18" s="225" t="str">
        <f t="shared" si="10"/>
        <v>10S4P</v>
      </c>
      <c r="AS18" s="225" t="str">
        <f t="shared" si="11"/>
        <v>4LEDLowDrv_SDI26H_</v>
      </c>
      <c r="AT18" s="225" t="str">
        <f t="shared" si="12"/>
        <v>SW1_</v>
      </c>
      <c r="AU18" s="225" t="str">
        <f t="shared" si="13"/>
        <v>Aslp_</v>
      </c>
      <c r="AV18" s="225" t="e">
        <f t="shared" si="17"/>
        <v>#VALUE!</v>
      </c>
      <c r="AW18" s="225" t="b">
        <f t="shared" si="18"/>
        <v>1</v>
      </c>
      <c r="AX18" s="225" t="str">
        <f t="shared" si="14"/>
        <v/>
      </c>
      <c r="AY18" s="225" t="str">
        <f t="shared" si="15"/>
        <v/>
      </c>
      <c r="AZ18" s="664" t="str">
        <f t="shared" si="16"/>
        <v/>
      </c>
    </row>
    <row r="19" spans="1:52" s="416" customFormat="1" ht="21">
      <c r="A19" s="674" t="s">
        <v>732</v>
      </c>
      <c r="B19" s="675" t="s">
        <v>958</v>
      </c>
      <c r="C19" s="676"/>
      <c r="D19" s="677" t="s">
        <v>1104</v>
      </c>
      <c r="E19" s="414" t="str">
        <f t="shared" si="2"/>
        <v>13S5P</v>
      </c>
      <c r="F19" s="740" t="s">
        <v>715</v>
      </c>
      <c r="G19" s="741" t="s">
        <v>685</v>
      </c>
      <c r="H19" s="742">
        <v>3</v>
      </c>
      <c r="I19" s="743"/>
      <c r="J19" s="677"/>
      <c r="K19" s="677" t="s">
        <v>685</v>
      </c>
      <c r="L19" s="677"/>
      <c r="M19" s="677"/>
      <c r="N19" s="744"/>
      <c r="O19" s="677"/>
      <c r="P19" s="745" t="s">
        <v>685</v>
      </c>
      <c r="Q19" s="745"/>
      <c r="R19" s="677"/>
      <c r="S19" s="677"/>
      <c r="T19" s="677"/>
      <c r="U19" s="677"/>
      <c r="V19" s="677"/>
      <c r="W19" s="677"/>
      <c r="X19" s="677"/>
      <c r="Y19" s="677"/>
      <c r="Z19" s="746"/>
      <c r="AA19" s="746"/>
      <c r="AB19" s="746"/>
      <c r="AC19" s="747"/>
      <c r="AD19" s="415" t="str">
        <f t="shared" si="3"/>
        <v>Pan_B285_48130_Y_13S5P3LED_SDI26H_SW1_Aslp_</v>
      </c>
      <c r="AJ19" s="416">
        <f t="shared" si="4"/>
        <v>3</v>
      </c>
      <c r="AK19" s="416">
        <f t="shared" si="5"/>
        <v>9</v>
      </c>
      <c r="AL19" s="416">
        <f t="shared" si="0"/>
        <v>48</v>
      </c>
      <c r="AM19" s="416">
        <f t="shared" si="1"/>
        <v>13</v>
      </c>
      <c r="AN19" s="416">
        <f t="shared" si="6"/>
        <v>26</v>
      </c>
      <c r="AO19" s="416">
        <f t="shared" si="7"/>
        <v>13</v>
      </c>
      <c r="AP19" s="416">
        <f t="shared" si="8"/>
        <v>5</v>
      </c>
      <c r="AQ19" s="416" t="str">
        <f t="shared" si="9"/>
        <v>ok</v>
      </c>
      <c r="AR19" s="416" t="str">
        <f t="shared" si="10"/>
        <v>13S5P</v>
      </c>
      <c r="AS19" s="416" t="str">
        <f t="shared" si="11"/>
        <v>3LED_SDI26H_</v>
      </c>
      <c r="AT19" s="225" t="str">
        <f t="shared" si="12"/>
        <v>SW1_</v>
      </c>
      <c r="AU19" s="225" t="str">
        <f t="shared" si="13"/>
        <v>Aslp_</v>
      </c>
      <c r="AV19" s="416" t="e">
        <f t="shared" si="17"/>
        <v>#VALUE!</v>
      </c>
      <c r="AW19" s="416" t="b">
        <f t="shared" si="18"/>
        <v>1</v>
      </c>
      <c r="AX19" s="416" t="str">
        <f t="shared" si="14"/>
        <v/>
      </c>
      <c r="AY19" s="416" t="str">
        <f t="shared" si="15"/>
        <v/>
      </c>
      <c r="AZ19" s="664" t="str">
        <f t="shared" si="16"/>
        <v/>
      </c>
    </row>
    <row r="20" spans="1:52" s="225" customFormat="1" ht="21">
      <c r="A20" s="668" t="s">
        <v>748</v>
      </c>
      <c r="B20" s="678" t="s">
        <v>741</v>
      </c>
      <c r="C20" s="679"/>
      <c r="D20" s="668" t="s">
        <v>738</v>
      </c>
      <c r="E20" s="280" t="str">
        <f t="shared" si="2"/>
        <v>10S4P</v>
      </c>
      <c r="F20" s="718" t="s">
        <v>724</v>
      </c>
      <c r="G20" s="719" t="s">
        <v>685</v>
      </c>
      <c r="H20" s="720">
        <v>4</v>
      </c>
      <c r="I20" s="721"/>
      <c r="J20" s="668"/>
      <c r="K20" s="668" t="s">
        <v>116</v>
      </c>
      <c r="L20" s="668"/>
      <c r="M20" s="668"/>
      <c r="N20" s="722"/>
      <c r="O20" s="668"/>
      <c r="P20" s="668" t="s">
        <v>740</v>
      </c>
      <c r="Q20" s="668"/>
      <c r="R20" s="668"/>
      <c r="S20" s="668"/>
      <c r="T20" s="668"/>
      <c r="U20" s="668"/>
      <c r="V20" s="668"/>
      <c r="W20" s="668"/>
      <c r="X20" s="668"/>
      <c r="Y20" s="668"/>
      <c r="Z20" s="726"/>
      <c r="AA20" s="726"/>
      <c r="AB20" s="726"/>
      <c r="AC20" s="727"/>
      <c r="AD20" s="284" t="str">
        <f t="shared" si="3"/>
        <v>Pan_B300_36100_Y_10S4P4LED_SDI26H_SW1_Aslp_</v>
      </c>
      <c r="AJ20" s="225">
        <f t="shared" si="4"/>
        <v>3</v>
      </c>
      <c r="AK20" s="225">
        <f t="shared" si="5"/>
        <v>9</v>
      </c>
      <c r="AL20" s="225">
        <f t="shared" si="0"/>
        <v>36</v>
      </c>
      <c r="AM20" s="225">
        <f t="shared" si="1"/>
        <v>10</v>
      </c>
      <c r="AN20" s="225">
        <f t="shared" si="6"/>
        <v>26</v>
      </c>
      <c r="AO20" s="225">
        <f t="shared" si="7"/>
        <v>10</v>
      </c>
      <c r="AP20" s="225">
        <f t="shared" si="8"/>
        <v>4</v>
      </c>
      <c r="AQ20" s="225" t="str">
        <f t="shared" si="9"/>
        <v>ok</v>
      </c>
      <c r="AR20" s="225" t="str">
        <f t="shared" si="10"/>
        <v>10S4P</v>
      </c>
      <c r="AS20" s="225" t="str">
        <f t="shared" si="11"/>
        <v>4LED_SDI26H_</v>
      </c>
      <c r="AT20" s="225" t="str">
        <f t="shared" si="12"/>
        <v>SW1_</v>
      </c>
      <c r="AU20" s="225" t="str">
        <f t="shared" si="13"/>
        <v>Aslp_</v>
      </c>
      <c r="AV20" s="225" t="e">
        <f t="shared" si="17"/>
        <v>#VALUE!</v>
      </c>
      <c r="AW20" s="225" t="b">
        <f t="shared" si="18"/>
        <v>1</v>
      </c>
      <c r="AX20" s="225" t="str">
        <f t="shared" si="14"/>
        <v/>
      </c>
      <c r="AY20" s="225" t="str">
        <f t="shared" si="15"/>
        <v/>
      </c>
      <c r="AZ20" s="664" t="str">
        <f t="shared" si="16"/>
        <v/>
      </c>
    </row>
    <row r="21" spans="1:52" s="225" customFormat="1" ht="21.75" thickBot="1">
      <c r="A21" s="680" t="s">
        <v>934</v>
      </c>
      <c r="B21" s="681" t="s">
        <v>741</v>
      </c>
      <c r="C21" s="682"/>
      <c r="D21" s="683" t="s">
        <v>742</v>
      </c>
      <c r="E21" s="281" t="str">
        <f t="shared" si="2"/>
        <v>7S4P</v>
      </c>
      <c r="F21" s="748" t="s">
        <v>724</v>
      </c>
      <c r="G21" s="749" t="s">
        <v>685</v>
      </c>
      <c r="H21" s="750">
        <v>4</v>
      </c>
      <c r="I21" s="751"/>
      <c r="J21" s="683"/>
      <c r="K21" s="683" t="s">
        <v>116</v>
      </c>
      <c r="L21" s="683"/>
      <c r="M21" s="683"/>
      <c r="N21" s="752"/>
      <c r="O21" s="683"/>
      <c r="P21" s="683" t="s">
        <v>740</v>
      </c>
      <c r="Q21" s="683"/>
      <c r="R21" s="683"/>
      <c r="S21" s="683"/>
      <c r="T21" s="683"/>
      <c r="U21" s="683"/>
      <c r="V21" s="683"/>
      <c r="W21" s="683"/>
      <c r="X21" s="683"/>
      <c r="Y21" s="683"/>
      <c r="Z21" s="753"/>
      <c r="AA21" s="858"/>
      <c r="AB21" s="858"/>
      <c r="AC21" s="727"/>
      <c r="AD21" s="284" t="str">
        <f t="shared" si="3"/>
        <v>Pan_B260_26100_Y_7S4P4LED_SDI26H_SW1_Aslp_</v>
      </c>
      <c r="AJ21" s="225">
        <f t="shared" si="4"/>
        <v>3</v>
      </c>
      <c r="AK21" s="225">
        <f t="shared" si="5"/>
        <v>9</v>
      </c>
      <c r="AL21" s="225">
        <f t="shared" si="0"/>
        <v>26</v>
      </c>
      <c r="AM21" s="225">
        <f t="shared" si="1"/>
        <v>10</v>
      </c>
      <c r="AN21" s="225">
        <f t="shared" si="6"/>
        <v>26</v>
      </c>
      <c r="AO21" s="225">
        <f t="shared" si="7"/>
        <v>7</v>
      </c>
      <c r="AP21" s="225">
        <f t="shared" si="8"/>
        <v>4</v>
      </c>
      <c r="AQ21" s="225" t="str">
        <f t="shared" si="9"/>
        <v>ok</v>
      </c>
      <c r="AR21" s="225" t="str">
        <f t="shared" si="10"/>
        <v>7S4P</v>
      </c>
      <c r="AS21" s="225" t="str">
        <f t="shared" si="11"/>
        <v>4LED_SDI26H_</v>
      </c>
      <c r="AT21" s="225" t="str">
        <f t="shared" si="12"/>
        <v>SW1_</v>
      </c>
      <c r="AU21" s="225" t="str">
        <f t="shared" si="13"/>
        <v>Aslp_</v>
      </c>
      <c r="AV21" s="225" t="e">
        <f t="shared" si="17"/>
        <v>#VALUE!</v>
      </c>
      <c r="AW21" s="225" t="b">
        <f t="shared" si="18"/>
        <v>1</v>
      </c>
      <c r="AX21" s="225" t="str">
        <f t="shared" si="14"/>
        <v/>
      </c>
      <c r="AY21" s="225" t="str">
        <f t="shared" si="15"/>
        <v/>
      </c>
      <c r="AZ21" s="664" t="str">
        <f t="shared" si="16"/>
        <v/>
      </c>
    </row>
    <row r="22" spans="1:52" s="286" customFormat="1" ht="38.25" customHeight="1" thickTop="1">
      <c r="A22" s="684" t="s">
        <v>933</v>
      </c>
      <c r="B22" s="685"/>
      <c r="C22" s="686" t="s">
        <v>937</v>
      </c>
      <c r="D22" s="684" t="s">
        <v>932</v>
      </c>
      <c r="E22" s="282" t="str">
        <f t="shared" si="2"/>
        <v>10S4P</v>
      </c>
      <c r="F22" s="754" t="s">
        <v>724</v>
      </c>
      <c r="G22" s="755" t="s">
        <v>685</v>
      </c>
      <c r="H22" s="756">
        <v>3</v>
      </c>
      <c r="I22" s="757"/>
      <c r="J22" s="684"/>
      <c r="K22" s="684" t="s">
        <v>116</v>
      </c>
      <c r="L22" s="684"/>
      <c r="M22" s="684"/>
      <c r="N22" s="758"/>
      <c r="O22" s="684"/>
      <c r="P22" s="684" t="s">
        <v>116</v>
      </c>
      <c r="Q22" s="684"/>
      <c r="R22" s="684"/>
      <c r="S22" s="684"/>
      <c r="T22" s="684"/>
      <c r="U22" s="684"/>
      <c r="V22" s="684"/>
      <c r="W22" s="684" t="s">
        <v>116</v>
      </c>
      <c r="X22" s="684"/>
      <c r="Y22" s="684"/>
      <c r="Z22" s="759"/>
      <c r="AA22" s="759"/>
      <c r="AB22" s="759"/>
      <c r="AC22" s="760"/>
      <c r="AD22" s="285" t="str">
        <f t="shared" si="3"/>
        <v>Pan_B285_36100_Y_10S4P3LED_SDI26H_SW1_Aslp_DUVP_</v>
      </c>
      <c r="AJ22" s="286">
        <f t="shared" si="4"/>
        <v>3</v>
      </c>
      <c r="AK22" s="286">
        <f t="shared" si="5"/>
        <v>9</v>
      </c>
      <c r="AL22" s="286">
        <f t="shared" si="0"/>
        <v>36</v>
      </c>
      <c r="AM22" s="286">
        <f t="shared" si="1"/>
        <v>10</v>
      </c>
      <c r="AN22" s="286">
        <f t="shared" si="6"/>
        <v>26</v>
      </c>
      <c r="AO22" s="286">
        <f t="shared" si="7"/>
        <v>10</v>
      </c>
      <c r="AP22" s="286">
        <f t="shared" si="8"/>
        <v>4</v>
      </c>
      <c r="AQ22" s="286" t="str">
        <f t="shared" si="9"/>
        <v>ok</v>
      </c>
      <c r="AR22" s="286" t="str">
        <f t="shared" si="10"/>
        <v>10S4P</v>
      </c>
      <c r="AS22" s="225" t="str">
        <f t="shared" si="11"/>
        <v>3LED_SDI26H_</v>
      </c>
      <c r="AT22" s="225" t="str">
        <f t="shared" si="12"/>
        <v>SW1_</v>
      </c>
      <c r="AU22" s="225" t="str">
        <f t="shared" si="13"/>
        <v>Aslp_DUVP_</v>
      </c>
      <c r="AV22" s="286">
        <f t="shared" si="17"/>
        <v>19</v>
      </c>
      <c r="AW22" s="286" t="b">
        <f t="shared" si="18"/>
        <v>0</v>
      </c>
      <c r="AX22" s="286" t="str">
        <f t="shared" si="14"/>
        <v>DAKB00104-W021E05L_</v>
      </c>
      <c r="AY22" s="286" t="str">
        <f t="shared" si="15"/>
        <v>DAKB00104_W021E05L_</v>
      </c>
      <c r="AZ22" s="664" t="str">
        <f t="shared" si="16"/>
        <v/>
      </c>
    </row>
    <row r="23" spans="1:52" s="416" customFormat="1" ht="37.5" customHeight="1">
      <c r="A23" s="687" t="s">
        <v>1094</v>
      </c>
      <c r="B23" s="688"/>
      <c r="C23" s="689" t="s">
        <v>1095</v>
      </c>
      <c r="D23" s="687" t="s">
        <v>1096</v>
      </c>
      <c r="E23" s="414" t="str">
        <f t="shared" si="2"/>
        <v>10S4P</v>
      </c>
      <c r="F23" s="687" t="s">
        <v>950</v>
      </c>
      <c r="G23" s="741" t="s">
        <v>685</v>
      </c>
      <c r="H23" s="742">
        <v>3</v>
      </c>
      <c r="I23" s="743"/>
      <c r="J23" s="677"/>
      <c r="K23" s="677" t="s">
        <v>685</v>
      </c>
      <c r="L23" s="677"/>
      <c r="M23" s="677"/>
      <c r="N23" s="744"/>
      <c r="O23" s="677"/>
      <c r="P23" s="677" t="s">
        <v>685</v>
      </c>
      <c r="Q23" s="677"/>
      <c r="R23" s="677"/>
      <c r="S23" s="677"/>
      <c r="T23" s="677"/>
      <c r="U23" s="677"/>
      <c r="V23" s="677"/>
      <c r="W23" s="677" t="s">
        <v>685</v>
      </c>
      <c r="X23" s="677"/>
      <c r="Y23" s="677"/>
      <c r="Z23" s="746"/>
      <c r="AA23" s="746"/>
      <c r="AB23" s="746"/>
      <c r="AC23" s="747" t="s">
        <v>1238</v>
      </c>
      <c r="AD23" s="415" t="str">
        <f t="shared" si="3"/>
        <v>Pan_B285_36100_Y_10S4P3LED_SDI26FM_SW1_Aslp_DUVP_</v>
      </c>
      <c r="AJ23" s="416">
        <f t="shared" si="4"/>
        <v>3</v>
      </c>
      <c r="AK23" s="416">
        <f t="shared" si="5"/>
        <v>9</v>
      </c>
      <c r="AL23" s="416">
        <f t="shared" si="0"/>
        <v>36</v>
      </c>
      <c r="AM23" s="416">
        <f t="shared" si="1"/>
        <v>10</v>
      </c>
      <c r="AN23" s="416">
        <f t="shared" si="6"/>
        <v>26</v>
      </c>
      <c r="AO23" s="416">
        <f t="shared" si="7"/>
        <v>10</v>
      </c>
      <c r="AP23" s="416">
        <f t="shared" si="8"/>
        <v>4</v>
      </c>
      <c r="AQ23" s="416" t="str">
        <f t="shared" si="9"/>
        <v>ok</v>
      </c>
      <c r="AR23" s="416" t="str">
        <f t="shared" si="10"/>
        <v>10S4P</v>
      </c>
      <c r="AS23" s="416" t="str">
        <f t="shared" si="11"/>
        <v>3LED_SDI26FM_</v>
      </c>
      <c r="AT23" s="225" t="str">
        <f t="shared" si="12"/>
        <v>SW1_</v>
      </c>
      <c r="AU23" s="225" t="str">
        <f t="shared" si="13"/>
        <v>Aslp_DUVP_</v>
      </c>
      <c r="AV23" s="416">
        <f t="shared" si="17"/>
        <v>20</v>
      </c>
      <c r="AW23" s="416" t="b">
        <f t="shared" si="18"/>
        <v>0</v>
      </c>
      <c r="AX23" s="416" t="str">
        <f t="shared" si="14"/>
        <v>DAKB00100-W021E12LT_</v>
      </c>
      <c r="AY23" s="416" t="str">
        <f t="shared" si="15"/>
        <v>DAKB00100_W021E12LT_</v>
      </c>
      <c r="AZ23" s="664" t="str">
        <f t="shared" si="16"/>
        <v/>
      </c>
    </row>
    <row r="24" spans="1:52" s="225" customFormat="1" ht="37.5" customHeight="1">
      <c r="A24" s="668" t="s">
        <v>930</v>
      </c>
      <c r="B24" s="669" t="s">
        <v>683</v>
      </c>
      <c r="C24" s="670" t="s">
        <v>940</v>
      </c>
      <c r="D24" s="668" t="s">
        <v>932</v>
      </c>
      <c r="E24" s="280" t="str">
        <f t="shared" si="2"/>
        <v>10S4P</v>
      </c>
      <c r="F24" s="718" t="s">
        <v>724</v>
      </c>
      <c r="G24" s="719" t="s">
        <v>685</v>
      </c>
      <c r="H24" s="720">
        <v>4</v>
      </c>
      <c r="I24" s="721" t="s">
        <v>116</v>
      </c>
      <c r="J24" s="668"/>
      <c r="K24" s="668" t="s">
        <v>116</v>
      </c>
      <c r="L24" s="668"/>
      <c r="M24" s="668"/>
      <c r="N24" s="722"/>
      <c r="O24" s="668"/>
      <c r="P24" s="668" t="s">
        <v>116</v>
      </c>
      <c r="Q24" s="668"/>
      <c r="R24" s="668"/>
      <c r="S24" s="668"/>
      <c r="T24" s="668"/>
      <c r="U24" s="668"/>
      <c r="V24" s="668"/>
      <c r="W24" s="668" t="s">
        <v>116</v>
      </c>
      <c r="X24" s="668"/>
      <c r="Y24" s="668"/>
      <c r="Z24" s="726"/>
      <c r="AA24" s="726"/>
      <c r="AB24" s="726"/>
      <c r="AC24" s="727"/>
      <c r="AD24" s="284" t="str">
        <f t="shared" si="3"/>
        <v>Ares_TB300_36100_D_10S4P4LEDLowDrv_SDI26H_SW1_Aslp_DUVP_</v>
      </c>
      <c r="AJ24" s="225">
        <f t="shared" si="4"/>
        <v>3</v>
      </c>
      <c r="AK24" s="225">
        <f t="shared" si="5"/>
        <v>9</v>
      </c>
      <c r="AL24" s="225">
        <f t="shared" si="0"/>
        <v>36</v>
      </c>
      <c r="AM24" s="225">
        <f t="shared" si="1"/>
        <v>10</v>
      </c>
      <c r="AN24" s="225">
        <f t="shared" si="6"/>
        <v>26</v>
      </c>
      <c r="AO24" s="225">
        <f t="shared" si="7"/>
        <v>10</v>
      </c>
      <c r="AP24" s="225">
        <f t="shared" si="8"/>
        <v>4</v>
      </c>
      <c r="AQ24" s="225" t="str">
        <f t="shared" si="9"/>
        <v>ok</v>
      </c>
      <c r="AR24" s="225" t="str">
        <f t="shared" si="10"/>
        <v>10S4P</v>
      </c>
      <c r="AS24" s="225" t="str">
        <f t="shared" si="11"/>
        <v>4LEDLowDrv_SDI26H_</v>
      </c>
      <c r="AT24" s="225" t="str">
        <f t="shared" si="12"/>
        <v>SW1_</v>
      </c>
      <c r="AU24" s="225" t="str">
        <f t="shared" si="13"/>
        <v>Aslp_DUVP_</v>
      </c>
      <c r="AV24" s="225">
        <f t="shared" si="17"/>
        <v>20</v>
      </c>
      <c r="AW24" s="225" t="b">
        <f t="shared" si="18"/>
        <v>0</v>
      </c>
      <c r="AX24" s="225" t="str">
        <f t="shared" si="14"/>
        <v>DAKB00100-W021E06LT_</v>
      </c>
      <c r="AY24" s="225" t="str">
        <f t="shared" si="15"/>
        <v>DAKB00100_W021E06LT_</v>
      </c>
      <c r="AZ24" s="664" t="str">
        <f t="shared" si="16"/>
        <v/>
      </c>
    </row>
    <row r="25" spans="1:52" s="225" customFormat="1" ht="37.5" customHeight="1" thickBot="1">
      <c r="A25" s="690" t="s">
        <v>930</v>
      </c>
      <c r="B25" s="691" t="s">
        <v>683</v>
      </c>
      <c r="C25" s="692" t="s">
        <v>952</v>
      </c>
      <c r="D25" s="690" t="s">
        <v>942</v>
      </c>
      <c r="E25" s="281" t="str">
        <f t="shared" si="2"/>
        <v>10S4P</v>
      </c>
      <c r="F25" s="690" t="s">
        <v>939</v>
      </c>
      <c r="G25" s="749" t="s">
        <v>685</v>
      </c>
      <c r="H25" s="750">
        <v>4</v>
      </c>
      <c r="I25" s="751" t="s">
        <v>116</v>
      </c>
      <c r="J25" s="683"/>
      <c r="K25" s="683" t="s">
        <v>116</v>
      </c>
      <c r="L25" s="683"/>
      <c r="M25" s="683"/>
      <c r="N25" s="752"/>
      <c r="O25" s="683"/>
      <c r="P25" s="683" t="s">
        <v>116</v>
      </c>
      <c r="Q25" s="683"/>
      <c r="R25" s="683"/>
      <c r="S25" s="683"/>
      <c r="T25" s="683"/>
      <c r="U25" s="683"/>
      <c r="V25" s="683"/>
      <c r="W25" s="683" t="s">
        <v>116</v>
      </c>
      <c r="X25" s="683"/>
      <c r="Y25" s="683"/>
      <c r="Z25" s="753"/>
      <c r="AA25" s="858"/>
      <c r="AB25" s="858"/>
      <c r="AC25" s="727" t="s">
        <v>1239</v>
      </c>
      <c r="AD25" s="284" t="str">
        <f t="shared" si="3"/>
        <v>Ares_TB300_36100_D_10S4P4LEDLowDrv_SDI26FM_SW1_Aslp_DUVP_</v>
      </c>
      <c r="AJ25" s="225">
        <f t="shared" si="4"/>
        <v>3</v>
      </c>
      <c r="AK25" s="225">
        <f t="shared" si="5"/>
        <v>9</v>
      </c>
      <c r="AL25" s="225">
        <f t="shared" si="0"/>
        <v>36</v>
      </c>
      <c r="AM25" s="225">
        <f t="shared" si="1"/>
        <v>10</v>
      </c>
      <c r="AN25" s="225">
        <f t="shared" si="6"/>
        <v>26</v>
      </c>
      <c r="AO25" s="225">
        <f t="shared" si="7"/>
        <v>10</v>
      </c>
      <c r="AP25" s="225">
        <f t="shared" si="8"/>
        <v>4</v>
      </c>
      <c r="AQ25" s="225" t="str">
        <f t="shared" si="9"/>
        <v>ok</v>
      </c>
      <c r="AR25" s="225" t="str">
        <f t="shared" si="10"/>
        <v>10S4P</v>
      </c>
      <c r="AS25" s="225" t="str">
        <f t="shared" si="11"/>
        <v>4LEDLowDrv_SDI26FM_</v>
      </c>
      <c r="AT25" s="225" t="str">
        <f t="shared" si="12"/>
        <v>SW1_</v>
      </c>
      <c r="AU25" s="225" t="str">
        <f t="shared" si="13"/>
        <v>Aslp_DUVP_</v>
      </c>
      <c r="AV25" s="225">
        <f t="shared" si="17"/>
        <v>20</v>
      </c>
      <c r="AW25" s="225" t="b">
        <f t="shared" si="18"/>
        <v>0</v>
      </c>
      <c r="AX25" s="225" t="str">
        <f t="shared" si="14"/>
        <v>DAKB00100-W021E15LT_</v>
      </c>
      <c r="AY25" s="225" t="str">
        <f t="shared" si="15"/>
        <v>DAKB00100_W021E15LT_</v>
      </c>
      <c r="AZ25" s="664" t="str">
        <f t="shared" si="16"/>
        <v/>
      </c>
    </row>
    <row r="26" spans="1:52" s="286" customFormat="1" ht="38.25" customHeight="1" thickTop="1">
      <c r="A26" s="693" t="s">
        <v>956</v>
      </c>
      <c r="B26" s="694" t="s">
        <v>1090</v>
      </c>
      <c r="C26" s="695" t="s">
        <v>949</v>
      </c>
      <c r="D26" s="693" t="s">
        <v>1089</v>
      </c>
      <c r="E26" s="282" t="str">
        <f t="shared" si="2"/>
        <v>13S4P</v>
      </c>
      <c r="F26" s="761" t="s">
        <v>950</v>
      </c>
      <c r="G26" s="755" t="s">
        <v>685</v>
      </c>
      <c r="H26" s="756">
        <v>4</v>
      </c>
      <c r="I26" s="757" t="s">
        <v>116</v>
      </c>
      <c r="J26" s="684"/>
      <c r="K26" s="684" t="s">
        <v>116</v>
      </c>
      <c r="L26" s="762"/>
      <c r="M26" s="684"/>
      <c r="N26" s="758"/>
      <c r="O26" s="684"/>
      <c r="P26" s="684" t="s">
        <v>116</v>
      </c>
      <c r="Q26" s="762"/>
      <c r="R26" s="684"/>
      <c r="S26" s="684"/>
      <c r="T26" s="684"/>
      <c r="U26" s="684"/>
      <c r="V26" s="684"/>
      <c r="W26" s="684" t="s">
        <v>116</v>
      </c>
      <c r="X26" s="684"/>
      <c r="Y26" s="684"/>
      <c r="Z26" s="763">
        <v>167</v>
      </c>
      <c r="AA26" s="763"/>
      <c r="AB26" s="763"/>
      <c r="AC26" s="760"/>
      <c r="AD26" s="285" t="str">
        <f t="shared" si="3"/>
        <v>Ares_TB300_48100_N_13S4P4LEDLowDrv_SDI26FM_SW1_Aslp_DUVP_167R_</v>
      </c>
      <c r="AJ26" s="286">
        <f t="shared" si="4"/>
        <v>3</v>
      </c>
      <c r="AK26" s="286">
        <f t="shared" si="5"/>
        <v>9</v>
      </c>
      <c r="AL26" s="286">
        <f t="shared" si="0"/>
        <v>48</v>
      </c>
      <c r="AM26" s="286">
        <f t="shared" si="1"/>
        <v>10</v>
      </c>
      <c r="AN26" s="286">
        <f t="shared" si="6"/>
        <v>26</v>
      </c>
      <c r="AO26" s="286">
        <f t="shared" si="7"/>
        <v>13</v>
      </c>
      <c r="AP26" s="286">
        <f t="shared" si="8"/>
        <v>4</v>
      </c>
      <c r="AQ26" s="286" t="str">
        <f t="shared" si="9"/>
        <v>ok</v>
      </c>
      <c r="AR26" s="286" t="str">
        <f t="shared" si="10"/>
        <v>13S4P</v>
      </c>
      <c r="AS26" s="225" t="str">
        <f t="shared" si="11"/>
        <v>4LEDLowDrv_SDI26FM_</v>
      </c>
      <c r="AT26" s="225" t="str">
        <f t="shared" si="12"/>
        <v>SW1_</v>
      </c>
      <c r="AU26" s="225" t="str">
        <f t="shared" si="13"/>
        <v>Aslp_DUVP_</v>
      </c>
      <c r="AV26" s="286" t="e">
        <f t="shared" si="17"/>
        <v>#VALUE!</v>
      </c>
      <c r="AW26" s="286" t="b">
        <f t="shared" si="18"/>
        <v>0</v>
      </c>
      <c r="AX26" s="286" t="str">
        <f t="shared" si="14"/>
        <v>DAKB00100-W021E26LT_</v>
      </c>
      <c r="AY26" s="286" t="str">
        <f t="shared" si="15"/>
        <v>DAKB00100_W021E26LT_</v>
      </c>
      <c r="AZ26" s="664" t="str">
        <f t="shared" si="16"/>
        <v>167R_</v>
      </c>
    </row>
    <row r="27" spans="1:52" s="416" customFormat="1" ht="38.25" customHeight="1">
      <c r="A27" s="687" t="s">
        <v>1416</v>
      </c>
      <c r="B27" s="688"/>
      <c r="C27" s="689" t="s">
        <v>1237</v>
      </c>
      <c r="D27" s="687" t="s">
        <v>742</v>
      </c>
      <c r="E27" s="414" t="str">
        <f t="shared" si="2"/>
        <v>7S4P</v>
      </c>
      <c r="F27" s="687" t="s">
        <v>939</v>
      </c>
      <c r="G27" s="741" t="s">
        <v>116</v>
      </c>
      <c r="H27" s="742">
        <v>4</v>
      </c>
      <c r="I27" s="743" t="s">
        <v>116</v>
      </c>
      <c r="J27" s="677"/>
      <c r="K27" s="743" t="s">
        <v>116</v>
      </c>
      <c r="L27" s="743"/>
      <c r="M27" s="764"/>
      <c r="N27" s="744"/>
      <c r="O27" s="677"/>
      <c r="P27" s="743" t="s">
        <v>116</v>
      </c>
      <c r="Q27" s="743"/>
      <c r="R27" s="677"/>
      <c r="S27" s="677"/>
      <c r="T27" s="764"/>
      <c r="U27" s="677"/>
      <c r="V27" s="677"/>
      <c r="W27" s="743" t="s">
        <v>116</v>
      </c>
      <c r="X27" s="764"/>
      <c r="Y27" s="677"/>
      <c r="Z27" s="746">
        <v>200</v>
      </c>
      <c r="AA27" s="746"/>
      <c r="AB27" s="746"/>
      <c r="AC27" s="747" t="s">
        <v>1240</v>
      </c>
      <c r="AD27" s="415" t="str">
        <f t="shared" si="3"/>
        <v>Ares115_26100_D_7S4P4LEDLowDrv_SDI26FM_SW1_Aslp_DUVP_200R_</v>
      </c>
      <c r="AJ27" s="416">
        <f t="shared" si="4"/>
        <v>3</v>
      </c>
      <c r="AK27" s="416">
        <f t="shared" si="5"/>
        <v>9</v>
      </c>
      <c r="AL27" s="416">
        <f t="shared" si="0"/>
        <v>26</v>
      </c>
      <c r="AM27" s="416">
        <f t="shared" si="1"/>
        <v>10</v>
      </c>
      <c r="AN27" s="416">
        <f t="shared" si="6"/>
        <v>26</v>
      </c>
      <c r="AO27" s="416">
        <f t="shared" si="7"/>
        <v>7</v>
      </c>
      <c r="AP27" s="416">
        <f t="shared" si="8"/>
        <v>4</v>
      </c>
      <c r="AQ27" s="416" t="str">
        <f t="shared" si="9"/>
        <v>ok</v>
      </c>
      <c r="AR27" s="416" t="str">
        <f t="shared" si="10"/>
        <v>7S4P</v>
      </c>
      <c r="AS27" s="416" t="str">
        <f t="shared" si="11"/>
        <v>4LEDLowDrv_SDI26FM_</v>
      </c>
      <c r="AT27" s="416" t="str">
        <f t="shared" si="12"/>
        <v>SW1_</v>
      </c>
      <c r="AU27" s="225" t="str">
        <f t="shared" si="13"/>
        <v>Aslp_DUVP_</v>
      </c>
      <c r="AV27" s="416" t="e">
        <f t="shared" si="17"/>
        <v>#VALUE!</v>
      </c>
      <c r="AW27" s="416" t="b">
        <f t="shared" si="18"/>
        <v>0</v>
      </c>
      <c r="AX27" s="416" t="str">
        <f t="shared" si="14"/>
        <v>DAKB00100-W021E25LT_</v>
      </c>
      <c r="AY27" s="416" t="str">
        <f t="shared" si="15"/>
        <v>DAKB00100_W021E25LT_</v>
      </c>
      <c r="AZ27" s="665" t="str">
        <f t="shared" si="16"/>
        <v>200R_</v>
      </c>
    </row>
    <row r="28" spans="1:52" s="225" customFormat="1" ht="38.25" customHeight="1">
      <c r="A28" s="696" t="s">
        <v>1109</v>
      </c>
      <c r="B28" s="697"/>
      <c r="C28" s="698" t="s">
        <v>962</v>
      </c>
      <c r="D28" s="696" t="s">
        <v>951</v>
      </c>
      <c r="E28" s="280" t="str">
        <f t="shared" si="2"/>
        <v>7S6P</v>
      </c>
      <c r="F28" s="696" t="s">
        <v>950</v>
      </c>
      <c r="G28" s="719" t="s">
        <v>116</v>
      </c>
      <c r="H28" s="720">
        <v>4</v>
      </c>
      <c r="I28" s="721" t="s">
        <v>116</v>
      </c>
      <c r="J28" s="668"/>
      <c r="K28" s="721" t="s">
        <v>116</v>
      </c>
      <c r="L28" s="721"/>
      <c r="M28" s="725"/>
      <c r="N28" s="722"/>
      <c r="O28" s="668"/>
      <c r="P28" s="721" t="s">
        <v>116</v>
      </c>
      <c r="Q28" s="721"/>
      <c r="R28" s="668"/>
      <c r="S28" s="668"/>
      <c r="T28" s="725"/>
      <c r="U28" s="668"/>
      <c r="V28" s="668"/>
      <c r="W28" s="721" t="s">
        <v>116</v>
      </c>
      <c r="X28" s="725"/>
      <c r="Y28" s="668"/>
      <c r="Z28" s="726">
        <v>200</v>
      </c>
      <c r="AA28" s="726"/>
      <c r="AB28" s="726"/>
      <c r="AC28" s="727"/>
      <c r="AD28" s="284" t="str">
        <f t="shared" si="3"/>
        <v>Ares115_26150_D_7S6P4LEDLowDrv_SDI26FM_SW1_Aslp_DUVP_200R_</v>
      </c>
      <c r="AJ28" s="225">
        <f t="shared" si="4"/>
        <v>3</v>
      </c>
      <c r="AK28" s="225">
        <f t="shared" si="5"/>
        <v>9</v>
      </c>
      <c r="AL28" s="225">
        <f t="shared" si="0"/>
        <v>26</v>
      </c>
      <c r="AM28" s="225">
        <f t="shared" si="1"/>
        <v>15.5</v>
      </c>
      <c r="AN28" s="225">
        <f t="shared" si="6"/>
        <v>26</v>
      </c>
      <c r="AO28" s="225">
        <f t="shared" si="7"/>
        <v>7</v>
      </c>
      <c r="AP28" s="225">
        <f t="shared" si="8"/>
        <v>6</v>
      </c>
      <c r="AQ28" s="225" t="str">
        <f t="shared" si="9"/>
        <v>ok</v>
      </c>
      <c r="AR28" s="225" t="str">
        <f t="shared" si="10"/>
        <v>7S6P</v>
      </c>
      <c r="AS28" s="225" t="str">
        <f t="shared" si="11"/>
        <v>4LEDLowDrv_SDI26FM_</v>
      </c>
      <c r="AT28" s="225" t="str">
        <f t="shared" si="12"/>
        <v>SW1_</v>
      </c>
      <c r="AU28" s="225" t="str">
        <f t="shared" si="13"/>
        <v>Aslp_DUVP_</v>
      </c>
      <c r="AV28" s="225" t="e">
        <f t="shared" si="17"/>
        <v>#VALUE!</v>
      </c>
      <c r="AW28" s="225" t="b">
        <f t="shared" si="18"/>
        <v>0</v>
      </c>
      <c r="AX28" s="225" t="str">
        <f t="shared" si="14"/>
        <v>DAKB00155-W021E01LT_</v>
      </c>
      <c r="AY28" s="225" t="str">
        <f t="shared" si="15"/>
        <v>DAKB00155_W021E01LT_</v>
      </c>
      <c r="AZ28" s="664" t="str">
        <f t="shared" si="16"/>
        <v>200R_</v>
      </c>
    </row>
    <row r="29" spans="1:52" s="225" customFormat="1" ht="38.25" customHeight="1">
      <c r="A29" s="696" t="s">
        <v>2046</v>
      </c>
      <c r="B29" s="697" t="s">
        <v>958</v>
      </c>
      <c r="C29" s="699" t="s">
        <v>961</v>
      </c>
      <c r="D29" s="696" t="s">
        <v>960</v>
      </c>
      <c r="E29" s="280" t="str">
        <f t="shared" si="2"/>
        <v>10S5P</v>
      </c>
      <c r="F29" s="696" t="s">
        <v>950</v>
      </c>
      <c r="G29" s="719" t="s">
        <v>116</v>
      </c>
      <c r="H29" s="720">
        <v>3</v>
      </c>
      <c r="I29" s="721"/>
      <c r="J29" s="668"/>
      <c r="K29" s="721" t="s">
        <v>116</v>
      </c>
      <c r="L29" s="721"/>
      <c r="M29" s="725"/>
      <c r="N29" s="722"/>
      <c r="O29" s="668"/>
      <c r="P29" s="721" t="s">
        <v>116</v>
      </c>
      <c r="Q29" s="721"/>
      <c r="R29" s="668"/>
      <c r="S29" s="668"/>
      <c r="T29" s="725"/>
      <c r="U29" s="668"/>
      <c r="V29" s="668"/>
      <c r="W29" s="668" t="s">
        <v>116</v>
      </c>
      <c r="X29" s="668"/>
      <c r="Y29" s="668"/>
      <c r="Z29" s="726">
        <v>200</v>
      </c>
      <c r="AA29" s="726"/>
      <c r="AB29" s="726"/>
      <c r="AC29" s="727"/>
      <c r="AD29" s="284" t="str">
        <f t="shared" si="3"/>
        <v>Pan_B285_36130_Y_10S5P3LED_SDI26FM_SW1_Aslp_DUVP_200R_</v>
      </c>
      <c r="AJ29" s="225">
        <f t="shared" si="4"/>
        <v>3</v>
      </c>
      <c r="AK29" s="225">
        <f t="shared" si="5"/>
        <v>9</v>
      </c>
      <c r="AL29" s="225">
        <f t="shared" si="0"/>
        <v>36</v>
      </c>
      <c r="AM29" s="225">
        <f t="shared" si="1"/>
        <v>13</v>
      </c>
      <c r="AN29" s="225">
        <f t="shared" si="6"/>
        <v>26</v>
      </c>
      <c r="AO29" s="225">
        <f t="shared" si="7"/>
        <v>10</v>
      </c>
      <c r="AP29" s="225">
        <f t="shared" si="8"/>
        <v>5</v>
      </c>
      <c r="AQ29" s="225" t="str">
        <f t="shared" si="9"/>
        <v>ok</v>
      </c>
      <c r="AR29" s="225" t="str">
        <f t="shared" si="10"/>
        <v>10S5P</v>
      </c>
      <c r="AS29" s="225" t="str">
        <f t="shared" si="11"/>
        <v>3LED_SDI26FM_</v>
      </c>
      <c r="AT29" s="225" t="str">
        <f t="shared" si="12"/>
        <v>SW1_</v>
      </c>
      <c r="AU29" s="225" t="str">
        <f t="shared" si="13"/>
        <v>Aslp_DUVP_</v>
      </c>
      <c r="AV29" s="225">
        <f t="shared" si="17"/>
        <v>20</v>
      </c>
      <c r="AW29" s="225" t="b">
        <f t="shared" si="18"/>
        <v>0</v>
      </c>
      <c r="AX29" s="225" t="str">
        <f t="shared" si="14"/>
        <v>DAKB00130-W021E05LT_</v>
      </c>
      <c r="AY29" s="225" t="str">
        <f t="shared" si="15"/>
        <v>DAKB00130_W021E05LT_</v>
      </c>
      <c r="AZ29" s="664" t="str">
        <f t="shared" si="16"/>
        <v>200R_</v>
      </c>
    </row>
    <row r="30" spans="1:52" s="225" customFormat="1" ht="38.25" customHeight="1">
      <c r="A30" s="696" t="s">
        <v>1014</v>
      </c>
      <c r="B30" s="697" t="s">
        <v>1009</v>
      </c>
      <c r="C30" s="698" t="s">
        <v>1008</v>
      </c>
      <c r="D30" s="696" t="s">
        <v>1010</v>
      </c>
      <c r="E30" s="280" t="str">
        <f t="shared" si="2"/>
        <v>7S4P</v>
      </c>
      <c r="F30" s="696" t="s">
        <v>950</v>
      </c>
      <c r="G30" s="719" t="s">
        <v>116</v>
      </c>
      <c r="H30" s="765" t="s">
        <v>1012</v>
      </c>
      <c r="I30" s="721"/>
      <c r="J30" s="668"/>
      <c r="K30" s="766" t="s">
        <v>685</v>
      </c>
      <c r="L30" s="766"/>
      <c r="M30" s="725"/>
      <c r="N30" s="722"/>
      <c r="O30" s="668"/>
      <c r="P30" s="767"/>
      <c r="Q30" s="767"/>
      <c r="R30" s="668"/>
      <c r="S30" s="668"/>
      <c r="T30" s="725"/>
      <c r="U30" s="668"/>
      <c r="V30" s="668"/>
      <c r="W30" s="668" t="s">
        <v>116</v>
      </c>
      <c r="X30" s="668"/>
      <c r="Y30" s="668"/>
      <c r="Z30" s="726">
        <v>200</v>
      </c>
      <c r="AA30" s="726"/>
      <c r="AB30" s="726"/>
      <c r="AC30" s="768" t="s">
        <v>1013</v>
      </c>
      <c r="AD30" s="284" t="str">
        <f t="shared" si="3"/>
        <v>PanBH350_26100_N_7S4PN3LED_SDI26FM_SW1_DUVP_200R_</v>
      </c>
      <c r="AJ30" s="225">
        <f t="shared" si="4"/>
        <v>3</v>
      </c>
      <c r="AK30" s="225">
        <f t="shared" si="5"/>
        <v>9</v>
      </c>
      <c r="AL30" s="225">
        <f t="shared" si="0"/>
        <v>26</v>
      </c>
      <c r="AM30" s="225">
        <f t="shared" si="1"/>
        <v>10</v>
      </c>
      <c r="AN30" s="225">
        <f t="shared" si="6"/>
        <v>26</v>
      </c>
      <c r="AO30" s="225">
        <f t="shared" si="7"/>
        <v>7</v>
      </c>
      <c r="AP30" s="225">
        <f t="shared" si="8"/>
        <v>4</v>
      </c>
      <c r="AQ30" s="225" t="str">
        <f t="shared" si="9"/>
        <v>ok</v>
      </c>
      <c r="AR30" s="225" t="str">
        <f t="shared" si="10"/>
        <v>7S4P</v>
      </c>
      <c r="AS30" s="225" t="str">
        <f t="shared" si="11"/>
        <v>N3LED_SDI26FM_</v>
      </c>
      <c r="AT30" s="225" t="str">
        <f t="shared" si="12"/>
        <v>SW1_</v>
      </c>
      <c r="AU30" s="225" t="str">
        <f t="shared" si="13"/>
        <v>DUVP_</v>
      </c>
      <c r="AV30" s="225" t="e">
        <f t="shared" si="17"/>
        <v>#VALUE!</v>
      </c>
      <c r="AW30" s="225" t="b">
        <f t="shared" si="18"/>
        <v>0</v>
      </c>
      <c r="AX30" s="225" t="str">
        <f t="shared" si="14"/>
        <v>DAKB00100-W021E27LT_</v>
      </c>
      <c r="AY30" s="225" t="str">
        <f t="shared" si="15"/>
        <v>DAKB00100_W021E27LT_</v>
      </c>
      <c r="AZ30" s="664" t="str">
        <f t="shared" si="16"/>
        <v>200R_</v>
      </c>
    </row>
    <row r="31" spans="1:52" s="225" customFormat="1" ht="38.25" customHeight="1">
      <c r="A31" s="696" t="s">
        <v>1070</v>
      </c>
      <c r="B31" s="700" t="s">
        <v>1219</v>
      </c>
      <c r="C31" s="698" t="s">
        <v>1073</v>
      </c>
      <c r="D31" s="696" t="s">
        <v>1075</v>
      </c>
      <c r="E31" s="280" t="str">
        <f t="shared" si="2"/>
        <v>10S7P</v>
      </c>
      <c r="F31" s="696" t="s">
        <v>950</v>
      </c>
      <c r="G31" s="719" t="s">
        <v>116</v>
      </c>
      <c r="H31" s="720">
        <v>5</v>
      </c>
      <c r="I31" s="721" t="s">
        <v>116</v>
      </c>
      <c r="J31" s="668"/>
      <c r="K31" s="721" t="s">
        <v>116</v>
      </c>
      <c r="L31" s="721"/>
      <c r="M31" s="725"/>
      <c r="N31" s="722"/>
      <c r="O31" s="668"/>
      <c r="P31" s="721" t="s">
        <v>116</v>
      </c>
      <c r="Q31" s="721"/>
      <c r="R31" s="668"/>
      <c r="S31" s="668"/>
      <c r="T31" s="725"/>
      <c r="U31" s="668"/>
      <c r="V31" s="668"/>
      <c r="W31" s="721" t="s">
        <v>116</v>
      </c>
      <c r="X31" s="725"/>
      <c r="Y31" s="668"/>
      <c r="Z31" s="726">
        <v>200</v>
      </c>
      <c r="AA31" s="726"/>
      <c r="AB31" s="726"/>
      <c r="AC31" s="727"/>
      <c r="AD31" s="284" t="str">
        <f t="shared" si="3"/>
        <v>Pan_LT360_36182_D_10S7P5LEDLowDrv_SDI26FM_SW1_Aslp_DUVP_200R_</v>
      </c>
      <c r="AJ31" s="225">
        <f t="shared" si="4"/>
        <v>3</v>
      </c>
      <c r="AK31" s="225">
        <f t="shared" si="5"/>
        <v>9</v>
      </c>
      <c r="AL31" s="225">
        <f t="shared" si="0"/>
        <v>36</v>
      </c>
      <c r="AM31" s="225">
        <f t="shared" si="1"/>
        <v>18.2</v>
      </c>
      <c r="AN31" s="225">
        <f t="shared" si="6"/>
        <v>26</v>
      </c>
      <c r="AO31" s="225">
        <f t="shared" si="7"/>
        <v>10</v>
      </c>
      <c r="AP31" s="225">
        <f t="shared" si="8"/>
        <v>7</v>
      </c>
      <c r="AQ31" s="225" t="str">
        <f t="shared" si="9"/>
        <v>ok</v>
      </c>
      <c r="AR31" s="225" t="str">
        <f t="shared" si="10"/>
        <v>10S7P</v>
      </c>
      <c r="AS31" s="225" t="str">
        <f t="shared" si="11"/>
        <v>5LEDLowDrv_SDI26FM_</v>
      </c>
      <c r="AT31" s="225" t="str">
        <f t="shared" si="12"/>
        <v>SW1_</v>
      </c>
      <c r="AU31" s="225" t="str">
        <f t="shared" si="13"/>
        <v>Aslp_DUVP_</v>
      </c>
      <c r="AV31" s="225">
        <f t="shared" si="17"/>
        <v>20</v>
      </c>
      <c r="AW31" s="225" t="b">
        <f t="shared" si="18"/>
        <v>0</v>
      </c>
      <c r="AX31" s="225" t="str">
        <f t="shared" si="14"/>
        <v>DAKB00182-W021E01LT_</v>
      </c>
      <c r="AY31" s="225" t="str">
        <f t="shared" si="15"/>
        <v>DAKB00182_W021E01LT_</v>
      </c>
      <c r="AZ31" s="664" t="str">
        <f t="shared" si="16"/>
        <v>200R_</v>
      </c>
    </row>
    <row r="32" spans="1:52" s="225" customFormat="1" ht="38.25" customHeight="1">
      <c r="A32" s="696" t="s">
        <v>1206</v>
      </c>
      <c r="B32" s="700" t="s">
        <v>1084</v>
      </c>
      <c r="C32" s="698" t="s">
        <v>1208</v>
      </c>
      <c r="D32" s="696" t="s">
        <v>1086</v>
      </c>
      <c r="E32" s="280" t="str">
        <f t="shared" si="2"/>
        <v>13S5P</v>
      </c>
      <c r="F32" s="696" t="s">
        <v>939</v>
      </c>
      <c r="G32" s="719" t="s">
        <v>116</v>
      </c>
      <c r="H32" s="720">
        <v>3</v>
      </c>
      <c r="I32" s="721"/>
      <c r="J32" s="668"/>
      <c r="K32" s="721" t="s">
        <v>116</v>
      </c>
      <c r="L32" s="721"/>
      <c r="M32" s="725"/>
      <c r="N32" s="722"/>
      <c r="O32" s="668"/>
      <c r="P32" s="721" t="s">
        <v>116</v>
      </c>
      <c r="Q32" s="721"/>
      <c r="R32" s="668"/>
      <c r="S32" s="668"/>
      <c r="T32" s="725"/>
      <c r="U32" s="668"/>
      <c r="V32" s="668"/>
      <c r="W32" s="721" t="s">
        <v>116</v>
      </c>
      <c r="X32" s="725"/>
      <c r="Y32" s="668"/>
      <c r="Z32" s="726">
        <v>200</v>
      </c>
      <c r="AA32" s="726"/>
      <c r="AB32" s="726"/>
      <c r="AC32" s="727"/>
      <c r="AD32" s="284" t="str">
        <f t="shared" si="3"/>
        <v>Pan_B320_48130_Y_13S5P3LED_SDI26FM_SW1_Aslp_DUVP_200R_</v>
      </c>
      <c r="AJ32" s="225">
        <f t="shared" si="4"/>
        <v>3</v>
      </c>
      <c r="AK32" s="225">
        <f t="shared" si="5"/>
        <v>9</v>
      </c>
      <c r="AL32" s="225">
        <f t="shared" si="0"/>
        <v>48</v>
      </c>
      <c r="AM32" s="225">
        <f t="shared" si="1"/>
        <v>13</v>
      </c>
      <c r="AN32" s="225">
        <f t="shared" si="6"/>
        <v>26</v>
      </c>
      <c r="AO32" s="225">
        <f t="shared" si="7"/>
        <v>13</v>
      </c>
      <c r="AP32" s="225">
        <f t="shared" si="8"/>
        <v>5</v>
      </c>
      <c r="AQ32" s="225" t="str">
        <f t="shared" si="9"/>
        <v>ok</v>
      </c>
      <c r="AR32" s="225" t="str">
        <f t="shared" si="10"/>
        <v>13S5P</v>
      </c>
      <c r="AS32" s="225" t="str">
        <f t="shared" si="11"/>
        <v>3LED_SDI26FM_</v>
      </c>
      <c r="AT32" s="225" t="str">
        <f t="shared" si="12"/>
        <v>SW1_</v>
      </c>
      <c r="AU32" s="225" t="str">
        <f t="shared" si="13"/>
        <v>Aslp_DUVP_</v>
      </c>
      <c r="AV32" s="225">
        <f t="shared" si="17"/>
        <v>20</v>
      </c>
      <c r="AW32" s="225" t="b">
        <f t="shared" si="18"/>
        <v>0</v>
      </c>
      <c r="AX32" s="225" t="str">
        <f t="shared" si="14"/>
        <v>DAKB00130-W021E06LT_</v>
      </c>
      <c r="AY32" s="225" t="str">
        <f t="shared" si="15"/>
        <v>DAKB00130_W021E06LT_</v>
      </c>
      <c r="AZ32" s="664" t="str">
        <f t="shared" si="16"/>
        <v>200R_</v>
      </c>
    </row>
    <row r="33" spans="1:52" s="225" customFormat="1" ht="38.25" customHeight="1">
      <c r="A33" s="696" t="s">
        <v>1079</v>
      </c>
      <c r="B33" s="700" t="s">
        <v>1084</v>
      </c>
      <c r="C33" s="698" t="s">
        <v>1082</v>
      </c>
      <c r="D33" s="696" t="s">
        <v>1088</v>
      </c>
      <c r="E33" s="280" t="str">
        <f t="shared" si="2"/>
        <v>13S4P</v>
      </c>
      <c r="F33" s="696" t="s">
        <v>939</v>
      </c>
      <c r="G33" s="719" t="s">
        <v>116</v>
      </c>
      <c r="H33" s="720">
        <v>3</v>
      </c>
      <c r="I33" s="721"/>
      <c r="J33" s="668"/>
      <c r="K33" s="721" t="s">
        <v>116</v>
      </c>
      <c r="L33" s="721"/>
      <c r="M33" s="725"/>
      <c r="N33" s="722"/>
      <c r="O33" s="668"/>
      <c r="P33" s="721" t="s">
        <v>116</v>
      </c>
      <c r="Q33" s="721"/>
      <c r="R33" s="668"/>
      <c r="S33" s="668"/>
      <c r="T33" s="725"/>
      <c r="U33" s="668"/>
      <c r="V33" s="668"/>
      <c r="W33" s="721" t="s">
        <v>116</v>
      </c>
      <c r="X33" s="725"/>
      <c r="Y33" s="668"/>
      <c r="Z33" s="726">
        <v>200</v>
      </c>
      <c r="AA33" s="726"/>
      <c r="AB33" s="726"/>
      <c r="AC33" s="727"/>
      <c r="AD33" s="284" t="str">
        <f t="shared" si="3"/>
        <v>Pan_B320_48100_Y_13S4P3LED_SDI26FM_SW1_Aslp_DUVP_200R_</v>
      </c>
      <c r="AJ33" s="225">
        <f t="shared" si="4"/>
        <v>3</v>
      </c>
      <c r="AK33" s="225">
        <f t="shared" si="5"/>
        <v>9</v>
      </c>
      <c r="AL33" s="225">
        <f t="shared" si="0"/>
        <v>48</v>
      </c>
      <c r="AM33" s="225">
        <f t="shared" si="1"/>
        <v>10</v>
      </c>
      <c r="AN33" s="225">
        <f t="shared" si="6"/>
        <v>26</v>
      </c>
      <c r="AO33" s="225">
        <f t="shared" si="7"/>
        <v>13</v>
      </c>
      <c r="AP33" s="225">
        <f t="shared" si="8"/>
        <v>4</v>
      </c>
      <c r="AQ33" s="225" t="str">
        <f t="shared" si="9"/>
        <v>ok</v>
      </c>
      <c r="AR33" s="225" t="str">
        <f t="shared" si="10"/>
        <v>13S4P</v>
      </c>
      <c r="AS33" s="225" t="str">
        <f t="shared" si="11"/>
        <v>3LED_SDI26FM_</v>
      </c>
      <c r="AT33" s="225" t="str">
        <f t="shared" si="12"/>
        <v>SW1_</v>
      </c>
      <c r="AU33" s="225" t="str">
        <f t="shared" si="13"/>
        <v>Aslp_DUVP_</v>
      </c>
      <c r="AV33" s="225">
        <f t="shared" si="17"/>
        <v>20</v>
      </c>
      <c r="AW33" s="225" t="b">
        <f t="shared" si="18"/>
        <v>0</v>
      </c>
      <c r="AX33" s="225" t="str">
        <f t="shared" si="14"/>
        <v>DAKB00100-W021E28LT_</v>
      </c>
      <c r="AY33" s="225" t="str">
        <f t="shared" si="15"/>
        <v>DAKB00100_W021E28LT_</v>
      </c>
      <c r="AZ33" s="664" t="str">
        <f t="shared" si="16"/>
        <v>200R_</v>
      </c>
    </row>
    <row r="34" spans="1:52" s="225" customFormat="1" ht="56.25">
      <c r="A34" s="696" t="s">
        <v>1094</v>
      </c>
      <c r="B34" s="697" t="s">
        <v>1107</v>
      </c>
      <c r="C34" s="698" t="s">
        <v>938</v>
      </c>
      <c r="D34" s="696" t="s">
        <v>932</v>
      </c>
      <c r="E34" s="280" t="str">
        <f t="shared" si="2"/>
        <v>10S4P</v>
      </c>
      <c r="F34" s="696" t="s">
        <v>939</v>
      </c>
      <c r="G34" s="719" t="s">
        <v>116</v>
      </c>
      <c r="H34" s="720">
        <v>3</v>
      </c>
      <c r="I34" s="721"/>
      <c r="J34" s="668"/>
      <c r="K34" s="668" t="s">
        <v>116</v>
      </c>
      <c r="L34" s="769"/>
      <c r="M34" s="668"/>
      <c r="N34" s="722"/>
      <c r="O34" s="668"/>
      <c r="P34" s="668" t="s">
        <v>116</v>
      </c>
      <c r="Q34" s="767"/>
      <c r="R34" s="668"/>
      <c r="S34" s="668"/>
      <c r="T34" s="725"/>
      <c r="U34" s="668"/>
      <c r="V34" s="668"/>
      <c r="W34" s="668" t="s">
        <v>116</v>
      </c>
      <c r="X34" s="668"/>
      <c r="Y34" s="668"/>
      <c r="Z34" s="726">
        <v>200</v>
      </c>
      <c r="AA34" s="726"/>
      <c r="AB34" s="726"/>
      <c r="AC34" s="727"/>
      <c r="AD34" s="284" t="str">
        <f t="shared" si="3"/>
        <v>Pan_B285_36100_Y_10S4P3LED_SDI26FM_SW1_Aslp_DUVP_200R_</v>
      </c>
      <c r="AJ34" s="225">
        <f t="shared" si="4"/>
        <v>3</v>
      </c>
      <c r="AK34" s="225">
        <f t="shared" si="5"/>
        <v>9</v>
      </c>
      <c r="AL34" s="225">
        <f t="shared" si="0"/>
        <v>36</v>
      </c>
      <c r="AM34" s="225">
        <f t="shared" si="1"/>
        <v>10</v>
      </c>
      <c r="AN34" s="225">
        <f t="shared" si="6"/>
        <v>26</v>
      </c>
      <c r="AO34" s="225">
        <f t="shared" si="7"/>
        <v>10</v>
      </c>
      <c r="AP34" s="225">
        <f t="shared" si="8"/>
        <v>4</v>
      </c>
      <c r="AQ34" s="225" t="str">
        <f t="shared" si="9"/>
        <v>ok</v>
      </c>
      <c r="AR34" s="225" t="str">
        <f t="shared" si="10"/>
        <v>10S4P</v>
      </c>
      <c r="AS34" s="225" t="str">
        <f t="shared" si="11"/>
        <v>3LED_SDI26FM_</v>
      </c>
      <c r="AT34" s="225" t="str">
        <f t="shared" si="12"/>
        <v>SW1_</v>
      </c>
      <c r="AU34" s="225" t="str">
        <f t="shared" si="13"/>
        <v>Aslp_DUVP_</v>
      </c>
      <c r="AV34" s="225">
        <f t="shared" si="17"/>
        <v>20</v>
      </c>
      <c r="AW34" s="225" t="b">
        <f t="shared" si="18"/>
        <v>0</v>
      </c>
      <c r="AX34" s="225" t="str">
        <f t="shared" si="14"/>
        <v>DAKB00100-W021E12LT_</v>
      </c>
      <c r="AY34" s="225" t="str">
        <f t="shared" si="15"/>
        <v>DAKB00100_W021E12LT_</v>
      </c>
      <c r="AZ34" s="664" t="str">
        <f t="shared" si="16"/>
        <v>200R_</v>
      </c>
    </row>
    <row r="35" spans="1:52" s="225" customFormat="1" ht="37.5">
      <c r="A35" s="701" t="s">
        <v>1204</v>
      </c>
      <c r="B35" s="697" t="s">
        <v>1213</v>
      </c>
      <c r="C35" s="698" t="s">
        <v>1210</v>
      </c>
      <c r="D35" s="696" t="s">
        <v>1100</v>
      </c>
      <c r="E35" s="280" t="str">
        <f t="shared" si="2"/>
        <v>13S4P</v>
      </c>
      <c r="F35" s="696" t="s">
        <v>939</v>
      </c>
      <c r="G35" s="719" t="s">
        <v>116</v>
      </c>
      <c r="H35" s="720">
        <v>3</v>
      </c>
      <c r="I35" s="721"/>
      <c r="J35" s="668"/>
      <c r="K35" s="668" t="s">
        <v>116</v>
      </c>
      <c r="L35" s="668"/>
      <c r="M35" s="668"/>
      <c r="N35" s="722"/>
      <c r="O35" s="668"/>
      <c r="P35" s="668" t="s">
        <v>116</v>
      </c>
      <c r="Q35" s="767"/>
      <c r="R35" s="668"/>
      <c r="S35" s="668"/>
      <c r="T35" s="725"/>
      <c r="U35" s="668"/>
      <c r="V35" s="668"/>
      <c r="W35" s="668" t="s">
        <v>116</v>
      </c>
      <c r="X35" s="668"/>
      <c r="Y35" s="668"/>
      <c r="Z35" s="726">
        <v>200</v>
      </c>
      <c r="AA35" s="726"/>
      <c r="AB35" s="726"/>
      <c r="AC35" s="727"/>
      <c r="AD35" s="284" t="str">
        <f t="shared" si="3"/>
        <v>Pan_B285_48100_Y_13S4P3LED_SDI26FM_SW1_Aslp_DUVP_200R_</v>
      </c>
      <c r="AJ35" s="225">
        <f t="shared" si="4"/>
        <v>3</v>
      </c>
      <c r="AK35" s="225">
        <f t="shared" si="5"/>
        <v>9</v>
      </c>
      <c r="AL35" s="225">
        <f t="shared" si="0"/>
        <v>48</v>
      </c>
      <c r="AM35" s="225">
        <f t="shared" si="1"/>
        <v>10</v>
      </c>
      <c r="AN35" s="225">
        <f t="shared" si="6"/>
        <v>26</v>
      </c>
      <c r="AO35" s="225">
        <f t="shared" si="7"/>
        <v>13</v>
      </c>
      <c r="AP35" s="225">
        <f t="shared" si="8"/>
        <v>4</v>
      </c>
      <c r="AQ35" s="225" t="str">
        <f t="shared" si="9"/>
        <v>ok</v>
      </c>
      <c r="AR35" s="225" t="str">
        <f t="shared" si="10"/>
        <v>13S4P</v>
      </c>
      <c r="AS35" s="225" t="str">
        <f t="shared" si="11"/>
        <v>3LED_SDI26FM_</v>
      </c>
      <c r="AT35" s="225" t="str">
        <f t="shared" si="12"/>
        <v>SW1_</v>
      </c>
      <c r="AU35" s="225" t="str">
        <f t="shared" si="13"/>
        <v>Aslp_DUVP_</v>
      </c>
      <c r="AV35" s="225" t="e">
        <f t="shared" si="17"/>
        <v>#VALUE!</v>
      </c>
      <c r="AW35" s="225" t="b">
        <f t="shared" si="18"/>
        <v>0</v>
      </c>
      <c r="AX35" s="225" t="str">
        <f t="shared" si="14"/>
        <v>DAKB00100-W021E13LT_</v>
      </c>
      <c r="AY35" s="225" t="str">
        <f t="shared" si="15"/>
        <v>DAKB00100_W021E13LT_</v>
      </c>
      <c r="AZ35" s="664" t="str">
        <f t="shared" si="16"/>
        <v>200R_</v>
      </c>
    </row>
    <row r="36" spans="1:52" s="225" customFormat="1" ht="37.5">
      <c r="A36" s="701" t="s">
        <v>732</v>
      </c>
      <c r="B36" s="697" t="s">
        <v>1107</v>
      </c>
      <c r="C36" s="698" t="s">
        <v>1099</v>
      </c>
      <c r="D36" s="696" t="s">
        <v>1101</v>
      </c>
      <c r="E36" s="280" t="str">
        <f t="shared" si="2"/>
        <v>13S5P</v>
      </c>
      <c r="F36" s="696" t="s">
        <v>939</v>
      </c>
      <c r="G36" s="719" t="s">
        <v>116</v>
      </c>
      <c r="H36" s="720">
        <v>3</v>
      </c>
      <c r="I36" s="721"/>
      <c r="J36" s="668"/>
      <c r="K36" s="668" t="s">
        <v>116</v>
      </c>
      <c r="L36" s="668"/>
      <c r="M36" s="668"/>
      <c r="N36" s="722"/>
      <c r="O36" s="668"/>
      <c r="P36" s="668" t="s">
        <v>116</v>
      </c>
      <c r="Q36" s="767"/>
      <c r="R36" s="668"/>
      <c r="S36" s="668"/>
      <c r="T36" s="725"/>
      <c r="U36" s="668"/>
      <c r="V36" s="668"/>
      <c r="W36" s="668" t="s">
        <v>116</v>
      </c>
      <c r="X36" s="668"/>
      <c r="Y36" s="668"/>
      <c r="Z36" s="726">
        <v>200</v>
      </c>
      <c r="AA36" s="726"/>
      <c r="AB36" s="726"/>
      <c r="AC36" s="727"/>
      <c r="AD36" s="284" t="str">
        <f t="shared" si="3"/>
        <v>Pan_B285_48130_Y_13S5P3LED_SDI26FM_SW1_Aslp_DUVP_200R_</v>
      </c>
      <c r="AJ36" s="225">
        <f t="shared" si="4"/>
        <v>3</v>
      </c>
      <c r="AK36" s="225">
        <f t="shared" si="5"/>
        <v>9</v>
      </c>
      <c r="AL36" s="225">
        <f t="shared" si="0"/>
        <v>48</v>
      </c>
      <c r="AM36" s="225">
        <f t="shared" si="1"/>
        <v>13</v>
      </c>
      <c r="AN36" s="225">
        <f t="shared" si="6"/>
        <v>26</v>
      </c>
      <c r="AO36" s="225">
        <f t="shared" si="7"/>
        <v>13</v>
      </c>
      <c r="AP36" s="225">
        <f t="shared" si="8"/>
        <v>5</v>
      </c>
      <c r="AQ36" s="225" t="str">
        <f t="shared" si="9"/>
        <v>ok</v>
      </c>
      <c r="AR36" s="225" t="str">
        <f t="shared" si="10"/>
        <v>13S5P</v>
      </c>
      <c r="AS36" s="225" t="str">
        <f t="shared" si="11"/>
        <v>3LED_SDI26FM_</v>
      </c>
      <c r="AT36" s="225" t="str">
        <f t="shared" si="12"/>
        <v>SW1_</v>
      </c>
      <c r="AU36" s="225" t="str">
        <f t="shared" si="13"/>
        <v>Aslp_DUVP_</v>
      </c>
      <c r="AV36" s="225" t="e">
        <f t="shared" si="17"/>
        <v>#VALUE!</v>
      </c>
      <c r="AW36" s="225" t="b">
        <f t="shared" si="18"/>
        <v>0</v>
      </c>
      <c r="AX36" s="225" t="str">
        <f t="shared" si="14"/>
        <v>DAKB00130-W021E04LT_</v>
      </c>
      <c r="AY36" s="225" t="str">
        <f t="shared" si="15"/>
        <v>DAKB00130_W021E04LT_</v>
      </c>
      <c r="AZ36" s="664" t="str">
        <f t="shared" si="16"/>
        <v>200R_</v>
      </c>
    </row>
    <row r="37" spans="1:52" s="225" customFormat="1" ht="38.25" thickBot="1">
      <c r="A37" s="690" t="s">
        <v>1112</v>
      </c>
      <c r="B37" s="691"/>
      <c r="C37" s="692" t="s">
        <v>1110</v>
      </c>
      <c r="D37" s="690" t="s">
        <v>932</v>
      </c>
      <c r="E37" s="281" t="str">
        <f t="shared" si="2"/>
        <v>10S4P</v>
      </c>
      <c r="F37" s="690" t="s">
        <v>939</v>
      </c>
      <c r="G37" s="749" t="s">
        <v>116</v>
      </c>
      <c r="H37" s="750">
        <v>4</v>
      </c>
      <c r="I37" s="751" t="s">
        <v>116</v>
      </c>
      <c r="J37" s="683"/>
      <c r="K37" s="751" t="s">
        <v>116</v>
      </c>
      <c r="L37" s="770"/>
      <c r="M37" s="683"/>
      <c r="N37" s="752"/>
      <c r="O37" s="683"/>
      <c r="P37" s="751" t="s">
        <v>116</v>
      </c>
      <c r="Q37" s="771"/>
      <c r="R37" s="683"/>
      <c r="S37" s="683"/>
      <c r="T37" s="772"/>
      <c r="U37" s="683"/>
      <c r="V37" s="683"/>
      <c r="W37" s="751" t="s">
        <v>116</v>
      </c>
      <c r="X37" s="683"/>
      <c r="Y37" s="770"/>
      <c r="Z37" s="753">
        <v>200</v>
      </c>
      <c r="AA37" s="858"/>
      <c r="AB37" s="858"/>
      <c r="AC37" s="727"/>
      <c r="AD37" s="284" t="str">
        <f t="shared" si="3"/>
        <v>Ares115_36100_D_10S4P4LEDLowDrv_SDI26FM_SW1_Aslp_DUVP_200R_</v>
      </c>
      <c r="AJ37" s="225">
        <f t="shared" si="4"/>
        <v>3</v>
      </c>
      <c r="AK37" s="225">
        <f t="shared" si="5"/>
        <v>9</v>
      </c>
      <c r="AL37" s="225">
        <f t="shared" si="0"/>
        <v>36</v>
      </c>
      <c r="AM37" s="225">
        <f t="shared" si="1"/>
        <v>10</v>
      </c>
      <c r="AN37" s="225">
        <f t="shared" si="6"/>
        <v>26</v>
      </c>
      <c r="AO37" s="225">
        <f t="shared" si="7"/>
        <v>10</v>
      </c>
      <c r="AP37" s="225">
        <f t="shared" si="8"/>
        <v>4</v>
      </c>
      <c r="AQ37" s="225" t="str">
        <f t="shared" si="9"/>
        <v>ok</v>
      </c>
      <c r="AR37" s="225" t="str">
        <f t="shared" si="10"/>
        <v>10S4P</v>
      </c>
      <c r="AS37" s="225" t="str">
        <f t="shared" si="11"/>
        <v>4LEDLowDrv_SDI26FM_</v>
      </c>
      <c r="AT37" s="225" t="str">
        <f t="shared" si="12"/>
        <v>SW1_</v>
      </c>
      <c r="AU37" s="225" t="str">
        <f t="shared" si="13"/>
        <v>Aslp_DUVP_</v>
      </c>
      <c r="AV37" s="225" t="e">
        <f t="shared" si="17"/>
        <v>#VALUE!</v>
      </c>
      <c r="AW37" s="225" t="b">
        <f t="shared" si="18"/>
        <v>0</v>
      </c>
      <c r="AX37" s="225" t="str">
        <f t="shared" si="14"/>
        <v>DAKB00100-W021E31LT_</v>
      </c>
      <c r="AY37" s="225" t="str">
        <f t="shared" si="15"/>
        <v>DAKB00100_W021E31LT_</v>
      </c>
      <c r="AZ37" s="664" t="str">
        <f t="shared" si="16"/>
        <v>200R_</v>
      </c>
    </row>
    <row r="38" spans="1:52" s="286" customFormat="1" ht="38.25" thickTop="1">
      <c r="A38" s="684" t="s">
        <v>1166</v>
      </c>
      <c r="B38" s="685"/>
      <c r="C38" s="686" t="s">
        <v>1164</v>
      </c>
      <c r="D38" s="684" t="s">
        <v>1101</v>
      </c>
      <c r="E38" s="282" t="str">
        <f t="shared" si="2"/>
        <v>13S5P</v>
      </c>
      <c r="F38" s="761" t="s">
        <v>950</v>
      </c>
      <c r="G38" s="755" t="s">
        <v>116</v>
      </c>
      <c r="H38" s="756">
        <v>5</v>
      </c>
      <c r="I38" s="773" t="s">
        <v>116</v>
      </c>
      <c r="J38" s="684"/>
      <c r="K38" s="757" t="s">
        <v>116</v>
      </c>
      <c r="L38" s="774"/>
      <c r="M38" s="684"/>
      <c r="N38" s="757" t="s">
        <v>116</v>
      </c>
      <c r="O38" s="684"/>
      <c r="P38" s="757" t="s">
        <v>116</v>
      </c>
      <c r="Q38" s="775" t="s">
        <v>116</v>
      </c>
      <c r="R38" s="684"/>
      <c r="S38" s="684"/>
      <c r="T38" s="757" t="s">
        <v>116</v>
      </c>
      <c r="U38" s="684"/>
      <c r="V38" s="776" t="s">
        <v>685</v>
      </c>
      <c r="W38" s="757" t="s">
        <v>116</v>
      </c>
      <c r="X38" s="684"/>
      <c r="Y38" s="684"/>
      <c r="Z38" s="759">
        <v>200</v>
      </c>
      <c r="AA38" s="759"/>
      <c r="AB38" s="759"/>
      <c r="AC38" s="777" t="s">
        <v>1233</v>
      </c>
      <c r="AD38" s="285" t="str">
        <f t="shared" si="3"/>
        <v>Ares_NHT350_48130_D_13S5P5LEDLowDrv_SDI26FM_SW1_SW2_Aslp_Wup_Blight_CC_DUVP_200R_</v>
      </c>
      <c r="AJ38" s="286">
        <f t="shared" si="4"/>
        <v>3</v>
      </c>
      <c r="AK38" s="286">
        <f t="shared" si="5"/>
        <v>9</v>
      </c>
      <c r="AL38" s="286">
        <f t="shared" si="0"/>
        <v>48</v>
      </c>
      <c r="AM38" s="286">
        <f t="shared" si="1"/>
        <v>13</v>
      </c>
      <c r="AN38" s="286">
        <f t="shared" si="6"/>
        <v>26</v>
      </c>
      <c r="AO38" s="286">
        <f t="shared" si="7"/>
        <v>13</v>
      </c>
      <c r="AP38" s="286">
        <f t="shared" si="8"/>
        <v>5</v>
      </c>
      <c r="AQ38" s="286" t="str">
        <f t="shared" si="9"/>
        <v>ok</v>
      </c>
      <c r="AR38" s="286" t="str">
        <f t="shared" si="10"/>
        <v>13S5P</v>
      </c>
      <c r="AS38" s="286" t="str">
        <f t="shared" si="11"/>
        <v>5LEDLowDrv_SDI26FM_</v>
      </c>
      <c r="AT38" s="225" t="str">
        <f t="shared" si="12"/>
        <v>SW1_SW2_</v>
      </c>
      <c r="AU38" s="225" t="str">
        <f t="shared" si="13"/>
        <v>Aslp_Wup_Blight_CC_DUVP_</v>
      </c>
      <c r="AV38" s="286" t="e">
        <f t="shared" si="17"/>
        <v>#VALUE!</v>
      </c>
      <c r="AW38" s="286" t="b">
        <f t="shared" si="18"/>
        <v>0</v>
      </c>
      <c r="AX38" s="286" t="str">
        <f t="shared" si="14"/>
        <v>DAKB00130-W021E08LT_</v>
      </c>
      <c r="AY38" s="286" t="str">
        <f t="shared" si="15"/>
        <v>DAKB00130_W021E08LT_</v>
      </c>
      <c r="AZ38" s="664" t="str">
        <f t="shared" si="16"/>
        <v>200R_</v>
      </c>
    </row>
    <row r="39" spans="1:52" s="225" customFormat="1" ht="39" customHeight="1">
      <c r="A39" s="668" t="s">
        <v>1194</v>
      </c>
      <c r="B39" s="669"/>
      <c r="C39" s="670" t="s">
        <v>1198</v>
      </c>
      <c r="D39" s="668" t="s">
        <v>1101</v>
      </c>
      <c r="E39" s="280" t="str">
        <f t="shared" si="2"/>
        <v>13S5P</v>
      </c>
      <c r="F39" s="696" t="s">
        <v>939</v>
      </c>
      <c r="G39" s="719" t="s">
        <v>116</v>
      </c>
      <c r="H39" s="720">
        <v>4</v>
      </c>
      <c r="I39" s="721" t="s">
        <v>116</v>
      </c>
      <c r="J39" s="668"/>
      <c r="K39" s="736" t="s">
        <v>116</v>
      </c>
      <c r="L39" s="737"/>
      <c r="M39" s="668"/>
      <c r="N39" s="722"/>
      <c r="O39" s="668"/>
      <c r="P39" s="721" t="s">
        <v>116</v>
      </c>
      <c r="Q39" s="721" t="s">
        <v>685</v>
      </c>
      <c r="R39" s="668"/>
      <c r="S39" s="668"/>
      <c r="T39" s="725"/>
      <c r="U39" s="668"/>
      <c r="V39" s="721" t="s">
        <v>116</v>
      </c>
      <c r="W39" s="736" t="s">
        <v>116</v>
      </c>
      <c r="X39" s="737"/>
      <c r="Y39" s="737"/>
      <c r="Z39" s="778">
        <v>167</v>
      </c>
      <c r="AA39" s="778"/>
      <c r="AB39" s="778"/>
      <c r="AC39" s="727"/>
      <c r="AD39" s="284" t="str">
        <f t="shared" si="3"/>
        <v>Ares_TB350_48130_N_13S5P4LEDLowDrv_SDI26FM_SW1_Aslp_Wup_CC_DUVP_167R_</v>
      </c>
      <c r="AJ39" s="225">
        <f t="shared" si="4"/>
        <v>3</v>
      </c>
      <c r="AK39" s="225">
        <f t="shared" si="5"/>
        <v>9</v>
      </c>
      <c r="AL39" s="225">
        <f t="shared" si="0"/>
        <v>48</v>
      </c>
      <c r="AM39" s="225">
        <f t="shared" si="1"/>
        <v>13</v>
      </c>
      <c r="AN39" s="225">
        <f t="shared" si="6"/>
        <v>26</v>
      </c>
      <c r="AO39" s="225">
        <f t="shared" si="7"/>
        <v>13</v>
      </c>
      <c r="AP39" s="225">
        <f t="shared" si="8"/>
        <v>5</v>
      </c>
      <c r="AQ39" s="225" t="str">
        <f t="shared" si="9"/>
        <v>ok</v>
      </c>
      <c r="AR39" s="225" t="str">
        <f t="shared" si="10"/>
        <v>13S5P</v>
      </c>
      <c r="AS39" s="225" t="str">
        <f t="shared" si="11"/>
        <v>4LEDLowDrv_SDI26FM_</v>
      </c>
      <c r="AT39" s="225" t="str">
        <f t="shared" si="12"/>
        <v>SW1_</v>
      </c>
      <c r="AU39" s="225" t="str">
        <f t="shared" si="13"/>
        <v>Aslp_Wup_CC_DUVP_</v>
      </c>
      <c r="AV39" s="225" t="e">
        <f t="shared" si="17"/>
        <v>#VALUE!</v>
      </c>
      <c r="AW39" s="225" t="b">
        <f t="shared" si="18"/>
        <v>0</v>
      </c>
      <c r="AX39" s="225" t="str">
        <f t="shared" si="14"/>
        <v>DAKB00130-W021E10LT_</v>
      </c>
      <c r="AY39" s="225" t="str">
        <f t="shared" si="15"/>
        <v>DAKB00130_W021E10LT_</v>
      </c>
      <c r="AZ39" s="664" t="str">
        <f t="shared" si="16"/>
        <v>167R_</v>
      </c>
    </row>
    <row r="40" spans="1:52" s="225" customFormat="1" ht="37.5">
      <c r="A40" s="668" t="s">
        <v>1195</v>
      </c>
      <c r="B40" s="669"/>
      <c r="C40" s="670" t="s">
        <v>1196</v>
      </c>
      <c r="D40" s="668" t="s">
        <v>932</v>
      </c>
      <c r="E40" s="280" t="str">
        <f t="shared" si="2"/>
        <v>10S4P</v>
      </c>
      <c r="F40" s="696" t="s">
        <v>939</v>
      </c>
      <c r="G40" s="719" t="s">
        <v>116</v>
      </c>
      <c r="H40" s="720">
        <v>4</v>
      </c>
      <c r="I40" s="779"/>
      <c r="J40" s="668"/>
      <c r="K40" s="736" t="s">
        <v>116</v>
      </c>
      <c r="L40" s="737"/>
      <c r="M40" s="668"/>
      <c r="N40" s="722"/>
      <c r="O40" s="668"/>
      <c r="P40" s="721" t="s">
        <v>116</v>
      </c>
      <c r="Q40" s="721" t="s">
        <v>116</v>
      </c>
      <c r="R40" s="668"/>
      <c r="S40" s="668"/>
      <c r="T40" s="725"/>
      <c r="U40" s="668"/>
      <c r="V40" s="721" t="s">
        <v>116</v>
      </c>
      <c r="W40" s="736" t="s">
        <v>116</v>
      </c>
      <c r="X40" s="737"/>
      <c r="Y40" s="737"/>
      <c r="Z40" s="726">
        <v>200</v>
      </c>
      <c r="AA40" s="726"/>
      <c r="AB40" s="726"/>
      <c r="AC40" s="727" t="s">
        <v>1234</v>
      </c>
      <c r="AD40" s="284" t="str">
        <f t="shared" si="3"/>
        <v>Demeter_36100_N_10S4P4LED_SDI26FM_SW1_Aslp_Wup_CC_DUVP_200R_</v>
      </c>
      <c r="AJ40" s="225">
        <f t="shared" si="4"/>
        <v>3</v>
      </c>
      <c r="AK40" s="225">
        <f t="shared" si="5"/>
        <v>9</v>
      </c>
      <c r="AL40" s="225">
        <f t="shared" si="0"/>
        <v>36</v>
      </c>
      <c r="AM40" s="225">
        <f t="shared" si="1"/>
        <v>10</v>
      </c>
      <c r="AN40" s="225">
        <f t="shared" si="6"/>
        <v>26</v>
      </c>
      <c r="AO40" s="225">
        <f t="shared" si="7"/>
        <v>10</v>
      </c>
      <c r="AP40" s="225">
        <f t="shared" si="8"/>
        <v>4</v>
      </c>
      <c r="AQ40" s="225" t="str">
        <f t="shared" si="9"/>
        <v>ok</v>
      </c>
      <c r="AR40" s="225" t="str">
        <f t="shared" si="10"/>
        <v>10S4P</v>
      </c>
      <c r="AS40" s="225" t="str">
        <f t="shared" si="11"/>
        <v>4LED_SDI26FM_</v>
      </c>
      <c r="AT40" s="225" t="str">
        <f t="shared" si="12"/>
        <v>SW1_</v>
      </c>
      <c r="AU40" s="225" t="str">
        <f t="shared" si="13"/>
        <v>Aslp_Wup_CC_DUVP_</v>
      </c>
      <c r="AV40" s="225" t="e">
        <f t="shared" si="17"/>
        <v>#VALUE!</v>
      </c>
      <c r="AW40" s="225" t="b">
        <f t="shared" si="18"/>
        <v>0</v>
      </c>
      <c r="AX40" s="225" t="str">
        <f t="shared" si="14"/>
        <v>DAKB00100-W021E32LT_</v>
      </c>
      <c r="AY40" s="225" t="str">
        <f t="shared" si="15"/>
        <v>DAKB00100_W021E32LT_</v>
      </c>
      <c r="AZ40" s="664" t="str">
        <f t="shared" si="16"/>
        <v>200R_</v>
      </c>
    </row>
    <row r="41" spans="1:52" s="225" customFormat="1" ht="37.5">
      <c r="A41" s="668" t="s">
        <v>1199</v>
      </c>
      <c r="B41" s="669"/>
      <c r="C41" s="670" t="s">
        <v>1200</v>
      </c>
      <c r="D41" s="668" t="s">
        <v>1101</v>
      </c>
      <c r="E41" s="280" t="str">
        <f t="shared" si="2"/>
        <v>13S5P</v>
      </c>
      <c r="F41" s="696" t="s">
        <v>939</v>
      </c>
      <c r="G41" s="719" t="s">
        <v>116</v>
      </c>
      <c r="H41" s="720">
        <v>0</v>
      </c>
      <c r="I41" s="721"/>
      <c r="J41" s="668"/>
      <c r="K41" s="722"/>
      <c r="L41" s="736" t="s">
        <v>116</v>
      </c>
      <c r="M41" s="668"/>
      <c r="N41" s="722"/>
      <c r="O41" s="668"/>
      <c r="P41" s="721" t="s">
        <v>116</v>
      </c>
      <c r="Q41" s="721" t="s">
        <v>116</v>
      </c>
      <c r="R41" s="668"/>
      <c r="S41" s="668"/>
      <c r="T41" s="725"/>
      <c r="U41" s="668"/>
      <c r="V41" s="721" t="s">
        <v>116</v>
      </c>
      <c r="W41" s="736" t="s">
        <v>116</v>
      </c>
      <c r="X41" s="737"/>
      <c r="Y41" s="737"/>
      <c r="Z41" s="726">
        <v>200</v>
      </c>
      <c r="AA41" s="726"/>
      <c r="AB41" s="726"/>
      <c r="AC41" s="727" t="s">
        <v>1234</v>
      </c>
      <c r="AD41" s="284" t="str">
        <f t="shared" si="3"/>
        <v>Pan_THY3_48130_Y_13S5P0LED_SDI26FM_MSW1_Aslp_Wup_CC_DUVP_200R_</v>
      </c>
      <c r="AJ41" s="225">
        <f t="shared" si="4"/>
        <v>3</v>
      </c>
      <c r="AK41" s="225">
        <f t="shared" si="5"/>
        <v>9</v>
      </c>
      <c r="AL41" s="225">
        <f t="shared" si="0"/>
        <v>48</v>
      </c>
      <c r="AM41" s="225">
        <f t="shared" si="1"/>
        <v>13</v>
      </c>
      <c r="AN41" s="225">
        <f t="shared" si="6"/>
        <v>26</v>
      </c>
      <c r="AO41" s="225">
        <f t="shared" si="7"/>
        <v>13</v>
      </c>
      <c r="AP41" s="225">
        <f t="shared" si="8"/>
        <v>5</v>
      </c>
      <c r="AQ41" s="225" t="str">
        <f t="shared" si="9"/>
        <v>ok</v>
      </c>
      <c r="AR41" s="225" t="str">
        <f t="shared" si="10"/>
        <v>13S5P</v>
      </c>
      <c r="AS41" s="225" t="str">
        <f t="shared" si="11"/>
        <v>0LED_SDI26FM_</v>
      </c>
      <c r="AT41" s="225" t="str">
        <f t="shared" si="12"/>
        <v>MSW1_</v>
      </c>
      <c r="AU41" s="225" t="str">
        <f t="shared" si="13"/>
        <v>Aslp_Wup_CC_DUVP_</v>
      </c>
      <c r="AV41" s="225" t="e">
        <f t="shared" si="17"/>
        <v>#VALUE!</v>
      </c>
      <c r="AW41" s="225" t="b">
        <f t="shared" si="18"/>
        <v>0</v>
      </c>
      <c r="AX41" s="225" t="str">
        <f t="shared" si="14"/>
        <v>DAKB00130-W021E09LT_</v>
      </c>
      <c r="AY41" s="225" t="str">
        <f t="shared" si="15"/>
        <v>DAKB00130_W021E09LT_</v>
      </c>
      <c r="AZ41" s="664" t="str">
        <f t="shared" si="16"/>
        <v>200R_</v>
      </c>
    </row>
    <row r="42" spans="1:52" s="225" customFormat="1" ht="37.5">
      <c r="A42" s="668" t="s">
        <v>1204</v>
      </c>
      <c r="B42" s="669" t="s">
        <v>1213</v>
      </c>
      <c r="C42" s="670" t="s">
        <v>1210</v>
      </c>
      <c r="D42" s="668" t="s">
        <v>1100</v>
      </c>
      <c r="E42" s="280" t="str">
        <f t="shared" si="2"/>
        <v>13S4P</v>
      </c>
      <c r="F42" s="696" t="s">
        <v>939</v>
      </c>
      <c r="G42" s="719" t="s">
        <v>116</v>
      </c>
      <c r="H42" s="720">
        <v>3</v>
      </c>
      <c r="I42" s="721"/>
      <c r="J42" s="668"/>
      <c r="K42" s="736" t="s">
        <v>116</v>
      </c>
      <c r="L42" s="737"/>
      <c r="M42" s="668"/>
      <c r="N42" s="722"/>
      <c r="O42" s="668"/>
      <c r="P42" s="721" t="s">
        <v>116</v>
      </c>
      <c r="Q42" s="721" t="s">
        <v>116</v>
      </c>
      <c r="R42" s="668"/>
      <c r="S42" s="668"/>
      <c r="T42" s="725"/>
      <c r="U42" s="668"/>
      <c r="V42" s="721" t="s">
        <v>116</v>
      </c>
      <c r="W42" s="736" t="s">
        <v>116</v>
      </c>
      <c r="X42" s="737"/>
      <c r="Y42" s="737"/>
      <c r="Z42" s="726">
        <v>200</v>
      </c>
      <c r="AA42" s="726"/>
      <c r="AB42" s="726"/>
      <c r="AC42" s="727" t="s">
        <v>1234</v>
      </c>
      <c r="AD42" s="284" t="str">
        <f t="shared" si="3"/>
        <v>Pan_B285_48100_Y_13S4P3LED_SDI26FM_SW1_Aslp_Wup_CC_DUVP_200R_</v>
      </c>
      <c r="AJ42" s="225">
        <f t="shared" si="4"/>
        <v>3</v>
      </c>
      <c r="AK42" s="225">
        <f t="shared" si="5"/>
        <v>9</v>
      </c>
      <c r="AL42" s="225">
        <f t="shared" si="0"/>
        <v>48</v>
      </c>
      <c r="AM42" s="225">
        <f t="shared" si="1"/>
        <v>10</v>
      </c>
      <c r="AN42" s="225">
        <f t="shared" si="6"/>
        <v>26</v>
      </c>
      <c r="AO42" s="225">
        <f t="shared" si="7"/>
        <v>13</v>
      </c>
      <c r="AP42" s="225">
        <f t="shared" si="8"/>
        <v>4</v>
      </c>
      <c r="AQ42" s="225" t="str">
        <f t="shared" si="9"/>
        <v>ok</v>
      </c>
      <c r="AR42" s="225" t="str">
        <f t="shared" si="10"/>
        <v>13S4P</v>
      </c>
      <c r="AS42" s="225" t="str">
        <f t="shared" si="11"/>
        <v>3LED_SDI26FM_</v>
      </c>
      <c r="AT42" s="225" t="str">
        <f t="shared" si="12"/>
        <v>SW1_</v>
      </c>
      <c r="AU42" s="225" t="str">
        <f t="shared" si="13"/>
        <v>Aslp_Wup_CC_DUVP_</v>
      </c>
      <c r="AV42" s="225" t="e">
        <f t="shared" si="17"/>
        <v>#VALUE!</v>
      </c>
      <c r="AW42" s="225" t="b">
        <f t="shared" si="18"/>
        <v>0</v>
      </c>
      <c r="AX42" s="225" t="str">
        <f t="shared" si="14"/>
        <v>DAKB00100-W021E13LT_</v>
      </c>
      <c r="AY42" s="225" t="str">
        <f t="shared" si="15"/>
        <v>DAKB00100_W021E13LT_</v>
      </c>
      <c r="AZ42" s="664" t="str">
        <f t="shared" si="16"/>
        <v>200R_</v>
      </c>
    </row>
    <row r="43" spans="1:52" s="225" customFormat="1" ht="38.25" customHeight="1">
      <c r="A43" s="668" t="s">
        <v>1206</v>
      </c>
      <c r="B43" s="678" t="s">
        <v>1215</v>
      </c>
      <c r="C43" s="670" t="s">
        <v>1208</v>
      </c>
      <c r="D43" s="668" t="s">
        <v>1101</v>
      </c>
      <c r="E43" s="280" t="str">
        <f t="shared" si="2"/>
        <v>13S5P</v>
      </c>
      <c r="F43" s="696" t="s">
        <v>939</v>
      </c>
      <c r="G43" s="719" t="s">
        <v>116</v>
      </c>
      <c r="H43" s="720">
        <v>3</v>
      </c>
      <c r="I43" s="721"/>
      <c r="J43" s="668"/>
      <c r="K43" s="736" t="s">
        <v>116</v>
      </c>
      <c r="L43" s="737"/>
      <c r="M43" s="668"/>
      <c r="N43" s="722"/>
      <c r="O43" s="668"/>
      <c r="P43" s="721" t="s">
        <v>116</v>
      </c>
      <c r="Q43" s="721" t="s">
        <v>116</v>
      </c>
      <c r="R43" s="668"/>
      <c r="S43" s="668"/>
      <c r="T43" s="725"/>
      <c r="U43" s="668"/>
      <c r="V43" s="721" t="s">
        <v>116</v>
      </c>
      <c r="W43" s="736" t="s">
        <v>116</v>
      </c>
      <c r="X43" s="737"/>
      <c r="Y43" s="737"/>
      <c r="Z43" s="726">
        <v>200</v>
      </c>
      <c r="AA43" s="726"/>
      <c r="AB43" s="726"/>
      <c r="AC43" s="727" t="s">
        <v>1234</v>
      </c>
      <c r="AD43" s="284" t="str">
        <f t="shared" si="3"/>
        <v>Pan_B320_48130_Y_13S5P3LED_SDI26FM_SW1_Aslp_Wup_CC_DUVP_200R_</v>
      </c>
      <c r="AJ43" s="225">
        <f t="shared" si="4"/>
        <v>3</v>
      </c>
      <c r="AK43" s="225">
        <f t="shared" si="5"/>
        <v>9</v>
      </c>
      <c r="AL43" s="225">
        <f t="shared" si="0"/>
        <v>48</v>
      </c>
      <c r="AM43" s="225">
        <f t="shared" si="1"/>
        <v>13</v>
      </c>
      <c r="AN43" s="225">
        <f t="shared" si="6"/>
        <v>26</v>
      </c>
      <c r="AO43" s="225">
        <f t="shared" si="7"/>
        <v>13</v>
      </c>
      <c r="AP43" s="225">
        <f t="shared" si="8"/>
        <v>5</v>
      </c>
      <c r="AQ43" s="225" t="str">
        <f t="shared" si="9"/>
        <v>ok</v>
      </c>
      <c r="AR43" s="225" t="str">
        <f t="shared" si="10"/>
        <v>13S5P</v>
      </c>
      <c r="AS43" s="225" t="str">
        <f t="shared" si="11"/>
        <v>3LED_SDI26FM_</v>
      </c>
      <c r="AT43" s="225" t="str">
        <f t="shared" si="12"/>
        <v>SW1_</v>
      </c>
      <c r="AU43" s="225" t="str">
        <f t="shared" si="13"/>
        <v>Aslp_Wup_CC_DUVP_</v>
      </c>
      <c r="AV43" s="225">
        <f t="shared" si="17"/>
        <v>20</v>
      </c>
      <c r="AW43" s="225" t="b">
        <f t="shared" si="18"/>
        <v>0</v>
      </c>
      <c r="AX43" s="225" t="str">
        <f t="shared" si="14"/>
        <v>DAKB00130-W021E06LT_</v>
      </c>
      <c r="AY43" s="225" t="str">
        <f t="shared" si="15"/>
        <v>DAKB00130_W021E06LT_</v>
      </c>
      <c r="AZ43" s="664" t="str">
        <f t="shared" si="16"/>
        <v>200R_</v>
      </c>
    </row>
    <row r="44" spans="1:52" s="225" customFormat="1" ht="37.5">
      <c r="A44" s="668" t="s">
        <v>1428</v>
      </c>
      <c r="B44" s="669"/>
      <c r="C44" s="670" t="s">
        <v>1226</v>
      </c>
      <c r="D44" s="668" t="s">
        <v>932</v>
      </c>
      <c r="E44" s="280" t="str">
        <f t="shared" si="2"/>
        <v>10S4P</v>
      </c>
      <c r="F44" s="696" t="s">
        <v>939</v>
      </c>
      <c r="G44" s="719" t="s">
        <v>116</v>
      </c>
      <c r="H44" s="720">
        <v>5</v>
      </c>
      <c r="I44" s="736" t="s">
        <v>116</v>
      </c>
      <c r="J44" s="668"/>
      <c r="K44" s="736" t="s">
        <v>116</v>
      </c>
      <c r="L44" s="668"/>
      <c r="M44" s="668"/>
      <c r="N44" s="722"/>
      <c r="O44" s="668"/>
      <c r="P44" s="736" t="s">
        <v>116</v>
      </c>
      <c r="Q44" s="721" t="s">
        <v>116</v>
      </c>
      <c r="R44" s="668"/>
      <c r="S44" s="668"/>
      <c r="T44" s="725"/>
      <c r="U44" s="668"/>
      <c r="V44" s="736" t="s">
        <v>116</v>
      </c>
      <c r="W44" s="736" t="s">
        <v>116</v>
      </c>
      <c r="X44" s="737"/>
      <c r="Y44" s="737"/>
      <c r="Z44" s="726">
        <v>200</v>
      </c>
      <c r="AA44" s="726"/>
      <c r="AB44" s="726"/>
      <c r="AC44" s="727" t="s">
        <v>1235</v>
      </c>
      <c r="AD44" s="284" t="str">
        <f t="shared" si="3"/>
        <v>Pan_BJX325_36100_D_10S4P5LEDLowDrv_SDI26FM_SW1_Aslp_Wup_CC_DUVP_200R_</v>
      </c>
      <c r="AJ44" s="225">
        <f t="shared" si="4"/>
        <v>3</v>
      </c>
      <c r="AK44" s="225">
        <f t="shared" si="5"/>
        <v>9</v>
      </c>
      <c r="AL44" s="225">
        <f t="shared" si="0"/>
        <v>36</v>
      </c>
      <c r="AM44" s="225">
        <f t="shared" si="1"/>
        <v>10</v>
      </c>
      <c r="AN44" s="225">
        <f t="shared" si="6"/>
        <v>26</v>
      </c>
      <c r="AO44" s="225">
        <f t="shared" si="7"/>
        <v>10</v>
      </c>
      <c r="AP44" s="225">
        <f t="shared" si="8"/>
        <v>4</v>
      </c>
      <c r="AQ44" s="225" t="str">
        <f t="shared" si="9"/>
        <v>ok</v>
      </c>
      <c r="AR44" s="225" t="str">
        <f t="shared" si="10"/>
        <v>10S4P</v>
      </c>
      <c r="AS44" s="225" t="str">
        <f t="shared" si="11"/>
        <v>5LEDLowDrv_SDI26FM_</v>
      </c>
      <c r="AT44" s="225" t="str">
        <f t="shared" si="12"/>
        <v>SW1_</v>
      </c>
      <c r="AU44" s="225" t="str">
        <f t="shared" si="13"/>
        <v>Aslp_Wup_CC_DUVP_</v>
      </c>
      <c r="AV44" s="225" t="e">
        <f t="shared" si="17"/>
        <v>#VALUE!</v>
      </c>
      <c r="AW44" s="225" t="b">
        <f t="shared" si="18"/>
        <v>0</v>
      </c>
      <c r="AX44" s="225" t="str">
        <f t="shared" si="14"/>
        <v>DAKB00100-W021E33LT_</v>
      </c>
      <c r="AY44" s="225" t="str">
        <f t="shared" si="15"/>
        <v>DAKB00100_W021E33LT_</v>
      </c>
      <c r="AZ44" s="664" t="str">
        <f t="shared" si="16"/>
        <v>200R_</v>
      </c>
    </row>
    <row r="45" spans="1:52" s="225" customFormat="1" ht="38.25" customHeight="1">
      <c r="A45" s="668" t="s">
        <v>1220</v>
      </c>
      <c r="B45" s="678" t="s">
        <v>1219</v>
      </c>
      <c r="C45" s="670" t="s">
        <v>1227</v>
      </c>
      <c r="D45" s="668" t="s">
        <v>1075</v>
      </c>
      <c r="E45" s="280" t="str">
        <f t="shared" si="2"/>
        <v>10S7P</v>
      </c>
      <c r="F45" s="696" t="s">
        <v>939</v>
      </c>
      <c r="G45" s="719" t="s">
        <v>116</v>
      </c>
      <c r="H45" s="720">
        <v>5</v>
      </c>
      <c r="I45" s="736" t="s">
        <v>116</v>
      </c>
      <c r="J45" s="668"/>
      <c r="K45" s="736" t="s">
        <v>116</v>
      </c>
      <c r="L45" s="668"/>
      <c r="M45" s="668"/>
      <c r="N45" s="722"/>
      <c r="O45" s="668"/>
      <c r="P45" s="736" t="s">
        <v>116</v>
      </c>
      <c r="Q45" s="721" t="s">
        <v>116</v>
      </c>
      <c r="R45" s="668"/>
      <c r="S45" s="668"/>
      <c r="T45" s="725"/>
      <c r="U45" s="668"/>
      <c r="V45" s="721" t="s">
        <v>116</v>
      </c>
      <c r="W45" s="736" t="s">
        <v>116</v>
      </c>
      <c r="X45" s="737"/>
      <c r="Y45" s="737"/>
      <c r="Z45" s="726">
        <v>200</v>
      </c>
      <c r="AA45" s="726"/>
      <c r="AB45" s="726"/>
      <c r="AC45" s="727" t="s">
        <v>1231</v>
      </c>
      <c r="AD45" s="284" t="str">
        <f t="shared" si="3"/>
        <v>Pan_BLT360_36182_DU_10S7P5LEDLowDrv_SDI26FM_SW1_Aslp_Wup_CC_DUVP_200R_</v>
      </c>
      <c r="AJ45" s="225">
        <f t="shared" si="4"/>
        <v>3</v>
      </c>
      <c r="AK45" s="225">
        <f t="shared" si="5"/>
        <v>9</v>
      </c>
      <c r="AL45" s="225">
        <f t="shared" si="0"/>
        <v>36</v>
      </c>
      <c r="AM45" s="225">
        <f t="shared" si="1"/>
        <v>18.2</v>
      </c>
      <c r="AN45" s="225">
        <f t="shared" si="6"/>
        <v>26</v>
      </c>
      <c r="AO45" s="225">
        <f t="shared" si="7"/>
        <v>10</v>
      </c>
      <c r="AP45" s="225">
        <f t="shared" si="8"/>
        <v>7</v>
      </c>
      <c r="AQ45" s="225" t="str">
        <f t="shared" si="9"/>
        <v>ok</v>
      </c>
      <c r="AR45" s="225" t="str">
        <f t="shared" si="10"/>
        <v>10S7P</v>
      </c>
      <c r="AS45" s="225" t="str">
        <f t="shared" si="11"/>
        <v>5LEDLowDrv_SDI26FM_</v>
      </c>
      <c r="AT45" s="225" t="str">
        <f t="shared" si="12"/>
        <v>SW1_</v>
      </c>
      <c r="AU45" s="225" t="str">
        <f t="shared" si="13"/>
        <v>Aslp_Wup_CC_DUVP_</v>
      </c>
      <c r="AV45" s="225">
        <f t="shared" si="17"/>
        <v>20</v>
      </c>
      <c r="AW45" s="225" t="b">
        <f t="shared" si="18"/>
        <v>0</v>
      </c>
      <c r="AX45" s="225" t="str">
        <f t="shared" si="14"/>
        <v>DAKB00182-W021E03LT_</v>
      </c>
      <c r="AY45" s="225" t="str">
        <f t="shared" si="15"/>
        <v>DAKB00182_W021E03LT_</v>
      </c>
      <c r="AZ45" s="664" t="str">
        <f t="shared" si="16"/>
        <v>200R_</v>
      </c>
    </row>
    <row r="46" spans="1:52" s="225" customFormat="1" ht="38.25" customHeight="1">
      <c r="A46" s="668" t="s">
        <v>1222</v>
      </c>
      <c r="B46" s="678" t="s">
        <v>741</v>
      </c>
      <c r="C46" s="670" t="s">
        <v>1228</v>
      </c>
      <c r="D46" s="668" t="s">
        <v>1010</v>
      </c>
      <c r="E46" s="280" t="str">
        <f t="shared" si="2"/>
        <v>7S4P</v>
      </c>
      <c r="F46" s="696" t="s">
        <v>939</v>
      </c>
      <c r="G46" s="719" t="s">
        <v>116</v>
      </c>
      <c r="H46" s="720">
        <v>4</v>
      </c>
      <c r="I46" s="780" t="s">
        <v>685</v>
      </c>
      <c r="J46" s="668"/>
      <c r="K46" s="736" t="s">
        <v>116</v>
      </c>
      <c r="L46" s="668"/>
      <c r="M46" s="668"/>
      <c r="N46" s="722"/>
      <c r="O46" s="668"/>
      <c r="P46" s="736" t="s">
        <v>116</v>
      </c>
      <c r="Q46" s="721" t="s">
        <v>116</v>
      </c>
      <c r="R46" s="668"/>
      <c r="S46" s="668"/>
      <c r="T46" s="725"/>
      <c r="U46" s="668"/>
      <c r="V46" s="736" t="s">
        <v>116</v>
      </c>
      <c r="W46" s="736" t="s">
        <v>116</v>
      </c>
      <c r="X46" s="737"/>
      <c r="Y46" s="737"/>
      <c r="Z46" s="726">
        <v>200</v>
      </c>
      <c r="AA46" s="726"/>
      <c r="AB46" s="726"/>
      <c r="AC46" s="768" t="s">
        <v>1230</v>
      </c>
      <c r="AD46" s="284" t="str">
        <f t="shared" si="3"/>
        <v>Pan_BBL260_26100_Y_7S4P4LEDLowDrv_SDI26FM_SW1_Aslp_Wup_CC_DUVP_200R_</v>
      </c>
      <c r="AJ46" s="225">
        <f t="shared" si="4"/>
        <v>3</v>
      </c>
      <c r="AK46" s="225">
        <f t="shared" si="5"/>
        <v>9</v>
      </c>
      <c r="AL46" s="225">
        <f t="shared" si="0"/>
        <v>26</v>
      </c>
      <c r="AM46" s="225">
        <f t="shared" si="1"/>
        <v>10</v>
      </c>
      <c r="AN46" s="225">
        <f t="shared" si="6"/>
        <v>26</v>
      </c>
      <c r="AO46" s="225">
        <f t="shared" si="7"/>
        <v>7</v>
      </c>
      <c r="AP46" s="225">
        <f t="shared" si="8"/>
        <v>4</v>
      </c>
      <c r="AQ46" s="225" t="str">
        <f t="shared" si="9"/>
        <v>ok</v>
      </c>
      <c r="AR46" s="225" t="str">
        <f t="shared" si="10"/>
        <v>7S4P</v>
      </c>
      <c r="AS46" s="225" t="str">
        <f t="shared" si="11"/>
        <v>4LEDLowDrv_SDI26FM_</v>
      </c>
      <c r="AT46" s="225" t="str">
        <f t="shared" si="12"/>
        <v>SW1_</v>
      </c>
      <c r="AU46" s="225" t="str">
        <f t="shared" si="13"/>
        <v>Aslp_Wup_CC_DUVP_</v>
      </c>
      <c r="AV46" s="225">
        <f t="shared" si="17"/>
        <v>20</v>
      </c>
      <c r="AW46" s="225" t="b">
        <f t="shared" si="18"/>
        <v>0</v>
      </c>
      <c r="AX46" s="225" t="str">
        <f t="shared" si="14"/>
        <v>DAKB00100-W021E30LT_</v>
      </c>
      <c r="AY46" s="225" t="str">
        <f t="shared" si="15"/>
        <v>DAKB00100_W021E30LT_</v>
      </c>
      <c r="AZ46" s="664" t="str">
        <f t="shared" si="16"/>
        <v>200R_</v>
      </c>
    </row>
    <row r="47" spans="1:52" s="225" customFormat="1" ht="38.25" customHeight="1">
      <c r="A47" s="668" t="s">
        <v>1225</v>
      </c>
      <c r="B47" s="678" t="s">
        <v>1219</v>
      </c>
      <c r="C47" s="670" t="s">
        <v>1073</v>
      </c>
      <c r="D47" s="668" t="s">
        <v>1075</v>
      </c>
      <c r="E47" s="280" t="str">
        <f t="shared" si="2"/>
        <v>10S7P</v>
      </c>
      <c r="F47" s="696" t="s">
        <v>939</v>
      </c>
      <c r="G47" s="719" t="s">
        <v>116</v>
      </c>
      <c r="H47" s="720">
        <v>5</v>
      </c>
      <c r="I47" s="736" t="s">
        <v>116</v>
      </c>
      <c r="J47" s="668"/>
      <c r="K47" s="736" t="s">
        <v>116</v>
      </c>
      <c r="L47" s="668"/>
      <c r="M47" s="668"/>
      <c r="N47" s="722"/>
      <c r="O47" s="668"/>
      <c r="P47" s="736" t="s">
        <v>116</v>
      </c>
      <c r="Q47" s="721" t="s">
        <v>116</v>
      </c>
      <c r="R47" s="668"/>
      <c r="S47" s="668"/>
      <c r="T47" s="725"/>
      <c r="U47" s="668"/>
      <c r="V47" s="721" t="s">
        <v>116</v>
      </c>
      <c r="W47" s="736" t="s">
        <v>116</v>
      </c>
      <c r="X47" s="737"/>
      <c r="Y47" s="737"/>
      <c r="Z47" s="726">
        <v>200</v>
      </c>
      <c r="AA47" s="726"/>
      <c r="AB47" s="726"/>
      <c r="AC47" s="727" t="s">
        <v>1231</v>
      </c>
      <c r="AD47" s="284" t="str">
        <f t="shared" si="3"/>
        <v>Pan_BLT360_36182_D_10S7P5LEDLowDrv_SDI26FM_SW1_Aslp_Wup_CC_DUVP_200R_</v>
      </c>
      <c r="AJ47" s="225">
        <f t="shared" si="4"/>
        <v>3</v>
      </c>
      <c r="AK47" s="225">
        <f t="shared" si="5"/>
        <v>9</v>
      </c>
      <c r="AL47" s="225">
        <f t="shared" si="0"/>
        <v>36</v>
      </c>
      <c r="AM47" s="225">
        <f t="shared" si="1"/>
        <v>18.2</v>
      </c>
      <c r="AN47" s="225">
        <f t="shared" si="6"/>
        <v>26</v>
      </c>
      <c r="AO47" s="225">
        <f t="shared" si="7"/>
        <v>10</v>
      </c>
      <c r="AP47" s="225">
        <f t="shared" si="8"/>
        <v>7</v>
      </c>
      <c r="AQ47" s="225" t="str">
        <f t="shared" si="9"/>
        <v>ok</v>
      </c>
      <c r="AR47" s="225" t="str">
        <f t="shared" si="10"/>
        <v>10S7P</v>
      </c>
      <c r="AS47" s="225" t="str">
        <f t="shared" si="11"/>
        <v>5LEDLowDrv_SDI26FM_</v>
      </c>
      <c r="AT47" s="225" t="str">
        <f t="shared" si="12"/>
        <v>SW1_</v>
      </c>
      <c r="AU47" s="225" t="str">
        <f t="shared" si="13"/>
        <v>Aslp_Wup_CC_DUVP_</v>
      </c>
      <c r="AV47" s="225">
        <f t="shared" si="17"/>
        <v>20</v>
      </c>
      <c r="AW47" s="225" t="b">
        <f t="shared" si="18"/>
        <v>0</v>
      </c>
      <c r="AX47" s="225" t="str">
        <f t="shared" si="14"/>
        <v>DAKB00182-W021E01LT_</v>
      </c>
      <c r="AY47" s="225" t="str">
        <f t="shared" si="15"/>
        <v>DAKB00182_W021E01LT_</v>
      </c>
      <c r="AZ47" s="664" t="str">
        <f t="shared" si="16"/>
        <v>200R_</v>
      </c>
    </row>
    <row r="48" spans="1:52" s="225" customFormat="1" ht="37.5" customHeight="1">
      <c r="A48" s="668" t="s">
        <v>1241</v>
      </c>
      <c r="B48" s="678" t="s">
        <v>1243</v>
      </c>
      <c r="C48" s="670"/>
      <c r="D48" s="668" t="s">
        <v>959</v>
      </c>
      <c r="E48" s="280" t="str">
        <f t="shared" si="2"/>
        <v>10S5P</v>
      </c>
      <c r="F48" s="696" t="s">
        <v>939</v>
      </c>
      <c r="G48" s="719" t="s">
        <v>116</v>
      </c>
      <c r="H48" s="720">
        <v>4</v>
      </c>
      <c r="I48" s="736" t="s">
        <v>116</v>
      </c>
      <c r="J48" s="668"/>
      <c r="K48" s="736" t="s">
        <v>116</v>
      </c>
      <c r="L48" s="721"/>
      <c r="M48" s="725"/>
      <c r="N48" s="722"/>
      <c r="O48" s="668"/>
      <c r="P48" s="736" t="s">
        <v>116</v>
      </c>
      <c r="Q48" s="721" t="s">
        <v>116</v>
      </c>
      <c r="R48" s="668"/>
      <c r="S48" s="668"/>
      <c r="T48" s="725"/>
      <c r="U48" s="668"/>
      <c r="V48" s="721" t="s">
        <v>116</v>
      </c>
      <c r="W48" s="736" t="s">
        <v>116</v>
      </c>
      <c r="X48" s="737"/>
      <c r="Y48" s="737"/>
      <c r="Z48" s="726">
        <v>200</v>
      </c>
      <c r="AA48" s="726"/>
      <c r="AB48" s="726"/>
      <c r="AC48" s="727"/>
      <c r="AD48" s="284" t="str">
        <f t="shared" si="3"/>
        <v>Ares_SSHB_36130_D_10S5P4LEDLowDrv_SDI26FM_SW1_Aslp_Wup_CC_DUVP_200R_</v>
      </c>
      <c r="AJ48" s="225">
        <f t="shared" si="4"/>
        <v>3</v>
      </c>
      <c r="AK48" s="225">
        <f t="shared" si="5"/>
        <v>9</v>
      </c>
      <c r="AL48" s="225">
        <f t="shared" si="0"/>
        <v>36</v>
      </c>
      <c r="AM48" s="225">
        <f t="shared" si="1"/>
        <v>13</v>
      </c>
      <c r="AN48" s="225">
        <f t="shared" si="6"/>
        <v>26</v>
      </c>
      <c r="AO48" s="225">
        <f t="shared" si="7"/>
        <v>10</v>
      </c>
      <c r="AP48" s="225">
        <f t="shared" si="8"/>
        <v>5</v>
      </c>
      <c r="AQ48" s="225" t="str">
        <f t="shared" si="9"/>
        <v>ok</v>
      </c>
      <c r="AR48" s="225" t="str">
        <f t="shared" si="10"/>
        <v>10S5P</v>
      </c>
      <c r="AS48" s="225" t="str">
        <f t="shared" si="11"/>
        <v>4LEDLowDrv_SDI26FM_</v>
      </c>
      <c r="AT48" s="225" t="str">
        <f t="shared" si="12"/>
        <v>SW1_</v>
      </c>
      <c r="AU48" s="225" t="str">
        <f t="shared" si="13"/>
        <v>Aslp_Wup_CC_DUVP_</v>
      </c>
      <c r="AV48" s="225" t="e">
        <f t="shared" si="17"/>
        <v>#VALUE!</v>
      </c>
      <c r="AW48" s="225" t="b">
        <f t="shared" si="18"/>
        <v>1</v>
      </c>
      <c r="AX48" s="225" t="str">
        <f t="shared" si="14"/>
        <v/>
      </c>
      <c r="AY48" s="225" t="str">
        <f t="shared" si="15"/>
        <v/>
      </c>
      <c r="AZ48" s="664" t="str">
        <f t="shared" si="16"/>
        <v>200R_</v>
      </c>
    </row>
    <row r="49" spans="1:52" s="225" customFormat="1" ht="38.25" customHeight="1">
      <c r="A49" s="668" t="s">
        <v>1244</v>
      </c>
      <c r="B49" s="669" t="s">
        <v>1337</v>
      </c>
      <c r="C49" s="670"/>
      <c r="D49" s="668" t="s">
        <v>932</v>
      </c>
      <c r="E49" s="280" t="str">
        <f t="shared" si="2"/>
        <v>10S4P</v>
      </c>
      <c r="F49" s="696" t="s">
        <v>939</v>
      </c>
      <c r="G49" s="719" t="s">
        <v>116</v>
      </c>
      <c r="H49" s="765">
        <v>3</v>
      </c>
      <c r="I49" s="721"/>
      <c r="J49" s="668"/>
      <c r="K49" s="780" t="s">
        <v>116</v>
      </c>
      <c r="L49" s="668"/>
      <c r="M49" s="668"/>
      <c r="N49" s="722"/>
      <c r="O49" s="668"/>
      <c r="P49" s="736" t="s">
        <v>116</v>
      </c>
      <c r="Q49" s="721" t="s">
        <v>116</v>
      </c>
      <c r="R49" s="668"/>
      <c r="S49" s="668"/>
      <c r="T49" s="725"/>
      <c r="U49" s="668"/>
      <c r="V49" s="721"/>
      <c r="W49" s="736" t="s">
        <v>116</v>
      </c>
      <c r="X49" s="737"/>
      <c r="Y49" s="737"/>
      <c r="Z49" s="726">
        <v>200</v>
      </c>
      <c r="AA49" s="726"/>
      <c r="AB49" s="726"/>
      <c r="AC49" s="768" t="s">
        <v>1338</v>
      </c>
      <c r="AD49" s="284" t="str">
        <f t="shared" si="3"/>
        <v>Pan_BJX296_36100_Y_10S4P3LED_SDI26FM_SW1_Aslp_Wup_DUVP_200R_</v>
      </c>
      <c r="AJ49" s="225">
        <f t="shared" si="4"/>
        <v>3</v>
      </c>
      <c r="AK49" s="225">
        <f t="shared" si="5"/>
        <v>9</v>
      </c>
      <c r="AL49" s="225">
        <f t="shared" si="0"/>
        <v>36</v>
      </c>
      <c r="AM49" s="225">
        <f t="shared" si="1"/>
        <v>10</v>
      </c>
      <c r="AN49" s="225">
        <f t="shared" si="6"/>
        <v>26</v>
      </c>
      <c r="AO49" s="225">
        <f t="shared" si="7"/>
        <v>10</v>
      </c>
      <c r="AP49" s="225">
        <f t="shared" si="8"/>
        <v>4</v>
      </c>
      <c r="AQ49" s="225" t="str">
        <f t="shared" si="9"/>
        <v>ok</v>
      </c>
      <c r="AR49" s="225" t="str">
        <f t="shared" si="10"/>
        <v>10S4P</v>
      </c>
      <c r="AS49" s="225" t="str">
        <f t="shared" si="11"/>
        <v>3LED_SDI26FM_</v>
      </c>
      <c r="AT49" s="225" t="str">
        <f t="shared" si="12"/>
        <v>SW1_</v>
      </c>
      <c r="AU49" s="225" t="str">
        <f t="shared" si="13"/>
        <v>Aslp_Wup_DUVP_</v>
      </c>
      <c r="AV49" s="225" t="e">
        <f t="shared" si="17"/>
        <v>#VALUE!</v>
      </c>
      <c r="AW49" s="225" t="b">
        <f t="shared" si="18"/>
        <v>1</v>
      </c>
      <c r="AX49" s="225" t="str">
        <f t="shared" si="14"/>
        <v/>
      </c>
      <c r="AY49" s="225" t="str">
        <f t="shared" si="15"/>
        <v/>
      </c>
      <c r="AZ49" s="664" t="str">
        <f t="shared" si="16"/>
        <v>200R_</v>
      </c>
    </row>
    <row r="50" spans="1:52" s="225" customFormat="1" ht="39" customHeight="1">
      <c r="A50" s="668" t="s">
        <v>1247</v>
      </c>
      <c r="B50" s="669"/>
      <c r="C50" s="670"/>
      <c r="D50" s="668" t="s">
        <v>1248</v>
      </c>
      <c r="E50" s="280" t="str">
        <f t="shared" si="2"/>
        <v>10S6P</v>
      </c>
      <c r="F50" s="696" t="s">
        <v>939</v>
      </c>
      <c r="G50" s="719" t="s">
        <v>116</v>
      </c>
      <c r="H50" s="720">
        <v>5</v>
      </c>
      <c r="I50" s="736" t="s">
        <v>116</v>
      </c>
      <c r="J50" s="668"/>
      <c r="K50" s="736" t="s">
        <v>116</v>
      </c>
      <c r="L50" s="668"/>
      <c r="M50" s="668"/>
      <c r="N50" s="722"/>
      <c r="O50" s="668"/>
      <c r="P50" s="736" t="s">
        <v>116</v>
      </c>
      <c r="Q50" s="721" t="s">
        <v>116</v>
      </c>
      <c r="R50" s="668"/>
      <c r="S50" s="668"/>
      <c r="T50" s="725"/>
      <c r="U50" s="668"/>
      <c r="V50" s="721" t="s">
        <v>116</v>
      </c>
      <c r="W50" s="736" t="s">
        <v>116</v>
      </c>
      <c r="X50" s="737"/>
      <c r="Y50" s="737"/>
      <c r="Z50" s="726">
        <v>200</v>
      </c>
      <c r="AA50" s="726"/>
      <c r="AB50" s="726"/>
      <c r="AC50" s="727" t="s">
        <v>1339</v>
      </c>
      <c r="AD50" s="284" t="str">
        <f t="shared" si="3"/>
        <v>Pan_BLT360_36156_D_10S6P5LEDLowDrv_SDI26FM_SW1_Aslp_Wup_CC_DUVP_200R_</v>
      </c>
      <c r="AJ50" s="225">
        <f t="shared" si="4"/>
        <v>3</v>
      </c>
      <c r="AK50" s="225">
        <f t="shared" si="5"/>
        <v>9</v>
      </c>
      <c r="AL50" s="225">
        <f t="shared" si="0"/>
        <v>36</v>
      </c>
      <c r="AM50" s="225">
        <f t="shared" si="1"/>
        <v>15.6</v>
      </c>
      <c r="AN50" s="225">
        <f t="shared" si="6"/>
        <v>26</v>
      </c>
      <c r="AO50" s="225">
        <f t="shared" si="7"/>
        <v>10</v>
      </c>
      <c r="AP50" s="225">
        <f t="shared" si="8"/>
        <v>6</v>
      </c>
      <c r="AQ50" s="225" t="str">
        <f t="shared" si="9"/>
        <v>ok</v>
      </c>
      <c r="AR50" s="225" t="str">
        <f t="shared" si="10"/>
        <v>10S6P</v>
      </c>
      <c r="AS50" s="225" t="str">
        <f t="shared" si="11"/>
        <v>5LEDLowDrv_SDI26FM_</v>
      </c>
      <c r="AT50" s="225" t="str">
        <f t="shared" si="12"/>
        <v>SW1_</v>
      </c>
      <c r="AU50" s="225" t="str">
        <f t="shared" si="13"/>
        <v>Aslp_Wup_CC_DUVP_</v>
      </c>
      <c r="AV50" s="225" t="e">
        <f t="shared" si="17"/>
        <v>#VALUE!</v>
      </c>
      <c r="AW50" s="225" t="b">
        <f t="shared" si="18"/>
        <v>1</v>
      </c>
      <c r="AX50" s="225" t="str">
        <f t="shared" si="14"/>
        <v/>
      </c>
      <c r="AY50" s="225" t="str">
        <f t="shared" si="15"/>
        <v/>
      </c>
      <c r="AZ50" s="664" t="str">
        <f t="shared" si="16"/>
        <v>200R_</v>
      </c>
    </row>
    <row r="51" spans="1:52" s="225" customFormat="1" ht="39" customHeight="1">
      <c r="A51" s="668" t="s">
        <v>1340</v>
      </c>
      <c r="B51" s="678" t="s">
        <v>1341</v>
      </c>
      <c r="C51" s="670"/>
      <c r="D51" s="668" t="s">
        <v>1101</v>
      </c>
      <c r="E51" s="280" t="str">
        <f t="shared" si="2"/>
        <v>13S5P</v>
      </c>
      <c r="F51" s="696" t="s">
        <v>939</v>
      </c>
      <c r="G51" s="719" t="s">
        <v>116</v>
      </c>
      <c r="H51" s="720">
        <v>3</v>
      </c>
      <c r="I51" s="780" t="s">
        <v>685</v>
      </c>
      <c r="J51" s="668"/>
      <c r="K51" s="736" t="s">
        <v>116</v>
      </c>
      <c r="L51" s="668"/>
      <c r="M51" s="668"/>
      <c r="N51" s="722"/>
      <c r="O51" s="668"/>
      <c r="P51" s="736" t="s">
        <v>116</v>
      </c>
      <c r="Q51" s="721" t="s">
        <v>116</v>
      </c>
      <c r="R51" s="668"/>
      <c r="S51" s="668"/>
      <c r="T51" s="725"/>
      <c r="U51" s="668"/>
      <c r="V51" s="721" t="s">
        <v>116</v>
      </c>
      <c r="W51" s="736" t="s">
        <v>116</v>
      </c>
      <c r="X51" s="737"/>
      <c r="Y51" s="737"/>
      <c r="Z51" s="778">
        <v>167</v>
      </c>
      <c r="AA51" s="778"/>
      <c r="AB51" s="778"/>
      <c r="AC51" s="727" t="s">
        <v>1351</v>
      </c>
      <c r="AD51" s="284" t="str">
        <f t="shared" si="3"/>
        <v>Demeter_B350_48130_N_13S5P3LEDLowDrv_SDI26FM_SW1_Aslp_Wup_CC_DUVP_167R_</v>
      </c>
      <c r="AJ51" s="225">
        <f t="shared" si="4"/>
        <v>3</v>
      </c>
      <c r="AK51" s="225">
        <f t="shared" si="5"/>
        <v>9</v>
      </c>
      <c r="AL51" s="225">
        <f t="shared" si="0"/>
        <v>48</v>
      </c>
      <c r="AM51" s="225">
        <f t="shared" si="1"/>
        <v>13</v>
      </c>
      <c r="AN51" s="225">
        <f t="shared" si="6"/>
        <v>26</v>
      </c>
      <c r="AO51" s="225">
        <f t="shared" si="7"/>
        <v>13</v>
      </c>
      <c r="AP51" s="225">
        <f t="shared" si="8"/>
        <v>5</v>
      </c>
      <c r="AQ51" s="225" t="str">
        <f t="shared" si="9"/>
        <v>ok</v>
      </c>
      <c r="AR51" s="225" t="str">
        <f t="shared" si="10"/>
        <v>13S5P</v>
      </c>
      <c r="AS51" s="225" t="str">
        <f t="shared" si="11"/>
        <v>3LEDLowDrv_SDI26FM_</v>
      </c>
      <c r="AT51" s="225" t="str">
        <f t="shared" si="12"/>
        <v>SW1_</v>
      </c>
      <c r="AU51" s="225" t="str">
        <f t="shared" si="13"/>
        <v>Aslp_Wup_CC_DUVP_</v>
      </c>
      <c r="AV51" s="225" t="e">
        <f t="shared" si="17"/>
        <v>#VALUE!</v>
      </c>
      <c r="AW51" s="225" t="b">
        <f t="shared" si="18"/>
        <v>1</v>
      </c>
      <c r="AX51" s="225" t="str">
        <f t="shared" si="14"/>
        <v/>
      </c>
      <c r="AY51" s="225" t="str">
        <f t="shared" si="15"/>
        <v/>
      </c>
      <c r="AZ51" s="664" t="str">
        <f t="shared" si="16"/>
        <v>167R_</v>
      </c>
    </row>
    <row r="52" spans="1:52" s="225" customFormat="1" ht="39" customHeight="1">
      <c r="A52" s="668" t="s">
        <v>1345</v>
      </c>
      <c r="B52" s="669"/>
      <c r="C52" s="670"/>
      <c r="D52" s="668" t="s">
        <v>932</v>
      </c>
      <c r="E52" s="280" t="str">
        <f t="shared" si="2"/>
        <v>10S4P</v>
      </c>
      <c r="F52" s="781" t="s">
        <v>715</v>
      </c>
      <c r="G52" s="719" t="s">
        <v>116</v>
      </c>
      <c r="H52" s="720">
        <v>3</v>
      </c>
      <c r="I52" s="721"/>
      <c r="J52" s="668"/>
      <c r="K52" s="736" t="s">
        <v>685</v>
      </c>
      <c r="L52" s="668"/>
      <c r="M52" s="668"/>
      <c r="N52" s="722"/>
      <c r="O52" s="668"/>
      <c r="P52" s="736" t="s">
        <v>116</v>
      </c>
      <c r="Q52" s="721" t="s">
        <v>685</v>
      </c>
      <c r="R52" s="668"/>
      <c r="S52" s="668"/>
      <c r="T52" s="725"/>
      <c r="U52" s="668"/>
      <c r="V52" s="721" t="s">
        <v>116</v>
      </c>
      <c r="W52" s="736" t="s">
        <v>685</v>
      </c>
      <c r="X52" s="737"/>
      <c r="Y52" s="737"/>
      <c r="Z52" s="726">
        <v>200</v>
      </c>
      <c r="AA52" s="726"/>
      <c r="AB52" s="726"/>
      <c r="AC52" s="727" t="s">
        <v>1349</v>
      </c>
      <c r="AD52" s="284" t="str">
        <f t="shared" si="3"/>
        <v>Demeter_B_PLUS_36100_10S4P3LED_SDI26H_SW1_Aslp_Wup_CC_DUVP_200R_</v>
      </c>
      <c r="AJ52" s="225">
        <f t="shared" si="4"/>
        <v>3</v>
      </c>
      <c r="AK52" s="225">
        <f t="shared" si="5"/>
        <v>9</v>
      </c>
      <c r="AL52" s="225">
        <f t="shared" si="0"/>
        <v>36</v>
      </c>
      <c r="AM52" s="225">
        <f t="shared" si="1"/>
        <v>10</v>
      </c>
      <c r="AN52" s="225">
        <f t="shared" si="6"/>
        <v>26</v>
      </c>
      <c r="AO52" s="225">
        <f t="shared" si="7"/>
        <v>10</v>
      </c>
      <c r="AP52" s="225">
        <f t="shared" si="8"/>
        <v>4</v>
      </c>
      <c r="AQ52" s="225" t="str">
        <f t="shared" si="9"/>
        <v>ok</v>
      </c>
      <c r="AR52" s="225" t="str">
        <f t="shared" si="10"/>
        <v>10S4P</v>
      </c>
      <c r="AS52" s="225" t="str">
        <f t="shared" si="11"/>
        <v>3LED_SDI26H_</v>
      </c>
      <c r="AT52" s="225" t="str">
        <f t="shared" si="12"/>
        <v>SW1_</v>
      </c>
      <c r="AU52" s="225" t="str">
        <f t="shared" si="13"/>
        <v>Aslp_Wup_CC_DUVP_</v>
      </c>
      <c r="AV52" s="225" t="e">
        <f t="shared" si="17"/>
        <v>#VALUE!</v>
      </c>
      <c r="AW52" s="225" t="b">
        <f t="shared" si="18"/>
        <v>1</v>
      </c>
      <c r="AX52" s="225" t="str">
        <f t="shared" si="14"/>
        <v/>
      </c>
      <c r="AY52" s="225" t="str">
        <f t="shared" si="15"/>
        <v/>
      </c>
      <c r="AZ52" s="664" t="str">
        <f t="shared" si="16"/>
        <v>200R_</v>
      </c>
    </row>
    <row r="53" spans="1:52" s="225" customFormat="1" ht="39" customHeight="1">
      <c r="A53" s="668" t="s">
        <v>1359</v>
      </c>
      <c r="B53" s="678" t="s">
        <v>1361</v>
      </c>
      <c r="C53" s="670"/>
      <c r="D53" s="668" t="s">
        <v>1344</v>
      </c>
      <c r="E53" s="280" t="str">
        <f t="shared" si="2"/>
        <v>10S4P</v>
      </c>
      <c r="F53" s="696" t="s">
        <v>939</v>
      </c>
      <c r="G53" s="719" t="s">
        <v>116</v>
      </c>
      <c r="H53" s="720">
        <v>5</v>
      </c>
      <c r="I53" s="736" t="s">
        <v>116</v>
      </c>
      <c r="J53" s="668"/>
      <c r="K53" s="736" t="s">
        <v>116</v>
      </c>
      <c r="L53" s="668"/>
      <c r="M53" s="668"/>
      <c r="N53" s="722"/>
      <c r="O53" s="668"/>
      <c r="P53" s="736" t="s">
        <v>116</v>
      </c>
      <c r="Q53" s="721" t="s">
        <v>116</v>
      </c>
      <c r="R53" s="668"/>
      <c r="S53" s="668"/>
      <c r="T53" s="725"/>
      <c r="U53" s="668"/>
      <c r="V53" s="721" t="s">
        <v>116</v>
      </c>
      <c r="W53" s="736" t="s">
        <v>116</v>
      </c>
      <c r="X53" s="737"/>
      <c r="Y53" s="737"/>
      <c r="Z53" s="726">
        <v>200</v>
      </c>
      <c r="AA53" s="726"/>
      <c r="AB53" s="726"/>
      <c r="AC53" s="727"/>
      <c r="AD53" s="284" t="str">
        <f t="shared" si="3"/>
        <v>Pan_BLT330_36104_DU_10S4P5LEDLowDrv_SDI26FM_SW1_Aslp_Wup_CC_DUVP_200R_</v>
      </c>
      <c r="AJ53" s="225">
        <f t="shared" si="4"/>
        <v>3</v>
      </c>
      <c r="AK53" s="225">
        <f t="shared" si="5"/>
        <v>9</v>
      </c>
      <c r="AL53" s="225">
        <f t="shared" si="0"/>
        <v>36</v>
      </c>
      <c r="AM53" s="225">
        <f t="shared" si="1"/>
        <v>10.4</v>
      </c>
      <c r="AN53" s="225">
        <f t="shared" si="6"/>
        <v>26</v>
      </c>
      <c r="AO53" s="225">
        <f t="shared" si="7"/>
        <v>10</v>
      </c>
      <c r="AP53" s="225">
        <f t="shared" si="8"/>
        <v>4</v>
      </c>
      <c r="AQ53" s="225" t="str">
        <f t="shared" si="9"/>
        <v>ok</v>
      </c>
      <c r="AR53" s="225" t="str">
        <f t="shared" si="10"/>
        <v>10S4P</v>
      </c>
      <c r="AS53" s="225" t="str">
        <f t="shared" si="11"/>
        <v>5LEDLowDrv_SDI26FM_</v>
      </c>
      <c r="AT53" s="225" t="str">
        <f t="shared" si="12"/>
        <v>SW1_</v>
      </c>
      <c r="AU53" s="225" t="str">
        <f t="shared" si="13"/>
        <v>Aslp_Wup_CC_DUVP_</v>
      </c>
      <c r="AV53" s="225" t="e">
        <f t="shared" si="17"/>
        <v>#VALUE!</v>
      </c>
      <c r="AW53" s="225" t="b">
        <f t="shared" si="18"/>
        <v>1</v>
      </c>
      <c r="AX53" s="225" t="str">
        <f t="shared" si="14"/>
        <v/>
      </c>
      <c r="AY53" s="225" t="str">
        <f t="shared" si="15"/>
        <v/>
      </c>
      <c r="AZ53" s="664" t="str">
        <f t="shared" si="16"/>
        <v>200R_</v>
      </c>
    </row>
    <row r="54" spans="1:52" s="225" customFormat="1" ht="39" customHeight="1">
      <c r="A54" s="668" t="s">
        <v>1353</v>
      </c>
      <c r="B54" s="678" t="s">
        <v>1362</v>
      </c>
      <c r="C54" s="670"/>
      <c r="D54" s="668" t="s">
        <v>932</v>
      </c>
      <c r="E54" s="280" t="str">
        <f t="shared" si="2"/>
        <v>10S4P</v>
      </c>
      <c r="F54" s="696" t="s">
        <v>939</v>
      </c>
      <c r="G54" s="719" t="s">
        <v>116</v>
      </c>
      <c r="H54" s="720">
        <v>4</v>
      </c>
      <c r="I54" s="736" t="s">
        <v>116</v>
      </c>
      <c r="J54" s="668"/>
      <c r="K54" s="736" t="s">
        <v>116</v>
      </c>
      <c r="L54" s="668"/>
      <c r="M54" s="668"/>
      <c r="N54" s="722"/>
      <c r="O54" s="668"/>
      <c r="P54" s="736" t="s">
        <v>116</v>
      </c>
      <c r="Q54" s="721" t="s">
        <v>116</v>
      </c>
      <c r="R54" s="668"/>
      <c r="S54" s="668"/>
      <c r="T54" s="725"/>
      <c r="U54" s="668"/>
      <c r="V54" s="721" t="s">
        <v>116</v>
      </c>
      <c r="W54" s="736" t="s">
        <v>116</v>
      </c>
      <c r="X54" s="737"/>
      <c r="Y54" s="737"/>
      <c r="Z54" s="726">
        <v>200</v>
      </c>
      <c r="AA54" s="726"/>
      <c r="AB54" s="726"/>
      <c r="AC54" s="727" t="s">
        <v>1357</v>
      </c>
      <c r="AD54" s="284" t="str">
        <f t="shared" si="3"/>
        <v>Ares_LT1_36100_D_10S4P4LEDLowDrv_SDI26FM_SW1_Aslp_Wup_CC_DUVP_200R_</v>
      </c>
      <c r="AJ54" s="225">
        <f t="shared" si="4"/>
        <v>3</v>
      </c>
      <c r="AK54" s="225">
        <f t="shared" si="5"/>
        <v>9</v>
      </c>
      <c r="AL54" s="225">
        <f t="shared" si="0"/>
        <v>36</v>
      </c>
      <c r="AM54" s="225">
        <f t="shared" si="1"/>
        <v>10</v>
      </c>
      <c r="AN54" s="225">
        <f t="shared" si="6"/>
        <v>26</v>
      </c>
      <c r="AO54" s="225">
        <f t="shared" si="7"/>
        <v>10</v>
      </c>
      <c r="AP54" s="225">
        <f t="shared" si="8"/>
        <v>4</v>
      </c>
      <c r="AQ54" s="225" t="str">
        <f t="shared" si="9"/>
        <v>ok</v>
      </c>
      <c r="AR54" s="225" t="str">
        <f t="shared" si="10"/>
        <v>10S4P</v>
      </c>
      <c r="AS54" s="225" t="str">
        <f t="shared" si="11"/>
        <v>4LEDLowDrv_SDI26FM_</v>
      </c>
      <c r="AT54" s="225" t="str">
        <f t="shared" si="12"/>
        <v>SW1_</v>
      </c>
      <c r="AU54" s="225" t="str">
        <f t="shared" si="13"/>
        <v>Aslp_Wup_CC_DUVP_</v>
      </c>
      <c r="AV54" s="225" t="e">
        <f t="shared" si="17"/>
        <v>#VALUE!</v>
      </c>
      <c r="AW54" s="225" t="b">
        <f t="shared" si="18"/>
        <v>1</v>
      </c>
      <c r="AX54" s="225" t="str">
        <f t="shared" si="14"/>
        <v/>
      </c>
      <c r="AY54" s="225" t="str">
        <f t="shared" si="15"/>
        <v/>
      </c>
      <c r="AZ54" s="664" t="str">
        <f t="shared" si="16"/>
        <v>200R_</v>
      </c>
    </row>
    <row r="55" spans="1:52" s="437" customFormat="1" ht="38.25" customHeight="1">
      <c r="A55" s="702" t="s">
        <v>1369</v>
      </c>
      <c r="B55" s="703" t="s">
        <v>1372</v>
      </c>
      <c r="C55" s="704" t="s">
        <v>1373</v>
      </c>
      <c r="D55" s="702" t="s">
        <v>1374</v>
      </c>
      <c r="E55" s="435" t="str">
        <f t="shared" si="2"/>
        <v>10S2P</v>
      </c>
      <c r="F55" s="782" t="s">
        <v>950</v>
      </c>
      <c r="G55" s="783" t="s">
        <v>685</v>
      </c>
      <c r="H55" s="784" t="s">
        <v>1377</v>
      </c>
      <c r="I55" s="785"/>
      <c r="J55" s="702"/>
      <c r="K55" s="785" t="s">
        <v>685</v>
      </c>
      <c r="L55" s="702"/>
      <c r="M55" s="702"/>
      <c r="N55" s="786"/>
      <c r="O55" s="702"/>
      <c r="P55" s="785" t="s">
        <v>685</v>
      </c>
      <c r="Q55" s="787" t="s">
        <v>685</v>
      </c>
      <c r="R55" s="702"/>
      <c r="S55" s="702"/>
      <c r="T55" s="788"/>
      <c r="U55" s="702"/>
      <c r="V55" s="787" t="s">
        <v>685</v>
      </c>
      <c r="W55" s="785" t="s">
        <v>685</v>
      </c>
      <c r="X55" s="789"/>
      <c r="Y55" s="789"/>
      <c r="Z55" s="790">
        <v>200</v>
      </c>
      <c r="AA55" s="790"/>
      <c r="AB55" s="790"/>
      <c r="AC55" s="791" t="s">
        <v>1378</v>
      </c>
      <c r="AD55" s="436" t="str">
        <f t="shared" si="3"/>
        <v>Pan_YD310_36050_D_10S2PN3LED_SDI26FM_SW1_Aslp_Wup_CC_DUVP_200R_</v>
      </c>
      <c r="AJ55" s="437">
        <f t="shared" si="4"/>
        <v>3</v>
      </c>
      <c r="AK55" s="437">
        <f t="shared" si="5"/>
        <v>8</v>
      </c>
      <c r="AL55" s="437">
        <f t="shared" si="0"/>
        <v>36</v>
      </c>
      <c r="AM55" s="437">
        <f t="shared" si="1"/>
        <v>5</v>
      </c>
      <c r="AN55" s="437">
        <f t="shared" si="6"/>
        <v>26</v>
      </c>
      <c r="AO55" s="437">
        <f t="shared" si="7"/>
        <v>10</v>
      </c>
      <c r="AP55" s="437">
        <f t="shared" si="8"/>
        <v>2</v>
      </c>
      <c r="AQ55" s="437" t="str">
        <f t="shared" si="9"/>
        <v>ok</v>
      </c>
      <c r="AR55" s="437" t="str">
        <f t="shared" si="10"/>
        <v>10S2P</v>
      </c>
      <c r="AS55" s="437" t="str">
        <f t="shared" si="11"/>
        <v>N3LED_SDI26FM_</v>
      </c>
      <c r="AT55" s="437" t="str">
        <f t="shared" si="12"/>
        <v>SW1_</v>
      </c>
      <c r="AU55" s="225" t="str">
        <f t="shared" si="13"/>
        <v>Aslp_Wup_CC_DUVP_</v>
      </c>
      <c r="AV55" s="437" t="e">
        <f t="shared" si="17"/>
        <v>#VALUE!</v>
      </c>
      <c r="AW55" s="437" t="b">
        <f t="shared" si="18"/>
        <v>0</v>
      </c>
      <c r="AX55" s="437" t="str">
        <f t="shared" si="14"/>
        <v>改成 Pan_BYD310_36052_D_</v>
      </c>
      <c r="AY55" s="437" t="str">
        <f t="shared" si="15"/>
        <v>改成 Pan_BYD310_36052_D_</v>
      </c>
      <c r="AZ55" s="664" t="str">
        <f t="shared" si="16"/>
        <v>200R_</v>
      </c>
    </row>
    <row r="56" spans="1:52" s="225" customFormat="1" ht="39" customHeight="1">
      <c r="A56" s="668" t="s">
        <v>1354</v>
      </c>
      <c r="B56" s="678" t="s">
        <v>1355</v>
      </c>
      <c r="C56" s="670"/>
      <c r="D56" s="668" t="s">
        <v>932</v>
      </c>
      <c r="E56" s="280" t="str">
        <f t="shared" si="2"/>
        <v>10S4P</v>
      </c>
      <c r="F56" s="696" t="s">
        <v>939</v>
      </c>
      <c r="G56" s="719" t="s">
        <v>116</v>
      </c>
      <c r="H56" s="720">
        <v>4</v>
      </c>
      <c r="I56" s="736" t="s">
        <v>116</v>
      </c>
      <c r="J56" s="668"/>
      <c r="K56" s="736" t="s">
        <v>116</v>
      </c>
      <c r="L56" s="668"/>
      <c r="M56" s="668"/>
      <c r="N56" s="722"/>
      <c r="O56" s="668"/>
      <c r="P56" s="736" t="s">
        <v>116</v>
      </c>
      <c r="Q56" s="721" t="s">
        <v>116</v>
      </c>
      <c r="R56" s="668"/>
      <c r="S56" s="668"/>
      <c r="T56" s="725"/>
      <c r="U56" s="668"/>
      <c r="V56" s="721" t="s">
        <v>116</v>
      </c>
      <c r="W56" s="736" t="s">
        <v>116</v>
      </c>
      <c r="X56" s="737"/>
      <c r="Y56" s="737"/>
      <c r="Z56" s="726">
        <v>200</v>
      </c>
      <c r="AA56" s="726"/>
      <c r="AB56" s="726"/>
      <c r="AC56" s="727" t="s">
        <v>1358</v>
      </c>
      <c r="AD56" s="284" t="str">
        <f t="shared" si="3"/>
        <v>Ares115_36100_D_10S4P4LEDLowDrv_SDI26FM_SW1_Aslp_Wup_CC_DUVP_200R_</v>
      </c>
      <c r="AJ56" s="225">
        <f t="shared" si="4"/>
        <v>3</v>
      </c>
      <c r="AK56" s="225">
        <f t="shared" si="5"/>
        <v>9</v>
      </c>
      <c r="AL56" s="225">
        <f t="shared" si="0"/>
        <v>36</v>
      </c>
      <c r="AM56" s="225">
        <f t="shared" si="1"/>
        <v>10</v>
      </c>
      <c r="AN56" s="225">
        <f t="shared" si="6"/>
        <v>26</v>
      </c>
      <c r="AO56" s="225">
        <f t="shared" si="7"/>
        <v>10</v>
      </c>
      <c r="AP56" s="225">
        <f t="shared" si="8"/>
        <v>4</v>
      </c>
      <c r="AQ56" s="225" t="str">
        <f t="shared" si="9"/>
        <v>ok</v>
      </c>
      <c r="AR56" s="225" t="str">
        <f t="shared" si="10"/>
        <v>10S4P</v>
      </c>
      <c r="AS56" s="225" t="str">
        <f t="shared" si="11"/>
        <v>4LEDLowDrv_SDI26FM_</v>
      </c>
      <c r="AT56" s="225" t="str">
        <f t="shared" si="12"/>
        <v>SW1_</v>
      </c>
      <c r="AU56" s="225" t="str">
        <f t="shared" si="13"/>
        <v>Aslp_Wup_CC_DUVP_</v>
      </c>
      <c r="AV56" s="225" t="e">
        <f t="shared" si="17"/>
        <v>#VALUE!</v>
      </c>
      <c r="AW56" s="225" t="b">
        <f t="shared" si="18"/>
        <v>1</v>
      </c>
      <c r="AX56" s="225" t="str">
        <f t="shared" si="14"/>
        <v/>
      </c>
      <c r="AY56" s="225" t="str">
        <f t="shared" si="15"/>
        <v/>
      </c>
      <c r="AZ56" s="664" t="str">
        <f t="shared" si="16"/>
        <v>200R_</v>
      </c>
    </row>
    <row r="57" spans="1:52" s="225" customFormat="1" ht="39" customHeight="1">
      <c r="A57" s="668" t="s">
        <v>1360</v>
      </c>
      <c r="B57" s="678" t="s">
        <v>1362</v>
      </c>
      <c r="C57" s="670"/>
      <c r="D57" s="668" t="s">
        <v>1344</v>
      </c>
      <c r="E57" s="280" t="str">
        <f t="shared" si="2"/>
        <v>10S4P</v>
      </c>
      <c r="F57" s="696" t="s">
        <v>939</v>
      </c>
      <c r="G57" s="719" t="s">
        <v>116</v>
      </c>
      <c r="H57" s="720">
        <v>5</v>
      </c>
      <c r="I57" s="736" t="s">
        <v>116</v>
      </c>
      <c r="J57" s="668"/>
      <c r="K57" s="736" t="s">
        <v>116</v>
      </c>
      <c r="L57" s="668"/>
      <c r="M57" s="668"/>
      <c r="N57" s="722"/>
      <c r="O57" s="668"/>
      <c r="P57" s="736" t="s">
        <v>116</v>
      </c>
      <c r="Q57" s="721" t="s">
        <v>116</v>
      </c>
      <c r="R57" s="668"/>
      <c r="S57" s="668"/>
      <c r="T57" s="725"/>
      <c r="U57" s="668"/>
      <c r="V57" s="721" t="s">
        <v>116</v>
      </c>
      <c r="W57" s="736" t="s">
        <v>116</v>
      </c>
      <c r="X57" s="737"/>
      <c r="Y57" s="737"/>
      <c r="Z57" s="726">
        <v>200</v>
      </c>
      <c r="AA57" s="726"/>
      <c r="AB57" s="726"/>
      <c r="AC57" s="727" t="s">
        <v>1594</v>
      </c>
      <c r="AD57" s="284" t="str">
        <f t="shared" si="3"/>
        <v>Pan_BLT330_36104_D_10S4P5LEDLowDrv_SDI26FM_SW1_Aslp_Wup_CC_DUVP_200R_</v>
      </c>
      <c r="AJ57" s="225">
        <f t="shared" si="4"/>
        <v>3</v>
      </c>
      <c r="AK57" s="225">
        <f t="shared" si="5"/>
        <v>9</v>
      </c>
      <c r="AL57" s="225">
        <f t="shared" si="0"/>
        <v>36</v>
      </c>
      <c r="AM57" s="225">
        <f t="shared" si="1"/>
        <v>10.4</v>
      </c>
      <c r="AN57" s="225">
        <f t="shared" si="6"/>
        <v>26</v>
      </c>
      <c r="AO57" s="225">
        <f t="shared" si="7"/>
        <v>10</v>
      </c>
      <c r="AP57" s="225">
        <f t="shared" si="8"/>
        <v>4</v>
      </c>
      <c r="AQ57" s="225" t="str">
        <f t="shared" si="9"/>
        <v>ok</v>
      </c>
      <c r="AR57" s="225" t="str">
        <f t="shared" si="10"/>
        <v>10S4P</v>
      </c>
      <c r="AS57" s="225" t="str">
        <f t="shared" si="11"/>
        <v>5LEDLowDrv_SDI26FM_</v>
      </c>
      <c r="AT57" s="225" t="str">
        <f t="shared" si="12"/>
        <v>SW1_</v>
      </c>
      <c r="AU57" s="225" t="str">
        <f t="shared" si="13"/>
        <v>Aslp_Wup_CC_DUVP_</v>
      </c>
      <c r="AV57" s="225" t="e">
        <f t="shared" si="17"/>
        <v>#VALUE!</v>
      </c>
      <c r="AW57" s="225" t="b">
        <f t="shared" si="18"/>
        <v>1</v>
      </c>
      <c r="AX57" s="225" t="str">
        <f t="shared" si="14"/>
        <v/>
      </c>
      <c r="AY57" s="225" t="str">
        <f t="shared" si="15"/>
        <v/>
      </c>
      <c r="AZ57" s="664" t="str">
        <f t="shared" si="16"/>
        <v>200R_</v>
      </c>
    </row>
    <row r="58" spans="1:52" s="225" customFormat="1" ht="39" customHeight="1">
      <c r="A58" s="705" t="s">
        <v>695</v>
      </c>
      <c r="B58" s="706" t="s">
        <v>1364</v>
      </c>
      <c r="C58" s="707"/>
      <c r="D58" s="705" t="s">
        <v>738</v>
      </c>
      <c r="E58" s="280" t="str">
        <f t="shared" si="2"/>
        <v>10S4P</v>
      </c>
      <c r="F58" s="718" t="s">
        <v>715</v>
      </c>
      <c r="G58" s="719" t="s">
        <v>116</v>
      </c>
      <c r="H58" s="705">
        <v>5</v>
      </c>
      <c r="I58" s="792"/>
      <c r="J58" s="705"/>
      <c r="K58" s="792" t="s">
        <v>116</v>
      </c>
      <c r="L58" s="705"/>
      <c r="M58" s="705"/>
      <c r="N58" s="793"/>
      <c r="O58" s="705"/>
      <c r="P58" s="792" t="s">
        <v>116</v>
      </c>
      <c r="Q58" s="794" t="s">
        <v>116</v>
      </c>
      <c r="R58" s="705"/>
      <c r="S58" s="705"/>
      <c r="T58" s="795"/>
      <c r="U58" s="705"/>
      <c r="V58" s="794" t="s">
        <v>116</v>
      </c>
      <c r="W58" s="792" t="s">
        <v>116</v>
      </c>
      <c r="X58" s="705"/>
      <c r="Y58" s="705"/>
      <c r="Z58" s="726">
        <v>200</v>
      </c>
      <c r="AA58" s="726"/>
      <c r="AB58" s="726"/>
      <c r="AC58" s="768" t="s">
        <v>1366</v>
      </c>
      <c r="AD58" s="284" t="str">
        <f t="shared" si="3"/>
        <v>Aurola_36100_N_10S4P5LED_SDI26H_SW1_Aslp_Wup_CC_DUVP_200R_</v>
      </c>
      <c r="AJ58" s="225">
        <f t="shared" si="4"/>
        <v>3</v>
      </c>
      <c r="AK58" s="225">
        <f t="shared" si="5"/>
        <v>9</v>
      </c>
      <c r="AL58" s="225">
        <f t="shared" si="0"/>
        <v>36</v>
      </c>
      <c r="AM58" s="225">
        <f t="shared" si="1"/>
        <v>10</v>
      </c>
      <c r="AN58" s="225">
        <f t="shared" si="6"/>
        <v>26</v>
      </c>
      <c r="AO58" s="225">
        <f t="shared" si="7"/>
        <v>10</v>
      </c>
      <c r="AP58" s="225">
        <f t="shared" si="8"/>
        <v>4</v>
      </c>
      <c r="AQ58" s="225" t="str">
        <f t="shared" si="9"/>
        <v>ok</v>
      </c>
      <c r="AR58" s="225" t="str">
        <f t="shared" si="10"/>
        <v>10S4P</v>
      </c>
      <c r="AS58" s="225" t="str">
        <f t="shared" si="11"/>
        <v>5LED_SDI26H_</v>
      </c>
      <c r="AT58" s="225" t="str">
        <f t="shared" si="12"/>
        <v>SW1_</v>
      </c>
      <c r="AU58" s="225" t="str">
        <f t="shared" si="13"/>
        <v>Aslp_Wup_CC_DUVP_</v>
      </c>
      <c r="AV58" s="225" t="e">
        <f t="shared" si="17"/>
        <v>#VALUE!</v>
      </c>
      <c r="AW58" s="225" t="b">
        <f t="shared" si="18"/>
        <v>1</v>
      </c>
      <c r="AX58" s="225" t="str">
        <f t="shared" si="14"/>
        <v/>
      </c>
      <c r="AY58" s="225" t="str">
        <f t="shared" si="15"/>
        <v/>
      </c>
      <c r="AZ58" s="664" t="str">
        <f t="shared" si="16"/>
        <v>200R_</v>
      </c>
    </row>
    <row r="59" spans="1:52" s="225" customFormat="1" ht="39" customHeight="1">
      <c r="A59" s="668" t="s">
        <v>1370</v>
      </c>
      <c r="B59" s="678" t="s">
        <v>1367</v>
      </c>
      <c r="C59" s="670"/>
      <c r="D59" s="668" t="s">
        <v>1368</v>
      </c>
      <c r="E59" s="280" t="str">
        <f t="shared" si="2"/>
        <v>10S2P</v>
      </c>
      <c r="F59" s="696" t="s">
        <v>939</v>
      </c>
      <c r="G59" s="719" t="s">
        <v>116</v>
      </c>
      <c r="H59" s="765" t="s">
        <v>1012</v>
      </c>
      <c r="I59" s="736"/>
      <c r="J59" s="668"/>
      <c r="K59" s="780" t="s">
        <v>116</v>
      </c>
      <c r="L59" s="668"/>
      <c r="M59" s="668"/>
      <c r="N59" s="722"/>
      <c r="O59" s="668"/>
      <c r="P59" s="736" t="s">
        <v>116</v>
      </c>
      <c r="Q59" s="721" t="s">
        <v>116</v>
      </c>
      <c r="R59" s="668"/>
      <c r="S59" s="668"/>
      <c r="T59" s="725"/>
      <c r="U59" s="668"/>
      <c r="V59" s="721" t="s">
        <v>116</v>
      </c>
      <c r="W59" s="736" t="s">
        <v>116</v>
      </c>
      <c r="X59" s="737"/>
      <c r="Y59" s="737"/>
      <c r="Z59" s="726">
        <v>200</v>
      </c>
      <c r="AA59" s="726"/>
      <c r="AB59" s="726"/>
      <c r="AC59" s="768" t="s">
        <v>1419</v>
      </c>
      <c r="AD59" s="284" t="str">
        <f t="shared" si="3"/>
        <v>Pan_BTL305_36052_D_10S2PN3LED_SDI26FM_SW1_Aslp_Wup_CC_DUVP_200R_</v>
      </c>
      <c r="AJ59" s="225">
        <f t="shared" si="4"/>
        <v>3</v>
      </c>
      <c r="AK59" s="225">
        <f t="shared" si="5"/>
        <v>8</v>
      </c>
      <c r="AL59" s="225">
        <f t="shared" si="0"/>
        <v>36</v>
      </c>
      <c r="AM59" s="225">
        <f t="shared" si="1"/>
        <v>5.2</v>
      </c>
      <c r="AN59" s="225">
        <f t="shared" si="6"/>
        <v>26</v>
      </c>
      <c r="AO59" s="225">
        <f t="shared" si="7"/>
        <v>10</v>
      </c>
      <c r="AP59" s="225">
        <f t="shared" si="8"/>
        <v>2</v>
      </c>
      <c r="AQ59" s="225" t="str">
        <f t="shared" si="9"/>
        <v>ok</v>
      </c>
      <c r="AR59" s="225" t="str">
        <f t="shared" si="10"/>
        <v>10S2P</v>
      </c>
      <c r="AS59" s="225" t="str">
        <f t="shared" si="11"/>
        <v>N3LED_SDI26FM_</v>
      </c>
      <c r="AT59" s="225" t="str">
        <f t="shared" si="12"/>
        <v>SW1_</v>
      </c>
      <c r="AU59" s="225" t="str">
        <f t="shared" si="13"/>
        <v>Aslp_Wup_CC_DUVP_</v>
      </c>
      <c r="AV59" s="225" t="e">
        <f t="shared" si="17"/>
        <v>#VALUE!</v>
      </c>
      <c r="AW59" s="225" t="b">
        <f t="shared" si="18"/>
        <v>1</v>
      </c>
      <c r="AX59" s="225" t="str">
        <f t="shared" si="14"/>
        <v/>
      </c>
      <c r="AY59" s="225" t="str">
        <f t="shared" si="15"/>
        <v/>
      </c>
      <c r="AZ59" s="664" t="str">
        <f t="shared" si="16"/>
        <v>200R_</v>
      </c>
    </row>
    <row r="60" spans="1:52" s="225" customFormat="1" ht="38.25" customHeight="1">
      <c r="A60" s="668" t="s">
        <v>1371</v>
      </c>
      <c r="B60" s="678" t="s">
        <v>1372</v>
      </c>
      <c r="C60" s="670"/>
      <c r="D60" s="668" t="s">
        <v>1368</v>
      </c>
      <c r="E60" s="280" t="str">
        <f t="shared" si="2"/>
        <v>10S2P</v>
      </c>
      <c r="F60" s="696" t="s">
        <v>939</v>
      </c>
      <c r="G60" s="719" t="s">
        <v>116</v>
      </c>
      <c r="H60" s="765" t="s">
        <v>1012</v>
      </c>
      <c r="I60" s="736"/>
      <c r="J60" s="668"/>
      <c r="K60" s="780" t="s">
        <v>116</v>
      </c>
      <c r="L60" s="668"/>
      <c r="M60" s="668"/>
      <c r="N60" s="722"/>
      <c r="O60" s="668"/>
      <c r="P60" s="736" t="s">
        <v>116</v>
      </c>
      <c r="Q60" s="721" t="s">
        <v>116</v>
      </c>
      <c r="R60" s="668"/>
      <c r="S60" s="668"/>
      <c r="T60" s="725"/>
      <c r="U60" s="668"/>
      <c r="V60" s="721" t="s">
        <v>116</v>
      </c>
      <c r="W60" s="736" t="s">
        <v>116</v>
      </c>
      <c r="X60" s="737"/>
      <c r="Y60" s="736"/>
      <c r="Z60" s="726">
        <v>200</v>
      </c>
      <c r="AA60" s="726"/>
      <c r="AB60" s="726"/>
      <c r="AC60" s="768" t="s">
        <v>1013</v>
      </c>
      <c r="AD60" s="284" t="str">
        <f t="shared" si="3"/>
        <v>Pan_BYD310_36052_D_10S2PN3LED_SDI26FM_SW1_Aslp_Wup_CC_DUVP_200R_</v>
      </c>
      <c r="AJ60" s="225">
        <f t="shared" si="4"/>
        <v>3</v>
      </c>
      <c r="AK60" s="225">
        <f t="shared" si="5"/>
        <v>8</v>
      </c>
      <c r="AL60" s="225">
        <f t="shared" si="0"/>
        <v>36</v>
      </c>
      <c r="AM60" s="225">
        <f t="shared" si="1"/>
        <v>5.2</v>
      </c>
      <c r="AN60" s="225">
        <f t="shared" si="6"/>
        <v>26</v>
      </c>
      <c r="AO60" s="225">
        <f t="shared" si="7"/>
        <v>10</v>
      </c>
      <c r="AP60" s="225">
        <f t="shared" si="8"/>
        <v>2</v>
      </c>
      <c r="AQ60" s="225" t="str">
        <f t="shared" si="9"/>
        <v>ok</v>
      </c>
      <c r="AR60" s="225" t="str">
        <f t="shared" si="10"/>
        <v>10S2P</v>
      </c>
      <c r="AS60" s="225" t="str">
        <f t="shared" si="11"/>
        <v>N3LED_SDI26FM_</v>
      </c>
      <c r="AT60" s="225" t="str">
        <f t="shared" si="12"/>
        <v>SW1_</v>
      </c>
      <c r="AU60" s="225" t="str">
        <f t="shared" si="13"/>
        <v>Aslp_Wup_CC_DUVP_</v>
      </c>
      <c r="AV60" s="225" t="e">
        <f t="shared" si="17"/>
        <v>#VALUE!</v>
      </c>
      <c r="AW60" s="225" t="b">
        <f t="shared" si="18"/>
        <v>1</v>
      </c>
      <c r="AX60" s="225" t="str">
        <f t="shared" si="14"/>
        <v/>
      </c>
      <c r="AY60" s="225" t="str">
        <f t="shared" si="15"/>
        <v/>
      </c>
      <c r="AZ60" s="664" t="str">
        <f t="shared" si="16"/>
        <v>200R_</v>
      </c>
    </row>
    <row r="61" spans="1:52" s="225" customFormat="1" ht="39" customHeight="1">
      <c r="A61" s="708" t="s">
        <v>1382</v>
      </c>
      <c r="B61" s="678" t="s">
        <v>1384</v>
      </c>
      <c r="C61" s="679"/>
      <c r="D61" s="668" t="s">
        <v>1385</v>
      </c>
      <c r="E61" s="280" t="str">
        <f t="shared" si="2"/>
        <v>8S3P</v>
      </c>
      <c r="F61" s="696" t="s">
        <v>939</v>
      </c>
      <c r="G61" s="719" t="s">
        <v>116</v>
      </c>
      <c r="H61" s="765" t="s">
        <v>1012</v>
      </c>
      <c r="I61" s="721"/>
      <c r="J61" s="668"/>
      <c r="K61" s="780" t="s">
        <v>116</v>
      </c>
      <c r="L61" s="668"/>
      <c r="M61" s="668"/>
      <c r="N61" s="722"/>
      <c r="O61" s="668"/>
      <c r="P61" s="736" t="s">
        <v>116</v>
      </c>
      <c r="Q61" s="721" t="s">
        <v>116</v>
      </c>
      <c r="R61" s="668"/>
      <c r="S61" s="668"/>
      <c r="T61" s="725"/>
      <c r="U61" s="668"/>
      <c r="V61" s="721" t="s">
        <v>116</v>
      </c>
      <c r="W61" s="736" t="s">
        <v>116</v>
      </c>
      <c r="X61" s="736" t="s">
        <v>116</v>
      </c>
      <c r="Y61" s="736"/>
      <c r="Z61" s="726">
        <v>200</v>
      </c>
      <c r="AA61" s="726"/>
      <c r="AB61" s="726"/>
      <c r="AC61" s="768" t="s">
        <v>1412</v>
      </c>
      <c r="AD61" s="284" t="str">
        <f t="shared" si="3"/>
        <v>Pan_LT470_29078_8S3PN3LED_SDI26FM_SW1_Aslp_Wup_CC_DUVP_DL_200R_</v>
      </c>
      <c r="AJ61" s="225">
        <f t="shared" si="4"/>
        <v>3</v>
      </c>
      <c r="AK61" s="225">
        <f t="shared" si="5"/>
        <v>8</v>
      </c>
      <c r="AL61" s="225">
        <f t="shared" si="0"/>
        <v>29</v>
      </c>
      <c r="AM61" s="225">
        <f t="shared" si="1"/>
        <v>7.8</v>
      </c>
      <c r="AN61" s="225">
        <f t="shared" si="6"/>
        <v>26</v>
      </c>
      <c r="AO61" s="225">
        <f t="shared" si="7"/>
        <v>8</v>
      </c>
      <c r="AP61" s="225">
        <f t="shared" si="8"/>
        <v>3</v>
      </c>
      <c r="AQ61" s="225" t="str">
        <f t="shared" si="9"/>
        <v>ok</v>
      </c>
      <c r="AR61" s="225" t="str">
        <f t="shared" si="10"/>
        <v>8S3P</v>
      </c>
      <c r="AS61" s="225" t="str">
        <f t="shared" si="11"/>
        <v>N3LED_SDI26FM_</v>
      </c>
      <c r="AT61" s="225" t="str">
        <f t="shared" si="12"/>
        <v>SW1_</v>
      </c>
      <c r="AU61" s="225" t="str">
        <f t="shared" si="13"/>
        <v>Aslp_Wup_CC_DUVP_</v>
      </c>
      <c r="AV61" s="225" t="e">
        <f t="shared" si="17"/>
        <v>#VALUE!</v>
      </c>
      <c r="AW61" s="225" t="b">
        <f t="shared" si="18"/>
        <v>1</v>
      </c>
      <c r="AX61" s="225" t="str">
        <f t="shared" si="14"/>
        <v/>
      </c>
      <c r="AY61" s="225" t="str">
        <f t="shared" si="15"/>
        <v/>
      </c>
      <c r="AZ61" s="664" t="str">
        <f t="shared" si="16"/>
        <v>DL_200R_</v>
      </c>
    </row>
    <row r="62" spans="1:52" s="225" customFormat="1" ht="39.75" customHeight="1">
      <c r="A62" s="709" t="s">
        <v>1398</v>
      </c>
      <c r="B62" s="678" t="s">
        <v>1399</v>
      </c>
      <c r="C62" s="679" t="s">
        <v>1401</v>
      </c>
      <c r="D62" s="668" t="s">
        <v>1101</v>
      </c>
      <c r="E62" s="280" t="str">
        <f t="shared" si="2"/>
        <v>13S5P</v>
      </c>
      <c r="F62" s="696" t="s">
        <v>939</v>
      </c>
      <c r="G62" s="719" t="s">
        <v>116</v>
      </c>
      <c r="H62" s="720"/>
      <c r="I62" s="721"/>
      <c r="J62" s="668"/>
      <c r="K62" s="668"/>
      <c r="L62" s="668"/>
      <c r="M62" s="668"/>
      <c r="N62" s="722"/>
      <c r="O62" s="668"/>
      <c r="P62" s="767"/>
      <c r="Q62" s="767"/>
      <c r="R62" s="668"/>
      <c r="S62" s="668"/>
      <c r="T62" s="725"/>
      <c r="U62" s="668"/>
      <c r="V62" s="668"/>
      <c r="W62" s="668"/>
      <c r="X62" s="668"/>
      <c r="Y62" s="668"/>
      <c r="Z62" s="726"/>
      <c r="AA62" s="726"/>
      <c r="AB62" s="726"/>
      <c r="AC62" s="727"/>
      <c r="AD62" s="284" t="str">
        <f t="shared" si="3"/>
        <v>Pan_BLY460_48130_D_13S5P</v>
      </c>
      <c r="AJ62" s="225">
        <f t="shared" si="4"/>
        <v>3</v>
      </c>
      <c r="AK62" s="225">
        <f t="shared" si="5"/>
        <v>9</v>
      </c>
      <c r="AL62" s="225">
        <f t="shared" si="0"/>
        <v>48</v>
      </c>
      <c r="AM62" s="225">
        <f t="shared" si="1"/>
        <v>13</v>
      </c>
      <c r="AN62" s="225">
        <f t="shared" si="6"/>
        <v>26</v>
      </c>
      <c r="AO62" s="225">
        <f t="shared" si="7"/>
        <v>13</v>
      </c>
      <c r="AP62" s="225">
        <f t="shared" si="8"/>
        <v>5</v>
      </c>
      <c r="AQ62" s="225" t="str">
        <f t="shared" si="9"/>
        <v>ok</v>
      </c>
      <c r="AR62" s="225" t="str">
        <f t="shared" si="10"/>
        <v>13S5P</v>
      </c>
      <c r="AS62" s="225" t="str">
        <f t="shared" si="11"/>
        <v/>
      </c>
      <c r="AT62" s="225" t="str">
        <f t="shared" si="12"/>
        <v/>
      </c>
      <c r="AU62" s="225" t="str">
        <f t="shared" si="13"/>
        <v/>
      </c>
      <c r="AV62" s="225" t="e">
        <f t="shared" si="17"/>
        <v>#VALUE!</v>
      </c>
      <c r="AW62" s="225" t="b">
        <f t="shared" si="18"/>
        <v>0</v>
      </c>
      <c r="AX62" s="225" t="str">
        <f t="shared" si="14"/>
        <v>未出_</v>
      </c>
      <c r="AY62" s="225" t="str">
        <f t="shared" si="15"/>
        <v>未出_</v>
      </c>
      <c r="AZ62" s="664" t="str">
        <f t="shared" si="16"/>
        <v/>
      </c>
    </row>
    <row r="63" spans="1:52" s="225" customFormat="1" ht="39.75" customHeight="1">
      <c r="A63" s="668" t="s">
        <v>1403</v>
      </c>
      <c r="B63" s="669"/>
      <c r="C63" s="670"/>
      <c r="D63" s="668" t="s">
        <v>1402</v>
      </c>
      <c r="E63" s="280" t="str">
        <f t="shared" si="2"/>
        <v>5S1P</v>
      </c>
      <c r="F63" s="696" t="s">
        <v>939</v>
      </c>
      <c r="G63" s="719" t="s">
        <v>116</v>
      </c>
      <c r="H63" s="720">
        <v>4</v>
      </c>
      <c r="I63" s="721"/>
      <c r="J63" s="668"/>
      <c r="K63" s="736" t="s">
        <v>116</v>
      </c>
      <c r="L63" s="668"/>
      <c r="M63" s="668"/>
      <c r="N63" s="722"/>
      <c r="O63" s="668"/>
      <c r="P63" s="736" t="s">
        <v>116</v>
      </c>
      <c r="Q63" s="721" t="s">
        <v>116</v>
      </c>
      <c r="R63" s="668"/>
      <c r="S63" s="668"/>
      <c r="T63" s="725"/>
      <c r="U63" s="668"/>
      <c r="V63" s="736"/>
      <c r="W63" s="736" t="s">
        <v>116</v>
      </c>
      <c r="X63" s="668"/>
      <c r="Y63" s="668"/>
      <c r="Z63" s="726">
        <v>200</v>
      </c>
      <c r="AA63" s="726"/>
      <c r="AB63" s="726"/>
      <c r="AC63" s="727"/>
      <c r="AD63" s="284" t="str">
        <f t="shared" si="3"/>
        <v>WirelessChg_19026_5S1P4LED_SDI26FM_SW1_Aslp_Wup_DUVP_200R_</v>
      </c>
      <c r="AJ63" s="225">
        <f t="shared" si="4"/>
        <v>3</v>
      </c>
      <c r="AK63" s="225">
        <f t="shared" si="5"/>
        <v>8</v>
      </c>
      <c r="AL63" s="225">
        <f t="shared" si="0"/>
        <v>19</v>
      </c>
      <c r="AM63" s="225">
        <f t="shared" si="1"/>
        <v>2.6</v>
      </c>
      <c r="AN63" s="225">
        <f t="shared" si="6"/>
        <v>26</v>
      </c>
      <c r="AO63" s="225">
        <f t="shared" si="7"/>
        <v>5</v>
      </c>
      <c r="AP63" s="225">
        <f t="shared" si="8"/>
        <v>1</v>
      </c>
      <c r="AQ63" s="225" t="str">
        <f t="shared" si="9"/>
        <v>ok</v>
      </c>
      <c r="AR63" s="225" t="str">
        <f t="shared" si="10"/>
        <v>5S1P</v>
      </c>
      <c r="AS63" s="225" t="str">
        <f t="shared" si="11"/>
        <v>4LED_SDI26FM_</v>
      </c>
      <c r="AT63" s="225" t="str">
        <f t="shared" si="12"/>
        <v>SW1_</v>
      </c>
      <c r="AU63" s="225" t="str">
        <f t="shared" si="13"/>
        <v>Aslp_Wup_DUVP_</v>
      </c>
      <c r="AV63" s="225" t="e">
        <f t="shared" si="17"/>
        <v>#VALUE!</v>
      </c>
      <c r="AW63" s="225" t="b">
        <f t="shared" si="18"/>
        <v>1</v>
      </c>
      <c r="AX63" s="225" t="str">
        <f t="shared" si="14"/>
        <v/>
      </c>
      <c r="AY63" s="225" t="str">
        <f t="shared" si="15"/>
        <v/>
      </c>
      <c r="AZ63" s="664" t="str">
        <f t="shared" si="16"/>
        <v>200R_</v>
      </c>
    </row>
    <row r="64" spans="1:52" s="225" customFormat="1" ht="39.75" customHeight="1">
      <c r="A64" s="668" t="s">
        <v>1405</v>
      </c>
      <c r="B64" s="678" t="s">
        <v>1409</v>
      </c>
      <c r="C64" s="670"/>
      <c r="D64" s="668" t="s">
        <v>932</v>
      </c>
      <c r="E64" s="280" t="str">
        <f t="shared" si="2"/>
        <v>10S4P</v>
      </c>
      <c r="F64" s="696" t="s">
        <v>939</v>
      </c>
      <c r="G64" s="719" t="s">
        <v>116</v>
      </c>
      <c r="H64" s="765" t="s">
        <v>1012</v>
      </c>
      <c r="I64" s="721"/>
      <c r="J64" s="668"/>
      <c r="K64" s="780" t="s">
        <v>116</v>
      </c>
      <c r="L64" s="668"/>
      <c r="M64" s="668"/>
      <c r="N64" s="722"/>
      <c r="O64" s="668"/>
      <c r="P64" s="736" t="s">
        <v>116</v>
      </c>
      <c r="Q64" s="721" t="s">
        <v>116</v>
      </c>
      <c r="R64" s="668"/>
      <c r="S64" s="668"/>
      <c r="T64" s="725"/>
      <c r="U64" s="668"/>
      <c r="V64" s="721" t="s">
        <v>116</v>
      </c>
      <c r="W64" s="736" t="s">
        <v>116</v>
      </c>
      <c r="X64" s="737"/>
      <c r="Y64" s="736"/>
      <c r="Z64" s="726">
        <v>200</v>
      </c>
      <c r="AA64" s="726"/>
      <c r="AB64" s="726"/>
      <c r="AC64" s="768" t="s">
        <v>1411</v>
      </c>
      <c r="AD64" s="284" t="str">
        <f t="shared" si="3"/>
        <v>Pan_BSMI345_36100_D_10S4PN3LED_SDI26FM_SW1_Aslp_Wup_CC_DUVP_200R_</v>
      </c>
      <c r="AJ64" s="225">
        <f t="shared" si="4"/>
        <v>3</v>
      </c>
      <c r="AK64" s="225">
        <f t="shared" si="5"/>
        <v>9</v>
      </c>
      <c r="AL64" s="225">
        <f t="shared" si="0"/>
        <v>36</v>
      </c>
      <c r="AM64" s="225">
        <f t="shared" si="1"/>
        <v>10</v>
      </c>
      <c r="AN64" s="225">
        <f t="shared" si="6"/>
        <v>26</v>
      </c>
      <c r="AO64" s="225">
        <f t="shared" si="7"/>
        <v>10</v>
      </c>
      <c r="AP64" s="225">
        <f t="shared" si="8"/>
        <v>4</v>
      </c>
      <c r="AQ64" s="225" t="str">
        <f t="shared" si="9"/>
        <v>ok</v>
      </c>
      <c r="AR64" s="225" t="str">
        <f t="shared" si="10"/>
        <v>10S4P</v>
      </c>
      <c r="AS64" s="225" t="str">
        <f t="shared" si="11"/>
        <v>N3LED_SDI26FM_</v>
      </c>
      <c r="AT64" s="225" t="str">
        <f t="shared" si="12"/>
        <v>SW1_</v>
      </c>
      <c r="AU64" s="225" t="str">
        <f t="shared" si="13"/>
        <v>Aslp_Wup_CC_DUVP_</v>
      </c>
      <c r="AV64" s="225" t="e">
        <f t="shared" si="17"/>
        <v>#VALUE!</v>
      </c>
      <c r="AW64" s="225" t="b">
        <f t="shared" si="18"/>
        <v>1</v>
      </c>
      <c r="AX64" s="225" t="str">
        <f t="shared" si="14"/>
        <v/>
      </c>
      <c r="AY64" s="225" t="str">
        <f t="shared" si="15"/>
        <v/>
      </c>
      <c r="AZ64" s="664" t="str">
        <f t="shared" si="16"/>
        <v>200R_</v>
      </c>
    </row>
    <row r="65" spans="1:53" s="225" customFormat="1" ht="39.75" customHeight="1">
      <c r="A65" s="668" t="s">
        <v>1406</v>
      </c>
      <c r="B65" s="678" t="s">
        <v>1408</v>
      </c>
      <c r="C65" s="670"/>
      <c r="D65" s="668" t="s">
        <v>1410</v>
      </c>
      <c r="E65" s="280" t="str">
        <f t="shared" si="2"/>
        <v>13S5P</v>
      </c>
      <c r="F65" s="696" t="s">
        <v>939</v>
      </c>
      <c r="G65" s="719" t="s">
        <v>116</v>
      </c>
      <c r="H65" s="765" t="s">
        <v>1012</v>
      </c>
      <c r="I65" s="721"/>
      <c r="J65" s="668" t="s">
        <v>116</v>
      </c>
      <c r="K65" s="780" t="s">
        <v>116</v>
      </c>
      <c r="L65" s="668"/>
      <c r="M65" s="668"/>
      <c r="N65" s="722"/>
      <c r="O65" s="668"/>
      <c r="P65" s="736" t="s">
        <v>116</v>
      </c>
      <c r="Q65" s="721" t="s">
        <v>116</v>
      </c>
      <c r="R65" s="668"/>
      <c r="S65" s="668"/>
      <c r="T65" s="725"/>
      <c r="U65" s="668"/>
      <c r="V65" s="721" t="s">
        <v>116</v>
      </c>
      <c r="W65" s="736" t="s">
        <v>116</v>
      </c>
      <c r="X65" s="737"/>
      <c r="Y65" s="736"/>
      <c r="Z65" s="726">
        <v>200</v>
      </c>
      <c r="AA65" s="726"/>
      <c r="AB65" s="726"/>
      <c r="AC65" s="768" t="s">
        <v>1413</v>
      </c>
      <c r="AD65" s="284" t="str">
        <f t="shared" si="3"/>
        <v>Pan_TYD1_48130_N_13S5PN3LED_SDI26FM_COM_SW1_Aslp_Wup_CC_DUVP_200R_</v>
      </c>
      <c r="AJ65" s="225">
        <f t="shared" si="4"/>
        <v>3</v>
      </c>
      <c r="AK65" s="225">
        <f t="shared" si="5"/>
        <v>9</v>
      </c>
      <c r="AL65" s="225">
        <f t="shared" si="0"/>
        <v>48</v>
      </c>
      <c r="AM65" s="225">
        <f t="shared" si="1"/>
        <v>13</v>
      </c>
      <c r="AN65" s="225">
        <f t="shared" si="6"/>
        <v>26</v>
      </c>
      <c r="AO65" s="225">
        <f t="shared" si="7"/>
        <v>13</v>
      </c>
      <c r="AP65" s="225">
        <f t="shared" si="8"/>
        <v>5</v>
      </c>
      <c r="AQ65" s="225" t="str">
        <f t="shared" si="9"/>
        <v>ok</v>
      </c>
      <c r="AR65" s="225" t="str">
        <f t="shared" si="10"/>
        <v>13S5P</v>
      </c>
      <c r="AS65" s="225" t="str">
        <f t="shared" si="11"/>
        <v>N3LED_SDI26FM_</v>
      </c>
      <c r="AT65" s="225" t="str">
        <f t="shared" si="12"/>
        <v>COM_SW1_</v>
      </c>
      <c r="AU65" s="225" t="str">
        <f t="shared" si="13"/>
        <v>Aslp_Wup_CC_DUVP_</v>
      </c>
      <c r="AV65" s="225" t="e">
        <f t="shared" si="17"/>
        <v>#VALUE!</v>
      </c>
      <c r="AW65" s="225" t="b">
        <f t="shared" si="18"/>
        <v>1</v>
      </c>
      <c r="AX65" s="225" t="str">
        <f t="shared" si="14"/>
        <v/>
      </c>
      <c r="AY65" s="225" t="str">
        <f t="shared" si="15"/>
        <v/>
      </c>
      <c r="AZ65" s="664" t="str">
        <f t="shared" si="16"/>
        <v>200R_</v>
      </c>
    </row>
    <row r="66" spans="1:53" s="225" customFormat="1" ht="39.75" customHeight="1">
      <c r="A66" s="668" t="s">
        <v>1414</v>
      </c>
      <c r="B66" s="669"/>
      <c r="C66" s="670" t="s">
        <v>1415</v>
      </c>
      <c r="D66" s="668" t="s">
        <v>1010</v>
      </c>
      <c r="E66" s="280" t="str">
        <f t="shared" si="2"/>
        <v>7S4P</v>
      </c>
      <c r="F66" s="696" t="s">
        <v>939</v>
      </c>
      <c r="G66" s="719" t="s">
        <v>116</v>
      </c>
      <c r="H66" s="720">
        <v>4</v>
      </c>
      <c r="I66" s="668" t="s">
        <v>116</v>
      </c>
      <c r="J66" s="668"/>
      <c r="K66" s="668" t="s">
        <v>116</v>
      </c>
      <c r="L66" s="668"/>
      <c r="M66" s="668"/>
      <c r="N66" s="722"/>
      <c r="O66" s="668"/>
      <c r="P66" s="668" t="s">
        <v>116</v>
      </c>
      <c r="Q66" s="668" t="s">
        <v>116</v>
      </c>
      <c r="R66" s="668"/>
      <c r="S66" s="668"/>
      <c r="T66" s="725"/>
      <c r="U66" s="668"/>
      <c r="V66" s="668" t="s">
        <v>116</v>
      </c>
      <c r="W66" s="668" t="s">
        <v>116</v>
      </c>
      <c r="X66" s="668"/>
      <c r="Y66" s="668"/>
      <c r="Z66" s="726">
        <v>200</v>
      </c>
      <c r="AA66" s="726"/>
      <c r="AB66" s="726"/>
      <c r="AC66" s="768" t="s">
        <v>1418</v>
      </c>
      <c r="AD66" s="284" t="str">
        <f t="shared" si="3"/>
        <v>Ares115_26100_D_7S4P4LEDLowDrv_SDI26FM_SW1_Aslp_Wup_CC_DUVP_200R_</v>
      </c>
      <c r="AJ66" s="225">
        <f t="shared" si="4"/>
        <v>3</v>
      </c>
      <c r="AK66" s="225">
        <f t="shared" si="5"/>
        <v>9</v>
      </c>
      <c r="AL66" s="225">
        <f t="shared" si="0"/>
        <v>26</v>
      </c>
      <c r="AM66" s="225">
        <f t="shared" si="1"/>
        <v>10</v>
      </c>
      <c r="AN66" s="225">
        <f t="shared" si="6"/>
        <v>26</v>
      </c>
      <c r="AO66" s="225">
        <f t="shared" si="7"/>
        <v>7</v>
      </c>
      <c r="AP66" s="225">
        <f t="shared" si="8"/>
        <v>4</v>
      </c>
      <c r="AQ66" s="225" t="str">
        <f t="shared" si="9"/>
        <v>ok</v>
      </c>
      <c r="AR66" s="225" t="str">
        <f t="shared" si="10"/>
        <v>7S4P</v>
      </c>
      <c r="AS66" s="225" t="str">
        <f t="shared" si="11"/>
        <v>4LEDLowDrv_SDI26FM_</v>
      </c>
      <c r="AT66" s="225" t="str">
        <f t="shared" si="12"/>
        <v>SW1_</v>
      </c>
      <c r="AU66" s="225" t="str">
        <f t="shared" si="13"/>
        <v>Aslp_Wup_CC_DUVP_</v>
      </c>
      <c r="AV66" s="225" t="e">
        <f t="shared" si="17"/>
        <v>#VALUE!</v>
      </c>
      <c r="AW66" s="225" t="b">
        <f t="shared" si="18"/>
        <v>0</v>
      </c>
      <c r="AX66" s="225" t="str">
        <f t="shared" si="14"/>
        <v>DAKB00100-W021E25LT_</v>
      </c>
      <c r="AY66" s="225" t="str">
        <f t="shared" si="15"/>
        <v>DAKB00100_W021E25LT_</v>
      </c>
      <c r="AZ66" s="664" t="str">
        <f t="shared" si="16"/>
        <v>200R_</v>
      </c>
    </row>
    <row r="67" spans="1:53" s="225" customFormat="1" ht="39.75" customHeight="1">
      <c r="A67" s="668" t="s">
        <v>693</v>
      </c>
      <c r="B67" s="669" t="s">
        <v>707</v>
      </c>
      <c r="C67" s="670"/>
      <c r="D67" s="668" t="s">
        <v>739</v>
      </c>
      <c r="E67" s="280" t="str">
        <f t="shared" si="2"/>
        <v>10S3P</v>
      </c>
      <c r="F67" s="696" t="s">
        <v>715</v>
      </c>
      <c r="G67" s="719" t="s">
        <v>116</v>
      </c>
      <c r="H67" s="720">
        <v>4</v>
      </c>
      <c r="I67" s="721"/>
      <c r="J67" s="668" t="s">
        <v>116</v>
      </c>
      <c r="K67" s="668" t="s">
        <v>116</v>
      </c>
      <c r="L67" s="668"/>
      <c r="M67" s="668"/>
      <c r="N67" s="722"/>
      <c r="O67" s="668"/>
      <c r="P67" s="668" t="s">
        <v>116</v>
      </c>
      <c r="Q67" s="668" t="s">
        <v>116</v>
      </c>
      <c r="R67" s="668"/>
      <c r="S67" s="668"/>
      <c r="T67" s="725"/>
      <c r="U67" s="668"/>
      <c r="V67" s="668" t="s">
        <v>116</v>
      </c>
      <c r="W67" s="668" t="s">
        <v>116</v>
      </c>
      <c r="X67" s="668"/>
      <c r="Y67" s="668"/>
      <c r="Z67" s="726">
        <v>200</v>
      </c>
      <c r="AA67" s="726"/>
      <c r="AB67" s="726"/>
      <c r="AC67" s="768" t="s">
        <v>1421</v>
      </c>
      <c r="AD67" s="284" t="str">
        <f t="shared" si="3"/>
        <v>Eos_36076_N_10S3P4LED_SDI26H_COM_SW1_Aslp_Wup_CC_DUVP_200R_</v>
      </c>
      <c r="AJ67" s="225">
        <f t="shared" si="4"/>
        <v>3</v>
      </c>
      <c r="AK67" s="225">
        <f t="shared" si="5"/>
        <v>8</v>
      </c>
      <c r="AL67" s="225">
        <f t="shared" si="0"/>
        <v>36</v>
      </c>
      <c r="AM67" s="225">
        <f t="shared" si="1"/>
        <v>7.6</v>
      </c>
      <c r="AN67" s="225">
        <f t="shared" si="6"/>
        <v>26</v>
      </c>
      <c r="AO67" s="225">
        <f t="shared" si="7"/>
        <v>10</v>
      </c>
      <c r="AP67" s="225">
        <f t="shared" si="8"/>
        <v>3</v>
      </c>
      <c r="AQ67" s="225" t="str">
        <f t="shared" si="9"/>
        <v>ok</v>
      </c>
      <c r="AR67" s="225" t="str">
        <f t="shared" si="10"/>
        <v>10S3P</v>
      </c>
      <c r="AS67" s="225" t="str">
        <f t="shared" si="11"/>
        <v>4LED_SDI26H_</v>
      </c>
      <c r="AT67" s="225" t="str">
        <f t="shared" si="12"/>
        <v>COM_SW1_</v>
      </c>
      <c r="AU67" s="225" t="str">
        <f t="shared" si="13"/>
        <v>Aslp_Wup_CC_DUVP_</v>
      </c>
      <c r="AV67" s="225" t="e">
        <f t="shared" si="17"/>
        <v>#VALUE!</v>
      </c>
      <c r="AW67" s="225" t="b">
        <f t="shared" si="18"/>
        <v>1</v>
      </c>
      <c r="AX67" s="225" t="str">
        <f t="shared" si="14"/>
        <v/>
      </c>
      <c r="AY67" s="225" t="str">
        <f t="shared" si="15"/>
        <v/>
      </c>
      <c r="AZ67" s="664" t="str">
        <f t="shared" si="16"/>
        <v>200R_</v>
      </c>
    </row>
    <row r="68" spans="1:53" s="225" customFormat="1" ht="39.75" customHeight="1">
      <c r="A68" s="668" t="s">
        <v>1423</v>
      </c>
      <c r="B68" s="678" t="s">
        <v>1424</v>
      </c>
      <c r="C68" s="670" t="s">
        <v>1425</v>
      </c>
      <c r="D68" s="668" t="s">
        <v>1422</v>
      </c>
      <c r="E68" s="280" t="str">
        <f t="shared" si="2"/>
        <v>7S4P</v>
      </c>
      <c r="F68" s="696" t="s">
        <v>939</v>
      </c>
      <c r="G68" s="719" t="s">
        <v>116</v>
      </c>
      <c r="H68" s="765" t="s">
        <v>1427</v>
      </c>
      <c r="I68" s="780" t="s">
        <v>116</v>
      </c>
      <c r="J68" s="668"/>
      <c r="K68" s="780" t="s">
        <v>116</v>
      </c>
      <c r="L68" s="668"/>
      <c r="M68" s="668"/>
      <c r="N68" s="722"/>
      <c r="O68" s="668"/>
      <c r="P68" s="736" t="s">
        <v>116</v>
      </c>
      <c r="Q68" s="721" t="s">
        <v>116</v>
      </c>
      <c r="R68" s="668"/>
      <c r="S68" s="668"/>
      <c r="T68" s="725"/>
      <c r="U68" s="668"/>
      <c r="V68" s="721" t="s">
        <v>116</v>
      </c>
      <c r="W68" s="736" t="s">
        <v>116</v>
      </c>
      <c r="X68" s="737"/>
      <c r="Y68" s="736"/>
      <c r="Z68" s="726">
        <v>200</v>
      </c>
      <c r="AA68" s="726"/>
      <c r="AB68" s="726"/>
      <c r="AC68" s="796" t="s">
        <v>1426</v>
      </c>
      <c r="AD68" s="284" t="str">
        <f t="shared" si="3"/>
        <v>Pan_BG196_26100_7S4PN4LEDLowDrv_SDI26FM_SW1_Aslp_Wup_CC_DUVP_200R_</v>
      </c>
      <c r="AJ68" s="225">
        <f t="shared" si="4"/>
        <v>3</v>
      </c>
      <c r="AK68" s="225">
        <f t="shared" si="5"/>
        <v>7</v>
      </c>
      <c r="AL68" s="225">
        <f t="shared" si="0"/>
        <v>26</v>
      </c>
      <c r="AM68" s="225">
        <f t="shared" si="1"/>
        <v>10</v>
      </c>
      <c r="AN68" s="225">
        <f t="shared" si="6"/>
        <v>26</v>
      </c>
      <c r="AO68" s="225">
        <f t="shared" si="7"/>
        <v>7</v>
      </c>
      <c r="AP68" s="225">
        <f t="shared" si="8"/>
        <v>4</v>
      </c>
      <c r="AQ68" s="225" t="str">
        <f t="shared" si="9"/>
        <v>ok</v>
      </c>
      <c r="AR68" s="225" t="str">
        <f t="shared" si="10"/>
        <v>7S4P</v>
      </c>
      <c r="AS68" s="225" t="str">
        <f t="shared" si="11"/>
        <v>N4LEDLowDrv_SDI26FM_</v>
      </c>
      <c r="AT68" s="225" t="str">
        <f t="shared" si="12"/>
        <v>SW1_</v>
      </c>
      <c r="AU68" s="225" t="str">
        <f t="shared" si="13"/>
        <v>Aslp_Wup_CC_DUVP_</v>
      </c>
      <c r="AV68" s="225" t="e">
        <f t="shared" si="17"/>
        <v>#VALUE!</v>
      </c>
      <c r="AW68" s="225" t="b">
        <f t="shared" si="18"/>
        <v>0</v>
      </c>
      <c r="AX68" s="225" t="str">
        <f t="shared" si="14"/>
        <v>only 85K_</v>
      </c>
      <c r="AY68" s="225" t="str">
        <f t="shared" si="15"/>
        <v>only 85K_</v>
      </c>
      <c r="AZ68" s="664" t="str">
        <f t="shared" si="16"/>
        <v>200R_</v>
      </c>
    </row>
    <row r="69" spans="1:53" s="225" customFormat="1" ht="39.75" customHeight="1">
      <c r="A69" s="668" t="s">
        <v>1429</v>
      </c>
      <c r="B69" s="678" t="s">
        <v>1434</v>
      </c>
      <c r="C69" s="670"/>
      <c r="D69" s="668" t="s">
        <v>932</v>
      </c>
      <c r="E69" s="280" t="str">
        <f t="shared" si="2"/>
        <v>10S4P</v>
      </c>
      <c r="F69" s="696" t="s">
        <v>939</v>
      </c>
      <c r="G69" s="719" t="s">
        <v>116</v>
      </c>
      <c r="H69" s="720">
        <v>5</v>
      </c>
      <c r="I69" s="736" t="s">
        <v>116</v>
      </c>
      <c r="J69" s="668"/>
      <c r="K69" s="736" t="s">
        <v>116</v>
      </c>
      <c r="L69" s="668"/>
      <c r="M69" s="668"/>
      <c r="N69" s="722"/>
      <c r="O69" s="668"/>
      <c r="P69" s="736" t="s">
        <v>116</v>
      </c>
      <c r="Q69" s="721" t="s">
        <v>116</v>
      </c>
      <c r="R69" s="668"/>
      <c r="S69" s="668"/>
      <c r="T69" s="725"/>
      <c r="U69" s="668"/>
      <c r="V69" s="736" t="s">
        <v>116</v>
      </c>
      <c r="W69" s="736" t="s">
        <v>116</v>
      </c>
      <c r="X69" s="737"/>
      <c r="Y69" s="737"/>
      <c r="Z69" s="726">
        <v>200</v>
      </c>
      <c r="AA69" s="726"/>
      <c r="AB69" s="726"/>
      <c r="AC69" s="727"/>
      <c r="AD69" s="284" t="str">
        <f t="shared" si="3"/>
        <v>Pan_BJX325_36100_Y_10S4P5LEDLowDrv_SDI26FM_SW1_Aslp_Wup_CC_DUVP_200R_</v>
      </c>
      <c r="AJ69" s="225">
        <f t="shared" si="4"/>
        <v>3</v>
      </c>
      <c r="AK69" s="225">
        <f t="shared" si="5"/>
        <v>9</v>
      </c>
      <c r="AL69" s="225">
        <f t="shared" si="0"/>
        <v>36</v>
      </c>
      <c r="AM69" s="225">
        <f t="shared" si="1"/>
        <v>10</v>
      </c>
      <c r="AN69" s="225">
        <f t="shared" si="6"/>
        <v>26</v>
      </c>
      <c r="AO69" s="225">
        <f t="shared" si="7"/>
        <v>10</v>
      </c>
      <c r="AP69" s="225">
        <f t="shared" si="8"/>
        <v>4</v>
      </c>
      <c r="AQ69" s="225" t="str">
        <f t="shared" si="9"/>
        <v>ok</v>
      </c>
      <c r="AR69" s="225" t="str">
        <f t="shared" si="10"/>
        <v>10S4P</v>
      </c>
      <c r="AS69" s="225" t="str">
        <f t="shared" si="11"/>
        <v>5LEDLowDrv_SDI26FM_</v>
      </c>
      <c r="AT69" s="225" t="str">
        <f t="shared" si="12"/>
        <v>SW1_</v>
      </c>
      <c r="AU69" s="225" t="str">
        <f t="shared" si="13"/>
        <v>Aslp_Wup_CC_DUVP_</v>
      </c>
      <c r="AV69" s="225" t="e">
        <f t="shared" si="17"/>
        <v>#VALUE!</v>
      </c>
      <c r="AW69" s="225" t="b">
        <f t="shared" si="18"/>
        <v>1</v>
      </c>
      <c r="AX69" s="225" t="str">
        <f t="shared" si="14"/>
        <v/>
      </c>
      <c r="AY69" s="225" t="str">
        <f t="shared" si="15"/>
        <v/>
      </c>
      <c r="AZ69" s="664" t="str">
        <f t="shared" si="16"/>
        <v>200R_</v>
      </c>
    </row>
    <row r="70" spans="1:53" s="225" customFormat="1" ht="39.75" customHeight="1">
      <c r="A70" s="668" t="s">
        <v>2017</v>
      </c>
      <c r="B70" s="678" t="s">
        <v>2021</v>
      </c>
      <c r="C70" s="670" t="s">
        <v>1433</v>
      </c>
      <c r="D70" s="668" t="s">
        <v>1432</v>
      </c>
      <c r="E70" s="280" t="str">
        <f t="shared" si="2"/>
        <v>10S4P</v>
      </c>
      <c r="F70" s="797" t="s">
        <v>1431</v>
      </c>
      <c r="G70" s="719" t="s">
        <v>116</v>
      </c>
      <c r="H70" s="765" t="s">
        <v>1427</v>
      </c>
      <c r="I70" s="780" t="s">
        <v>116</v>
      </c>
      <c r="J70" s="668"/>
      <c r="K70" s="780" t="s">
        <v>116</v>
      </c>
      <c r="L70" s="668"/>
      <c r="M70" s="668"/>
      <c r="N70" s="722"/>
      <c r="O70" s="668"/>
      <c r="P70" s="736" t="s">
        <v>116</v>
      </c>
      <c r="Q70" s="721" t="s">
        <v>116</v>
      </c>
      <c r="R70" s="668"/>
      <c r="S70" s="668"/>
      <c r="T70" s="725"/>
      <c r="U70" s="668"/>
      <c r="V70" s="721" t="s">
        <v>116</v>
      </c>
      <c r="W70" s="736" t="s">
        <v>116</v>
      </c>
      <c r="X70" s="737"/>
      <c r="Y70" s="736"/>
      <c r="Z70" s="726">
        <v>200</v>
      </c>
      <c r="AA70" s="726"/>
      <c r="AB70" s="726"/>
      <c r="AC70" s="768" t="s">
        <v>1581</v>
      </c>
      <c r="AD70" s="284" t="str">
        <f t="shared" si="3"/>
        <v>Pan_BTG1439_36088_N_10S4PN4LEDLowDrv_SDI22FM_SW1_Aslp_Wup_CC_DUVP_200R_</v>
      </c>
      <c r="AJ70" s="225">
        <f t="shared" ref="AJ70:AJ133" si="19">FIND("V",UPPER(TRIM(D70)))</f>
        <v>3</v>
      </c>
      <c r="AK70" s="225">
        <f t="shared" ref="AK70:AK133" si="20">FIND("AH",UPPER(TRIM(D70)))</f>
        <v>8</v>
      </c>
      <c r="AL70" s="225">
        <f t="shared" si="0"/>
        <v>36</v>
      </c>
      <c r="AM70" s="225">
        <f t="shared" si="1"/>
        <v>8.8000000000000007</v>
      </c>
      <c r="AN70" s="225">
        <f t="shared" ref="AN70:AN133" si="21">VALUE(MID(TRIM(F70),4,2))</f>
        <v>22</v>
      </c>
      <c r="AO70" s="225">
        <f t="shared" ref="AO70:AO133" si="22">ROUNDDOWN(AL70/3.5,0)</f>
        <v>10</v>
      </c>
      <c r="AP70" s="225">
        <f t="shared" ref="AP70:AP133" si="23">ROUNDUP(AM70*10/AN70,0)</f>
        <v>4</v>
      </c>
      <c r="AQ70" s="225" t="str">
        <f t="shared" ref="AQ70:AQ133" si="24">IF(OR(ISERROR(AO70),ISERROR(AP70)),"error","ok")</f>
        <v>ok</v>
      </c>
      <c r="AR70" s="225" t="str">
        <f t="shared" si="10"/>
        <v>10S4P</v>
      </c>
      <c r="AS70" s="225" t="str">
        <f t="shared" si="11"/>
        <v>N4LEDLowDrv_SDI22FM_</v>
      </c>
      <c r="AT70" s="225" t="str">
        <f t="shared" si="12"/>
        <v>SW1_</v>
      </c>
      <c r="AU70" s="225" t="str">
        <f t="shared" ref="AU70:AU141" si="25">IF(UPPER(TRIM(P70))="V",$P$2&amp;"_","")&amp;IF(UPPER(TRIM(Q70))="V",$Q$2&amp;"_","")&amp;IF(UPPER(TRIM(R70))="V",$R$2&amp;"_","")&amp;IF(UPPER(TRIM(S70))="V",$S$2&amp;"_","")&amp;IF(UPPER(TRIM(T70))="V",$T$2&amp;"_","")&amp;IF(UPPER(TRIM(U70))="V",$U$2&amp;"_","")&amp;IF(UPPER(TRIM(V70))="V",$V$2&amp;"_","")&amp;IF(UPPER(TRIM(W70))="V",$W$2&amp;"_","")</f>
        <v>Aslp_Wup_CC_DUVP_</v>
      </c>
      <c r="AV70" s="225" t="e">
        <f t="shared" si="17"/>
        <v>#VALUE!</v>
      </c>
      <c r="AW70" s="225" t="b">
        <f t="shared" si="18"/>
        <v>0</v>
      </c>
      <c r="AX70" s="225" t="str">
        <f t="shared" si="14"/>
        <v>DAKB08800-W021E01LT_</v>
      </c>
      <c r="AY70" s="225" t="str">
        <f t="shared" si="15"/>
        <v>DAKB08800_W021E01LT_</v>
      </c>
      <c r="AZ70" s="664" t="str">
        <f t="shared" si="16"/>
        <v>200R_</v>
      </c>
    </row>
    <row r="71" spans="1:53" s="225" customFormat="1" ht="39.75" customHeight="1">
      <c r="A71" s="668" t="s">
        <v>1583</v>
      </c>
      <c r="B71" s="678" t="s">
        <v>1367</v>
      </c>
      <c r="C71" s="670"/>
      <c r="D71" s="668" t="s">
        <v>1582</v>
      </c>
      <c r="E71" s="280" t="str">
        <f t="shared" si="2"/>
        <v>10S3P</v>
      </c>
      <c r="F71" s="696" t="s">
        <v>939</v>
      </c>
      <c r="G71" s="719" t="s">
        <v>116</v>
      </c>
      <c r="H71" s="765" t="s">
        <v>1012</v>
      </c>
      <c r="I71" s="736"/>
      <c r="J71" s="668"/>
      <c r="K71" s="780" t="s">
        <v>116</v>
      </c>
      <c r="L71" s="668"/>
      <c r="M71" s="668"/>
      <c r="N71" s="722"/>
      <c r="O71" s="668"/>
      <c r="P71" s="736" t="s">
        <v>116</v>
      </c>
      <c r="Q71" s="721" t="s">
        <v>116</v>
      </c>
      <c r="R71" s="668"/>
      <c r="S71" s="668"/>
      <c r="T71" s="725"/>
      <c r="U71" s="668"/>
      <c r="V71" s="721" t="s">
        <v>116</v>
      </c>
      <c r="W71" s="736" t="s">
        <v>116</v>
      </c>
      <c r="X71" s="737"/>
      <c r="Y71" s="737"/>
      <c r="Z71" s="726">
        <v>200</v>
      </c>
      <c r="AA71" s="726"/>
      <c r="AB71" s="726"/>
      <c r="AC71" s="727"/>
      <c r="AD71" s="284" t="str">
        <f t="shared" si="3"/>
        <v>Pan_BTL305_36078_D_10S3PN3LED_SDI26FM_SW1_Aslp_Wup_CC_DUVP_200R_</v>
      </c>
      <c r="AJ71" s="225">
        <f t="shared" si="19"/>
        <v>3</v>
      </c>
      <c r="AK71" s="225">
        <f t="shared" si="20"/>
        <v>8</v>
      </c>
      <c r="AL71" s="225">
        <f t="shared" si="0"/>
        <v>36</v>
      </c>
      <c r="AM71" s="225">
        <f t="shared" si="1"/>
        <v>7.8</v>
      </c>
      <c r="AN71" s="225">
        <f t="shared" si="21"/>
        <v>26</v>
      </c>
      <c r="AO71" s="225">
        <f t="shared" si="22"/>
        <v>10</v>
      </c>
      <c r="AP71" s="225">
        <f t="shared" si="23"/>
        <v>3</v>
      </c>
      <c r="AQ71" s="225" t="str">
        <f t="shared" si="24"/>
        <v>ok</v>
      </c>
      <c r="AR71" s="225" t="str">
        <f t="shared" si="10"/>
        <v>10S3P</v>
      </c>
      <c r="AS71" s="225" t="str">
        <f t="shared" si="11"/>
        <v>N3LED_SDI26FM_</v>
      </c>
      <c r="AT71" s="225" t="str">
        <f t="shared" si="12"/>
        <v>SW1_</v>
      </c>
      <c r="AU71" s="225" t="str">
        <f t="shared" si="25"/>
        <v>Aslp_Wup_CC_DUVP_</v>
      </c>
      <c r="AV71" s="225" t="e">
        <f t="shared" si="17"/>
        <v>#VALUE!</v>
      </c>
      <c r="AW71" s="225" t="b">
        <f t="shared" si="18"/>
        <v>1</v>
      </c>
      <c r="AX71" s="225" t="str">
        <f t="shared" si="14"/>
        <v/>
      </c>
      <c r="AY71" s="225" t="str">
        <f t="shared" si="15"/>
        <v/>
      </c>
      <c r="AZ71" s="664" t="str">
        <f t="shared" si="16"/>
        <v>200R_</v>
      </c>
    </row>
    <row r="72" spans="1:53" s="225" customFormat="1" ht="39.75" customHeight="1">
      <c r="A72" s="710" t="s">
        <v>1354</v>
      </c>
      <c r="B72" s="711" t="s">
        <v>1355</v>
      </c>
      <c r="C72" s="712"/>
      <c r="D72" s="710" t="s">
        <v>932</v>
      </c>
      <c r="E72" s="280" t="str">
        <f t="shared" si="2"/>
        <v>10S4P</v>
      </c>
      <c r="F72" s="696" t="s">
        <v>939</v>
      </c>
      <c r="G72" s="719" t="s">
        <v>116</v>
      </c>
      <c r="H72" s="765">
        <v>4</v>
      </c>
      <c r="I72" s="780" t="s">
        <v>685</v>
      </c>
      <c r="J72" s="728"/>
      <c r="K72" s="780" t="s">
        <v>685</v>
      </c>
      <c r="L72" s="728"/>
      <c r="M72" s="728"/>
      <c r="N72" s="798"/>
      <c r="O72" s="728"/>
      <c r="P72" s="780" t="s">
        <v>685</v>
      </c>
      <c r="Q72" s="766" t="s">
        <v>685</v>
      </c>
      <c r="R72" s="728"/>
      <c r="S72" s="728"/>
      <c r="T72" s="799"/>
      <c r="U72" s="728"/>
      <c r="V72" s="766" t="s">
        <v>685</v>
      </c>
      <c r="W72" s="780" t="s">
        <v>685</v>
      </c>
      <c r="X72" s="800"/>
      <c r="Y72" s="800"/>
      <c r="Z72" s="778">
        <v>143</v>
      </c>
      <c r="AA72" s="778"/>
      <c r="AB72" s="778"/>
      <c r="AC72" s="796" t="s">
        <v>1591</v>
      </c>
      <c r="AD72" s="284" t="str">
        <f t="shared" si="3"/>
        <v>Ares115_36100_D_10S4P4LEDLowDrv_SDI26FM_SW1_Aslp_Wup_CC_DUVP_143R_</v>
      </c>
      <c r="AJ72" s="225">
        <f t="shared" si="19"/>
        <v>3</v>
      </c>
      <c r="AK72" s="225">
        <f t="shared" si="20"/>
        <v>9</v>
      </c>
      <c r="AL72" s="225">
        <f t="shared" si="0"/>
        <v>36</v>
      </c>
      <c r="AM72" s="225">
        <f t="shared" si="1"/>
        <v>10</v>
      </c>
      <c r="AN72" s="225">
        <f t="shared" si="21"/>
        <v>26</v>
      </c>
      <c r="AO72" s="225">
        <f t="shared" si="22"/>
        <v>10</v>
      </c>
      <c r="AP72" s="225">
        <f t="shared" si="23"/>
        <v>4</v>
      </c>
      <c r="AQ72" s="225" t="str">
        <f t="shared" si="24"/>
        <v>ok</v>
      </c>
      <c r="AR72" s="225" t="str">
        <f t="shared" si="10"/>
        <v>10S4P</v>
      </c>
      <c r="AS72" s="225" t="str">
        <f t="shared" si="11"/>
        <v>4LEDLowDrv_SDI26FM_</v>
      </c>
      <c r="AT72" s="225" t="str">
        <f t="shared" si="12"/>
        <v>SW1_</v>
      </c>
      <c r="AU72" s="225" t="str">
        <f t="shared" si="25"/>
        <v>Aslp_Wup_CC_DUVP_</v>
      </c>
      <c r="AV72" s="225" t="e">
        <f t="shared" si="17"/>
        <v>#VALUE!</v>
      </c>
      <c r="AW72" s="225" t="b">
        <f t="shared" si="18"/>
        <v>1</v>
      </c>
      <c r="AX72" s="225" t="str">
        <f t="shared" si="14"/>
        <v/>
      </c>
      <c r="AY72" s="225" t="str">
        <f t="shared" si="15"/>
        <v/>
      </c>
      <c r="AZ72" s="664" t="str">
        <f t="shared" si="16"/>
        <v>143R_</v>
      </c>
    </row>
    <row r="73" spans="1:53" s="225" customFormat="1" ht="39.75" customHeight="1">
      <c r="A73" s="710" t="s">
        <v>1354</v>
      </c>
      <c r="B73" s="711" t="s">
        <v>1355</v>
      </c>
      <c r="C73" s="712"/>
      <c r="D73" s="710" t="s">
        <v>932</v>
      </c>
      <c r="E73" s="280" t="str">
        <f t="shared" si="2"/>
        <v>10S4P</v>
      </c>
      <c r="F73" s="696" t="s">
        <v>939</v>
      </c>
      <c r="G73" s="719" t="s">
        <v>116</v>
      </c>
      <c r="H73" s="765">
        <v>4</v>
      </c>
      <c r="I73" s="780" t="s">
        <v>685</v>
      </c>
      <c r="J73" s="728"/>
      <c r="K73" s="780" t="s">
        <v>685</v>
      </c>
      <c r="L73" s="728"/>
      <c r="M73" s="728"/>
      <c r="N73" s="798"/>
      <c r="O73" s="728"/>
      <c r="P73" s="780" t="s">
        <v>685</v>
      </c>
      <c r="Q73" s="766" t="s">
        <v>685</v>
      </c>
      <c r="R73" s="728"/>
      <c r="S73" s="728"/>
      <c r="T73" s="799"/>
      <c r="U73" s="728"/>
      <c r="V73" s="766" t="s">
        <v>685</v>
      </c>
      <c r="W73" s="780" t="s">
        <v>685</v>
      </c>
      <c r="X73" s="800"/>
      <c r="Y73" s="800"/>
      <c r="Z73" s="778">
        <v>120</v>
      </c>
      <c r="AA73" s="778"/>
      <c r="AB73" s="778"/>
      <c r="AC73" s="801" t="s">
        <v>1916</v>
      </c>
      <c r="AD73" s="284" t="str">
        <f t="shared" si="3"/>
        <v>Ares115_36100_D_10S4P4LEDLowDrv_SDI26FM_SW1_Aslp_Wup_CC_DUVP_120R_</v>
      </c>
      <c r="AJ73" s="225">
        <f t="shared" si="19"/>
        <v>3</v>
      </c>
      <c r="AK73" s="225">
        <f t="shared" si="20"/>
        <v>9</v>
      </c>
      <c r="AL73" s="225">
        <f t="shared" si="0"/>
        <v>36</v>
      </c>
      <c r="AM73" s="225">
        <f t="shared" si="1"/>
        <v>10</v>
      </c>
      <c r="AN73" s="225">
        <f t="shared" si="21"/>
        <v>26</v>
      </c>
      <c r="AO73" s="225">
        <f t="shared" si="22"/>
        <v>10</v>
      </c>
      <c r="AP73" s="225">
        <f t="shared" si="23"/>
        <v>4</v>
      </c>
      <c r="AQ73" s="225" t="str">
        <f t="shared" si="24"/>
        <v>ok</v>
      </c>
      <c r="AR73" s="225" t="str">
        <f t="shared" si="10"/>
        <v>10S4P</v>
      </c>
      <c r="AS73" s="225" t="str">
        <f t="shared" si="11"/>
        <v>4LEDLowDrv_SDI26FM_</v>
      </c>
      <c r="AT73" s="225" t="str">
        <f t="shared" si="12"/>
        <v>SW1_</v>
      </c>
      <c r="AU73" s="225" t="str">
        <f t="shared" si="25"/>
        <v>Aslp_Wup_CC_DUVP_</v>
      </c>
      <c r="AV73" s="225" t="e">
        <f t="shared" si="17"/>
        <v>#VALUE!</v>
      </c>
      <c r="AW73" s="225" t="b">
        <f t="shared" si="18"/>
        <v>1</v>
      </c>
      <c r="AX73" s="225" t="str">
        <f t="shared" si="14"/>
        <v/>
      </c>
      <c r="AY73" s="225" t="str">
        <f t="shared" si="15"/>
        <v/>
      </c>
      <c r="AZ73" s="664" t="str">
        <f t="shared" si="16"/>
        <v>120R_</v>
      </c>
    </row>
    <row r="74" spans="1:53" s="225" customFormat="1" ht="39.75" customHeight="1" thickBot="1">
      <c r="A74" s="683" t="s">
        <v>1592</v>
      </c>
      <c r="B74" s="681" t="s">
        <v>1362</v>
      </c>
      <c r="C74" s="821"/>
      <c r="D74" s="683" t="s">
        <v>1344</v>
      </c>
      <c r="E74" s="281" t="str">
        <f t="shared" si="2"/>
        <v>10S4P</v>
      </c>
      <c r="F74" s="690" t="s">
        <v>939</v>
      </c>
      <c r="G74" s="749" t="s">
        <v>116</v>
      </c>
      <c r="H74" s="750">
        <v>5</v>
      </c>
      <c r="I74" s="822" t="s">
        <v>116</v>
      </c>
      <c r="J74" s="683"/>
      <c r="K74" s="822" t="s">
        <v>116</v>
      </c>
      <c r="L74" s="683"/>
      <c r="M74" s="683"/>
      <c r="N74" s="752"/>
      <c r="O74" s="683"/>
      <c r="P74" s="822" t="s">
        <v>116</v>
      </c>
      <c r="Q74" s="751" t="s">
        <v>116</v>
      </c>
      <c r="R74" s="683"/>
      <c r="S74" s="683"/>
      <c r="T74" s="772"/>
      <c r="U74" s="683"/>
      <c r="V74" s="751" t="s">
        <v>116</v>
      </c>
      <c r="W74" s="822" t="s">
        <v>116</v>
      </c>
      <c r="X74" s="823"/>
      <c r="Y74" s="823"/>
      <c r="Z74" s="753">
        <v>200</v>
      </c>
      <c r="AA74" s="858"/>
      <c r="AB74" s="858"/>
      <c r="AC74" s="727" t="s">
        <v>1594</v>
      </c>
      <c r="AD74" s="284" t="str">
        <f t="shared" si="3"/>
        <v>Pan_BLT300_36104_D_10S4P5LEDLowDrv_SDI26FM_SW1_Aslp_Wup_CC_DUVP_200R_</v>
      </c>
      <c r="AJ74" s="225">
        <f t="shared" si="19"/>
        <v>3</v>
      </c>
      <c r="AK74" s="225">
        <f t="shared" si="20"/>
        <v>9</v>
      </c>
      <c r="AL74" s="225">
        <f t="shared" si="0"/>
        <v>36</v>
      </c>
      <c r="AM74" s="225">
        <f t="shared" si="1"/>
        <v>10.4</v>
      </c>
      <c r="AN74" s="225">
        <f t="shared" si="21"/>
        <v>26</v>
      </c>
      <c r="AO74" s="225">
        <f t="shared" si="22"/>
        <v>10</v>
      </c>
      <c r="AP74" s="225">
        <f t="shared" si="23"/>
        <v>4</v>
      </c>
      <c r="AQ74" s="225" t="str">
        <f t="shared" si="24"/>
        <v>ok</v>
      </c>
      <c r="AR74" s="225" t="str">
        <f t="shared" si="10"/>
        <v>10S4P</v>
      </c>
      <c r="AS74" s="225" t="str">
        <f t="shared" si="11"/>
        <v>5LEDLowDrv_SDI26FM_</v>
      </c>
      <c r="AT74" s="225" t="str">
        <f t="shared" si="12"/>
        <v>SW1_</v>
      </c>
      <c r="AU74" s="225" t="str">
        <f t="shared" si="25"/>
        <v>Aslp_Wup_CC_DUVP_</v>
      </c>
      <c r="AV74" s="225" t="e">
        <f t="shared" si="17"/>
        <v>#VALUE!</v>
      </c>
      <c r="AW74" s="225" t="b">
        <f t="shared" si="18"/>
        <v>1</v>
      </c>
      <c r="AX74" s="225" t="str">
        <f t="shared" si="14"/>
        <v/>
      </c>
      <c r="AY74" s="225" t="str">
        <f t="shared" si="15"/>
        <v/>
      </c>
      <c r="AZ74" s="664" t="str">
        <f t="shared" si="16"/>
        <v>200R_</v>
      </c>
    </row>
    <row r="75" spans="1:53" s="286" customFormat="1" ht="39.75" customHeight="1" thickTop="1">
      <c r="A75" s="824" t="s">
        <v>1901</v>
      </c>
      <c r="B75" s="825" t="s">
        <v>1918</v>
      </c>
      <c r="C75" s="826"/>
      <c r="D75" s="824" t="s">
        <v>1902</v>
      </c>
      <c r="E75" s="282" t="str">
        <f t="shared" si="2"/>
        <v>10S4P</v>
      </c>
      <c r="F75" s="827" t="s">
        <v>1903</v>
      </c>
      <c r="G75" s="755" t="s">
        <v>116</v>
      </c>
      <c r="H75" s="828" t="s">
        <v>1904</v>
      </c>
      <c r="I75" s="829" t="s">
        <v>116</v>
      </c>
      <c r="J75" s="830"/>
      <c r="K75" s="829" t="s">
        <v>116</v>
      </c>
      <c r="L75" s="824"/>
      <c r="M75" s="824"/>
      <c r="N75" s="831"/>
      <c r="O75" s="824"/>
      <c r="P75" s="832" t="s">
        <v>116</v>
      </c>
      <c r="Q75" s="833" t="s">
        <v>116</v>
      </c>
      <c r="R75" s="824"/>
      <c r="S75" s="824"/>
      <c r="T75" s="834"/>
      <c r="U75" s="824"/>
      <c r="V75" s="833" t="s">
        <v>116</v>
      </c>
      <c r="W75" s="832" t="s">
        <v>116</v>
      </c>
      <c r="X75" s="824"/>
      <c r="Y75" s="824"/>
      <c r="Z75" s="835">
        <v>136</v>
      </c>
      <c r="AA75" s="835"/>
      <c r="AB75" s="835"/>
      <c r="AC75" s="777" t="s">
        <v>1917</v>
      </c>
      <c r="AD75" s="285" t="str">
        <f>A75&amp;"_"&amp;E75&amp;AS75&amp;AT75&amp;AU75&amp;AZ75</f>
        <v>Pan_ST_36116_D_10S4PN5LEDLowDrv_SDI29E_SW1_Aslp_Wup_CC_DUVP_136R_</v>
      </c>
      <c r="AJ75" s="286">
        <f t="shared" si="19"/>
        <v>3</v>
      </c>
      <c r="AK75" s="286">
        <f t="shared" si="20"/>
        <v>9</v>
      </c>
      <c r="AL75" s="286">
        <f t="shared" si="0"/>
        <v>36</v>
      </c>
      <c r="AM75" s="286">
        <f t="shared" si="1"/>
        <v>11.6</v>
      </c>
      <c r="AN75" s="286">
        <f t="shared" si="21"/>
        <v>29</v>
      </c>
      <c r="AO75" s="286">
        <f t="shared" si="22"/>
        <v>10</v>
      </c>
      <c r="AP75" s="286">
        <f t="shared" si="23"/>
        <v>4</v>
      </c>
      <c r="AQ75" s="286" t="str">
        <f t="shared" si="24"/>
        <v>ok</v>
      </c>
      <c r="AR75" s="286" t="str">
        <f t="shared" si="10"/>
        <v>10S4P</v>
      </c>
      <c r="AS75" s="286" t="str">
        <f t="shared" si="11"/>
        <v>N5LEDLowDrv_SDI29E_</v>
      </c>
      <c r="AT75" s="286" t="str">
        <f t="shared" si="12"/>
        <v>SW1_</v>
      </c>
      <c r="AU75" s="286" t="str">
        <f t="shared" si="25"/>
        <v>Aslp_Wup_CC_DUVP_</v>
      </c>
      <c r="AV75" s="286" t="e">
        <f t="shared" si="17"/>
        <v>#VALUE!</v>
      </c>
      <c r="AW75" s="286" t="b">
        <f t="shared" si="18"/>
        <v>1</v>
      </c>
      <c r="AX75" s="286" t="str">
        <f t="shared" si="14"/>
        <v/>
      </c>
      <c r="AY75" s="286" t="str">
        <f t="shared" si="15"/>
        <v/>
      </c>
      <c r="AZ75" s="664" t="str">
        <f>IF(UPPER(TRIM(X75))="V",$X$2&amp;"_","")&amp;IF(UPPER(TRIM(Y75))="V",$Y$2&amp;"_","")&amp;IF(ISBLANK(Z75),"",Z75&amp;$Z$2&amp;"_")</f>
        <v>136R_</v>
      </c>
    </row>
    <row r="76" spans="1:53" s="225" customFormat="1" ht="39.75" customHeight="1">
      <c r="A76" s="713" t="s">
        <v>1225</v>
      </c>
      <c r="B76" s="714" t="s">
        <v>1219</v>
      </c>
      <c r="C76" s="715" t="s">
        <v>1073</v>
      </c>
      <c r="D76" s="713" t="s">
        <v>1075</v>
      </c>
      <c r="E76" s="280" t="str">
        <f t="shared" si="2"/>
        <v>10S7P</v>
      </c>
      <c r="F76" s="696" t="s">
        <v>939</v>
      </c>
      <c r="G76" s="719" t="s">
        <v>116</v>
      </c>
      <c r="H76" s="720">
        <v>5</v>
      </c>
      <c r="I76" s="806" t="s">
        <v>116</v>
      </c>
      <c r="J76" s="713"/>
      <c r="K76" s="806" t="s">
        <v>116</v>
      </c>
      <c r="L76" s="713"/>
      <c r="M76" s="713"/>
      <c r="N76" s="805"/>
      <c r="O76" s="713"/>
      <c r="P76" s="806" t="s">
        <v>116</v>
      </c>
      <c r="Q76" s="807" t="s">
        <v>116</v>
      </c>
      <c r="R76" s="713"/>
      <c r="S76" s="713"/>
      <c r="T76" s="808"/>
      <c r="U76" s="713"/>
      <c r="V76" s="807" t="s">
        <v>116</v>
      </c>
      <c r="W76" s="806" t="s">
        <v>116</v>
      </c>
      <c r="X76" s="713"/>
      <c r="Y76" s="713"/>
      <c r="Z76" s="809">
        <v>136</v>
      </c>
      <c r="AA76" s="809"/>
      <c r="AB76" s="809"/>
      <c r="AC76" s="727" t="s">
        <v>1924</v>
      </c>
      <c r="AD76" s="284" t="str">
        <f t="shared" si="3"/>
        <v>Pan_BLT360_36182_D_10S7P5LEDLowDrv_SDI26FM_SW1_Aslp_Wup_CC_DUVP_136R_</v>
      </c>
      <c r="AJ76" s="225">
        <f t="shared" si="19"/>
        <v>3</v>
      </c>
      <c r="AK76" s="225">
        <f t="shared" si="20"/>
        <v>9</v>
      </c>
      <c r="AL76" s="225">
        <f t="shared" si="0"/>
        <v>36</v>
      </c>
      <c r="AM76" s="225">
        <f t="shared" si="1"/>
        <v>18.2</v>
      </c>
      <c r="AN76" s="225">
        <f t="shared" si="21"/>
        <v>26</v>
      </c>
      <c r="AO76" s="225">
        <f t="shared" si="22"/>
        <v>10</v>
      </c>
      <c r="AP76" s="225">
        <f t="shared" si="23"/>
        <v>7</v>
      </c>
      <c r="AQ76" s="225" t="str">
        <f t="shared" si="24"/>
        <v>ok</v>
      </c>
      <c r="AR76" s="225" t="str">
        <f t="shared" si="10"/>
        <v>10S7P</v>
      </c>
      <c r="AS76" s="225" t="str">
        <f t="shared" si="11"/>
        <v>5LEDLowDrv_SDI26FM_</v>
      </c>
      <c r="AT76" s="225" t="str">
        <f t="shared" si="12"/>
        <v>SW1_</v>
      </c>
      <c r="AU76" s="225" t="str">
        <f t="shared" si="25"/>
        <v>Aslp_Wup_CC_DUVP_</v>
      </c>
      <c r="AV76" s="225">
        <f t="shared" si="17"/>
        <v>20</v>
      </c>
      <c r="AW76" s="225" t="b">
        <f t="shared" si="18"/>
        <v>0</v>
      </c>
      <c r="AX76" s="225" t="str">
        <f t="shared" si="14"/>
        <v>DAKB00182-W021E01LT_</v>
      </c>
      <c r="AY76" s="225" t="str">
        <f t="shared" si="15"/>
        <v>DAKB00182_W021E01LT_</v>
      </c>
      <c r="AZ76" s="664" t="str">
        <f>IF(UPPER(TRIM(X76))="V",$X$2&amp;"_","")&amp;IF(UPPER(TRIM(Y76))="V",$Y$2&amp;"_","")&amp;IF(ISBLANK(Z76),"",Z76&amp;$Z$2&amp;"_")</f>
        <v>136R_</v>
      </c>
      <c r="BA76" s="225" t="str">
        <f>IF(ISBLANK(Z76),"",Z76&amp;$Z$2&amp;"_")</f>
        <v>136R_</v>
      </c>
    </row>
    <row r="77" spans="1:53" s="225" customFormat="1" ht="39" customHeight="1">
      <c r="A77" s="713" t="s">
        <v>1920</v>
      </c>
      <c r="B77" s="714" t="s">
        <v>1362</v>
      </c>
      <c r="C77" s="715"/>
      <c r="D77" s="713" t="s">
        <v>1248</v>
      </c>
      <c r="E77" s="280" t="str">
        <f t="shared" si="2"/>
        <v>10S6P</v>
      </c>
      <c r="F77" s="696" t="s">
        <v>939</v>
      </c>
      <c r="G77" s="719" t="s">
        <v>116</v>
      </c>
      <c r="H77" s="720">
        <v>5</v>
      </c>
      <c r="I77" s="806" t="s">
        <v>116</v>
      </c>
      <c r="J77" s="713"/>
      <c r="K77" s="806" t="s">
        <v>116</v>
      </c>
      <c r="L77" s="713"/>
      <c r="M77" s="713"/>
      <c r="N77" s="805"/>
      <c r="O77" s="713"/>
      <c r="P77" s="806" t="s">
        <v>116</v>
      </c>
      <c r="Q77" s="807" t="s">
        <v>116</v>
      </c>
      <c r="R77" s="713"/>
      <c r="S77" s="713"/>
      <c r="T77" s="808"/>
      <c r="U77" s="713"/>
      <c r="V77" s="807" t="s">
        <v>116</v>
      </c>
      <c r="W77" s="806" t="s">
        <v>116</v>
      </c>
      <c r="X77" s="713"/>
      <c r="Y77" s="713"/>
      <c r="Z77" s="809">
        <v>136</v>
      </c>
      <c r="AA77" s="809"/>
      <c r="AB77" s="809"/>
      <c r="AC77" s="727" t="s">
        <v>1942</v>
      </c>
      <c r="AD77" s="284" t="str">
        <f t="shared" si="3"/>
        <v>Pan_BLT330_36156_D_10S6P5LEDLowDrv_SDI26FM_SW1_Aslp_Wup_CC_DUVP_136R_</v>
      </c>
      <c r="AJ77" s="225">
        <f t="shared" si="19"/>
        <v>3</v>
      </c>
      <c r="AK77" s="225">
        <f t="shared" si="20"/>
        <v>9</v>
      </c>
      <c r="AL77" s="225">
        <f t="shared" si="0"/>
        <v>36</v>
      </c>
      <c r="AM77" s="225">
        <f t="shared" si="1"/>
        <v>15.6</v>
      </c>
      <c r="AN77" s="225">
        <f t="shared" si="21"/>
        <v>26</v>
      </c>
      <c r="AO77" s="225">
        <f t="shared" si="22"/>
        <v>10</v>
      </c>
      <c r="AP77" s="225">
        <f t="shared" si="23"/>
        <v>6</v>
      </c>
      <c r="AQ77" s="225" t="str">
        <f t="shared" si="24"/>
        <v>ok</v>
      </c>
      <c r="AR77" s="225" t="str">
        <f t="shared" si="10"/>
        <v>10S6P</v>
      </c>
      <c r="AS77" s="225" t="str">
        <f t="shared" si="11"/>
        <v>5LEDLowDrv_SDI26FM_</v>
      </c>
      <c r="AT77" s="225" t="str">
        <f t="shared" si="12"/>
        <v>SW1_</v>
      </c>
      <c r="AU77" s="225" t="str">
        <f t="shared" si="25"/>
        <v>Aslp_Wup_CC_DUVP_</v>
      </c>
      <c r="AV77" s="225" t="e">
        <f t="shared" si="17"/>
        <v>#VALUE!</v>
      </c>
      <c r="AW77" s="225" t="b">
        <f t="shared" si="18"/>
        <v>1</v>
      </c>
      <c r="AX77" s="225" t="str">
        <f t="shared" si="14"/>
        <v/>
      </c>
      <c r="AY77" s="225" t="str">
        <f t="shared" si="15"/>
        <v/>
      </c>
      <c r="AZ77" s="664" t="str">
        <f t="shared" ref="AZ77:AZ128" si="26">IF(UPPER(TRIM(X77))="V",$X$2&amp;"_","")&amp;IF(UPPER(TRIM(Y77))="V",$Y$2&amp;"_","")&amp;IF(ISBLANK(Z77),"",Z77&amp;$Z$2&amp;"_")</f>
        <v>136R_</v>
      </c>
    </row>
    <row r="78" spans="1:53" s="225" customFormat="1" ht="39" customHeight="1">
      <c r="A78" s="713" t="s">
        <v>732</v>
      </c>
      <c r="B78" s="716" t="s">
        <v>1213</v>
      </c>
      <c r="C78" s="715"/>
      <c r="D78" s="713" t="s">
        <v>1101</v>
      </c>
      <c r="E78" s="280" t="str">
        <f t="shared" si="2"/>
        <v>13S5P</v>
      </c>
      <c r="F78" s="696" t="s">
        <v>939</v>
      </c>
      <c r="G78" s="719" t="s">
        <v>116</v>
      </c>
      <c r="H78" s="720">
        <v>3</v>
      </c>
      <c r="I78" s="807"/>
      <c r="J78" s="713"/>
      <c r="K78" s="713" t="s">
        <v>116</v>
      </c>
      <c r="L78" s="713"/>
      <c r="M78" s="713"/>
      <c r="N78" s="805"/>
      <c r="O78" s="713"/>
      <c r="P78" s="713" t="s">
        <v>116</v>
      </c>
      <c r="Q78" s="807" t="s">
        <v>116</v>
      </c>
      <c r="R78" s="713"/>
      <c r="S78" s="713"/>
      <c r="T78" s="808"/>
      <c r="U78" s="713"/>
      <c r="V78" s="807" t="s">
        <v>116</v>
      </c>
      <c r="W78" s="713" t="s">
        <v>116</v>
      </c>
      <c r="X78" s="713"/>
      <c r="Y78" s="713"/>
      <c r="Z78" s="809">
        <v>136</v>
      </c>
      <c r="AA78" s="809"/>
      <c r="AB78" s="809"/>
      <c r="AC78" s="727" t="s">
        <v>1931</v>
      </c>
      <c r="AD78" s="284" t="str">
        <f t="shared" si="3"/>
        <v>Pan_B285_48130_Y_13S5P3LED_SDI26FM_SW1_Aslp_Wup_CC_DUVP_136R_</v>
      </c>
      <c r="AJ78" s="225">
        <f t="shared" si="19"/>
        <v>3</v>
      </c>
      <c r="AK78" s="225">
        <f t="shared" si="20"/>
        <v>9</v>
      </c>
      <c r="AL78" s="225">
        <f t="shared" si="0"/>
        <v>48</v>
      </c>
      <c r="AM78" s="225">
        <f t="shared" si="1"/>
        <v>13</v>
      </c>
      <c r="AN78" s="225">
        <f t="shared" si="21"/>
        <v>26</v>
      </c>
      <c r="AO78" s="225">
        <f t="shared" si="22"/>
        <v>13</v>
      </c>
      <c r="AP78" s="225">
        <f t="shared" si="23"/>
        <v>5</v>
      </c>
      <c r="AQ78" s="225" t="str">
        <f t="shared" si="24"/>
        <v>ok</v>
      </c>
      <c r="AR78" s="225" t="str">
        <f t="shared" si="10"/>
        <v>13S5P</v>
      </c>
      <c r="AS78" s="225" t="str">
        <f t="shared" si="11"/>
        <v>3LED_SDI26FM_</v>
      </c>
      <c r="AT78" s="225" t="str">
        <f t="shared" si="12"/>
        <v>SW1_</v>
      </c>
      <c r="AU78" s="225" t="str">
        <f t="shared" si="25"/>
        <v>Aslp_Wup_CC_DUVP_</v>
      </c>
      <c r="AV78" s="225" t="e">
        <f t="shared" si="17"/>
        <v>#VALUE!</v>
      </c>
      <c r="AW78" s="225" t="b">
        <f t="shared" si="18"/>
        <v>1</v>
      </c>
      <c r="AX78" s="225" t="str">
        <f t="shared" si="14"/>
        <v/>
      </c>
      <c r="AY78" s="225" t="str">
        <f t="shared" si="15"/>
        <v/>
      </c>
      <c r="AZ78" s="664" t="str">
        <f t="shared" si="26"/>
        <v>136R_</v>
      </c>
    </row>
    <row r="79" spans="1:53" s="225" customFormat="1" ht="39" customHeight="1">
      <c r="A79" s="713" t="s">
        <v>1925</v>
      </c>
      <c r="B79" s="714" t="s">
        <v>1928</v>
      </c>
      <c r="C79" s="715"/>
      <c r="D79" s="713" t="s">
        <v>959</v>
      </c>
      <c r="E79" s="280" t="str">
        <f t="shared" si="2"/>
        <v>10S5P</v>
      </c>
      <c r="F79" s="696" t="s">
        <v>939</v>
      </c>
      <c r="G79" s="719" t="s">
        <v>116</v>
      </c>
      <c r="H79" s="765" t="s">
        <v>1904</v>
      </c>
      <c r="I79" s="803" t="s">
        <v>116</v>
      </c>
      <c r="J79" s="804"/>
      <c r="K79" s="803" t="s">
        <v>116</v>
      </c>
      <c r="L79" s="713"/>
      <c r="M79" s="713"/>
      <c r="N79" s="805"/>
      <c r="O79" s="713"/>
      <c r="P79" s="806" t="s">
        <v>116</v>
      </c>
      <c r="Q79" s="807" t="s">
        <v>116</v>
      </c>
      <c r="R79" s="713"/>
      <c r="S79" s="713"/>
      <c r="T79" s="808"/>
      <c r="U79" s="713"/>
      <c r="V79" s="807" t="s">
        <v>116</v>
      </c>
      <c r="W79" s="806" t="s">
        <v>116</v>
      </c>
      <c r="X79" s="713"/>
      <c r="Y79" s="713"/>
      <c r="Z79" s="809">
        <v>136</v>
      </c>
      <c r="AA79" s="809"/>
      <c r="AB79" s="809"/>
      <c r="AC79" s="836" t="s">
        <v>2080</v>
      </c>
      <c r="AD79" s="284" t="str">
        <f t="shared" si="3"/>
        <v>Ares_ST228_36130_Y_10S5PN5LEDLowDrv_SDI26FM_SW1_Aslp_Wup_CC_DUVP_136R_</v>
      </c>
      <c r="AJ79" s="225">
        <f t="shared" si="19"/>
        <v>3</v>
      </c>
      <c r="AK79" s="225">
        <f t="shared" si="20"/>
        <v>9</v>
      </c>
      <c r="AL79" s="225">
        <f t="shared" si="0"/>
        <v>36</v>
      </c>
      <c r="AM79" s="225">
        <f t="shared" si="1"/>
        <v>13</v>
      </c>
      <c r="AN79" s="225">
        <f t="shared" si="21"/>
        <v>26</v>
      </c>
      <c r="AO79" s="225">
        <f t="shared" si="22"/>
        <v>10</v>
      </c>
      <c r="AP79" s="225">
        <f t="shared" si="23"/>
        <v>5</v>
      </c>
      <c r="AQ79" s="225" t="str">
        <f t="shared" si="24"/>
        <v>ok</v>
      </c>
      <c r="AR79" s="225" t="str">
        <f t="shared" si="10"/>
        <v>10S5P</v>
      </c>
      <c r="AS79" s="225" t="str">
        <f t="shared" si="11"/>
        <v>N5LEDLowDrv_SDI26FM_</v>
      </c>
      <c r="AT79" s="225" t="str">
        <f t="shared" si="12"/>
        <v>SW1_</v>
      </c>
      <c r="AU79" s="225" t="str">
        <f t="shared" si="25"/>
        <v>Aslp_Wup_CC_DUVP_</v>
      </c>
      <c r="AV79" s="225" t="e">
        <f t="shared" si="17"/>
        <v>#VALUE!</v>
      </c>
      <c r="AW79" s="225" t="b">
        <f t="shared" si="18"/>
        <v>1</v>
      </c>
      <c r="AX79" s="225" t="str">
        <f t="shared" si="14"/>
        <v/>
      </c>
      <c r="AY79" s="225" t="str">
        <f t="shared" si="15"/>
        <v/>
      </c>
      <c r="AZ79" s="664" t="str">
        <f t="shared" si="26"/>
        <v>136R_</v>
      </c>
    </row>
    <row r="80" spans="1:53" s="225" customFormat="1" ht="39" customHeight="1">
      <c r="A80" s="713" t="s">
        <v>2012</v>
      </c>
      <c r="B80" s="714" t="s">
        <v>1928</v>
      </c>
      <c r="C80" s="715"/>
      <c r="D80" s="713" t="s">
        <v>1344</v>
      </c>
      <c r="E80" s="280" t="str">
        <f t="shared" si="2"/>
        <v>10S4P</v>
      </c>
      <c r="F80" s="696" t="s">
        <v>939</v>
      </c>
      <c r="G80" s="719" t="s">
        <v>116</v>
      </c>
      <c r="H80" s="765" t="s">
        <v>1904</v>
      </c>
      <c r="I80" s="803" t="s">
        <v>116</v>
      </c>
      <c r="J80" s="804"/>
      <c r="K80" s="803" t="s">
        <v>116</v>
      </c>
      <c r="L80" s="713"/>
      <c r="M80" s="713"/>
      <c r="N80" s="805"/>
      <c r="O80" s="713"/>
      <c r="P80" s="806" t="s">
        <v>116</v>
      </c>
      <c r="Q80" s="807" t="s">
        <v>116</v>
      </c>
      <c r="R80" s="713"/>
      <c r="S80" s="713"/>
      <c r="T80" s="808"/>
      <c r="U80" s="713"/>
      <c r="V80" s="807" t="s">
        <v>116</v>
      </c>
      <c r="W80" s="806" t="s">
        <v>116</v>
      </c>
      <c r="X80" s="713"/>
      <c r="Y80" s="713"/>
      <c r="Z80" s="809">
        <v>136</v>
      </c>
      <c r="AA80" s="809"/>
      <c r="AB80" s="809"/>
      <c r="AC80" s="727" t="s">
        <v>1940</v>
      </c>
      <c r="AD80" s="284" t="str">
        <f t="shared" si="3"/>
        <v>Ares_ST228_36104_Y_10S4PN5LEDLowDrv_SDI26FM_SW1_Aslp_Wup_CC_DUVP_136R_</v>
      </c>
      <c r="AJ80" s="225">
        <f t="shared" si="19"/>
        <v>3</v>
      </c>
      <c r="AK80" s="225">
        <f t="shared" si="20"/>
        <v>9</v>
      </c>
      <c r="AL80" s="225">
        <f t="shared" si="0"/>
        <v>36</v>
      </c>
      <c r="AM80" s="225">
        <f t="shared" si="1"/>
        <v>10.4</v>
      </c>
      <c r="AN80" s="225">
        <f t="shared" si="21"/>
        <v>26</v>
      </c>
      <c r="AO80" s="225">
        <f t="shared" si="22"/>
        <v>10</v>
      </c>
      <c r="AP80" s="225">
        <f t="shared" si="23"/>
        <v>4</v>
      </c>
      <c r="AQ80" s="225" t="str">
        <f t="shared" si="24"/>
        <v>ok</v>
      </c>
      <c r="AR80" s="225" t="str">
        <f t="shared" si="10"/>
        <v>10S4P</v>
      </c>
      <c r="AS80" s="225" t="str">
        <f t="shared" si="11"/>
        <v>N5LEDLowDrv_SDI26FM_</v>
      </c>
      <c r="AT80" s="225" t="str">
        <f t="shared" si="12"/>
        <v>SW1_</v>
      </c>
      <c r="AU80" s="225" t="str">
        <f t="shared" si="25"/>
        <v>Aslp_Wup_CC_DUVP_</v>
      </c>
      <c r="AV80" s="225" t="e">
        <f t="shared" si="17"/>
        <v>#VALUE!</v>
      </c>
      <c r="AW80" s="225" t="b">
        <f t="shared" si="18"/>
        <v>1</v>
      </c>
      <c r="AX80" s="225" t="str">
        <f t="shared" si="14"/>
        <v/>
      </c>
      <c r="AY80" s="225" t="str">
        <f t="shared" si="15"/>
        <v/>
      </c>
      <c r="AZ80" s="664" t="str">
        <f t="shared" si="26"/>
        <v>136R_</v>
      </c>
    </row>
    <row r="81" spans="1:52" s="225" customFormat="1" ht="39" customHeight="1">
      <c r="A81" s="713" t="s">
        <v>1930</v>
      </c>
      <c r="B81" s="716" t="s">
        <v>1929</v>
      </c>
      <c r="C81" s="715"/>
      <c r="D81" s="713" t="s">
        <v>932</v>
      </c>
      <c r="E81" s="280" t="str">
        <f t="shared" si="2"/>
        <v>10S4P</v>
      </c>
      <c r="F81" s="696" t="s">
        <v>939</v>
      </c>
      <c r="G81" s="719" t="s">
        <v>116</v>
      </c>
      <c r="H81" s="720">
        <v>5</v>
      </c>
      <c r="I81" s="806" t="s">
        <v>116</v>
      </c>
      <c r="J81" s="713"/>
      <c r="K81" s="806" t="s">
        <v>116</v>
      </c>
      <c r="L81" s="713"/>
      <c r="M81" s="713" t="s">
        <v>116</v>
      </c>
      <c r="N81" s="806" t="s">
        <v>116</v>
      </c>
      <c r="O81" s="806"/>
      <c r="P81" s="806" t="s">
        <v>116</v>
      </c>
      <c r="Q81" s="807" t="s">
        <v>116</v>
      </c>
      <c r="R81" s="713"/>
      <c r="S81" s="713"/>
      <c r="T81" s="806" t="s">
        <v>116</v>
      </c>
      <c r="U81" s="713"/>
      <c r="V81" s="807" t="s">
        <v>116</v>
      </c>
      <c r="W81" s="806" t="s">
        <v>116</v>
      </c>
      <c r="X81" s="713"/>
      <c r="Y81" s="713"/>
      <c r="Z81" s="809">
        <v>136</v>
      </c>
      <c r="AA81" s="809"/>
      <c r="AB81" s="809"/>
      <c r="AC81" s="727" t="s">
        <v>1931</v>
      </c>
      <c r="AD81" s="284" t="str">
        <f t="shared" si="3"/>
        <v>Ares_HM_36100_DU_10S4P5LEDLowDrv_SDI26FM_SW1_NTC2_SW2_Aslp_Wup_Blight_CC_DUVP_136R_</v>
      </c>
      <c r="AJ81" s="225">
        <f t="shared" si="19"/>
        <v>3</v>
      </c>
      <c r="AK81" s="225">
        <f t="shared" si="20"/>
        <v>9</v>
      </c>
      <c r="AL81" s="225">
        <f t="shared" si="0"/>
        <v>36</v>
      </c>
      <c r="AM81" s="225">
        <f t="shared" si="1"/>
        <v>10</v>
      </c>
      <c r="AN81" s="225">
        <f t="shared" si="21"/>
        <v>26</v>
      </c>
      <c r="AO81" s="225">
        <f t="shared" si="22"/>
        <v>10</v>
      </c>
      <c r="AP81" s="225">
        <f t="shared" si="23"/>
        <v>4</v>
      </c>
      <c r="AQ81" s="225" t="str">
        <f t="shared" si="24"/>
        <v>ok</v>
      </c>
      <c r="AR81" s="225" t="str">
        <f t="shared" si="10"/>
        <v>10S4P</v>
      </c>
      <c r="AS81" s="225" t="str">
        <f t="shared" si="11"/>
        <v>5LEDLowDrv_SDI26FM_</v>
      </c>
      <c r="AT81" s="225" t="str">
        <f t="shared" si="12"/>
        <v>SW1_NTC2_SW2_</v>
      </c>
      <c r="AU81" s="225" t="str">
        <f t="shared" si="25"/>
        <v>Aslp_Wup_Blight_CC_DUVP_</v>
      </c>
      <c r="AV81" s="225" t="e">
        <f t="shared" si="17"/>
        <v>#VALUE!</v>
      </c>
      <c r="AW81" s="225" t="b">
        <f t="shared" si="18"/>
        <v>1</v>
      </c>
      <c r="AX81" s="225" t="str">
        <f t="shared" si="14"/>
        <v/>
      </c>
      <c r="AY81" s="225" t="str">
        <f t="shared" si="15"/>
        <v/>
      </c>
      <c r="AZ81" s="664" t="str">
        <f t="shared" si="26"/>
        <v>136R_</v>
      </c>
    </row>
    <row r="82" spans="1:52" s="225" customFormat="1" ht="39" customHeight="1">
      <c r="A82" s="713" t="s">
        <v>1932</v>
      </c>
      <c r="B82" s="714" t="s">
        <v>1934</v>
      </c>
      <c r="C82" s="715"/>
      <c r="D82" s="713" t="s">
        <v>1344</v>
      </c>
      <c r="E82" s="280" t="str">
        <f t="shared" si="2"/>
        <v>10S4P</v>
      </c>
      <c r="F82" s="696" t="s">
        <v>939</v>
      </c>
      <c r="G82" s="719" t="s">
        <v>116</v>
      </c>
      <c r="H82" s="765" t="s">
        <v>1904</v>
      </c>
      <c r="I82" s="803" t="s">
        <v>116</v>
      </c>
      <c r="J82" s="804"/>
      <c r="K82" s="803" t="s">
        <v>116</v>
      </c>
      <c r="L82" s="713"/>
      <c r="M82" s="713"/>
      <c r="N82" s="805"/>
      <c r="O82" s="713"/>
      <c r="P82" s="806" t="s">
        <v>116</v>
      </c>
      <c r="Q82" s="807" t="s">
        <v>116</v>
      </c>
      <c r="R82" s="713"/>
      <c r="S82" s="713"/>
      <c r="T82" s="808"/>
      <c r="U82" s="713"/>
      <c r="V82" s="807" t="s">
        <v>116</v>
      </c>
      <c r="W82" s="806" t="s">
        <v>116</v>
      </c>
      <c r="X82" s="713"/>
      <c r="Y82" s="713"/>
      <c r="Z82" s="809">
        <v>136</v>
      </c>
      <c r="AA82" s="809"/>
      <c r="AB82" s="809"/>
      <c r="AC82" s="727" t="s">
        <v>1931</v>
      </c>
      <c r="AD82" s="284" t="str">
        <f t="shared" si="3"/>
        <v>Pan_SSS2_36104_D_10S4PN5LEDLowDrv_SDI26FM_SW1_Aslp_Wup_CC_DUVP_136R_</v>
      </c>
      <c r="AJ82" s="225">
        <f t="shared" si="19"/>
        <v>3</v>
      </c>
      <c r="AK82" s="225">
        <f t="shared" si="20"/>
        <v>9</v>
      </c>
      <c r="AL82" s="225">
        <f t="shared" si="0"/>
        <v>36</v>
      </c>
      <c r="AM82" s="225">
        <f t="shared" si="1"/>
        <v>10.4</v>
      </c>
      <c r="AN82" s="225">
        <f t="shared" si="21"/>
        <v>26</v>
      </c>
      <c r="AO82" s="225">
        <f t="shared" si="22"/>
        <v>10</v>
      </c>
      <c r="AP82" s="225">
        <f t="shared" si="23"/>
        <v>4</v>
      </c>
      <c r="AQ82" s="225" t="str">
        <f t="shared" si="24"/>
        <v>ok</v>
      </c>
      <c r="AR82" s="225" t="str">
        <f t="shared" si="10"/>
        <v>10S4P</v>
      </c>
      <c r="AS82" s="225" t="str">
        <f t="shared" si="11"/>
        <v>N5LEDLowDrv_SDI26FM_</v>
      </c>
      <c r="AT82" s="225" t="str">
        <f t="shared" si="12"/>
        <v>SW1_</v>
      </c>
      <c r="AU82" s="225" t="str">
        <f t="shared" si="25"/>
        <v>Aslp_Wup_CC_DUVP_</v>
      </c>
      <c r="AV82" s="225" t="e">
        <f t="shared" si="17"/>
        <v>#VALUE!</v>
      </c>
      <c r="AW82" s="225" t="b">
        <f t="shared" si="18"/>
        <v>1</v>
      </c>
      <c r="AX82" s="225" t="str">
        <f t="shared" si="14"/>
        <v/>
      </c>
      <c r="AY82" s="225" t="str">
        <f t="shared" si="15"/>
        <v/>
      </c>
      <c r="AZ82" s="664" t="str">
        <f t="shared" si="26"/>
        <v>136R_</v>
      </c>
    </row>
    <row r="83" spans="1:52" s="225" customFormat="1" ht="21">
      <c r="A83" s="713" t="s">
        <v>1955</v>
      </c>
      <c r="B83" s="714" t="s">
        <v>1935</v>
      </c>
      <c r="C83" s="715"/>
      <c r="D83" s="713" t="s">
        <v>1086</v>
      </c>
      <c r="E83" s="280" t="str">
        <f t="shared" si="2"/>
        <v>13S5P</v>
      </c>
      <c r="F83" s="696" t="s">
        <v>939</v>
      </c>
      <c r="G83" s="719" t="s">
        <v>116</v>
      </c>
      <c r="H83" s="765" t="s">
        <v>1012</v>
      </c>
      <c r="I83" s="807"/>
      <c r="J83" s="713"/>
      <c r="K83" s="804" t="s">
        <v>116</v>
      </c>
      <c r="L83" s="713"/>
      <c r="M83" s="713"/>
      <c r="N83" s="805"/>
      <c r="O83" s="713"/>
      <c r="P83" s="713" t="s">
        <v>116</v>
      </c>
      <c r="Q83" s="807" t="s">
        <v>116</v>
      </c>
      <c r="R83" s="713"/>
      <c r="S83" s="713"/>
      <c r="T83" s="808"/>
      <c r="U83" s="713"/>
      <c r="V83" s="807" t="s">
        <v>116</v>
      </c>
      <c r="W83" s="713" t="s">
        <v>116</v>
      </c>
      <c r="X83" s="713"/>
      <c r="Y83" s="713"/>
      <c r="Z83" s="809">
        <v>136</v>
      </c>
      <c r="AA83" s="809"/>
      <c r="AB83" s="809"/>
      <c r="AC83" s="727" t="s">
        <v>1957</v>
      </c>
      <c r="AD83" s="284" t="str">
        <f t="shared" si="3"/>
        <v>Pan_BLY285_48130_DU_13S5PN3LED_SDI26FM_SW1_Aslp_Wup_CC_DUVP_136R_</v>
      </c>
      <c r="AJ83" s="225">
        <f t="shared" si="19"/>
        <v>3</v>
      </c>
      <c r="AK83" s="225">
        <f t="shared" si="20"/>
        <v>9</v>
      </c>
      <c r="AL83" s="225">
        <f t="shared" si="0"/>
        <v>48</v>
      </c>
      <c r="AM83" s="225">
        <f t="shared" si="1"/>
        <v>13</v>
      </c>
      <c r="AN83" s="225">
        <f t="shared" si="21"/>
        <v>26</v>
      </c>
      <c r="AO83" s="225">
        <f t="shared" si="22"/>
        <v>13</v>
      </c>
      <c r="AP83" s="225">
        <f t="shared" si="23"/>
        <v>5</v>
      </c>
      <c r="AQ83" s="225" t="str">
        <f t="shared" si="24"/>
        <v>ok</v>
      </c>
      <c r="AR83" s="225" t="str">
        <f t="shared" si="10"/>
        <v>13S5P</v>
      </c>
      <c r="AS83" s="225" t="str">
        <f t="shared" si="11"/>
        <v>N3LED_SDI26FM_</v>
      </c>
      <c r="AT83" s="225" t="str">
        <f t="shared" si="12"/>
        <v>SW1_</v>
      </c>
      <c r="AU83" s="225" t="str">
        <f t="shared" si="25"/>
        <v>Aslp_Wup_CC_DUVP_</v>
      </c>
      <c r="AV83" s="225" t="e">
        <f t="shared" si="17"/>
        <v>#VALUE!</v>
      </c>
      <c r="AW83" s="225" t="b">
        <f t="shared" si="18"/>
        <v>1</v>
      </c>
      <c r="AX83" s="225" t="str">
        <f t="shared" si="14"/>
        <v/>
      </c>
      <c r="AY83" s="225" t="str">
        <f t="shared" si="15"/>
        <v/>
      </c>
      <c r="AZ83" s="664" t="str">
        <f t="shared" si="26"/>
        <v>136R_</v>
      </c>
    </row>
    <row r="84" spans="1:52" s="225" customFormat="1" ht="42.75">
      <c r="A84" s="713" t="s">
        <v>1941</v>
      </c>
      <c r="B84" s="716" t="s">
        <v>1936</v>
      </c>
      <c r="C84" s="715"/>
      <c r="D84" s="713" t="s">
        <v>1100</v>
      </c>
      <c r="E84" s="280" t="str">
        <f t="shared" si="2"/>
        <v>13S4P</v>
      </c>
      <c r="F84" s="696" t="s">
        <v>939</v>
      </c>
      <c r="G84" s="719" t="s">
        <v>116</v>
      </c>
      <c r="H84" s="765" t="s">
        <v>1377</v>
      </c>
      <c r="I84" s="807"/>
      <c r="J84" s="713"/>
      <c r="K84" s="804" t="s">
        <v>685</v>
      </c>
      <c r="L84" s="713"/>
      <c r="M84" s="713"/>
      <c r="N84" s="805"/>
      <c r="O84" s="713"/>
      <c r="P84" s="713" t="s">
        <v>116</v>
      </c>
      <c r="Q84" s="807" t="s">
        <v>116</v>
      </c>
      <c r="R84" s="713"/>
      <c r="S84" s="713"/>
      <c r="T84" s="808"/>
      <c r="U84" s="713"/>
      <c r="V84" s="807" t="s">
        <v>116</v>
      </c>
      <c r="W84" s="713" t="s">
        <v>116</v>
      </c>
      <c r="X84" s="713"/>
      <c r="Y84" s="713"/>
      <c r="Z84" s="809">
        <v>136</v>
      </c>
      <c r="AA84" s="809"/>
      <c r="AB84" s="809"/>
      <c r="AC84" s="727" t="s">
        <v>1940</v>
      </c>
      <c r="AD84" s="284" t="str">
        <f t="shared" si="3"/>
        <v>Pan_BLY285_48100_D_13S4PN3LED_SDI26FM_SW1_Aslp_Wup_CC_DUVP_136R_</v>
      </c>
      <c r="AJ84" s="225">
        <f t="shared" si="19"/>
        <v>3</v>
      </c>
      <c r="AK84" s="225">
        <f t="shared" si="20"/>
        <v>9</v>
      </c>
      <c r="AL84" s="225">
        <f t="shared" si="0"/>
        <v>48</v>
      </c>
      <c r="AM84" s="225">
        <f t="shared" si="1"/>
        <v>10</v>
      </c>
      <c r="AN84" s="225">
        <f t="shared" si="21"/>
        <v>26</v>
      </c>
      <c r="AO84" s="225">
        <f t="shared" si="22"/>
        <v>13</v>
      </c>
      <c r="AP84" s="225">
        <f t="shared" si="23"/>
        <v>4</v>
      </c>
      <c r="AQ84" s="225" t="str">
        <f t="shared" si="24"/>
        <v>ok</v>
      </c>
      <c r="AR84" s="225" t="str">
        <f t="shared" si="10"/>
        <v>13S4P</v>
      </c>
      <c r="AS84" s="225" t="str">
        <f t="shared" si="11"/>
        <v>N3LED_SDI26FM_</v>
      </c>
      <c r="AT84" s="225" t="str">
        <f t="shared" si="12"/>
        <v>SW1_</v>
      </c>
      <c r="AU84" s="225" t="str">
        <f t="shared" si="25"/>
        <v>Aslp_Wup_CC_DUVP_</v>
      </c>
      <c r="AV84" s="225" t="e">
        <f t="shared" si="17"/>
        <v>#VALUE!</v>
      </c>
      <c r="AW84" s="225" t="b">
        <f t="shared" si="18"/>
        <v>1</v>
      </c>
      <c r="AX84" s="225" t="str">
        <f t="shared" si="14"/>
        <v/>
      </c>
      <c r="AY84" s="225" t="str">
        <f t="shared" si="15"/>
        <v/>
      </c>
      <c r="AZ84" s="664" t="str">
        <f t="shared" si="26"/>
        <v>136R_</v>
      </c>
    </row>
    <row r="85" spans="1:52" s="225" customFormat="1" ht="21">
      <c r="A85" s="713"/>
      <c r="B85" s="714" t="s">
        <v>1362</v>
      </c>
      <c r="C85" s="715"/>
      <c r="D85" s="713" t="s">
        <v>1248</v>
      </c>
      <c r="E85" s="280" t="str">
        <f t="shared" si="2"/>
        <v>10S6P</v>
      </c>
      <c r="F85" s="696" t="s">
        <v>939</v>
      </c>
      <c r="G85" s="719" t="s">
        <v>116</v>
      </c>
      <c r="H85" s="720">
        <v>5</v>
      </c>
      <c r="I85" s="806" t="s">
        <v>116</v>
      </c>
      <c r="J85" s="713"/>
      <c r="K85" s="806" t="s">
        <v>116</v>
      </c>
      <c r="L85" s="713"/>
      <c r="M85" s="713"/>
      <c r="N85" s="805"/>
      <c r="O85" s="713"/>
      <c r="P85" s="806" t="s">
        <v>116</v>
      </c>
      <c r="Q85" s="807" t="s">
        <v>116</v>
      </c>
      <c r="R85" s="713"/>
      <c r="S85" s="713"/>
      <c r="T85" s="808"/>
      <c r="U85" s="713"/>
      <c r="V85" s="807" t="s">
        <v>116</v>
      </c>
      <c r="W85" s="806" t="s">
        <v>116</v>
      </c>
      <c r="X85" s="713"/>
      <c r="Y85" s="713"/>
      <c r="Z85" s="809">
        <v>136</v>
      </c>
      <c r="AA85" s="809"/>
      <c r="AB85" s="809"/>
      <c r="AC85" s="727"/>
      <c r="AD85" s="284" t="str">
        <f t="shared" si="3"/>
        <v>_10S6P5LEDLowDrv_SDI26FM_SW1_Aslp_Wup_CC_DUVP_136R_</v>
      </c>
      <c r="AJ85" s="225">
        <f t="shared" si="19"/>
        <v>3</v>
      </c>
      <c r="AK85" s="225">
        <f t="shared" si="20"/>
        <v>9</v>
      </c>
      <c r="AL85" s="225">
        <f t="shared" si="0"/>
        <v>36</v>
      </c>
      <c r="AM85" s="225">
        <f t="shared" si="1"/>
        <v>15.6</v>
      </c>
      <c r="AN85" s="225">
        <f t="shared" si="21"/>
        <v>26</v>
      </c>
      <c r="AO85" s="225">
        <f t="shared" si="22"/>
        <v>10</v>
      </c>
      <c r="AP85" s="225">
        <f t="shared" si="23"/>
        <v>6</v>
      </c>
      <c r="AQ85" s="225" t="str">
        <f t="shared" si="24"/>
        <v>ok</v>
      </c>
      <c r="AR85" s="225" t="str">
        <f t="shared" si="10"/>
        <v>10S6P</v>
      </c>
      <c r="AS85" s="225" t="str">
        <f t="shared" si="11"/>
        <v>5LEDLowDrv_SDI26FM_</v>
      </c>
      <c r="AT85" s="225" t="str">
        <f t="shared" si="12"/>
        <v>SW1_</v>
      </c>
      <c r="AU85" s="225" t="str">
        <f t="shared" si="25"/>
        <v>Aslp_Wup_CC_DUVP_</v>
      </c>
      <c r="AV85" s="225" t="e">
        <f t="shared" si="17"/>
        <v>#VALUE!</v>
      </c>
      <c r="AW85" s="225" t="b">
        <f t="shared" si="18"/>
        <v>1</v>
      </c>
      <c r="AX85" s="225" t="str">
        <f t="shared" si="14"/>
        <v/>
      </c>
      <c r="AY85" s="225" t="str">
        <f t="shared" si="15"/>
        <v/>
      </c>
      <c r="AZ85" s="664" t="str">
        <f t="shared" si="26"/>
        <v>136R_</v>
      </c>
    </row>
    <row r="86" spans="1:52" s="225" customFormat="1" ht="21">
      <c r="A86" s="713" t="s">
        <v>1206</v>
      </c>
      <c r="B86" s="714" t="s">
        <v>1084</v>
      </c>
      <c r="C86" s="715"/>
      <c r="D86" s="713" t="s">
        <v>1086</v>
      </c>
      <c r="E86" s="280" t="str">
        <f t="shared" si="2"/>
        <v>13S5P</v>
      </c>
      <c r="F86" s="696" t="s">
        <v>939</v>
      </c>
      <c r="G86" s="719" t="s">
        <v>116</v>
      </c>
      <c r="H86" s="720">
        <v>3</v>
      </c>
      <c r="I86" s="807"/>
      <c r="J86" s="713"/>
      <c r="K86" s="806" t="s">
        <v>116</v>
      </c>
      <c r="L86" s="713"/>
      <c r="M86" s="713"/>
      <c r="N86" s="805"/>
      <c r="O86" s="713"/>
      <c r="P86" s="807" t="s">
        <v>116</v>
      </c>
      <c r="Q86" s="807" t="s">
        <v>116</v>
      </c>
      <c r="R86" s="713"/>
      <c r="S86" s="713"/>
      <c r="T86" s="808"/>
      <c r="U86" s="713"/>
      <c r="V86" s="807" t="s">
        <v>116</v>
      </c>
      <c r="W86" s="806" t="s">
        <v>116</v>
      </c>
      <c r="X86" s="713"/>
      <c r="Y86" s="713"/>
      <c r="Z86" s="809">
        <v>136</v>
      </c>
      <c r="AA86" s="809"/>
      <c r="AB86" s="809"/>
      <c r="AC86" s="727" t="s">
        <v>1942</v>
      </c>
      <c r="AD86" s="284" t="str">
        <f t="shared" si="3"/>
        <v>Pan_B320_48130_Y_13S5P3LED_SDI26FM_SW1_Aslp_Wup_CC_DUVP_136R_</v>
      </c>
      <c r="AJ86" s="225">
        <f t="shared" si="19"/>
        <v>3</v>
      </c>
      <c r="AK86" s="225">
        <f t="shared" si="20"/>
        <v>9</v>
      </c>
      <c r="AL86" s="225">
        <f t="shared" si="0"/>
        <v>48</v>
      </c>
      <c r="AM86" s="225">
        <f t="shared" si="1"/>
        <v>13</v>
      </c>
      <c r="AN86" s="225">
        <f t="shared" si="21"/>
        <v>26</v>
      </c>
      <c r="AO86" s="225">
        <f t="shared" si="22"/>
        <v>13</v>
      </c>
      <c r="AP86" s="225">
        <f t="shared" si="23"/>
        <v>5</v>
      </c>
      <c r="AQ86" s="225" t="str">
        <f t="shared" si="24"/>
        <v>ok</v>
      </c>
      <c r="AR86" s="225" t="str">
        <f t="shared" si="10"/>
        <v>13S5P</v>
      </c>
      <c r="AS86" s="225" t="str">
        <f t="shared" si="11"/>
        <v>3LED_SDI26FM_</v>
      </c>
      <c r="AT86" s="225" t="str">
        <f t="shared" si="12"/>
        <v>SW1_</v>
      </c>
      <c r="AU86" s="225" t="str">
        <f t="shared" si="25"/>
        <v>Aslp_Wup_CC_DUVP_</v>
      </c>
      <c r="AV86" s="225" t="e">
        <f t="shared" si="17"/>
        <v>#VALUE!</v>
      </c>
      <c r="AW86" s="225" t="b">
        <f t="shared" si="18"/>
        <v>1</v>
      </c>
      <c r="AX86" s="225" t="str">
        <f t="shared" si="14"/>
        <v/>
      </c>
      <c r="AY86" s="225" t="str">
        <f t="shared" si="15"/>
        <v/>
      </c>
      <c r="AZ86" s="664" t="str">
        <f t="shared" si="26"/>
        <v>136R_</v>
      </c>
    </row>
    <row r="87" spans="1:52" s="225" customFormat="1" ht="21">
      <c r="A87" s="713" t="s">
        <v>1943</v>
      </c>
      <c r="B87" s="714" t="s">
        <v>1948</v>
      </c>
      <c r="C87" s="715"/>
      <c r="D87" s="713" t="s">
        <v>1432</v>
      </c>
      <c r="E87" s="280" t="str">
        <f t="shared" si="2"/>
        <v>10S4P</v>
      </c>
      <c r="F87" s="797" t="s">
        <v>1431</v>
      </c>
      <c r="G87" s="719" t="s">
        <v>116</v>
      </c>
      <c r="H87" s="765" t="s">
        <v>1427</v>
      </c>
      <c r="I87" s="803" t="s">
        <v>116</v>
      </c>
      <c r="J87" s="713"/>
      <c r="K87" s="803" t="s">
        <v>116</v>
      </c>
      <c r="L87" s="713"/>
      <c r="M87" s="713"/>
      <c r="N87" s="805"/>
      <c r="O87" s="713"/>
      <c r="P87" s="806" t="s">
        <v>116</v>
      </c>
      <c r="Q87" s="807" t="s">
        <v>116</v>
      </c>
      <c r="R87" s="713"/>
      <c r="S87" s="713"/>
      <c r="T87" s="808"/>
      <c r="U87" s="713"/>
      <c r="V87" s="807" t="s">
        <v>116</v>
      </c>
      <c r="W87" s="806" t="s">
        <v>116</v>
      </c>
      <c r="X87" s="713"/>
      <c r="Y87" s="806"/>
      <c r="Z87" s="809">
        <v>136</v>
      </c>
      <c r="AA87" s="809"/>
      <c r="AB87" s="809"/>
      <c r="AC87" s="727" t="s">
        <v>1942</v>
      </c>
      <c r="AD87" s="284" t="str">
        <f t="shared" si="3"/>
        <v>Pan_BTG1645_36088_N_10S4PN4LEDLowDrv_SDI22FM_SW1_Aslp_Wup_CC_DUVP_136R_</v>
      </c>
      <c r="AJ87" s="225">
        <f t="shared" si="19"/>
        <v>3</v>
      </c>
      <c r="AK87" s="225">
        <f t="shared" si="20"/>
        <v>8</v>
      </c>
      <c r="AL87" s="225">
        <f t="shared" si="0"/>
        <v>36</v>
      </c>
      <c r="AM87" s="225">
        <f t="shared" si="1"/>
        <v>8.8000000000000007</v>
      </c>
      <c r="AN87" s="225">
        <f t="shared" si="21"/>
        <v>22</v>
      </c>
      <c r="AO87" s="225">
        <f t="shared" si="22"/>
        <v>10</v>
      </c>
      <c r="AP87" s="225">
        <f t="shared" si="23"/>
        <v>4</v>
      </c>
      <c r="AQ87" s="225" t="str">
        <f t="shared" si="24"/>
        <v>ok</v>
      </c>
      <c r="AR87" s="225" t="str">
        <f t="shared" si="10"/>
        <v>10S4P</v>
      </c>
      <c r="AS87" s="225" t="str">
        <f t="shared" si="11"/>
        <v>N4LEDLowDrv_SDI22FM_</v>
      </c>
      <c r="AT87" s="225" t="str">
        <f t="shared" si="12"/>
        <v>SW1_</v>
      </c>
      <c r="AU87" s="225" t="str">
        <f t="shared" si="25"/>
        <v>Aslp_Wup_CC_DUVP_</v>
      </c>
      <c r="AV87" s="225" t="e">
        <f t="shared" si="17"/>
        <v>#VALUE!</v>
      </c>
      <c r="AW87" s="225" t="b">
        <f t="shared" si="18"/>
        <v>1</v>
      </c>
      <c r="AX87" s="225" t="str">
        <f t="shared" si="14"/>
        <v/>
      </c>
      <c r="AY87" s="225" t="str">
        <f t="shared" si="15"/>
        <v/>
      </c>
      <c r="AZ87" s="664" t="str">
        <f t="shared" si="26"/>
        <v>136R_</v>
      </c>
    </row>
    <row r="88" spans="1:52" s="225" customFormat="1" ht="42">
      <c r="A88" s="717" t="s">
        <v>1950</v>
      </c>
      <c r="B88" s="714" t="s">
        <v>2028</v>
      </c>
      <c r="C88" s="715"/>
      <c r="D88" s="717" t="s">
        <v>1582</v>
      </c>
      <c r="E88" s="280" t="str">
        <f t="shared" si="2"/>
        <v>10S3P</v>
      </c>
      <c r="F88" s="696" t="s">
        <v>939</v>
      </c>
      <c r="G88" s="719" t="s">
        <v>116</v>
      </c>
      <c r="H88" s="765" t="s">
        <v>1427</v>
      </c>
      <c r="I88" s="803" t="s">
        <v>116</v>
      </c>
      <c r="J88" s="713"/>
      <c r="K88" s="803" t="s">
        <v>116</v>
      </c>
      <c r="L88" s="713"/>
      <c r="M88" s="713"/>
      <c r="N88" s="805"/>
      <c r="O88" s="713"/>
      <c r="P88" s="806" t="s">
        <v>116</v>
      </c>
      <c r="Q88" s="807" t="s">
        <v>116</v>
      </c>
      <c r="R88" s="713"/>
      <c r="S88" s="713"/>
      <c r="T88" s="808"/>
      <c r="U88" s="713"/>
      <c r="V88" s="807" t="s">
        <v>116</v>
      </c>
      <c r="W88" s="806" t="s">
        <v>116</v>
      </c>
      <c r="X88" s="713"/>
      <c r="Y88" s="806"/>
      <c r="Z88" s="809">
        <v>136</v>
      </c>
      <c r="AA88" s="809"/>
      <c r="AB88" s="809"/>
      <c r="AC88" s="768" t="s">
        <v>1951</v>
      </c>
      <c r="AD88" s="284" t="str">
        <f t="shared" si="3"/>
        <v>Pan_BTG1412_36078_D_10S3PN4LEDLowDrv_SDI26FM_SW1_Aslp_Wup_CC_DUVP_136R_</v>
      </c>
      <c r="AJ88" s="225">
        <f t="shared" si="19"/>
        <v>3</v>
      </c>
      <c r="AK88" s="225">
        <f t="shared" si="20"/>
        <v>8</v>
      </c>
      <c r="AL88" s="225">
        <f t="shared" si="0"/>
        <v>36</v>
      </c>
      <c r="AM88" s="225">
        <f t="shared" si="1"/>
        <v>7.8</v>
      </c>
      <c r="AN88" s="225">
        <f t="shared" si="21"/>
        <v>26</v>
      </c>
      <c r="AO88" s="225">
        <f t="shared" si="22"/>
        <v>10</v>
      </c>
      <c r="AP88" s="225">
        <f t="shared" si="23"/>
        <v>3</v>
      </c>
      <c r="AQ88" s="225" t="str">
        <f t="shared" si="24"/>
        <v>ok</v>
      </c>
      <c r="AR88" s="225" t="str">
        <f t="shared" si="10"/>
        <v>10S3P</v>
      </c>
      <c r="AS88" s="225" t="str">
        <f t="shared" si="11"/>
        <v>N4LEDLowDrv_SDI26FM_</v>
      </c>
      <c r="AT88" s="225" t="str">
        <f t="shared" si="12"/>
        <v>SW1_</v>
      </c>
      <c r="AU88" s="225" t="str">
        <f t="shared" si="25"/>
        <v>Aslp_Wup_CC_DUVP_</v>
      </c>
      <c r="AV88" s="225" t="e">
        <f t="shared" si="17"/>
        <v>#VALUE!</v>
      </c>
      <c r="AW88" s="225" t="b">
        <f t="shared" si="18"/>
        <v>1</v>
      </c>
      <c r="AX88" s="225" t="str">
        <f t="shared" si="14"/>
        <v/>
      </c>
      <c r="AY88" s="225" t="str">
        <f t="shared" si="15"/>
        <v/>
      </c>
      <c r="AZ88" s="664" t="str">
        <f t="shared" si="26"/>
        <v>136R_</v>
      </c>
    </row>
    <row r="89" spans="1:52" s="225" customFormat="1" ht="21">
      <c r="A89" s="713" t="s">
        <v>1945</v>
      </c>
      <c r="B89" s="714" t="s">
        <v>1946</v>
      </c>
      <c r="C89" s="715"/>
      <c r="D89" s="713" t="s">
        <v>959</v>
      </c>
      <c r="E89" s="280" t="str">
        <f t="shared" si="2"/>
        <v>10S5P</v>
      </c>
      <c r="F89" s="696" t="s">
        <v>939</v>
      </c>
      <c r="G89" s="719" t="s">
        <v>116</v>
      </c>
      <c r="H89" s="720"/>
      <c r="I89" s="807"/>
      <c r="J89" s="713"/>
      <c r="K89" s="713"/>
      <c r="L89" s="713"/>
      <c r="M89" s="713"/>
      <c r="N89" s="805"/>
      <c r="O89" s="713"/>
      <c r="P89" s="810"/>
      <c r="Q89" s="810"/>
      <c r="R89" s="713"/>
      <c r="S89" s="713"/>
      <c r="T89" s="808"/>
      <c r="U89" s="713"/>
      <c r="V89" s="713"/>
      <c r="W89" s="713"/>
      <c r="X89" s="713"/>
      <c r="Y89" s="713"/>
      <c r="Z89" s="809">
        <v>136</v>
      </c>
      <c r="AA89" s="809"/>
      <c r="AB89" s="809"/>
      <c r="AC89" s="727"/>
      <c r="AD89" s="284" t="str">
        <f t="shared" si="3"/>
        <v>Pan_LN1_36130_DU_10S5P136R_</v>
      </c>
      <c r="AJ89" s="225">
        <f t="shared" si="19"/>
        <v>3</v>
      </c>
      <c r="AK89" s="225">
        <f t="shared" si="20"/>
        <v>9</v>
      </c>
      <c r="AL89" s="225">
        <f t="shared" si="0"/>
        <v>36</v>
      </c>
      <c r="AM89" s="225">
        <f t="shared" si="1"/>
        <v>13</v>
      </c>
      <c r="AN89" s="225">
        <f t="shared" si="21"/>
        <v>26</v>
      </c>
      <c r="AO89" s="225">
        <f t="shared" si="22"/>
        <v>10</v>
      </c>
      <c r="AP89" s="225">
        <f t="shared" si="23"/>
        <v>5</v>
      </c>
      <c r="AQ89" s="225" t="str">
        <f t="shared" si="24"/>
        <v>ok</v>
      </c>
      <c r="AR89" s="225" t="str">
        <f t="shared" si="10"/>
        <v>10S5P</v>
      </c>
      <c r="AS89" s="225" t="str">
        <f t="shared" si="11"/>
        <v/>
      </c>
      <c r="AT89" s="225" t="str">
        <f t="shared" si="12"/>
        <v/>
      </c>
      <c r="AU89" s="225" t="str">
        <f t="shared" si="25"/>
        <v/>
      </c>
      <c r="AV89" s="225" t="e">
        <f t="shared" si="17"/>
        <v>#VALUE!</v>
      </c>
      <c r="AW89" s="225" t="b">
        <f t="shared" si="18"/>
        <v>1</v>
      </c>
      <c r="AX89" s="225" t="str">
        <f t="shared" si="14"/>
        <v/>
      </c>
      <c r="AY89" s="225" t="str">
        <f t="shared" si="15"/>
        <v/>
      </c>
      <c r="AZ89" s="664" t="str">
        <f t="shared" si="26"/>
        <v>136R_</v>
      </c>
    </row>
    <row r="90" spans="1:52" s="225" customFormat="1" ht="42">
      <c r="A90" s="713" t="s">
        <v>1952</v>
      </c>
      <c r="B90" s="714" t="s">
        <v>1963</v>
      </c>
      <c r="C90" s="715"/>
      <c r="D90" s="713" t="s">
        <v>1344</v>
      </c>
      <c r="E90" s="280" t="str">
        <f t="shared" si="2"/>
        <v>10S4P</v>
      </c>
      <c r="F90" s="696" t="s">
        <v>939</v>
      </c>
      <c r="G90" s="719" t="s">
        <v>116</v>
      </c>
      <c r="H90" s="765" t="s">
        <v>1904</v>
      </c>
      <c r="I90" s="803" t="s">
        <v>116</v>
      </c>
      <c r="J90" s="804"/>
      <c r="K90" s="803" t="s">
        <v>116</v>
      </c>
      <c r="L90" s="713"/>
      <c r="M90" s="713"/>
      <c r="N90" s="805"/>
      <c r="O90" s="713"/>
      <c r="P90" s="806" t="s">
        <v>116</v>
      </c>
      <c r="Q90" s="807" t="s">
        <v>116</v>
      </c>
      <c r="R90" s="713"/>
      <c r="S90" s="713"/>
      <c r="T90" s="808"/>
      <c r="U90" s="713"/>
      <c r="V90" s="807" t="s">
        <v>116</v>
      </c>
      <c r="W90" s="806" t="s">
        <v>116</v>
      </c>
      <c r="X90" s="713"/>
      <c r="Y90" s="713"/>
      <c r="Z90" s="809">
        <v>136</v>
      </c>
      <c r="AA90" s="809"/>
      <c r="AB90" s="809"/>
      <c r="AC90" s="727" t="s">
        <v>1957</v>
      </c>
      <c r="AD90" s="284" t="str">
        <f t="shared" si="3"/>
        <v>Pan_BHY2_36104_D_10S4PN5LEDLowDrv_SDI26FM_SW1_Aslp_Wup_CC_DUVP_136R_</v>
      </c>
      <c r="AJ90" s="225">
        <f t="shared" si="19"/>
        <v>3</v>
      </c>
      <c r="AK90" s="225">
        <f t="shared" si="20"/>
        <v>9</v>
      </c>
      <c r="AL90" s="225">
        <f t="shared" si="0"/>
        <v>36</v>
      </c>
      <c r="AM90" s="225">
        <f t="shared" si="1"/>
        <v>10.4</v>
      </c>
      <c r="AN90" s="225">
        <f t="shared" si="21"/>
        <v>26</v>
      </c>
      <c r="AO90" s="225">
        <f t="shared" si="22"/>
        <v>10</v>
      </c>
      <c r="AP90" s="225">
        <f t="shared" si="23"/>
        <v>4</v>
      </c>
      <c r="AQ90" s="225" t="str">
        <f t="shared" si="24"/>
        <v>ok</v>
      </c>
      <c r="AR90" s="225" t="str">
        <f t="shared" si="10"/>
        <v>10S4P</v>
      </c>
      <c r="AS90" s="225" t="str">
        <f t="shared" si="11"/>
        <v>N5LEDLowDrv_SDI26FM_</v>
      </c>
      <c r="AT90" s="225" t="str">
        <f t="shared" si="12"/>
        <v>SW1_</v>
      </c>
      <c r="AU90" s="225" t="str">
        <f t="shared" si="25"/>
        <v>Aslp_Wup_CC_DUVP_</v>
      </c>
      <c r="AV90" s="225" t="e">
        <f t="shared" si="17"/>
        <v>#VALUE!</v>
      </c>
      <c r="AW90" s="225" t="b">
        <f t="shared" si="18"/>
        <v>1</v>
      </c>
      <c r="AX90" s="225" t="str">
        <f t="shared" si="14"/>
        <v/>
      </c>
      <c r="AY90" s="225" t="str">
        <f t="shared" si="15"/>
        <v/>
      </c>
      <c r="AZ90" s="664" t="str">
        <f t="shared" si="26"/>
        <v>136R_</v>
      </c>
    </row>
    <row r="91" spans="1:52" s="225" customFormat="1" ht="21">
      <c r="A91" s="804" t="s">
        <v>2025</v>
      </c>
      <c r="B91" s="714" t="s">
        <v>1962</v>
      </c>
      <c r="C91" s="715"/>
      <c r="D91" s="717" t="s">
        <v>1582</v>
      </c>
      <c r="E91" s="280" t="str">
        <f t="shared" si="2"/>
        <v>10S3P</v>
      </c>
      <c r="F91" s="696" t="s">
        <v>939</v>
      </c>
      <c r="G91" s="719" t="s">
        <v>116</v>
      </c>
      <c r="H91" s="765" t="s">
        <v>1427</v>
      </c>
      <c r="I91" s="803" t="s">
        <v>116</v>
      </c>
      <c r="J91" s="713"/>
      <c r="K91" s="803" t="s">
        <v>116</v>
      </c>
      <c r="L91" s="713"/>
      <c r="M91" s="713"/>
      <c r="N91" s="805"/>
      <c r="O91" s="713"/>
      <c r="P91" s="806" t="s">
        <v>116</v>
      </c>
      <c r="Q91" s="807" t="s">
        <v>116</v>
      </c>
      <c r="R91" s="713"/>
      <c r="S91" s="713"/>
      <c r="T91" s="808"/>
      <c r="U91" s="713"/>
      <c r="V91" s="807" t="s">
        <v>116</v>
      </c>
      <c r="W91" s="806" t="s">
        <v>116</v>
      </c>
      <c r="X91" s="713"/>
      <c r="Y91" s="806"/>
      <c r="Z91" s="809">
        <v>136</v>
      </c>
      <c r="AA91" s="809"/>
      <c r="AB91" s="809"/>
      <c r="AC91" s="727" t="s">
        <v>2027</v>
      </c>
      <c r="AD91" s="284" t="str">
        <f t="shared" si="3"/>
        <v>Pan_LT1_36078_D_10S3PN4LEDLowDrv_SDI26FM_SW1_Aslp_Wup_CC_DUVP_136R_</v>
      </c>
      <c r="AJ91" s="225">
        <f t="shared" si="19"/>
        <v>3</v>
      </c>
      <c r="AK91" s="225">
        <f t="shared" si="20"/>
        <v>8</v>
      </c>
      <c r="AL91" s="225">
        <f t="shared" si="0"/>
        <v>36</v>
      </c>
      <c r="AM91" s="225">
        <f t="shared" si="1"/>
        <v>7.8</v>
      </c>
      <c r="AN91" s="225">
        <f t="shared" si="21"/>
        <v>26</v>
      </c>
      <c r="AO91" s="225">
        <f t="shared" si="22"/>
        <v>10</v>
      </c>
      <c r="AP91" s="225">
        <f t="shared" si="23"/>
        <v>3</v>
      </c>
      <c r="AQ91" s="225" t="str">
        <f t="shared" si="24"/>
        <v>ok</v>
      </c>
      <c r="AR91" s="225" t="str">
        <f t="shared" si="10"/>
        <v>10S3P</v>
      </c>
      <c r="AS91" s="225" t="str">
        <f t="shared" si="11"/>
        <v>N4LEDLowDrv_SDI26FM_</v>
      </c>
      <c r="AT91" s="225" t="str">
        <f t="shared" si="12"/>
        <v>SW1_</v>
      </c>
      <c r="AU91" s="225" t="str">
        <f t="shared" si="25"/>
        <v>Aslp_Wup_CC_DUVP_</v>
      </c>
      <c r="AV91" s="225" t="e">
        <f t="shared" si="17"/>
        <v>#VALUE!</v>
      </c>
      <c r="AW91" s="225" t="b">
        <f t="shared" si="18"/>
        <v>1</v>
      </c>
      <c r="AX91" s="225" t="str">
        <f t="shared" si="14"/>
        <v/>
      </c>
      <c r="AY91" s="225" t="str">
        <f t="shared" si="15"/>
        <v/>
      </c>
      <c r="AZ91" s="664" t="str">
        <f t="shared" si="26"/>
        <v>136R_</v>
      </c>
    </row>
    <row r="92" spans="1:52" s="225" customFormat="1" ht="21">
      <c r="A92" s="713" t="s">
        <v>1958</v>
      </c>
      <c r="B92" s="714" t="s">
        <v>1974</v>
      </c>
      <c r="C92" s="715"/>
      <c r="D92" s="713" t="s">
        <v>1101</v>
      </c>
      <c r="E92" s="280" t="str">
        <f t="shared" si="2"/>
        <v>13S5P</v>
      </c>
      <c r="F92" s="696" t="s">
        <v>939</v>
      </c>
      <c r="G92" s="719" t="s">
        <v>116</v>
      </c>
      <c r="H92" s="720">
        <v>3</v>
      </c>
      <c r="I92" s="807"/>
      <c r="J92" s="713"/>
      <c r="K92" s="806" t="s">
        <v>116</v>
      </c>
      <c r="L92" s="713"/>
      <c r="M92" s="713"/>
      <c r="N92" s="805"/>
      <c r="O92" s="713"/>
      <c r="P92" s="807" t="s">
        <v>116</v>
      </c>
      <c r="Q92" s="807" t="s">
        <v>116</v>
      </c>
      <c r="R92" s="713"/>
      <c r="S92" s="713"/>
      <c r="T92" s="808"/>
      <c r="U92" s="713"/>
      <c r="V92" s="807" t="s">
        <v>116</v>
      </c>
      <c r="W92" s="806" t="s">
        <v>116</v>
      </c>
      <c r="X92" s="713"/>
      <c r="Y92" s="713"/>
      <c r="Z92" s="809">
        <v>136</v>
      </c>
      <c r="AA92" s="809"/>
      <c r="AB92" s="809"/>
      <c r="AC92" s="727" t="s">
        <v>1960</v>
      </c>
      <c r="AD92" s="284" t="str">
        <f t="shared" si="3"/>
        <v>Pan_B285_48130_DU_13S5P3LED_SDI26FM_SW1_Aslp_Wup_CC_DUVP_136R_</v>
      </c>
      <c r="AJ92" s="225">
        <f t="shared" si="19"/>
        <v>3</v>
      </c>
      <c r="AK92" s="225">
        <f t="shared" si="20"/>
        <v>9</v>
      </c>
      <c r="AL92" s="225">
        <f t="shared" si="0"/>
        <v>48</v>
      </c>
      <c r="AM92" s="225">
        <f t="shared" si="1"/>
        <v>13</v>
      </c>
      <c r="AN92" s="225">
        <f t="shared" si="21"/>
        <v>26</v>
      </c>
      <c r="AO92" s="225">
        <f t="shared" si="22"/>
        <v>13</v>
      </c>
      <c r="AP92" s="225">
        <f t="shared" si="23"/>
        <v>5</v>
      </c>
      <c r="AQ92" s="225" t="str">
        <f t="shared" si="24"/>
        <v>ok</v>
      </c>
      <c r="AR92" s="225" t="str">
        <f t="shared" si="10"/>
        <v>13S5P</v>
      </c>
      <c r="AS92" s="225" t="str">
        <f t="shared" si="11"/>
        <v>3LED_SDI26FM_</v>
      </c>
      <c r="AT92" s="225" t="str">
        <f t="shared" si="12"/>
        <v>SW1_</v>
      </c>
      <c r="AU92" s="225" t="str">
        <f t="shared" si="25"/>
        <v>Aslp_Wup_CC_DUVP_</v>
      </c>
      <c r="AV92" s="225" t="e">
        <f t="shared" si="17"/>
        <v>#VALUE!</v>
      </c>
      <c r="AW92" s="225" t="b">
        <f t="shared" si="18"/>
        <v>1</v>
      </c>
      <c r="AX92" s="225" t="str">
        <f t="shared" si="14"/>
        <v/>
      </c>
      <c r="AY92" s="225" t="str">
        <f t="shared" si="15"/>
        <v/>
      </c>
      <c r="AZ92" s="664" t="str">
        <f t="shared" si="26"/>
        <v>136R_</v>
      </c>
    </row>
    <row r="93" spans="1:52" s="225" customFormat="1" ht="21">
      <c r="A93" s="804" t="s">
        <v>2026</v>
      </c>
      <c r="B93" s="714" t="s">
        <v>1961</v>
      </c>
      <c r="C93" s="715"/>
      <c r="D93" s="717" t="s">
        <v>1582</v>
      </c>
      <c r="E93" s="280" t="str">
        <f t="shared" si="2"/>
        <v>10S3P</v>
      </c>
      <c r="F93" s="696" t="s">
        <v>939</v>
      </c>
      <c r="G93" s="719" t="s">
        <v>116</v>
      </c>
      <c r="H93" s="765" t="s">
        <v>1427</v>
      </c>
      <c r="I93" s="803" t="s">
        <v>116</v>
      </c>
      <c r="J93" s="713"/>
      <c r="K93" s="803" t="s">
        <v>116</v>
      </c>
      <c r="L93" s="713"/>
      <c r="M93" s="713"/>
      <c r="N93" s="805"/>
      <c r="O93" s="713"/>
      <c r="P93" s="806" t="s">
        <v>116</v>
      </c>
      <c r="Q93" s="807" t="s">
        <v>116</v>
      </c>
      <c r="R93" s="713"/>
      <c r="S93" s="713"/>
      <c r="T93" s="808"/>
      <c r="U93" s="713"/>
      <c r="V93" s="807" t="s">
        <v>116</v>
      </c>
      <c r="W93" s="806" t="s">
        <v>116</v>
      </c>
      <c r="X93" s="713"/>
      <c r="Y93" s="806"/>
      <c r="Z93" s="809">
        <v>136</v>
      </c>
      <c r="AA93" s="809"/>
      <c r="AB93" s="809"/>
      <c r="AC93" s="727" t="s">
        <v>2027</v>
      </c>
      <c r="AD93" s="284" t="str">
        <f t="shared" si="3"/>
        <v>Pan_LT2_36078_X_10S3PN4LEDLowDrv_SDI26FM_SW1_Aslp_Wup_CC_DUVP_136R_</v>
      </c>
      <c r="AJ93" s="225">
        <f t="shared" si="19"/>
        <v>3</v>
      </c>
      <c r="AK93" s="225">
        <f t="shared" si="20"/>
        <v>8</v>
      </c>
      <c r="AL93" s="225">
        <f t="shared" si="0"/>
        <v>36</v>
      </c>
      <c r="AM93" s="225">
        <f t="shared" si="1"/>
        <v>7.8</v>
      </c>
      <c r="AN93" s="225">
        <f t="shared" si="21"/>
        <v>26</v>
      </c>
      <c r="AO93" s="225">
        <f t="shared" si="22"/>
        <v>10</v>
      </c>
      <c r="AP93" s="225">
        <f t="shared" si="23"/>
        <v>3</v>
      </c>
      <c r="AQ93" s="225" t="str">
        <f t="shared" si="24"/>
        <v>ok</v>
      </c>
      <c r="AR93" s="225" t="str">
        <f t="shared" si="10"/>
        <v>10S3P</v>
      </c>
      <c r="AS93" s="225" t="str">
        <f t="shared" si="11"/>
        <v>N4LEDLowDrv_SDI26FM_</v>
      </c>
      <c r="AT93" s="225" t="str">
        <f t="shared" si="12"/>
        <v>SW1_</v>
      </c>
      <c r="AU93" s="225" t="str">
        <f t="shared" si="25"/>
        <v>Aslp_Wup_CC_DUVP_</v>
      </c>
      <c r="AV93" s="225" t="e">
        <f t="shared" si="17"/>
        <v>#VALUE!</v>
      </c>
      <c r="AW93" s="225" t="b">
        <f t="shared" si="18"/>
        <v>1</v>
      </c>
      <c r="AX93" s="225" t="str">
        <f t="shared" si="14"/>
        <v/>
      </c>
      <c r="AY93" s="225" t="str">
        <f t="shared" si="15"/>
        <v/>
      </c>
      <c r="AZ93" s="664" t="str">
        <f t="shared" si="26"/>
        <v>136R_</v>
      </c>
    </row>
    <row r="94" spans="1:52" s="225" customFormat="1" ht="21">
      <c r="A94" s="713" t="s">
        <v>1964</v>
      </c>
      <c r="B94" s="714" t="s">
        <v>1965</v>
      </c>
      <c r="C94" s="715"/>
      <c r="D94" s="713" t="s">
        <v>1967</v>
      </c>
      <c r="E94" s="280" t="str">
        <f t="shared" si="2"/>
        <v>13S3P</v>
      </c>
      <c r="F94" s="802" t="s">
        <v>1903</v>
      </c>
      <c r="G94" s="719" t="s">
        <v>116</v>
      </c>
      <c r="H94" s="720">
        <v>4</v>
      </c>
      <c r="I94" s="806" t="s">
        <v>116</v>
      </c>
      <c r="J94" s="713"/>
      <c r="K94" s="806" t="s">
        <v>116</v>
      </c>
      <c r="L94" s="713"/>
      <c r="M94" s="713"/>
      <c r="N94" s="805"/>
      <c r="O94" s="713"/>
      <c r="P94" s="806" t="s">
        <v>116</v>
      </c>
      <c r="Q94" s="807" t="s">
        <v>116</v>
      </c>
      <c r="R94" s="713"/>
      <c r="S94" s="713"/>
      <c r="T94" s="808"/>
      <c r="U94" s="713"/>
      <c r="V94" s="807" t="s">
        <v>116</v>
      </c>
      <c r="W94" s="806" t="s">
        <v>116</v>
      </c>
      <c r="X94" s="713"/>
      <c r="Y94" s="806"/>
      <c r="Z94" s="809">
        <v>136</v>
      </c>
      <c r="AA94" s="809"/>
      <c r="AB94" s="809"/>
      <c r="AC94" s="727" t="s">
        <v>2054</v>
      </c>
      <c r="AD94" s="284" t="str">
        <f t="shared" si="3"/>
        <v>Pan_RN1_48087_NU_13S3P4LEDLowDrv_SDI29E_SW1_Aslp_Wup_CC_DUVP_136R_</v>
      </c>
      <c r="AJ94" s="225">
        <f t="shared" si="19"/>
        <v>3</v>
      </c>
      <c r="AK94" s="225">
        <f t="shared" si="20"/>
        <v>8</v>
      </c>
      <c r="AL94" s="225">
        <f t="shared" si="0"/>
        <v>48</v>
      </c>
      <c r="AM94" s="225">
        <f t="shared" si="1"/>
        <v>8.6999999999999993</v>
      </c>
      <c r="AN94" s="225">
        <f t="shared" si="21"/>
        <v>29</v>
      </c>
      <c r="AO94" s="225">
        <f t="shared" si="22"/>
        <v>13</v>
      </c>
      <c r="AP94" s="225">
        <f t="shared" si="23"/>
        <v>3</v>
      </c>
      <c r="AQ94" s="225" t="str">
        <f t="shared" si="24"/>
        <v>ok</v>
      </c>
      <c r="AR94" s="225" t="str">
        <f t="shared" si="10"/>
        <v>13S3P</v>
      </c>
      <c r="AS94" s="225" t="str">
        <f t="shared" si="11"/>
        <v>4LEDLowDrv_SDI29E_</v>
      </c>
      <c r="AT94" s="225" t="str">
        <f t="shared" si="12"/>
        <v>SW1_</v>
      </c>
      <c r="AU94" s="225" t="str">
        <f t="shared" si="25"/>
        <v>Aslp_Wup_CC_DUVP_</v>
      </c>
      <c r="AV94" s="225" t="e">
        <f t="shared" si="17"/>
        <v>#VALUE!</v>
      </c>
      <c r="AW94" s="225" t="b">
        <f t="shared" si="18"/>
        <v>1</v>
      </c>
      <c r="AX94" s="225" t="str">
        <f t="shared" si="14"/>
        <v/>
      </c>
      <c r="AY94" s="225" t="str">
        <f t="shared" si="15"/>
        <v/>
      </c>
      <c r="AZ94" s="664" t="str">
        <f t="shared" si="26"/>
        <v>136R_</v>
      </c>
    </row>
    <row r="95" spans="1:52" s="225" customFormat="1" ht="21">
      <c r="A95" s="713" t="s">
        <v>1966</v>
      </c>
      <c r="B95" s="714" t="s">
        <v>1965</v>
      </c>
      <c r="C95" s="715"/>
      <c r="D95" s="713" t="s">
        <v>1902</v>
      </c>
      <c r="E95" s="280" t="str">
        <f t="shared" si="2"/>
        <v>10S4P</v>
      </c>
      <c r="F95" s="802" t="s">
        <v>1903</v>
      </c>
      <c r="G95" s="719" t="s">
        <v>116</v>
      </c>
      <c r="H95" s="765" t="s">
        <v>1427</v>
      </c>
      <c r="I95" s="803" t="s">
        <v>116</v>
      </c>
      <c r="J95" s="713"/>
      <c r="K95" s="803" t="s">
        <v>116</v>
      </c>
      <c r="L95" s="713"/>
      <c r="M95" s="713"/>
      <c r="N95" s="805"/>
      <c r="O95" s="713"/>
      <c r="P95" s="806" t="s">
        <v>116</v>
      </c>
      <c r="Q95" s="807" t="s">
        <v>116</v>
      </c>
      <c r="R95" s="713"/>
      <c r="S95" s="713"/>
      <c r="T95" s="808"/>
      <c r="U95" s="713"/>
      <c r="V95" s="807" t="s">
        <v>116</v>
      </c>
      <c r="W95" s="806" t="s">
        <v>116</v>
      </c>
      <c r="X95" s="713"/>
      <c r="Y95" s="806"/>
      <c r="Z95" s="809">
        <v>136</v>
      </c>
      <c r="AA95" s="809"/>
      <c r="AB95" s="809"/>
      <c r="AC95" s="727" t="s">
        <v>1969</v>
      </c>
      <c r="AD95" s="284" t="str">
        <f t="shared" si="3"/>
        <v>Pan_RN1_36116_DU_10S4PN4LEDLowDrv_SDI29E_SW1_Aslp_Wup_CC_DUVP_136R_</v>
      </c>
      <c r="AJ95" s="225">
        <f t="shared" si="19"/>
        <v>3</v>
      </c>
      <c r="AK95" s="225">
        <f t="shared" si="20"/>
        <v>9</v>
      </c>
      <c r="AL95" s="225">
        <f t="shared" si="0"/>
        <v>36</v>
      </c>
      <c r="AM95" s="225">
        <f t="shared" si="1"/>
        <v>11.6</v>
      </c>
      <c r="AN95" s="225">
        <f t="shared" si="21"/>
        <v>29</v>
      </c>
      <c r="AO95" s="225">
        <f t="shared" si="22"/>
        <v>10</v>
      </c>
      <c r="AP95" s="225">
        <f t="shared" si="23"/>
        <v>4</v>
      </c>
      <c r="AQ95" s="225" t="str">
        <f t="shared" si="24"/>
        <v>ok</v>
      </c>
      <c r="AR95" s="225" t="str">
        <f t="shared" si="10"/>
        <v>10S4P</v>
      </c>
      <c r="AS95" s="225" t="str">
        <f t="shared" si="11"/>
        <v>N4LEDLowDrv_SDI29E_</v>
      </c>
      <c r="AT95" s="225" t="str">
        <f t="shared" si="12"/>
        <v>SW1_</v>
      </c>
      <c r="AU95" s="225" t="str">
        <f t="shared" si="25"/>
        <v>Aslp_Wup_CC_DUVP_</v>
      </c>
      <c r="AV95" s="225" t="e">
        <f t="shared" si="17"/>
        <v>#VALUE!</v>
      </c>
      <c r="AW95" s="225" t="b">
        <f t="shared" si="18"/>
        <v>1</v>
      </c>
      <c r="AX95" s="225" t="str">
        <f t="shared" si="14"/>
        <v/>
      </c>
      <c r="AY95" s="225" t="str">
        <f t="shared" si="15"/>
        <v/>
      </c>
      <c r="AZ95" s="664" t="str">
        <f t="shared" si="26"/>
        <v>136R_</v>
      </c>
    </row>
    <row r="96" spans="1:52" s="225" customFormat="1" ht="21">
      <c r="A96" s="713" t="s">
        <v>1970</v>
      </c>
      <c r="B96" s="714" t="s">
        <v>1971</v>
      </c>
      <c r="C96" s="715"/>
      <c r="D96" s="713" t="s">
        <v>1973</v>
      </c>
      <c r="E96" s="280" t="str">
        <f t="shared" si="2"/>
        <v>10S3P</v>
      </c>
      <c r="F96" s="802" t="s">
        <v>1903</v>
      </c>
      <c r="G96" s="719" t="s">
        <v>116</v>
      </c>
      <c r="H96" s="765" t="s">
        <v>1427</v>
      </c>
      <c r="I96" s="803" t="s">
        <v>116</v>
      </c>
      <c r="J96" s="713"/>
      <c r="K96" s="803" t="s">
        <v>116</v>
      </c>
      <c r="L96" s="713"/>
      <c r="M96" s="713"/>
      <c r="N96" s="805"/>
      <c r="O96" s="713"/>
      <c r="P96" s="806" t="s">
        <v>116</v>
      </c>
      <c r="Q96" s="807" t="s">
        <v>116</v>
      </c>
      <c r="R96" s="713"/>
      <c r="S96" s="713"/>
      <c r="T96" s="808"/>
      <c r="U96" s="713"/>
      <c r="V96" s="807" t="s">
        <v>116</v>
      </c>
      <c r="W96" s="806" t="s">
        <v>116</v>
      </c>
      <c r="X96" s="713"/>
      <c r="Y96" s="806"/>
      <c r="Z96" s="809">
        <v>136</v>
      </c>
      <c r="AA96" s="809"/>
      <c r="AB96" s="809"/>
      <c r="AC96" s="727" t="s">
        <v>1969</v>
      </c>
      <c r="AD96" s="284" t="str">
        <f t="shared" si="3"/>
        <v>Pan_SL1_36087_D_10S3PN4LEDLowDrv_SDI29E_SW1_Aslp_Wup_CC_DUVP_136R_</v>
      </c>
      <c r="AJ96" s="225">
        <f t="shared" si="19"/>
        <v>3</v>
      </c>
      <c r="AK96" s="225">
        <f t="shared" si="20"/>
        <v>8</v>
      </c>
      <c r="AL96" s="225">
        <f t="shared" si="0"/>
        <v>36</v>
      </c>
      <c r="AM96" s="225">
        <f t="shared" si="1"/>
        <v>8.6999999999999993</v>
      </c>
      <c r="AN96" s="225">
        <f t="shared" si="21"/>
        <v>29</v>
      </c>
      <c r="AO96" s="225">
        <f t="shared" si="22"/>
        <v>10</v>
      </c>
      <c r="AP96" s="225">
        <f t="shared" si="23"/>
        <v>3</v>
      </c>
      <c r="AQ96" s="225" t="str">
        <f t="shared" si="24"/>
        <v>ok</v>
      </c>
      <c r="AR96" s="225" t="str">
        <f t="shared" si="10"/>
        <v>10S3P</v>
      </c>
      <c r="AS96" s="225" t="str">
        <f t="shared" si="11"/>
        <v>N4LEDLowDrv_SDI29E_</v>
      </c>
      <c r="AT96" s="225" t="str">
        <f t="shared" si="12"/>
        <v>SW1_</v>
      </c>
      <c r="AU96" s="225" t="str">
        <f t="shared" si="25"/>
        <v>Aslp_Wup_CC_DUVP_</v>
      </c>
      <c r="AV96" s="225" t="e">
        <f t="shared" si="17"/>
        <v>#VALUE!</v>
      </c>
      <c r="AW96" s="225" t="b">
        <f t="shared" si="18"/>
        <v>1</v>
      </c>
      <c r="AX96" s="225" t="str">
        <f t="shared" si="14"/>
        <v/>
      </c>
      <c r="AY96" s="225" t="str">
        <f t="shared" si="15"/>
        <v/>
      </c>
      <c r="AZ96" s="664" t="str">
        <f t="shared" si="26"/>
        <v>136R_</v>
      </c>
    </row>
    <row r="97" spans="1:52" s="225" customFormat="1" ht="21">
      <c r="A97" s="713" t="s">
        <v>1972</v>
      </c>
      <c r="B97" s="714" t="s">
        <v>1971</v>
      </c>
      <c r="C97" s="715"/>
      <c r="D97" s="713" t="s">
        <v>1902</v>
      </c>
      <c r="E97" s="280" t="str">
        <f t="shared" si="2"/>
        <v>10S4P</v>
      </c>
      <c r="F97" s="802" t="s">
        <v>1903</v>
      </c>
      <c r="G97" s="719" t="s">
        <v>116</v>
      </c>
      <c r="H97" s="765" t="s">
        <v>1427</v>
      </c>
      <c r="I97" s="803" t="s">
        <v>116</v>
      </c>
      <c r="J97" s="713"/>
      <c r="K97" s="803" t="s">
        <v>116</v>
      </c>
      <c r="L97" s="713"/>
      <c r="M97" s="713"/>
      <c r="N97" s="805"/>
      <c r="O97" s="713"/>
      <c r="P97" s="806" t="s">
        <v>116</v>
      </c>
      <c r="Q97" s="807" t="s">
        <v>116</v>
      </c>
      <c r="R97" s="713"/>
      <c r="S97" s="713"/>
      <c r="T97" s="808"/>
      <c r="U97" s="713"/>
      <c r="V97" s="807" t="s">
        <v>116</v>
      </c>
      <c r="W97" s="806" t="s">
        <v>116</v>
      </c>
      <c r="X97" s="713"/>
      <c r="Y97" s="806"/>
      <c r="Z97" s="809">
        <v>136</v>
      </c>
      <c r="AA97" s="809"/>
      <c r="AB97" s="809"/>
      <c r="AC97" s="727" t="s">
        <v>1969</v>
      </c>
      <c r="AD97" s="284" t="str">
        <f t="shared" si="3"/>
        <v>Pan_SL1_36116_D_10S4PN4LEDLowDrv_SDI29E_SW1_Aslp_Wup_CC_DUVP_136R_</v>
      </c>
      <c r="AJ97" s="225">
        <f t="shared" si="19"/>
        <v>3</v>
      </c>
      <c r="AK97" s="225">
        <f t="shared" si="20"/>
        <v>9</v>
      </c>
      <c r="AL97" s="225">
        <f t="shared" si="0"/>
        <v>36</v>
      </c>
      <c r="AM97" s="225">
        <f t="shared" si="1"/>
        <v>11.6</v>
      </c>
      <c r="AN97" s="225">
        <f t="shared" si="21"/>
        <v>29</v>
      </c>
      <c r="AO97" s="225">
        <f t="shared" si="22"/>
        <v>10</v>
      </c>
      <c r="AP97" s="225">
        <f t="shared" si="23"/>
        <v>4</v>
      </c>
      <c r="AQ97" s="225" t="str">
        <f t="shared" si="24"/>
        <v>ok</v>
      </c>
      <c r="AR97" s="225" t="str">
        <f t="shared" si="10"/>
        <v>10S4P</v>
      </c>
      <c r="AS97" s="225" t="str">
        <f t="shared" si="11"/>
        <v>N4LEDLowDrv_SDI29E_</v>
      </c>
      <c r="AT97" s="225" t="str">
        <f t="shared" si="12"/>
        <v>SW1_</v>
      </c>
      <c r="AU97" s="225" t="str">
        <f t="shared" si="25"/>
        <v>Aslp_Wup_CC_DUVP_</v>
      </c>
      <c r="AV97" s="225" t="e">
        <f t="shared" si="17"/>
        <v>#VALUE!</v>
      </c>
      <c r="AW97" s="225" t="b">
        <f t="shared" si="18"/>
        <v>1</v>
      </c>
      <c r="AX97" s="225" t="str">
        <f t="shared" si="14"/>
        <v/>
      </c>
      <c r="AY97" s="225" t="str">
        <f t="shared" si="15"/>
        <v/>
      </c>
      <c r="AZ97" s="664" t="str">
        <f t="shared" si="26"/>
        <v>136R_</v>
      </c>
    </row>
    <row r="98" spans="1:52" s="225" customFormat="1" ht="21">
      <c r="A98" s="713" t="s">
        <v>2015</v>
      </c>
      <c r="B98" s="716" t="s">
        <v>1355</v>
      </c>
      <c r="C98" s="715"/>
      <c r="D98" s="713" t="s">
        <v>1010</v>
      </c>
      <c r="E98" s="280" t="str">
        <f t="shared" si="2"/>
        <v>7S4P</v>
      </c>
      <c r="F98" s="696" t="s">
        <v>939</v>
      </c>
      <c r="G98" s="719" t="s">
        <v>116</v>
      </c>
      <c r="H98" s="720">
        <v>4</v>
      </c>
      <c r="I98" s="806" t="s">
        <v>116</v>
      </c>
      <c r="J98" s="713"/>
      <c r="K98" s="806" t="s">
        <v>116</v>
      </c>
      <c r="L98" s="713"/>
      <c r="M98" s="713"/>
      <c r="N98" s="805"/>
      <c r="O98" s="713"/>
      <c r="P98" s="806" t="s">
        <v>116</v>
      </c>
      <c r="Q98" s="807" t="s">
        <v>116</v>
      </c>
      <c r="R98" s="807" t="s">
        <v>116</v>
      </c>
      <c r="S98" s="713"/>
      <c r="T98" s="808"/>
      <c r="U98" s="713"/>
      <c r="V98" s="807" t="s">
        <v>116</v>
      </c>
      <c r="W98" s="806" t="s">
        <v>116</v>
      </c>
      <c r="X98" s="713"/>
      <c r="Y98" s="806"/>
      <c r="Z98" s="809">
        <v>136</v>
      </c>
      <c r="AA98" s="809"/>
      <c r="AB98" s="809"/>
      <c r="AC98" s="727" t="s">
        <v>2016</v>
      </c>
      <c r="AD98" s="284" t="str">
        <f t="shared" si="3"/>
        <v>Ares115_26100_D_7S4P4LEDLowDrv_SDI26FM_SW1_Aslp_Wup_Doff_CC_DUVP_136R_</v>
      </c>
      <c r="AJ98" s="225">
        <f t="shared" si="19"/>
        <v>3</v>
      </c>
      <c r="AK98" s="225">
        <f t="shared" si="20"/>
        <v>9</v>
      </c>
      <c r="AL98" s="225">
        <f t="shared" si="0"/>
        <v>26</v>
      </c>
      <c r="AM98" s="225">
        <f t="shared" si="1"/>
        <v>10</v>
      </c>
      <c r="AN98" s="225">
        <f t="shared" si="21"/>
        <v>26</v>
      </c>
      <c r="AO98" s="225">
        <f t="shared" si="22"/>
        <v>7</v>
      </c>
      <c r="AP98" s="225">
        <f t="shared" si="23"/>
        <v>4</v>
      </c>
      <c r="AQ98" s="225" t="str">
        <f t="shared" si="24"/>
        <v>ok</v>
      </c>
      <c r="AR98" s="225" t="str">
        <f t="shared" si="10"/>
        <v>7S4P</v>
      </c>
      <c r="AS98" s="225" t="str">
        <f t="shared" si="11"/>
        <v>4LEDLowDrv_SDI26FM_</v>
      </c>
      <c r="AT98" s="225" t="str">
        <f t="shared" si="12"/>
        <v>SW1_</v>
      </c>
      <c r="AU98" s="225" t="str">
        <f t="shared" si="25"/>
        <v>Aslp_Wup_Doff_CC_DUVP_</v>
      </c>
      <c r="AV98" s="225" t="e">
        <f t="shared" si="17"/>
        <v>#VALUE!</v>
      </c>
      <c r="AW98" s="225" t="b">
        <f t="shared" si="18"/>
        <v>1</v>
      </c>
      <c r="AX98" s="225" t="str">
        <f t="shared" si="14"/>
        <v/>
      </c>
      <c r="AY98" s="225" t="str">
        <f t="shared" si="15"/>
        <v/>
      </c>
      <c r="AZ98" s="664" t="str">
        <f t="shared" si="26"/>
        <v>136R_</v>
      </c>
    </row>
    <row r="99" spans="1:52" s="225" customFormat="1" ht="21">
      <c r="A99" s="813" t="s">
        <v>1977</v>
      </c>
      <c r="B99" s="819" t="s">
        <v>1362</v>
      </c>
      <c r="C99" s="814"/>
      <c r="D99" s="813" t="s">
        <v>1344</v>
      </c>
      <c r="E99" s="280" t="str">
        <f t="shared" si="2"/>
        <v>10S4P</v>
      </c>
      <c r="F99" s="696" t="s">
        <v>939</v>
      </c>
      <c r="G99" s="719" t="s">
        <v>116</v>
      </c>
      <c r="H99" s="720">
        <v>4</v>
      </c>
      <c r="I99" s="815" t="s">
        <v>116</v>
      </c>
      <c r="J99" s="813"/>
      <c r="K99" s="815" t="s">
        <v>116</v>
      </c>
      <c r="L99" s="813"/>
      <c r="M99" s="813"/>
      <c r="N99" s="816"/>
      <c r="O99" s="813"/>
      <c r="P99" s="815" t="s">
        <v>116</v>
      </c>
      <c r="Q99" s="817" t="s">
        <v>116</v>
      </c>
      <c r="R99" s="813"/>
      <c r="S99" s="813"/>
      <c r="T99" s="818"/>
      <c r="U99" s="813"/>
      <c r="V99" s="817" t="s">
        <v>116</v>
      </c>
      <c r="W99" s="815" t="s">
        <v>116</v>
      </c>
      <c r="X99" s="813"/>
      <c r="Y99" s="815"/>
      <c r="Z99" s="726">
        <v>200</v>
      </c>
      <c r="AA99" s="726"/>
      <c r="AB99" s="726"/>
      <c r="AC99" s="225" t="s">
        <v>2033</v>
      </c>
      <c r="AD99" s="284" t="str">
        <f t="shared" si="3"/>
        <v>Ares_LT1_36104_DU_10S4P4LEDLowDrv_SDI26FM_SW1_Aslp_Wup_CC_DUVP_200R_</v>
      </c>
      <c r="AJ99" s="225">
        <f t="shared" si="19"/>
        <v>3</v>
      </c>
      <c r="AK99" s="225">
        <f t="shared" si="20"/>
        <v>9</v>
      </c>
      <c r="AL99" s="225">
        <f t="shared" si="0"/>
        <v>36</v>
      </c>
      <c r="AM99" s="225">
        <f t="shared" si="1"/>
        <v>10.4</v>
      </c>
      <c r="AN99" s="225">
        <f t="shared" si="21"/>
        <v>26</v>
      </c>
      <c r="AO99" s="225">
        <f t="shared" si="22"/>
        <v>10</v>
      </c>
      <c r="AP99" s="225">
        <f t="shared" si="23"/>
        <v>4</v>
      </c>
      <c r="AQ99" s="225" t="str">
        <f t="shared" si="24"/>
        <v>ok</v>
      </c>
      <c r="AR99" s="225" t="str">
        <f t="shared" si="10"/>
        <v>10S4P</v>
      </c>
      <c r="AS99" s="225" t="str">
        <f t="shared" si="11"/>
        <v>4LEDLowDrv_SDI26FM_</v>
      </c>
      <c r="AT99" s="225" t="str">
        <f t="shared" si="12"/>
        <v>SW1_</v>
      </c>
      <c r="AU99" s="225" t="str">
        <f t="shared" si="25"/>
        <v>Aslp_Wup_CC_DUVP_</v>
      </c>
      <c r="AV99" s="225" t="e">
        <f t="shared" si="17"/>
        <v>#VALUE!</v>
      </c>
      <c r="AW99" s="225" t="b">
        <f t="shared" si="18"/>
        <v>1</v>
      </c>
      <c r="AX99" s="225" t="str">
        <f t="shared" si="14"/>
        <v/>
      </c>
      <c r="AY99" s="225" t="str">
        <f t="shared" si="15"/>
        <v/>
      </c>
      <c r="AZ99" s="664" t="str">
        <f t="shared" si="26"/>
        <v>200R_</v>
      </c>
    </row>
    <row r="100" spans="1:52" s="225" customFormat="1" ht="21">
      <c r="A100" s="713" t="s">
        <v>1977</v>
      </c>
      <c r="B100" s="714" t="s">
        <v>1361</v>
      </c>
      <c r="C100" s="715"/>
      <c r="D100" s="713" t="s">
        <v>1344</v>
      </c>
      <c r="E100" s="280" t="str">
        <f t="shared" si="2"/>
        <v>10S4P</v>
      </c>
      <c r="F100" s="696" t="s">
        <v>939</v>
      </c>
      <c r="G100" s="719" t="s">
        <v>116</v>
      </c>
      <c r="H100" s="720">
        <v>4</v>
      </c>
      <c r="I100" s="806" t="s">
        <v>116</v>
      </c>
      <c r="J100" s="713"/>
      <c r="K100" s="806" t="s">
        <v>116</v>
      </c>
      <c r="L100" s="713"/>
      <c r="M100" s="713"/>
      <c r="N100" s="805"/>
      <c r="O100" s="713"/>
      <c r="P100" s="806" t="s">
        <v>116</v>
      </c>
      <c r="Q100" s="807" t="s">
        <v>116</v>
      </c>
      <c r="R100" s="807"/>
      <c r="S100" s="713"/>
      <c r="T100" s="808"/>
      <c r="U100" s="713"/>
      <c r="V100" s="807" t="s">
        <v>116</v>
      </c>
      <c r="W100" s="806" t="s">
        <v>116</v>
      </c>
      <c r="X100" s="713"/>
      <c r="Y100" s="806"/>
      <c r="Z100" s="809">
        <v>136</v>
      </c>
      <c r="AA100" s="809"/>
      <c r="AB100" s="809"/>
      <c r="AC100" s="727" t="s">
        <v>1969</v>
      </c>
      <c r="AD100" s="284" t="str">
        <f t="shared" si="3"/>
        <v>Ares_LT1_36104_DU_10S4P4LEDLowDrv_SDI26FM_SW1_Aslp_Wup_CC_DUVP_136R_</v>
      </c>
      <c r="AJ100" s="225">
        <f t="shared" si="19"/>
        <v>3</v>
      </c>
      <c r="AK100" s="225">
        <f t="shared" si="20"/>
        <v>9</v>
      </c>
      <c r="AL100" s="225">
        <f t="shared" si="0"/>
        <v>36</v>
      </c>
      <c r="AM100" s="225">
        <f t="shared" si="1"/>
        <v>10.4</v>
      </c>
      <c r="AN100" s="225">
        <f t="shared" si="21"/>
        <v>26</v>
      </c>
      <c r="AO100" s="225">
        <f t="shared" si="22"/>
        <v>10</v>
      </c>
      <c r="AP100" s="225">
        <f t="shared" si="23"/>
        <v>4</v>
      </c>
      <c r="AQ100" s="225" t="str">
        <f t="shared" si="24"/>
        <v>ok</v>
      </c>
      <c r="AR100" s="225" t="str">
        <f t="shared" si="10"/>
        <v>10S4P</v>
      </c>
      <c r="AS100" s="225" t="str">
        <f t="shared" si="11"/>
        <v>4LEDLowDrv_SDI26FM_</v>
      </c>
      <c r="AT100" s="225" t="str">
        <f t="shared" si="12"/>
        <v>SW1_</v>
      </c>
      <c r="AU100" s="225" t="str">
        <f t="shared" si="25"/>
        <v>Aslp_Wup_CC_DUVP_</v>
      </c>
      <c r="AV100" s="225" t="e">
        <f t="shared" si="17"/>
        <v>#VALUE!</v>
      </c>
      <c r="AW100" s="225" t="b">
        <f t="shared" si="18"/>
        <v>1</v>
      </c>
      <c r="AX100" s="225" t="str">
        <f t="shared" si="14"/>
        <v/>
      </c>
      <c r="AY100" s="225" t="str">
        <f t="shared" si="15"/>
        <v/>
      </c>
      <c r="AZ100" s="664" t="str">
        <f t="shared" si="26"/>
        <v>136R_</v>
      </c>
    </row>
    <row r="101" spans="1:52" s="225" customFormat="1" ht="21">
      <c r="A101" s="713" t="s">
        <v>1354</v>
      </c>
      <c r="B101" s="716" t="s">
        <v>1355</v>
      </c>
      <c r="C101" s="715"/>
      <c r="D101" s="713" t="s">
        <v>932</v>
      </c>
      <c r="E101" s="280" t="str">
        <f t="shared" si="2"/>
        <v>10S4P</v>
      </c>
      <c r="F101" s="696" t="s">
        <v>939</v>
      </c>
      <c r="G101" s="719" t="s">
        <v>116</v>
      </c>
      <c r="H101" s="720">
        <v>4</v>
      </c>
      <c r="I101" s="806" t="s">
        <v>116</v>
      </c>
      <c r="J101" s="713"/>
      <c r="K101" s="806" t="s">
        <v>116</v>
      </c>
      <c r="L101" s="713"/>
      <c r="M101" s="713"/>
      <c r="N101" s="805"/>
      <c r="O101" s="713"/>
      <c r="P101" s="806" t="s">
        <v>116</v>
      </c>
      <c r="Q101" s="807" t="s">
        <v>116</v>
      </c>
      <c r="R101" s="807" t="s">
        <v>116</v>
      </c>
      <c r="S101" s="713"/>
      <c r="T101" s="808"/>
      <c r="U101" s="713"/>
      <c r="V101" s="807" t="s">
        <v>116</v>
      </c>
      <c r="W101" s="806" t="s">
        <v>116</v>
      </c>
      <c r="X101" s="713"/>
      <c r="Y101" s="806"/>
      <c r="Z101" s="809">
        <v>136</v>
      </c>
      <c r="AA101" s="809"/>
      <c r="AB101" s="809"/>
      <c r="AC101" s="727" t="s">
        <v>2016</v>
      </c>
      <c r="AD101" s="284" t="str">
        <f t="shared" si="3"/>
        <v>Ares115_36100_D_10S4P4LEDLowDrv_SDI26FM_SW1_Aslp_Wup_Doff_CC_DUVP_136R_</v>
      </c>
      <c r="AJ101" s="225">
        <f t="shared" si="19"/>
        <v>3</v>
      </c>
      <c r="AK101" s="225">
        <f t="shared" si="20"/>
        <v>9</v>
      </c>
      <c r="AL101" s="225">
        <f t="shared" si="0"/>
        <v>36</v>
      </c>
      <c r="AM101" s="225">
        <f t="shared" si="1"/>
        <v>10</v>
      </c>
      <c r="AN101" s="225">
        <f t="shared" si="21"/>
        <v>26</v>
      </c>
      <c r="AO101" s="225">
        <f t="shared" si="22"/>
        <v>10</v>
      </c>
      <c r="AP101" s="225">
        <f t="shared" si="23"/>
        <v>4</v>
      </c>
      <c r="AQ101" s="225" t="str">
        <f t="shared" si="24"/>
        <v>ok</v>
      </c>
      <c r="AR101" s="225" t="str">
        <f t="shared" si="10"/>
        <v>10S4P</v>
      </c>
      <c r="AS101" s="225" t="str">
        <f t="shared" si="11"/>
        <v>4LEDLowDrv_SDI26FM_</v>
      </c>
      <c r="AT101" s="225" t="str">
        <f t="shared" si="12"/>
        <v>SW1_</v>
      </c>
      <c r="AU101" s="225" t="str">
        <f t="shared" si="25"/>
        <v>Aslp_Wup_Doff_CC_DUVP_</v>
      </c>
      <c r="AV101" s="225" t="e">
        <f t="shared" si="17"/>
        <v>#VALUE!</v>
      </c>
      <c r="AW101" s="225" t="b">
        <f t="shared" si="18"/>
        <v>1</v>
      </c>
      <c r="AX101" s="225" t="str">
        <f t="shared" si="14"/>
        <v/>
      </c>
      <c r="AY101" s="225" t="str">
        <f t="shared" si="15"/>
        <v/>
      </c>
      <c r="AZ101" s="664" t="str">
        <f t="shared" si="26"/>
        <v>136R_</v>
      </c>
    </row>
    <row r="102" spans="1:52" s="225" customFormat="1" ht="21">
      <c r="A102" s="713" t="s">
        <v>1978</v>
      </c>
      <c r="B102" s="716"/>
      <c r="C102" s="715"/>
      <c r="D102" s="713" t="s">
        <v>1979</v>
      </c>
      <c r="E102" s="280" t="str">
        <f t="shared" si="2"/>
        <v>7S4P</v>
      </c>
      <c r="F102" s="797" t="s">
        <v>1431</v>
      </c>
      <c r="G102" s="719" t="s">
        <v>116</v>
      </c>
      <c r="H102" s="720">
        <v>3</v>
      </c>
      <c r="I102" s="807"/>
      <c r="J102" s="713"/>
      <c r="K102" s="806" t="s">
        <v>116</v>
      </c>
      <c r="L102" s="713"/>
      <c r="M102" s="713"/>
      <c r="N102" s="805"/>
      <c r="O102" s="713"/>
      <c r="P102" s="807" t="s">
        <v>116</v>
      </c>
      <c r="Q102" s="807" t="s">
        <v>116</v>
      </c>
      <c r="R102" s="713"/>
      <c r="S102" s="713"/>
      <c r="T102" s="808"/>
      <c r="U102" s="713"/>
      <c r="V102" s="807" t="s">
        <v>116</v>
      </c>
      <c r="W102" s="806" t="s">
        <v>116</v>
      </c>
      <c r="X102" s="713"/>
      <c r="Y102" s="713"/>
      <c r="Z102" s="809">
        <v>136</v>
      </c>
      <c r="AA102" s="809"/>
      <c r="AB102" s="809"/>
      <c r="AC102" s="727" t="s">
        <v>1988</v>
      </c>
      <c r="AD102" s="284" t="str">
        <f t="shared" si="3"/>
        <v>Pan_B285_26088_Y_7S4P3LED_SDI22FM_SW1_Aslp_Wup_CC_DUVP_136R_</v>
      </c>
      <c r="AJ102" s="225">
        <f t="shared" si="19"/>
        <v>3</v>
      </c>
      <c r="AK102" s="225">
        <f t="shared" si="20"/>
        <v>8</v>
      </c>
      <c r="AL102" s="225">
        <f t="shared" si="0"/>
        <v>26</v>
      </c>
      <c r="AM102" s="225">
        <f t="shared" si="1"/>
        <v>8.8000000000000007</v>
      </c>
      <c r="AN102" s="225">
        <f t="shared" si="21"/>
        <v>22</v>
      </c>
      <c r="AO102" s="225">
        <f t="shared" si="22"/>
        <v>7</v>
      </c>
      <c r="AP102" s="225">
        <f t="shared" si="23"/>
        <v>4</v>
      </c>
      <c r="AQ102" s="225" t="str">
        <f t="shared" si="24"/>
        <v>ok</v>
      </c>
      <c r="AR102" s="225" t="str">
        <f t="shared" si="10"/>
        <v>7S4P</v>
      </c>
      <c r="AS102" s="225" t="str">
        <f t="shared" si="11"/>
        <v>3LED_SDI22FM_</v>
      </c>
      <c r="AT102" s="225" t="str">
        <f t="shared" si="12"/>
        <v>SW1_</v>
      </c>
      <c r="AU102" s="225" t="str">
        <f t="shared" si="25"/>
        <v>Aslp_Wup_CC_DUVP_</v>
      </c>
      <c r="AV102" s="225" t="e">
        <f t="shared" si="17"/>
        <v>#VALUE!</v>
      </c>
      <c r="AW102" s="225" t="b">
        <f t="shared" si="18"/>
        <v>1</v>
      </c>
      <c r="AX102" s="225" t="str">
        <f t="shared" si="14"/>
        <v/>
      </c>
      <c r="AY102" s="225" t="str">
        <f t="shared" si="15"/>
        <v/>
      </c>
      <c r="AZ102" s="664" t="str">
        <f t="shared" si="26"/>
        <v>136R_</v>
      </c>
    </row>
    <row r="103" spans="1:52" s="225" customFormat="1" ht="21">
      <c r="A103" s="837" t="s">
        <v>1980</v>
      </c>
      <c r="B103" s="838" t="s">
        <v>2035</v>
      </c>
      <c r="C103" s="839"/>
      <c r="D103" s="837" t="s">
        <v>959</v>
      </c>
      <c r="E103" s="840" t="str">
        <f t="shared" si="2"/>
        <v>10S5P</v>
      </c>
      <c r="F103" s="841" t="s">
        <v>939</v>
      </c>
      <c r="G103" s="842" t="s">
        <v>116</v>
      </c>
      <c r="H103" s="843">
        <v>4</v>
      </c>
      <c r="I103" s="844" t="s">
        <v>116</v>
      </c>
      <c r="J103" s="837"/>
      <c r="K103" s="844" t="s">
        <v>116</v>
      </c>
      <c r="L103" s="837"/>
      <c r="M103" s="837"/>
      <c r="N103" s="845"/>
      <c r="O103" s="837"/>
      <c r="P103" s="844" t="s">
        <v>116</v>
      </c>
      <c r="Q103" s="846" t="s">
        <v>116</v>
      </c>
      <c r="R103" s="837"/>
      <c r="S103" s="837"/>
      <c r="T103" s="847"/>
      <c r="U103" s="837"/>
      <c r="V103" s="846" t="s">
        <v>116</v>
      </c>
      <c r="W103" s="844" t="s">
        <v>116</v>
      </c>
      <c r="X103" s="837"/>
      <c r="Y103" s="844"/>
      <c r="Z103" s="848">
        <v>136</v>
      </c>
      <c r="AA103" s="848"/>
      <c r="AB103" s="848"/>
      <c r="AC103" s="849" t="s">
        <v>1988</v>
      </c>
      <c r="AD103" s="284" t="str">
        <f t="shared" si="3"/>
        <v>Pan_RN1_36130_DU_10S5P4LEDLowDrv_SDI26FM_SW1_Aslp_Wup_CC_DUVP_136R_</v>
      </c>
      <c r="AJ103" s="225">
        <f t="shared" si="19"/>
        <v>3</v>
      </c>
      <c r="AK103" s="225">
        <f t="shared" si="20"/>
        <v>9</v>
      </c>
      <c r="AL103" s="225">
        <f t="shared" si="0"/>
        <v>36</v>
      </c>
      <c r="AM103" s="225">
        <f t="shared" si="1"/>
        <v>13</v>
      </c>
      <c r="AN103" s="225">
        <f t="shared" si="21"/>
        <v>26</v>
      </c>
      <c r="AO103" s="225">
        <f t="shared" si="22"/>
        <v>10</v>
      </c>
      <c r="AP103" s="225">
        <f t="shared" si="23"/>
        <v>5</v>
      </c>
      <c r="AQ103" s="225" t="str">
        <f t="shared" si="24"/>
        <v>ok</v>
      </c>
      <c r="AR103" s="225" t="str">
        <f t="shared" si="10"/>
        <v>10S5P</v>
      </c>
      <c r="AS103" s="225" t="str">
        <f t="shared" si="11"/>
        <v>4LEDLowDrv_SDI26FM_</v>
      </c>
      <c r="AT103" s="225" t="str">
        <f t="shared" si="12"/>
        <v>SW1_</v>
      </c>
      <c r="AU103" s="225" t="str">
        <f t="shared" si="25"/>
        <v>Aslp_Wup_CC_DUVP_</v>
      </c>
      <c r="AV103" s="225" t="e">
        <f t="shared" si="17"/>
        <v>#VALUE!</v>
      </c>
      <c r="AW103" s="225" t="b">
        <f t="shared" si="18"/>
        <v>1</v>
      </c>
      <c r="AX103" s="225" t="str">
        <f t="shared" si="14"/>
        <v/>
      </c>
      <c r="AY103" s="225" t="str">
        <f t="shared" si="15"/>
        <v/>
      </c>
      <c r="AZ103" s="664" t="str">
        <f t="shared" si="26"/>
        <v>136R_</v>
      </c>
    </row>
    <row r="104" spans="1:52" s="225" customFormat="1" ht="21">
      <c r="A104" s="713" t="s">
        <v>1987</v>
      </c>
      <c r="B104" s="716"/>
      <c r="C104" s="715"/>
      <c r="D104" s="713" t="s">
        <v>1981</v>
      </c>
      <c r="E104" s="280" t="str">
        <f t="shared" si="2"/>
        <v>10S7P</v>
      </c>
      <c r="F104" s="802" t="s">
        <v>1903</v>
      </c>
      <c r="G104" s="719" t="s">
        <v>116</v>
      </c>
      <c r="H104" s="720">
        <v>5</v>
      </c>
      <c r="I104" s="806" t="s">
        <v>116</v>
      </c>
      <c r="J104" s="713"/>
      <c r="K104" s="806" t="s">
        <v>116</v>
      </c>
      <c r="L104" s="713"/>
      <c r="M104" s="713"/>
      <c r="N104" s="806"/>
      <c r="O104" s="713"/>
      <c r="P104" s="806" t="s">
        <v>116</v>
      </c>
      <c r="Q104" s="807" t="s">
        <v>116</v>
      </c>
      <c r="R104" s="713"/>
      <c r="S104" s="713"/>
      <c r="T104" s="806"/>
      <c r="U104" s="713"/>
      <c r="V104" s="807" t="s">
        <v>116</v>
      </c>
      <c r="W104" s="806" t="s">
        <v>116</v>
      </c>
      <c r="X104" s="713"/>
      <c r="Y104" s="713"/>
      <c r="Z104" s="809">
        <v>136</v>
      </c>
      <c r="AA104" s="809"/>
      <c r="AB104" s="809"/>
      <c r="AC104" s="727" t="s">
        <v>1988</v>
      </c>
      <c r="AD104" s="284" t="str">
        <f t="shared" si="3"/>
        <v>Pan_BLT360_36203_D_10S7P5LEDLowDrv_SDI29E_SW1_Aslp_Wup_CC_DUVP_136R_</v>
      </c>
      <c r="AJ104" s="225">
        <f t="shared" si="19"/>
        <v>3</v>
      </c>
      <c r="AK104" s="225">
        <f t="shared" si="20"/>
        <v>9</v>
      </c>
      <c r="AL104" s="225">
        <f t="shared" si="0"/>
        <v>36</v>
      </c>
      <c r="AM104" s="225">
        <f t="shared" si="1"/>
        <v>20.3</v>
      </c>
      <c r="AN104" s="225">
        <f t="shared" si="21"/>
        <v>29</v>
      </c>
      <c r="AO104" s="225">
        <f t="shared" si="22"/>
        <v>10</v>
      </c>
      <c r="AP104" s="225">
        <f t="shared" si="23"/>
        <v>7</v>
      </c>
      <c r="AQ104" s="225" t="str">
        <f t="shared" si="24"/>
        <v>ok</v>
      </c>
      <c r="AR104" s="225" t="str">
        <f t="shared" si="10"/>
        <v>10S7P</v>
      </c>
      <c r="AS104" s="225" t="str">
        <f t="shared" si="11"/>
        <v>5LEDLowDrv_SDI29E_</v>
      </c>
      <c r="AT104" s="225" t="str">
        <f t="shared" si="12"/>
        <v>SW1_</v>
      </c>
      <c r="AU104" s="225" t="str">
        <f t="shared" si="25"/>
        <v>Aslp_Wup_CC_DUVP_</v>
      </c>
      <c r="AV104" s="225" t="e">
        <f t="shared" si="17"/>
        <v>#VALUE!</v>
      </c>
      <c r="AW104" s="225" t="b">
        <f t="shared" si="18"/>
        <v>1</v>
      </c>
      <c r="AX104" s="225" t="str">
        <f t="shared" si="14"/>
        <v/>
      </c>
      <c r="AY104" s="225" t="str">
        <f t="shared" si="15"/>
        <v/>
      </c>
      <c r="AZ104" s="664" t="str">
        <f t="shared" si="26"/>
        <v>136R_</v>
      </c>
    </row>
    <row r="105" spans="1:52" s="225" customFormat="1" ht="32.25">
      <c r="A105" s="713" t="s">
        <v>1990</v>
      </c>
      <c r="B105" s="714" t="s">
        <v>1992</v>
      </c>
      <c r="C105" s="715"/>
      <c r="D105" s="713" t="s">
        <v>1991</v>
      </c>
      <c r="E105" s="280" t="str">
        <f t="shared" si="2"/>
        <v>7S2P</v>
      </c>
      <c r="F105" s="696" t="s">
        <v>939</v>
      </c>
      <c r="G105" s="719" t="s">
        <v>116</v>
      </c>
      <c r="H105" s="720">
        <v>5</v>
      </c>
      <c r="I105" s="806" t="s">
        <v>116</v>
      </c>
      <c r="J105" s="713"/>
      <c r="K105" s="806" t="s">
        <v>116</v>
      </c>
      <c r="L105" s="713"/>
      <c r="M105" s="713"/>
      <c r="N105" s="806" t="s">
        <v>116</v>
      </c>
      <c r="O105" s="713"/>
      <c r="P105" s="806" t="s">
        <v>116</v>
      </c>
      <c r="Q105" s="807" t="s">
        <v>116</v>
      </c>
      <c r="R105" s="713"/>
      <c r="S105" s="713"/>
      <c r="T105" s="806" t="s">
        <v>116</v>
      </c>
      <c r="U105" s="713"/>
      <c r="V105" s="807" t="s">
        <v>116</v>
      </c>
      <c r="W105" s="806" t="s">
        <v>116</v>
      </c>
      <c r="X105" s="713"/>
      <c r="Y105" s="713"/>
      <c r="Z105" s="809">
        <v>136</v>
      </c>
      <c r="AA105" s="809"/>
      <c r="AB105" s="809"/>
      <c r="AC105" s="768" t="s">
        <v>1993</v>
      </c>
      <c r="AD105" s="284" t="str">
        <f t="shared" si="3"/>
        <v>Ares_LY1_26052_DU_7S2P5LEDLowDrv_SDI26FM_SW1_SW2_Aslp_Wup_Blight_CC_DUVP_136R_</v>
      </c>
      <c r="AJ105" s="225">
        <f t="shared" si="19"/>
        <v>3</v>
      </c>
      <c r="AK105" s="225">
        <f t="shared" si="20"/>
        <v>8</v>
      </c>
      <c r="AL105" s="225">
        <f t="shared" si="0"/>
        <v>26</v>
      </c>
      <c r="AM105" s="225">
        <f t="shared" si="1"/>
        <v>5.2</v>
      </c>
      <c r="AN105" s="225">
        <f t="shared" si="21"/>
        <v>26</v>
      </c>
      <c r="AO105" s="225">
        <f t="shared" si="22"/>
        <v>7</v>
      </c>
      <c r="AP105" s="225">
        <f t="shared" si="23"/>
        <v>2</v>
      </c>
      <c r="AQ105" s="225" t="str">
        <f t="shared" si="24"/>
        <v>ok</v>
      </c>
      <c r="AR105" s="225" t="str">
        <f t="shared" si="10"/>
        <v>7S2P</v>
      </c>
      <c r="AS105" s="225" t="str">
        <f t="shared" si="11"/>
        <v>5LEDLowDrv_SDI26FM_</v>
      </c>
      <c r="AT105" s="225" t="str">
        <f t="shared" si="12"/>
        <v>SW1_SW2_</v>
      </c>
      <c r="AU105" s="225" t="str">
        <f t="shared" si="25"/>
        <v>Aslp_Wup_Blight_CC_DUVP_</v>
      </c>
      <c r="AV105" s="225" t="e">
        <f t="shared" si="17"/>
        <v>#VALUE!</v>
      </c>
      <c r="AW105" s="225" t="b">
        <f t="shared" si="18"/>
        <v>1</v>
      </c>
      <c r="AX105" s="225" t="str">
        <f t="shared" si="14"/>
        <v/>
      </c>
      <c r="AY105" s="225" t="str">
        <f t="shared" si="15"/>
        <v/>
      </c>
      <c r="AZ105" s="664" t="str">
        <f t="shared" si="26"/>
        <v>136R_</v>
      </c>
    </row>
    <row r="106" spans="1:52" s="225" customFormat="1" ht="37.5">
      <c r="A106" s="713" t="s">
        <v>1994</v>
      </c>
      <c r="B106" s="714" t="s">
        <v>1362</v>
      </c>
      <c r="C106" s="715" t="s">
        <v>1999</v>
      </c>
      <c r="D106" s="713" t="s">
        <v>1248</v>
      </c>
      <c r="E106" s="280" t="str">
        <f t="shared" si="2"/>
        <v>10S6P</v>
      </c>
      <c r="F106" s="696" t="s">
        <v>939</v>
      </c>
      <c r="G106" s="719" t="s">
        <v>116</v>
      </c>
      <c r="H106" s="720">
        <v>5</v>
      </c>
      <c r="I106" s="806" t="s">
        <v>116</v>
      </c>
      <c r="J106" s="713"/>
      <c r="K106" s="806" t="s">
        <v>116</v>
      </c>
      <c r="L106" s="713"/>
      <c r="M106" s="713"/>
      <c r="N106" s="805"/>
      <c r="O106" s="713"/>
      <c r="P106" s="806" t="s">
        <v>116</v>
      </c>
      <c r="Q106" s="807" t="s">
        <v>116</v>
      </c>
      <c r="R106" s="713"/>
      <c r="S106" s="713"/>
      <c r="T106" s="808"/>
      <c r="U106" s="713"/>
      <c r="V106" s="807" t="s">
        <v>116</v>
      </c>
      <c r="W106" s="806" t="s">
        <v>116</v>
      </c>
      <c r="X106" s="713"/>
      <c r="Y106" s="713"/>
      <c r="Z106" s="809">
        <v>136</v>
      </c>
      <c r="AA106" s="809"/>
      <c r="AB106" s="809"/>
      <c r="AC106" s="727" t="s">
        <v>2004</v>
      </c>
      <c r="AD106" s="284" t="str">
        <f t="shared" si="3"/>
        <v>Pan_BLT330_36156_DU_10S6P5LEDLowDrv_SDI26FM_SW1_Aslp_Wup_CC_DUVP_136R_</v>
      </c>
      <c r="AJ106" s="225">
        <f t="shared" si="19"/>
        <v>3</v>
      </c>
      <c r="AK106" s="225">
        <f t="shared" si="20"/>
        <v>9</v>
      </c>
      <c r="AL106" s="225">
        <f t="shared" si="0"/>
        <v>36</v>
      </c>
      <c r="AM106" s="225">
        <f t="shared" si="1"/>
        <v>15.6</v>
      </c>
      <c r="AN106" s="225">
        <f t="shared" si="21"/>
        <v>26</v>
      </c>
      <c r="AO106" s="225">
        <f t="shared" si="22"/>
        <v>10</v>
      </c>
      <c r="AP106" s="225">
        <f t="shared" si="23"/>
        <v>6</v>
      </c>
      <c r="AQ106" s="225" t="str">
        <f t="shared" si="24"/>
        <v>ok</v>
      </c>
      <c r="AR106" s="225" t="str">
        <f t="shared" si="10"/>
        <v>10S6P</v>
      </c>
      <c r="AS106" s="225" t="str">
        <f t="shared" si="11"/>
        <v>5LEDLowDrv_SDI26FM_</v>
      </c>
      <c r="AT106" s="225" t="str">
        <f t="shared" si="12"/>
        <v>SW1_</v>
      </c>
      <c r="AU106" s="225" t="str">
        <f t="shared" si="25"/>
        <v>Aslp_Wup_CC_DUVP_</v>
      </c>
      <c r="AV106" s="225" t="e">
        <f t="shared" si="17"/>
        <v>#VALUE!</v>
      </c>
      <c r="AW106" s="225" t="b">
        <f t="shared" si="18"/>
        <v>0</v>
      </c>
      <c r="AX106" s="225" t="str">
        <f t="shared" si="14"/>
        <v>85KB0015K6-W021E02L_</v>
      </c>
      <c r="AY106" s="225" t="str">
        <f t="shared" si="15"/>
        <v>85KB0015K6_W021E02L_</v>
      </c>
      <c r="AZ106" s="664" t="str">
        <f t="shared" si="26"/>
        <v>136R_</v>
      </c>
    </row>
    <row r="107" spans="1:52" s="225" customFormat="1" ht="37.5">
      <c r="A107" s="713" t="s">
        <v>1995</v>
      </c>
      <c r="B107" s="714" t="s">
        <v>1362</v>
      </c>
      <c r="C107" s="715" t="s">
        <v>2000</v>
      </c>
      <c r="D107" s="713" t="s">
        <v>1248</v>
      </c>
      <c r="E107" s="280" t="str">
        <f t="shared" si="2"/>
        <v>10S6P</v>
      </c>
      <c r="F107" s="696" t="s">
        <v>939</v>
      </c>
      <c r="G107" s="719" t="s">
        <v>116</v>
      </c>
      <c r="H107" s="720">
        <v>5</v>
      </c>
      <c r="I107" s="806" t="s">
        <v>116</v>
      </c>
      <c r="J107" s="713"/>
      <c r="K107" s="806" t="s">
        <v>116</v>
      </c>
      <c r="L107" s="713"/>
      <c r="M107" s="713"/>
      <c r="N107" s="805"/>
      <c r="O107" s="713"/>
      <c r="P107" s="806" t="s">
        <v>116</v>
      </c>
      <c r="Q107" s="807" t="s">
        <v>116</v>
      </c>
      <c r="R107" s="713"/>
      <c r="S107" s="713"/>
      <c r="T107" s="808"/>
      <c r="U107" s="713"/>
      <c r="V107" s="807" t="s">
        <v>116</v>
      </c>
      <c r="W107" s="806" t="s">
        <v>116</v>
      </c>
      <c r="X107" s="713"/>
      <c r="Y107" s="713"/>
      <c r="Z107" s="809">
        <v>136</v>
      </c>
      <c r="AA107" s="809"/>
      <c r="AB107" s="809"/>
      <c r="AC107" s="727" t="s">
        <v>2004</v>
      </c>
      <c r="AD107" s="284" t="str">
        <f t="shared" si="3"/>
        <v>Pan_BLT360_36156_DU_10S6P5LEDLowDrv_SDI26FM_SW1_Aslp_Wup_CC_DUVP_136R_</v>
      </c>
      <c r="AJ107" s="225">
        <f t="shared" si="19"/>
        <v>3</v>
      </c>
      <c r="AK107" s="225">
        <f t="shared" si="20"/>
        <v>9</v>
      </c>
      <c r="AL107" s="225">
        <f t="shared" si="0"/>
        <v>36</v>
      </c>
      <c r="AM107" s="225">
        <f t="shared" si="1"/>
        <v>15.6</v>
      </c>
      <c r="AN107" s="225">
        <f t="shared" si="21"/>
        <v>26</v>
      </c>
      <c r="AO107" s="225">
        <f t="shared" si="22"/>
        <v>10</v>
      </c>
      <c r="AP107" s="225">
        <f t="shared" si="23"/>
        <v>6</v>
      </c>
      <c r="AQ107" s="225" t="str">
        <f t="shared" si="24"/>
        <v>ok</v>
      </c>
      <c r="AR107" s="225" t="str">
        <f t="shared" si="10"/>
        <v>10S6P</v>
      </c>
      <c r="AS107" s="225" t="str">
        <f t="shared" si="11"/>
        <v>5LEDLowDrv_SDI26FM_</v>
      </c>
      <c r="AT107" s="225" t="str">
        <f t="shared" si="12"/>
        <v>SW1_</v>
      </c>
      <c r="AU107" s="225" t="str">
        <f t="shared" si="25"/>
        <v>Aslp_Wup_CC_DUVP_</v>
      </c>
      <c r="AV107" s="225" t="e">
        <f t="shared" si="17"/>
        <v>#VALUE!</v>
      </c>
      <c r="AW107" s="225" t="b">
        <f t="shared" si="18"/>
        <v>0</v>
      </c>
      <c r="AX107" s="225" t="str">
        <f t="shared" si="14"/>
        <v>85KB0015K6-W021E03L_</v>
      </c>
      <c r="AY107" s="225" t="str">
        <f t="shared" si="15"/>
        <v>85KB0015K6_W021E03L_</v>
      </c>
      <c r="AZ107" s="664" t="str">
        <f t="shared" si="26"/>
        <v>136R_</v>
      </c>
    </row>
    <row r="108" spans="1:52" s="225" customFormat="1" ht="37.5">
      <c r="A108" s="713" t="s">
        <v>1996</v>
      </c>
      <c r="B108" s="714" t="s">
        <v>1362</v>
      </c>
      <c r="C108" s="715" t="s">
        <v>2001</v>
      </c>
      <c r="D108" s="713" t="s">
        <v>1344</v>
      </c>
      <c r="E108" s="280" t="str">
        <f t="shared" si="2"/>
        <v>10S4P</v>
      </c>
      <c r="F108" s="696" t="s">
        <v>939</v>
      </c>
      <c r="G108" s="719" t="s">
        <v>116</v>
      </c>
      <c r="H108" s="720">
        <v>5</v>
      </c>
      <c r="I108" s="806" t="s">
        <v>116</v>
      </c>
      <c r="J108" s="713"/>
      <c r="K108" s="806" t="s">
        <v>116</v>
      </c>
      <c r="L108" s="713"/>
      <c r="M108" s="713"/>
      <c r="N108" s="805"/>
      <c r="O108" s="713"/>
      <c r="P108" s="806" t="s">
        <v>116</v>
      </c>
      <c r="Q108" s="807" t="s">
        <v>116</v>
      </c>
      <c r="R108" s="713"/>
      <c r="S108" s="713"/>
      <c r="T108" s="808"/>
      <c r="U108" s="713"/>
      <c r="V108" s="807" t="s">
        <v>116</v>
      </c>
      <c r="W108" s="806" t="s">
        <v>116</v>
      </c>
      <c r="X108" s="713"/>
      <c r="Y108" s="713"/>
      <c r="Z108" s="809">
        <v>136</v>
      </c>
      <c r="AA108" s="809">
        <v>220</v>
      </c>
      <c r="AB108" s="809">
        <v>82</v>
      </c>
      <c r="AC108" s="727" t="s">
        <v>2004</v>
      </c>
      <c r="AD108" s="284" t="str">
        <f t="shared" si="3"/>
        <v>Pan_BLT300_36104_DU_10S4P5LEDLowDrv_SDI26FM_SW1_Aslp_Wup_CC_DUVP_136R_</v>
      </c>
      <c r="AJ108" s="225">
        <f t="shared" si="19"/>
        <v>3</v>
      </c>
      <c r="AK108" s="225">
        <f t="shared" si="20"/>
        <v>9</v>
      </c>
      <c r="AL108" s="225">
        <f t="shared" si="0"/>
        <v>36</v>
      </c>
      <c r="AM108" s="225">
        <f t="shared" si="1"/>
        <v>10.4</v>
      </c>
      <c r="AN108" s="225">
        <f t="shared" si="21"/>
        <v>26</v>
      </c>
      <c r="AO108" s="225">
        <f t="shared" si="22"/>
        <v>10</v>
      </c>
      <c r="AP108" s="225">
        <f t="shared" si="23"/>
        <v>4</v>
      </c>
      <c r="AQ108" s="225" t="str">
        <f t="shared" si="24"/>
        <v>ok</v>
      </c>
      <c r="AR108" s="225" t="str">
        <f t="shared" si="10"/>
        <v>10S4P</v>
      </c>
      <c r="AS108" s="225" t="str">
        <f t="shared" si="11"/>
        <v>5LEDLowDrv_SDI26FM_</v>
      </c>
      <c r="AT108" s="225" t="str">
        <f t="shared" si="12"/>
        <v>SW1_</v>
      </c>
      <c r="AU108" s="225" t="str">
        <f t="shared" si="25"/>
        <v>Aslp_Wup_CC_DUVP_</v>
      </c>
      <c r="AV108" s="225" t="e">
        <f t="shared" si="17"/>
        <v>#VALUE!</v>
      </c>
      <c r="AW108" s="225" t="b">
        <f t="shared" si="18"/>
        <v>0</v>
      </c>
      <c r="AX108" s="225" t="str">
        <f t="shared" si="14"/>
        <v>85KB0010K4-W021E12L_</v>
      </c>
      <c r="AY108" s="225" t="str">
        <f t="shared" si="15"/>
        <v>85KB0010K4_W021E12L_</v>
      </c>
      <c r="AZ108" s="664" t="str">
        <f t="shared" si="26"/>
        <v>136R_</v>
      </c>
    </row>
    <row r="109" spans="1:52" s="225" customFormat="1" ht="37.5">
      <c r="A109" s="713" t="s">
        <v>1359</v>
      </c>
      <c r="B109" s="714" t="s">
        <v>1362</v>
      </c>
      <c r="C109" s="715" t="s">
        <v>2002</v>
      </c>
      <c r="D109" s="713" t="s">
        <v>1344</v>
      </c>
      <c r="E109" s="280" t="str">
        <f t="shared" si="2"/>
        <v>10S4P</v>
      </c>
      <c r="F109" s="696" t="s">
        <v>939</v>
      </c>
      <c r="G109" s="719" t="s">
        <v>116</v>
      </c>
      <c r="H109" s="720">
        <v>5</v>
      </c>
      <c r="I109" s="806" t="s">
        <v>116</v>
      </c>
      <c r="J109" s="713"/>
      <c r="K109" s="806" t="s">
        <v>116</v>
      </c>
      <c r="L109" s="713"/>
      <c r="M109" s="713"/>
      <c r="N109" s="805"/>
      <c r="O109" s="713"/>
      <c r="P109" s="806" t="s">
        <v>116</v>
      </c>
      <c r="Q109" s="807" t="s">
        <v>116</v>
      </c>
      <c r="R109" s="713"/>
      <c r="S109" s="713"/>
      <c r="T109" s="808"/>
      <c r="U109" s="713"/>
      <c r="V109" s="807" t="s">
        <v>116</v>
      </c>
      <c r="W109" s="806" t="s">
        <v>116</v>
      </c>
      <c r="X109" s="713"/>
      <c r="Y109" s="713"/>
      <c r="Z109" s="809">
        <v>136</v>
      </c>
      <c r="AA109" s="809"/>
      <c r="AB109" s="809"/>
      <c r="AC109" s="727" t="s">
        <v>2004</v>
      </c>
      <c r="AD109" s="284" t="str">
        <f t="shared" si="3"/>
        <v>Pan_BLT330_36104_DU_10S4P5LEDLowDrv_SDI26FM_SW1_Aslp_Wup_CC_DUVP_136R_</v>
      </c>
      <c r="AJ109" s="225">
        <f t="shared" si="19"/>
        <v>3</v>
      </c>
      <c r="AK109" s="225">
        <f t="shared" si="20"/>
        <v>9</v>
      </c>
      <c r="AL109" s="225">
        <f t="shared" si="0"/>
        <v>36</v>
      </c>
      <c r="AM109" s="225">
        <f t="shared" si="1"/>
        <v>10.4</v>
      </c>
      <c r="AN109" s="225">
        <f t="shared" si="21"/>
        <v>26</v>
      </c>
      <c r="AO109" s="225">
        <f t="shared" si="22"/>
        <v>10</v>
      </c>
      <c r="AP109" s="225">
        <f t="shared" si="23"/>
        <v>4</v>
      </c>
      <c r="AQ109" s="225" t="str">
        <f t="shared" si="24"/>
        <v>ok</v>
      </c>
      <c r="AR109" s="225" t="str">
        <f t="shared" si="10"/>
        <v>10S4P</v>
      </c>
      <c r="AS109" s="225" t="str">
        <f t="shared" si="11"/>
        <v>5LEDLowDrv_SDI26FM_</v>
      </c>
      <c r="AT109" s="225" t="str">
        <f t="shared" si="12"/>
        <v>SW1_</v>
      </c>
      <c r="AU109" s="225" t="str">
        <f t="shared" si="25"/>
        <v>Aslp_Wup_CC_DUVP_</v>
      </c>
      <c r="AV109" s="225" t="e">
        <f t="shared" si="17"/>
        <v>#VALUE!</v>
      </c>
      <c r="AW109" s="225" t="b">
        <f t="shared" si="18"/>
        <v>0</v>
      </c>
      <c r="AX109" s="225" t="str">
        <f t="shared" si="14"/>
        <v>85KB0010K4-W021E11L_</v>
      </c>
      <c r="AY109" s="225" t="str">
        <f t="shared" si="15"/>
        <v>85KB0010K4_W021E11L_</v>
      </c>
      <c r="AZ109" s="664" t="str">
        <f t="shared" si="26"/>
        <v>136R_</v>
      </c>
    </row>
    <row r="110" spans="1:52" s="225" customFormat="1" ht="37.5">
      <c r="A110" s="713" t="s">
        <v>1998</v>
      </c>
      <c r="B110" s="714" t="s">
        <v>1362</v>
      </c>
      <c r="C110" s="715" t="s">
        <v>2003</v>
      </c>
      <c r="D110" s="713" t="s">
        <v>1344</v>
      </c>
      <c r="E110" s="280" t="str">
        <f t="shared" si="2"/>
        <v>10S4P</v>
      </c>
      <c r="F110" s="696" t="s">
        <v>939</v>
      </c>
      <c r="G110" s="719" t="s">
        <v>116</v>
      </c>
      <c r="H110" s="720">
        <v>5</v>
      </c>
      <c r="I110" s="806" t="s">
        <v>116</v>
      </c>
      <c r="J110" s="713"/>
      <c r="K110" s="806" t="s">
        <v>116</v>
      </c>
      <c r="L110" s="713"/>
      <c r="M110" s="713"/>
      <c r="N110" s="805"/>
      <c r="O110" s="713"/>
      <c r="P110" s="806" t="s">
        <v>116</v>
      </c>
      <c r="Q110" s="807" t="s">
        <v>116</v>
      </c>
      <c r="R110" s="713"/>
      <c r="S110" s="713"/>
      <c r="T110" s="808"/>
      <c r="U110" s="713"/>
      <c r="V110" s="807" t="s">
        <v>116</v>
      </c>
      <c r="W110" s="806" t="s">
        <v>116</v>
      </c>
      <c r="X110" s="713"/>
      <c r="Y110" s="713"/>
      <c r="Z110" s="809">
        <v>136</v>
      </c>
      <c r="AA110" s="809"/>
      <c r="AB110" s="809"/>
      <c r="AC110" s="727" t="s">
        <v>2004</v>
      </c>
      <c r="AD110" s="284" t="str">
        <f t="shared" si="3"/>
        <v>Pan_BLT360_36104_DU_10S4P5LEDLowDrv_SDI26FM_SW1_Aslp_Wup_CC_DUVP_136R_</v>
      </c>
      <c r="AJ110" s="225">
        <f t="shared" si="19"/>
        <v>3</v>
      </c>
      <c r="AK110" s="225">
        <f t="shared" si="20"/>
        <v>9</v>
      </c>
      <c r="AL110" s="225">
        <f t="shared" si="0"/>
        <v>36</v>
      </c>
      <c r="AM110" s="225">
        <f t="shared" si="1"/>
        <v>10.4</v>
      </c>
      <c r="AN110" s="225">
        <f t="shared" si="21"/>
        <v>26</v>
      </c>
      <c r="AO110" s="225">
        <f t="shared" si="22"/>
        <v>10</v>
      </c>
      <c r="AP110" s="225">
        <f t="shared" si="23"/>
        <v>4</v>
      </c>
      <c r="AQ110" s="225" t="str">
        <f t="shared" si="24"/>
        <v>ok</v>
      </c>
      <c r="AR110" s="225" t="str">
        <f t="shared" si="10"/>
        <v>10S4P</v>
      </c>
      <c r="AS110" s="225" t="str">
        <f t="shared" si="11"/>
        <v>5LEDLowDrv_SDI26FM_</v>
      </c>
      <c r="AT110" s="225" t="str">
        <f t="shared" si="12"/>
        <v>SW1_</v>
      </c>
      <c r="AU110" s="225" t="str">
        <f t="shared" si="25"/>
        <v>Aslp_Wup_CC_DUVP_</v>
      </c>
      <c r="AV110" s="225" t="e">
        <f t="shared" si="17"/>
        <v>#VALUE!</v>
      </c>
      <c r="AW110" s="225" t="b">
        <f t="shared" si="18"/>
        <v>0</v>
      </c>
      <c r="AX110" s="225" t="str">
        <f t="shared" si="14"/>
        <v>85KB0010K4-W021E13L_</v>
      </c>
      <c r="AY110" s="225" t="str">
        <f t="shared" si="15"/>
        <v>85KB0010K4_W021E13L_</v>
      </c>
      <c r="AZ110" s="664" t="str">
        <f t="shared" si="26"/>
        <v>136R_</v>
      </c>
    </row>
    <row r="111" spans="1:52" s="225" customFormat="1" ht="21">
      <c r="A111" s="713" t="s">
        <v>2005</v>
      </c>
      <c r="B111" s="716" t="s">
        <v>1929</v>
      </c>
      <c r="C111" s="715"/>
      <c r="D111" s="713" t="s">
        <v>1344</v>
      </c>
      <c r="E111" s="280" t="str">
        <f t="shared" si="2"/>
        <v>10S4P</v>
      </c>
      <c r="F111" s="696" t="s">
        <v>939</v>
      </c>
      <c r="G111" s="719" t="s">
        <v>116</v>
      </c>
      <c r="H111" s="720">
        <v>5</v>
      </c>
      <c r="I111" s="806" t="s">
        <v>116</v>
      </c>
      <c r="J111" s="713"/>
      <c r="K111" s="806" t="s">
        <v>116</v>
      </c>
      <c r="L111" s="713"/>
      <c r="M111" s="713" t="s">
        <v>116</v>
      </c>
      <c r="N111" s="806" t="s">
        <v>116</v>
      </c>
      <c r="O111" s="806"/>
      <c r="P111" s="806" t="s">
        <v>116</v>
      </c>
      <c r="Q111" s="807" t="s">
        <v>116</v>
      </c>
      <c r="R111" s="713"/>
      <c r="S111" s="713"/>
      <c r="T111" s="806" t="s">
        <v>116</v>
      </c>
      <c r="U111" s="713"/>
      <c r="V111" s="807" t="s">
        <v>116</v>
      </c>
      <c r="W111" s="806" t="s">
        <v>116</v>
      </c>
      <c r="X111" s="713"/>
      <c r="Y111" s="713"/>
      <c r="Z111" s="809">
        <v>136</v>
      </c>
      <c r="AA111" s="809"/>
      <c r="AB111" s="809"/>
      <c r="AC111" s="727" t="s">
        <v>2006</v>
      </c>
      <c r="AD111" s="284" t="str">
        <f t="shared" si="3"/>
        <v>Ares_HM_36104_D_10S4P5LEDLowDrv_SDI26FM_SW1_NTC2_SW2_Aslp_Wup_Blight_CC_DUVP_136R_</v>
      </c>
      <c r="AJ111" s="225">
        <f t="shared" si="19"/>
        <v>3</v>
      </c>
      <c r="AK111" s="225">
        <f t="shared" si="20"/>
        <v>9</v>
      </c>
      <c r="AL111" s="225">
        <f t="shared" si="0"/>
        <v>36</v>
      </c>
      <c r="AM111" s="225">
        <f t="shared" si="1"/>
        <v>10.4</v>
      </c>
      <c r="AN111" s="225">
        <f t="shared" si="21"/>
        <v>26</v>
      </c>
      <c r="AO111" s="225">
        <f t="shared" si="22"/>
        <v>10</v>
      </c>
      <c r="AP111" s="225">
        <f t="shared" si="23"/>
        <v>4</v>
      </c>
      <c r="AQ111" s="225" t="str">
        <f t="shared" si="24"/>
        <v>ok</v>
      </c>
      <c r="AR111" s="225" t="str">
        <f t="shared" si="10"/>
        <v>10S4P</v>
      </c>
      <c r="AS111" s="225" t="str">
        <f t="shared" si="11"/>
        <v>5LEDLowDrv_SDI26FM_</v>
      </c>
      <c r="AT111" s="225" t="str">
        <f t="shared" si="12"/>
        <v>SW1_NTC2_SW2_</v>
      </c>
      <c r="AU111" s="225" t="str">
        <f t="shared" si="25"/>
        <v>Aslp_Wup_Blight_CC_DUVP_</v>
      </c>
      <c r="AV111" s="225" t="e">
        <f t="shared" si="17"/>
        <v>#VALUE!</v>
      </c>
      <c r="AW111" s="225" t="b">
        <f t="shared" si="18"/>
        <v>1</v>
      </c>
      <c r="AX111" s="225" t="str">
        <f t="shared" si="14"/>
        <v/>
      </c>
      <c r="AY111" s="225" t="str">
        <f t="shared" si="15"/>
        <v/>
      </c>
      <c r="AZ111" s="664" t="str">
        <f t="shared" si="26"/>
        <v>136R_</v>
      </c>
    </row>
    <row r="112" spans="1:52" s="225" customFormat="1" ht="32.25">
      <c r="A112" s="713" t="s">
        <v>2005</v>
      </c>
      <c r="B112" s="716" t="s">
        <v>1929</v>
      </c>
      <c r="C112" s="715"/>
      <c r="D112" s="713" t="s">
        <v>1344</v>
      </c>
      <c r="E112" s="280" t="str">
        <f t="shared" si="2"/>
        <v>10S4P</v>
      </c>
      <c r="F112" s="696" t="s">
        <v>939</v>
      </c>
      <c r="G112" s="719" t="s">
        <v>116</v>
      </c>
      <c r="H112" s="720">
        <v>5</v>
      </c>
      <c r="I112" s="806" t="s">
        <v>116</v>
      </c>
      <c r="J112" s="713"/>
      <c r="K112" s="806" t="s">
        <v>685</v>
      </c>
      <c r="L112" s="713"/>
      <c r="M112" s="713"/>
      <c r="N112" s="806" t="s">
        <v>116</v>
      </c>
      <c r="O112" s="806"/>
      <c r="P112" s="806" t="s">
        <v>116</v>
      </c>
      <c r="Q112" s="807" t="s">
        <v>116</v>
      </c>
      <c r="R112" s="713"/>
      <c r="S112" s="713"/>
      <c r="T112" s="806" t="s">
        <v>116</v>
      </c>
      <c r="U112" s="713"/>
      <c r="V112" s="807" t="s">
        <v>116</v>
      </c>
      <c r="W112" s="806" t="s">
        <v>116</v>
      </c>
      <c r="X112" s="713"/>
      <c r="Y112" s="713"/>
      <c r="Z112" s="809">
        <v>136</v>
      </c>
      <c r="AA112" s="809"/>
      <c r="AB112" s="809"/>
      <c r="AC112" s="768" t="s">
        <v>2045</v>
      </c>
      <c r="AD112" s="284" t="str">
        <f t="shared" si="3"/>
        <v>Ares_HM_36104_D_10S4P5LEDLowDrv_SDI26FM_SW1_SW2_Aslp_Wup_Blight_CC_DUVP_136R_</v>
      </c>
      <c r="AJ112" s="225">
        <f t="shared" si="19"/>
        <v>3</v>
      </c>
      <c r="AK112" s="225">
        <f t="shared" si="20"/>
        <v>9</v>
      </c>
      <c r="AL112" s="225">
        <f t="shared" si="0"/>
        <v>36</v>
      </c>
      <c r="AM112" s="225">
        <f t="shared" si="1"/>
        <v>10.4</v>
      </c>
      <c r="AN112" s="225">
        <f t="shared" si="21"/>
        <v>26</v>
      </c>
      <c r="AO112" s="225">
        <f t="shared" si="22"/>
        <v>10</v>
      </c>
      <c r="AP112" s="225">
        <f t="shared" si="23"/>
        <v>4</v>
      </c>
      <c r="AQ112" s="225" t="str">
        <f t="shared" si="24"/>
        <v>ok</v>
      </c>
      <c r="AR112" s="225" t="str">
        <f t="shared" si="10"/>
        <v>10S4P</v>
      </c>
      <c r="AS112" s="225" t="str">
        <f t="shared" si="11"/>
        <v>5LEDLowDrv_SDI26FM_</v>
      </c>
      <c r="AT112" s="225" t="str">
        <f t="shared" si="12"/>
        <v>SW1_SW2_</v>
      </c>
      <c r="AU112" s="225" t="str">
        <f t="shared" si="25"/>
        <v>Aslp_Wup_Blight_CC_DUVP_</v>
      </c>
      <c r="AV112" s="225" t="e">
        <f t="shared" si="17"/>
        <v>#VALUE!</v>
      </c>
      <c r="AW112" s="225" t="b">
        <f t="shared" si="18"/>
        <v>1</v>
      </c>
      <c r="AX112" s="225" t="str">
        <f t="shared" si="14"/>
        <v/>
      </c>
      <c r="AY112" s="225" t="str">
        <f t="shared" si="15"/>
        <v/>
      </c>
      <c r="AZ112" s="664" t="str">
        <f t="shared" si="26"/>
        <v>136R_</v>
      </c>
    </row>
    <row r="113" spans="1:52" s="225" customFormat="1" ht="42">
      <c r="A113" s="713" t="s">
        <v>2018</v>
      </c>
      <c r="B113" s="714" t="s">
        <v>2021</v>
      </c>
      <c r="C113" s="715"/>
      <c r="D113" s="713" t="s">
        <v>1344</v>
      </c>
      <c r="E113" s="280" t="str">
        <f t="shared" si="2"/>
        <v>10S4P</v>
      </c>
      <c r="F113" s="696" t="s">
        <v>939</v>
      </c>
      <c r="G113" s="719" t="s">
        <v>116</v>
      </c>
      <c r="H113" s="720" t="s">
        <v>1427</v>
      </c>
      <c r="I113" s="806" t="s">
        <v>116</v>
      </c>
      <c r="J113" s="713"/>
      <c r="K113" s="806" t="s">
        <v>116</v>
      </c>
      <c r="L113" s="713"/>
      <c r="M113" s="713"/>
      <c r="N113" s="806"/>
      <c r="O113" s="806"/>
      <c r="P113" s="806" t="s">
        <v>116</v>
      </c>
      <c r="Q113" s="807" t="s">
        <v>116</v>
      </c>
      <c r="R113" s="713"/>
      <c r="S113" s="713"/>
      <c r="T113" s="806"/>
      <c r="U113" s="713"/>
      <c r="V113" s="807" t="s">
        <v>116</v>
      </c>
      <c r="W113" s="806" t="s">
        <v>116</v>
      </c>
      <c r="X113" s="713"/>
      <c r="Y113" s="713"/>
      <c r="Z113" s="809">
        <v>136</v>
      </c>
      <c r="AA113" s="809"/>
      <c r="AB113" s="809"/>
      <c r="AC113" s="727" t="s">
        <v>2024</v>
      </c>
      <c r="AD113" s="284" t="str">
        <f t="shared" si="3"/>
        <v>Pan_BTG1439_36104_DG_10S4PN4LEDLowDrv_SDI26FM_SW1_Aslp_Wup_CC_DUVP_136R_</v>
      </c>
      <c r="AJ113" s="225">
        <f t="shared" si="19"/>
        <v>3</v>
      </c>
      <c r="AK113" s="225">
        <f t="shared" si="20"/>
        <v>9</v>
      </c>
      <c r="AL113" s="225">
        <f t="shared" si="0"/>
        <v>36</v>
      </c>
      <c r="AM113" s="225">
        <f t="shared" si="1"/>
        <v>10.4</v>
      </c>
      <c r="AN113" s="225">
        <f t="shared" si="21"/>
        <v>26</v>
      </c>
      <c r="AO113" s="225">
        <f t="shared" si="22"/>
        <v>10</v>
      </c>
      <c r="AP113" s="225">
        <f t="shared" si="23"/>
        <v>4</v>
      </c>
      <c r="AQ113" s="225" t="str">
        <f t="shared" si="24"/>
        <v>ok</v>
      </c>
      <c r="AR113" s="225" t="str">
        <f t="shared" si="10"/>
        <v>10S4P</v>
      </c>
      <c r="AS113" s="225" t="str">
        <f t="shared" si="11"/>
        <v>N4LEDLowDrv_SDI26FM_</v>
      </c>
      <c r="AT113" s="225" t="str">
        <f t="shared" si="12"/>
        <v>SW1_</v>
      </c>
      <c r="AU113" s="225" t="str">
        <f t="shared" si="25"/>
        <v>Aslp_Wup_CC_DUVP_</v>
      </c>
      <c r="AV113" s="225" t="e">
        <f t="shared" si="17"/>
        <v>#VALUE!</v>
      </c>
      <c r="AW113" s="225" t="b">
        <f t="shared" si="18"/>
        <v>1</v>
      </c>
      <c r="AX113" s="225" t="str">
        <f t="shared" si="14"/>
        <v/>
      </c>
      <c r="AY113" s="225" t="str">
        <f t="shared" si="15"/>
        <v/>
      </c>
      <c r="AZ113" s="664" t="str">
        <f t="shared" si="26"/>
        <v>136R_</v>
      </c>
    </row>
    <row r="114" spans="1:52" s="225" customFormat="1" ht="42">
      <c r="A114" s="713" t="s">
        <v>2023</v>
      </c>
      <c r="B114" s="714" t="s">
        <v>2021</v>
      </c>
      <c r="C114" s="715"/>
      <c r="D114" s="713" t="s">
        <v>1902</v>
      </c>
      <c r="E114" s="280" t="str">
        <f t="shared" si="2"/>
        <v>10S4P</v>
      </c>
      <c r="F114" s="802" t="s">
        <v>1903</v>
      </c>
      <c r="G114" s="719" t="s">
        <v>116</v>
      </c>
      <c r="H114" s="720" t="s">
        <v>1427</v>
      </c>
      <c r="I114" s="806" t="s">
        <v>116</v>
      </c>
      <c r="J114" s="713"/>
      <c r="K114" s="806" t="s">
        <v>116</v>
      </c>
      <c r="L114" s="713"/>
      <c r="M114" s="713"/>
      <c r="N114" s="806"/>
      <c r="O114" s="806"/>
      <c r="P114" s="806" t="s">
        <v>116</v>
      </c>
      <c r="Q114" s="807" t="s">
        <v>116</v>
      </c>
      <c r="R114" s="713"/>
      <c r="S114" s="713"/>
      <c r="T114" s="806"/>
      <c r="U114" s="713"/>
      <c r="V114" s="807" t="s">
        <v>116</v>
      </c>
      <c r="W114" s="806" t="s">
        <v>116</v>
      </c>
      <c r="X114" s="713"/>
      <c r="Y114" s="713"/>
      <c r="Z114" s="809">
        <v>136</v>
      </c>
      <c r="AA114" s="809"/>
      <c r="AB114" s="809"/>
      <c r="AC114" s="727" t="s">
        <v>2024</v>
      </c>
      <c r="AD114" s="284" t="str">
        <f t="shared" si="3"/>
        <v>Pan_BTG1439_36116_DG_10S4PN4LEDLowDrv_SDI29E_SW1_Aslp_Wup_CC_DUVP_136R_</v>
      </c>
      <c r="AJ114" s="225">
        <f t="shared" si="19"/>
        <v>3</v>
      </c>
      <c r="AK114" s="225">
        <f t="shared" si="20"/>
        <v>9</v>
      </c>
      <c r="AL114" s="225">
        <f t="shared" si="0"/>
        <v>36</v>
      </c>
      <c r="AM114" s="225">
        <f t="shared" si="1"/>
        <v>11.6</v>
      </c>
      <c r="AN114" s="225">
        <f t="shared" si="21"/>
        <v>29</v>
      </c>
      <c r="AO114" s="225">
        <f t="shared" si="22"/>
        <v>10</v>
      </c>
      <c r="AP114" s="225">
        <f t="shared" si="23"/>
        <v>4</v>
      </c>
      <c r="AQ114" s="225" t="str">
        <f t="shared" si="24"/>
        <v>ok</v>
      </c>
      <c r="AR114" s="225" t="str">
        <f t="shared" si="10"/>
        <v>10S4P</v>
      </c>
      <c r="AS114" s="225" t="str">
        <f t="shared" si="11"/>
        <v>N4LEDLowDrv_SDI29E_</v>
      </c>
      <c r="AT114" s="225" t="str">
        <f t="shared" si="12"/>
        <v>SW1_</v>
      </c>
      <c r="AU114" s="225" t="str">
        <f t="shared" si="25"/>
        <v>Aslp_Wup_CC_DUVP_</v>
      </c>
      <c r="AV114" s="225" t="e">
        <f t="shared" si="17"/>
        <v>#VALUE!</v>
      </c>
      <c r="AW114" s="225" t="b">
        <f t="shared" si="18"/>
        <v>1</v>
      </c>
      <c r="AX114" s="225" t="str">
        <f t="shared" si="14"/>
        <v/>
      </c>
      <c r="AY114" s="225" t="str">
        <f t="shared" si="15"/>
        <v/>
      </c>
      <c r="AZ114" s="664" t="str">
        <f t="shared" si="26"/>
        <v>136R_</v>
      </c>
    </row>
    <row r="115" spans="1:52" s="225" customFormat="1" ht="21">
      <c r="A115" s="713" t="s">
        <v>2029</v>
      </c>
      <c r="B115" s="714" t="s">
        <v>2030</v>
      </c>
      <c r="C115" s="715"/>
      <c r="D115" s="717" t="s">
        <v>1582</v>
      </c>
      <c r="E115" s="280" t="str">
        <f t="shared" si="2"/>
        <v>10S3P</v>
      </c>
      <c r="F115" s="696" t="s">
        <v>939</v>
      </c>
      <c r="G115" s="719" t="s">
        <v>116</v>
      </c>
      <c r="H115" s="765" t="s">
        <v>1427</v>
      </c>
      <c r="I115" s="803" t="s">
        <v>116</v>
      </c>
      <c r="J115" s="713"/>
      <c r="K115" s="803" t="s">
        <v>116</v>
      </c>
      <c r="L115" s="713"/>
      <c r="M115" s="713"/>
      <c r="N115" s="805"/>
      <c r="O115" s="713"/>
      <c r="P115" s="806" t="s">
        <v>116</v>
      </c>
      <c r="Q115" s="807" t="s">
        <v>116</v>
      </c>
      <c r="R115" s="713"/>
      <c r="S115" s="713"/>
      <c r="T115" s="808"/>
      <c r="U115" s="713"/>
      <c r="V115" s="807" t="s">
        <v>116</v>
      </c>
      <c r="W115" s="806" t="s">
        <v>116</v>
      </c>
      <c r="X115" s="713"/>
      <c r="Y115" s="806"/>
      <c r="Z115" s="809">
        <v>136</v>
      </c>
      <c r="AA115" s="809"/>
      <c r="AB115" s="809"/>
      <c r="AC115" s="727" t="s">
        <v>2031</v>
      </c>
      <c r="AD115" s="284" t="str">
        <f t="shared" si="3"/>
        <v>Pan_BTG412_36078_D_10S3PN4LEDLowDrv_SDI26FM_SW1_Aslp_Wup_CC_DUVP_136R_</v>
      </c>
      <c r="AJ115" s="225">
        <f t="shared" si="19"/>
        <v>3</v>
      </c>
      <c r="AK115" s="225">
        <f t="shared" si="20"/>
        <v>8</v>
      </c>
      <c r="AL115" s="225">
        <f t="shared" si="0"/>
        <v>36</v>
      </c>
      <c r="AM115" s="225">
        <f t="shared" si="1"/>
        <v>7.8</v>
      </c>
      <c r="AN115" s="225">
        <f t="shared" si="21"/>
        <v>26</v>
      </c>
      <c r="AO115" s="225">
        <f t="shared" si="22"/>
        <v>10</v>
      </c>
      <c r="AP115" s="225">
        <f t="shared" si="23"/>
        <v>3</v>
      </c>
      <c r="AQ115" s="225" t="str">
        <f t="shared" si="24"/>
        <v>ok</v>
      </c>
      <c r="AR115" s="225" t="str">
        <f t="shared" si="10"/>
        <v>10S3P</v>
      </c>
      <c r="AS115" s="225" t="str">
        <f t="shared" si="11"/>
        <v>N4LEDLowDrv_SDI26FM_</v>
      </c>
      <c r="AT115" s="225" t="str">
        <f t="shared" si="12"/>
        <v>SW1_</v>
      </c>
      <c r="AU115" s="225" t="str">
        <f t="shared" si="25"/>
        <v>Aslp_Wup_CC_DUVP_</v>
      </c>
      <c r="AV115" s="225" t="e">
        <f t="shared" si="17"/>
        <v>#VALUE!</v>
      </c>
      <c r="AW115" s="225" t="b">
        <f t="shared" si="18"/>
        <v>1</v>
      </c>
      <c r="AX115" s="225" t="str">
        <f t="shared" si="14"/>
        <v/>
      </c>
      <c r="AY115" s="225" t="str">
        <f t="shared" si="15"/>
        <v/>
      </c>
      <c r="AZ115" s="664" t="str">
        <f t="shared" si="26"/>
        <v>136R_</v>
      </c>
    </row>
    <row r="116" spans="1:52" s="225" customFormat="1" ht="21">
      <c r="A116" s="713" t="s">
        <v>2034</v>
      </c>
      <c r="B116" s="714" t="s">
        <v>2035</v>
      </c>
      <c r="C116" s="715"/>
      <c r="D116" s="713" t="s">
        <v>959</v>
      </c>
      <c r="E116" s="280" t="str">
        <f t="shared" si="2"/>
        <v>10S5P</v>
      </c>
      <c r="F116" s="696" t="s">
        <v>939</v>
      </c>
      <c r="G116" s="719" t="s">
        <v>116</v>
      </c>
      <c r="H116" s="720">
        <v>4</v>
      </c>
      <c r="I116" s="806" t="s">
        <v>116</v>
      </c>
      <c r="J116" s="713"/>
      <c r="K116" s="806" t="s">
        <v>116</v>
      </c>
      <c r="L116" s="713"/>
      <c r="M116" s="713"/>
      <c r="N116" s="805"/>
      <c r="O116" s="713"/>
      <c r="P116" s="806" t="s">
        <v>116</v>
      </c>
      <c r="Q116" s="807" t="s">
        <v>116</v>
      </c>
      <c r="R116" s="713"/>
      <c r="S116" s="713"/>
      <c r="T116" s="808"/>
      <c r="U116" s="713"/>
      <c r="V116" s="807" t="s">
        <v>116</v>
      </c>
      <c r="W116" s="806" t="s">
        <v>116</v>
      </c>
      <c r="X116" s="713"/>
      <c r="Y116" s="806"/>
      <c r="Z116" s="809">
        <v>136</v>
      </c>
      <c r="AA116" s="809"/>
      <c r="AB116" s="809"/>
      <c r="AC116" s="727" t="s">
        <v>2037</v>
      </c>
      <c r="AD116" s="284" t="str">
        <f t="shared" si="3"/>
        <v>Pan_RN1_36130_D_10S5P4LEDLowDrv_SDI26FM_SW1_Aslp_Wup_CC_DUVP_136R_</v>
      </c>
      <c r="AJ116" s="225">
        <f t="shared" si="19"/>
        <v>3</v>
      </c>
      <c r="AK116" s="225">
        <f t="shared" si="20"/>
        <v>9</v>
      </c>
      <c r="AL116" s="225">
        <f t="shared" si="0"/>
        <v>36</v>
      </c>
      <c r="AM116" s="225">
        <f t="shared" si="1"/>
        <v>13</v>
      </c>
      <c r="AN116" s="225">
        <f t="shared" si="21"/>
        <v>26</v>
      </c>
      <c r="AO116" s="225">
        <f t="shared" si="22"/>
        <v>10</v>
      </c>
      <c r="AP116" s="225">
        <f t="shared" si="23"/>
        <v>5</v>
      </c>
      <c r="AQ116" s="225" t="str">
        <f t="shared" si="24"/>
        <v>ok</v>
      </c>
      <c r="AR116" s="225" t="str">
        <f t="shared" si="10"/>
        <v>10S5P</v>
      </c>
      <c r="AS116" s="225" t="str">
        <f t="shared" si="11"/>
        <v>4LEDLowDrv_SDI26FM_</v>
      </c>
      <c r="AT116" s="225" t="str">
        <f t="shared" si="12"/>
        <v>SW1_</v>
      </c>
      <c r="AU116" s="225" t="str">
        <f t="shared" si="25"/>
        <v>Aslp_Wup_CC_DUVP_</v>
      </c>
      <c r="AV116" s="225" t="e">
        <f t="shared" si="17"/>
        <v>#VALUE!</v>
      </c>
      <c r="AW116" s="225" t="b">
        <f t="shared" si="18"/>
        <v>1</v>
      </c>
      <c r="AX116" s="225" t="str">
        <f t="shared" si="14"/>
        <v/>
      </c>
      <c r="AY116" s="225" t="str">
        <f t="shared" si="15"/>
        <v/>
      </c>
      <c r="AZ116" s="664" t="str">
        <f t="shared" si="26"/>
        <v>136R_</v>
      </c>
    </row>
    <row r="117" spans="1:52" s="225" customFormat="1" ht="42">
      <c r="A117" s="713" t="s">
        <v>2040</v>
      </c>
      <c r="B117" s="714" t="s">
        <v>2039</v>
      </c>
      <c r="C117" s="820"/>
      <c r="D117" s="713" t="s">
        <v>1101</v>
      </c>
      <c r="E117" s="280" t="str">
        <f t="shared" si="2"/>
        <v>13S5P</v>
      </c>
      <c r="F117" s="696" t="s">
        <v>939</v>
      </c>
      <c r="G117" s="719" t="s">
        <v>116</v>
      </c>
      <c r="H117" s="765" t="s">
        <v>1012</v>
      </c>
      <c r="I117" s="807"/>
      <c r="J117" s="713"/>
      <c r="K117" s="804" t="s">
        <v>116</v>
      </c>
      <c r="L117" s="713"/>
      <c r="M117" s="713"/>
      <c r="N117" s="805"/>
      <c r="O117" s="713"/>
      <c r="P117" s="713" t="s">
        <v>116</v>
      </c>
      <c r="Q117" s="807" t="s">
        <v>116</v>
      </c>
      <c r="R117" s="713"/>
      <c r="S117" s="713"/>
      <c r="T117" s="808"/>
      <c r="U117" s="713"/>
      <c r="V117" s="807" t="s">
        <v>116</v>
      </c>
      <c r="W117" s="713" t="s">
        <v>116</v>
      </c>
      <c r="X117" s="713"/>
      <c r="Y117" s="713"/>
      <c r="Z117" s="809">
        <v>136</v>
      </c>
      <c r="AA117" s="809"/>
      <c r="AB117" s="809"/>
      <c r="AC117" s="727" t="s">
        <v>2041</v>
      </c>
      <c r="AD117" s="284" t="str">
        <f t="shared" si="3"/>
        <v>Pan_THY3_48130_YC_13S5PN3LED_SDI26FM_SW1_Aslp_Wup_CC_DUVP_136R_</v>
      </c>
      <c r="AJ117" s="225">
        <f t="shared" si="19"/>
        <v>3</v>
      </c>
      <c r="AK117" s="225">
        <f t="shared" si="20"/>
        <v>9</v>
      </c>
      <c r="AL117" s="225">
        <f t="shared" si="0"/>
        <v>48</v>
      </c>
      <c r="AM117" s="225">
        <f t="shared" si="1"/>
        <v>13</v>
      </c>
      <c r="AN117" s="225">
        <f t="shared" si="21"/>
        <v>26</v>
      </c>
      <c r="AO117" s="225">
        <f t="shared" si="22"/>
        <v>13</v>
      </c>
      <c r="AP117" s="225">
        <f t="shared" si="23"/>
        <v>5</v>
      </c>
      <c r="AQ117" s="225" t="str">
        <f t="shared" si="24"/>
        <v>ok</v>
      </c>
      <c r="AR117" s="225" t="str">
        <f t="shared" si="10"/>
        <v>13S5P</v>
      </c>
      <c r="AS117" s="225" t="str">
        <f t="shared" si="11"/>
        <v>N3LED_SDI26FM_</v>
      </c>
      <c r="AT117" s="225" t="str">
        <f t="shared" si="12"/>
        <v>SW1_</v>
      </c>
      <c r="AU117" s="225" t="str">
        <f t="shared" si="25"/>
        <v>Aslp_Wup_CC_DUVP_</v>
      </c>
      <c r="AV117" s="225" t="e">
        <f t="shared" si="17"/>
        <v>#VALUE!</v>
      </c>
      <c r="AW117" s="225" t="b">
        <f t="shared" si="18"/>
        <v>1</v>
      </c>
      <c r="AX117" s="225" t="str">
        <f t="shared" si="14"/>
        <v/>
      </c>
      <c r="AY117" s="225" t="str">
        <f t="shared" si="15"/>
        <v/>
      </c>
      <c r="AZ117" s="664" t="str">
        <f t="shared" si="26"/>
        <v>136R_</v>
      </c>
    </row>
    <row r="118" spans="1:52" s="225" customFormat="1" ht="21">
      <c r="A118" s="713" t="s">
        <v>2042</v>
      </c>
      <c r="B118" s="716"/>
      <c r="C118" s="715"/>
      <c r="D118" s="713" t="s">
        <v>2043</v>
      </c>
      <c r="E118" s="280" t="str">
        <f t="shared" si="2"/>
        <v>7S3P</v>
      </c>
      <c r="F118" s="696" t="s">
        <v>939</v>
      </c>
      <c r="G118" s="719" t="s">
        <v>116</v>
      </c>
      <c r="H118" s="720">
        <v>5</v>
      </c>
      <c r="I118" s="806"/>
      <c r="J118" s="713"/>
      <c r="K118" s="806" t="s">
        <v>116</v>
      </c>
      <c r="L118" s="713"/>
      <c r="M118" s="713"/>
      <c r="N118" s="805"/>
      <c r="O118" s="713"/>
      <c r="P118" s="806" t="s">
        <v>116</v>
      </c>
      <c r="Q118" s="807" t="s">
        <v>116</v>
      </c>
      <c r="R118" s="713"/>
      <c r="S118" s="713"/>
      <c r="T118" s="808"/>
      <c r="U118" s="713"/>
      <c r="V118" s="807" t="s">
        <v>116</v>
      </c>
      <c r="W118" s="806" t="s">
        <v>116</v>
      </c>
      <c r="X118" s="713"/>
      <c r="Y118" s="713"/>
      <c r="Z118" s="809">
        <v>136</v>
      </c>
      <c r="AA118" s="809"/>
      <c r="AB118" s="809"/>
      <c r="AC118" s="727" t="s">
        <v>2044</v>
      </c>
      <c r="AD118" s="284" t="str">
        <f t="shared" si="3"/>
        <v>Cupid_26076_SU_7S3P5LED_SDI26FM_SW1_Aslp_Wup_CC_DUVP_136R_</v>
      </c>
      <c r="AJ118" s="225">
        <f t="shared" si="19"/>
        <v>3</v>
      </c>
      <c r="AK118" s="225">
        <f t="shared" si="20"/>
        <v>8</v>
      </c>
      <c r="AL118" s="225">
        <f t="shared" si="0"/>
        <v>26</v>
      </c>
      <c r="AM118" s="225">
        <f t="shared" si="1"/>
        <v>7.6</v>
      </c>
      <c r="AN118" s="225">
        <f t="shared" si="21"/>
        <v>26</v>
      </c>
      <c r="AO118" s="225">
        <f t="shared" si="22"/>
        <v>7</v>
      </c>
      <c r="AP118" s="225">
        <f t="shared" si="23"/>
        <v>3</v>
      </c>
      <c r="AQ118" s="225" t="str">
        <f t="shared" si="24"/>
        <v>ok</v>
      </c>
      <c r="AR118" s="225" t="str">
        <f t="shared" si="10"/>
        <v>7S3P</v>
      </c>
      <c r="AS118" s="225" t="str">
        <f t="shared" si="11"/>
        <v>5LED_SDI26FM_</v>
      </c>
      <c r="AT118" s="225" t="str">
        <f t="shared" si="12"/>
        <v>SW1_</v>
      </c>
      <c r="AU118" s="225" t="str">
        <f t="shared" si="25"/>
        <v>Aslp_Wup_CC_DUVP_</v>
      </c>
      <c r="AV118" s="225" t="e">
        <f t="shared" si="17"/>
        <v>#VALUE!</v>
      </c>
      <c r="AW118" s="225" t="b">
        <f t="shared" si="18"/>
        <v>1</v>
      </c>
      <c r="AX118" s="225" t="str">
        <f t="shared" si="14"/>
        <v/>
      </c>
      <c r="AY118" s="225" t="str">
        <f t="shared" si="15"/>
        <v/>
      </c>
      <c r="AZ118" s="664" t="str">
        <f t="shared" si="26"/>
        <v>136R_</v>
      </c>
    </row>
    <row r="119" spans="1:52" s="225" customFormat="1" ht="21">
      <c r="A119" s="713" t="s">
        <v>2046</v>
      </c>
      <c r="B119" s="716"/>
      <c r="C119" s="715"/>
      <c r="D119" s="713" t="s">
        <v>2048</v>
      </c>
      <c r="E119" s="280" t="str">
        <f t="shared" si="2"/>
        <v>10S5P</v>
      </c>
      <c r="F119" s="696" t="s">
        <v>939</v>
      </c>
      <c r="G119" s="719" t="s">
        <v>116</v>
      </c>
      <c r="H119" s="720">
        <v>3</v>
      </c>
      <c r="I119" s="807"/>
      <c r="J119" s="713"/>
      <c r="K119" s="806" t="s">
        <v>116</v>
      </c>
      <c r="L119" s="713"/>
      <c r="M119" s="713"/>
      <c r="N119" s="805"/>
      <c r="O119" s="713"/>
      <c r="P119" s="806" t="s">
        <v>116</v>
      </c>
      <c r="Q119" s="807" t="s">
        <v>116</v>
      </c>
      <c r="R119" s="713"/>
      <c r="S119" s="713"/>
      <c r="T119" s="808"/>
      <c r="U119" s="713"/>
      <c r="V119" s="807" t="s">
        <v>116</v>
      </c>
      <c r="W119" s="806" t="s">
        <v>116</v>
      </c>
      <c r="X119" s="713"/>
      <c r="Y119" s="713"/>
      <c r="Z119" s="809">
        <v>136</v>
      </c>
      <c r="AA119" s="809"/>
      <c r="AB119" s="809"/>
      <c r="AC119" s="727" t="s">
        <v>2044</v>
      </c>
      <c r="AD119" s="284" t="str">
        <f t="shared" si="3"/>
        <v>Pan_B285_36130_Y_10S5P3LED_SDI26FM_SW1_Aslp_Wup_CC_DUVP_136R_</v>
      </c>
      <c r="AJ119" s="225">
        <f t="shared" si="19"/>
        <v>3</v>
      </c>
      <c r="AK119" s="225">
        <f t="shared" si="20"/>
        <v>9</v>
      </c>
      <c r="AL119" s="225">
        <f t="shared" si="0"/>
        <v>36</v>
      </c>
      <c r="AM119" s="225">
        <f t="shared" si="1"/>
        <v>13</v>
      </c>
      <c r="AN119" s="225">
        <f t="shared" si="21"/>
        <v>26</v>
      </c>
      <c r="AO119" s="225">
        <f t="shared" si="22"/>
        <v>10</v>
      </c>
      <c r="AP119" s="225">
        <f t="shared" si="23"/>
        <v>5</v>
      </c>
      <c r="AQ119" s="225" t="str">
        <f t="shared" si="24"/>
        <v>ok</v>
      </c>
      <c r="AR119" s="225" t="str">
        <f t="shared" si="10"/>
        <v>10S5P</v>
      </c>
      <c r="AS119" s="225" t="str">
        <f t="shared" si="11"/>
        <v>3LED_SDI26FM_</v>
      </c>
      <c r="AT119" s="225" t="str">
        <f t="shared" si="12"/>
        <v>SW1_</v>
      </c>
      <c r="AU119" s="225" t="str">
        <f t="shared" si="25"/>
        <v>Aslp_Wup_CC_DUVP_</v>
      </c>
      <c r="AV119" s="225" t="e">
        <f t="shared" si="17"/>
        <v>#VALUE!</v>
      </c>
      <c r="AW119" s="225" t="b">
        <f t="shared" si="18"/>
        <v>1</v>
      </c>
      <c r="AX119" s="225" t="str">
        <f t="shared" si="14"/>
        <v/>
      </c>
      <c r="AY119" s="225" t="str">
        <f t="shared" si="15"/>
        <v/>
      </c>
      <c r="AZ119" s="664" t="str">
        <f t="shared" si="26"/>
        <v>136R_</v>
      </c>
    </row>
    <row r="120" spans="1:52" s="225" customFormat="1" ht="21">
      <c r="A120" s="713" t="s">
        <v>2050</v>
      </c>
      <c r="B120" s="716"/>
      <c r="C120" s="715"/>
      <c r="D120" s="713" t="s">
        <v>1086</v>
      </c>
      <c r="E120" s="280" t="str">
        <f t="shared" si="2"/>
        <v>13S5P</v>
      </c>
      <c r="F120" s="696" t="s">
        <v>939</v>
      </c>
      <c r="G120" s="719" t="s">
        <v>116</v>
      </c>
      <c r="H120" s="720">
        <v>4</v>
      </c>
      <c r="I120" s="806" t="s">
        <v>116</v>
      </c>
      <c r="J120" s="713"/>
      <c r="K120" s="806" t="s">
        <v>116</v>
      </c>
      <c r="L120" s="713"/>
      <c r="M120" s="713"/>
      <c r="N120" s="805"/>
      <c r="O120" s="713"/>
      <c r="P120" s="806" t="s">
        <v>116</v>
      </c>
      <c r="Q120" s="807" t="s">
        <v>116</v>
      </c>
      <c r="R120" s="713"/>
      <c r="S120" s="713"/>
      <c r="T120" s="808"/>
      <c r="U120" s="713"/>
      <c r="V120" s="807" t="s">
        <v>116</v>
      </c>
      <c r="W120" s="806" t="s">
        <v>116</v>
      </c>
      <c r="X120" s="713"/>
      <c r="Y120" s="806"/>
      <c r="Z120" s="809">
        <v>136</v>
      </c>
      <c r="AA120" s="809"/>
      <c r="AB120" s="809"/>
      <c r="AC120" s="727" t="s">
        <v>2044</v>
      </c>
      <c r="AD120" s="284" t="str">
        <f t="shared" si="3"/>
        <v>Ares_TB_350_48130_D_13S5P4LEDLowDrv_SDI26FM_SW1_Aslp_Wup_CC_DUVP_136R_</v>
      </c>
      <c r="AJ120" s="225">
        <f t="shared" si="19"/>
        <v>3</v>
      </c>
      <c r="AK120" s="225">
        <f t="shared" si="20"/>
        <v>9</v>
      </c>
      <c r="AL120" s="225">
        <f t="shared" si="0"/>
        <v>48</v>
      </c>
      <c r="AM120" s="225">
        <f t="shared" si="1"/>
        <v>13</v>
      </c>
      <c r="AN120" s="225">
        <f t="shared" si="21"/>
        <v>26</v>
      </c>
      <c r="AO120" s="225">
        <f t="shared" si="22"/>
        <v>13</v>
      </c>
      <c r="AP120" s="225">
        <f t="shared" si="23"/>
        <v>5</v>
      </c>
      <c r="AQ120" s="225" t="str">
        <f t="shared" si="24"/>
        <v>ok</v>
      </c>
      <c r="AR120" s="225" t="str">
        <f t="shared" si="10"/>
        <v>13S5P</v>
      </c>
      <c r="AS120" s="225" t="str">
        <f t="shared" si="11"/>
        <v>4LEDLowDrv_SDI26FM_</v>
      </c>
      <c r="AT120" s="225" t="str">
        <f t="shared" si="12"/>
        <v>SW1_</v>
      </c>
      <c r="AU120" s="225" t="str">
        <f t="shared" si="25"/>
        <v>Aslp_Wup_CC_DUVP_</v>
      </c>
      <c r="AV120" s="225" t="e">
        <f t="shared" si="17"/>
        <v>#VALUE!</v>
      </c>
      <c r="AW120" s="225" t="b">
        <f t="shared" si="18"/>
        <v>1</v>
      </c>
      <c r="AX120" s="225" t="str">
        <f t="shared" si="14"/>
        <v/>
      </c>
      <c r="AY120" s="225" t="str">
        <f t="shared" si="15"/>
        <v/>
      </c>
      <c r="AZ120" s="664" t="str">
        <f t="shared" si="26"/>
        <v>136R_</v>
      </c>
    </row>
    <row r="121" spans="1:52" s="225" customFormat="1" ht="21">
      <c r="A121" s="713" t="s">
        <v>2051</v>
      </c>
      <c r="B121" s="716"/>
      <c r="C121" s="715"/>
      <c r="D121" s="713" t="s">
        <v>2048</v>
      </c>
      <c r="E121" s="280" t="str">
        <f t="shared" si="2"/>
        <v>10S5P</v>
      </c>
      <c r="F121" s="696" t="s">
        <v>939</v>
      </c>
      <c r="G121" s="719" t="s">
        <v>116</v>
      </c>
      <c r="H121" s="720">
        <v>4</v>
      </c>
      <c r="I121" s="806" t="s">
        <v>116</v>
      </c>
      <c r="J121" s="713"/>
      <c r="K121" s="806" t="s">
        <v>116</v>
      </c>
      <c r="L121" s="713"/>
      <c r="M121" s="713"/>
      <c r="N121" s="805"/>
      <c r="O121" s="713"/>
      <c r="P121" s="806" t="s">
        <v>116</v>
      </c>
      <c r="Q121" s="807" t="s">
        <v>116</v>
      </c>
      <c r="R121" s="713"/>
      <c r="S121" s="713"/>
      <c r="T121" s="808"/>
      <c r="U121" s="713"/>
      <c r="V121" s="807" t="s">
        <v>116</v>
      </c>
      <c r="W121" s="806" t="s">
        <v>116</v>
      </c>
      <c r="X121" s="713"/>
      <c r="Y121" s="806"/>
      <c r="Z121" s="809">
        <v>136</v>
      </c>
      <c r="AA121" s="809"/>
      <c r="AB121" s="809"/>
      <c r="AC121" s="727" t="s">
        <v>2044</v>
      </c>
      <c r="AD121" s="284" t="str">
        <f t="shared" si="3"/>
        <v>Ares_TB_36130_D_10S5P4LEDLowDrv_SDI26FM_SW1_Aslp_Wup_CC_DUVP_136R_</v>
      </c>
      <c r="AJ121" s="225">
        <f t="shared" si="19"/>
        <v>3</v>
      </c>
      <c r="AK121" s="225">
        <f t="shared" si="20"/>
        <v>9</v>
      </c>
      <c r="AL121" s="225">
        <f t="shared" si="0"/>
        <v>36</v>
      </c>
      <c r="AM121" s="225">
        <f t="shared" si="1"/>
        <v>13</v>
      </c>
      <c r="AN121" s="225">
        <f t="shared" si="21"/>
        <v>26</v>
      </c>
      <c r="AO121" s="225">
        <f t="shared" si="22"/>
        <v>10</v>
      </c>
      <c r="AP121" s="225">
        <f t="shared" si="23"/>
        <v>5</v>
      </c>
      <c r="AQ121" s="225" t="str">
        <f t="shared" si="24"/>
        <v>ok</v>
      </c>
      <c r="AR121" s="225" t="str">
        <f t="shared" si="10"/>
        <v>10S5P</v>
      </c>
      <c r="AS121" s="225" t="str">
        <f t="shared" si="11"/>
        <v>4LEDLowDrv_SDI26FM_</v>
      </c>
      <c r="AT121" s="225" t="str">
        <f t="shared" si="12"/>
        <v>SW1_</v>
      </c>
      <c r="AU121" s="225" t="str">
        <f t="shared" si="25"/>
        <v>Aslp_Wup_CC_DUVP_</v>
      </c>
      <c r="AV121" s="225" t="e">
        <f t="shared" si="17"/>
        <v>#VALUE!</v>
      </c>
      <c r="AW121" s="225" t="b">
        <f t="shared" si="18"/>
        <v>1</v>
      </c>
      <c r="AX121" s="225" t="str">
        <f t="shared" si="14"/>
        <v/>
      </c>
      <c r="AY121" s="225" t="str">
        <f t="shared" si="15"/>
        <v/>
      </c>
      <c r="AZ121" s="664" t="str">
        <f t="shared" si="26"/>
        <v>136R_</v>
      </c>
    </row>
    <row r="122" spans="1:52" s="225" customFormat="1" ht="21">
      <c r="A122" s="713" t="s">
        <v>2052</v>
      </c>
      <c r="B122" s="716" t="s">
        <v>1929</v>
      </c>
      <c r="C122" s="715"/>
      <c r="D122" s="713" t="s">
        <v>1344</v>
      </c>
      <c r="E122" s="280" t="str">
        <f t="shared" si="2"/>
        <v>10S4P</v>
      </c>
      <c r="F122" s="696" t="s">
        <v>939</v>
      </c>
      <c r="G122" s="719" t="s">
        <v>116</v>
      </c>
      <c r="H122" s="720">
        <v>5</v>
      </c>
      <c r="I122" s="806" t="s">
        <v>116</v>
      </c>
      <c r="J122" s="713"/>
      <c r="K122" s="806" t="s">
        <v>685</v>
      </c>
      <c r="L122" s="713"/>
      <c r="M122" s="713"/>
      <c r="N122" s="806" t="s">
        <v>116</v>
      </c>
      <c r="O122" s="806"/>
      <c r="P122" s="806" t="s">
        <v>116</v>
      </c>
      <c r="Q122" s="807" t="s">
        <v>116</v>
      </c>
      <c r="R122" s="713"/>
      <c r="S122" s="713"/>
      <c r="T122" s="806" t="s">
        <v>116</v>
      </c>
      <c r="U122" s="713"/>
      <c r="V122" s="807" t="s">
        <v>116</v>
      </c>
      <c r="W122" s="806" t="s">
        <v>116</v>
      </c>
      <c r="X122" s="713"/>
      <c r="Y122" s="713"/>
      <c r="Z122" s="809">
        <v>136</v>
      </c>
      <c r="AA122" s="809"/>
      <c r="AB122" s="809"/>
      <c r="AC122" s="727" t="s">
        <v>2044</v>
      </c>
      <c r="AD122" s="284" t="str">
        <f t="shared" si="3"/>
        <v>Ares_HM_36104_DU_10S4P5LEDLowDrv_SDI26FM_SW1_SW2_Aslp_Wup_Blight_CC_DUVP_136R_</v>
      </c>
      <c r="AJ122" s="225">
        <f t="shared" si="19"/>
        <v>3</v>
      </c>
      <c r="AK122" s="225">
        <f t="shared" si="20"/>
        <v>9</v>
      </c>
      <c r="AL122" s="225">
        <f t="shared" si="0"/>
        <v>36</v>
      </c>
      <c r="AM122" s="225">
        <f t="shared" si="1"/>
        <v>10.4</v>
      </c>
      <c r="AN122" s="225">
        <f t="shared" si="21"/>
        <v>26</v>
      </c>
      <c r="AO122" s="225">
        <f t="shared" si="22"/>
        <v>10</v>
      </c>
      <c r="AP122" s="225">
        <f t="shared" si="23"/>
        <v>4</v>
      </c>
      <c r="AQ122" s="225" t="str">
        <f t="shared" si="24"/>
        <v>ok</v>
      </c>
      <c r="AR122" s="225" t="str">
        <f t="shared" si="10"/>
        <v>10S4P</v>
      </c>
      <c r="AS122" s="225" t="str">
        <f t="shared" si="11"/>
        <v>5LEDLowDrv_SDI26FM_</v>
      </c>
      <c r="AT122" s="225" t="str">
        <f t="shared" si="12"/>
        <v>SW1_SW2_</v>
      </c>
      <c r="AU122" s="225" t="str">
        <f t="shared" si="25"/>
        <v>Aslp_Wup_Blight_CC_DUVP_</v>
      </c>
      <c r="AV122" s="225" t="e">
        <f t="shared" si="17"/>
        <v>#VALUE!</v>
      </c>
      <c r="AW122" s="225" t="b">
        <f t="shared" si="18"/>
        <v>1</v>
      </c>
      <c r="AX122" s="225" t="str">
        <f t="shared" si="14"/>
        <v/>
      </c>
      <c r="AY122" s="225" t="str">
        <f t="shared" si="15"/>
        <v/>
      </c>
      <c r="AZ122" s="664" t="str">
        <f t="shared" si="26"/>
        <v>136R_</v>
      </c>
    </row>
    <row r="123" spans="1:52" s="225" customFormat="1" ht="21">
      <c r="A123" s="713" t="s">
        <v>2055</v>
      </c>
      <c r="B123" s="714" t="s">
        <v>2058</v>
      </c>
      <c r="C123" s="715"/>
      <c r="D123" s="713" t="s">
        <v>1010</v>
      </c>
      <c r="E123" s="280" t="str">
        <f t="shared" si="2"/>
        <v>7S4P</v>
      </c>
      <c r="F123" s="696" t="s">
        <v>939</v>
      </c>
      <c r="G123" s="719" t="s">
        <v>116</v>
      </c>
      <c r="H123" s="765" t="s">
        <v>1904</v>
      </c>
      <c r="I123" s="803" t="s">
        <v>116</v>
      </c>
      <c r="J123" s="713"/>
      <c r="K123" s="803" t="s">
        <v>116</v>
      </c>
      <c r="L123" s="713"/>
      <c r="M123" s="713"/>
      <c r="N123" s="805"/>
      <c r="O123" s="713"/>
      <c r="P123" s="806" t="s">
        <v>116</v>
      </c>
      <c r="Q123" s="807" t="s">
        <v>116</v>
      </c>
      <c r="R123" s="713"/>
      <c r="S123" s="713"/>
      <c r="T123" s="808"/>
      <c r="U123" s="713"/>
      <c r="V123" s="807" t="s">
        <v>116</v>
      </c>
      <c r="W123" s="806" t="s">
        <v>116</v>
      </c>
      <c r="X123" s="713"/>
      <c r="Y123" s="806"/>
      <c r="Z123" s="809">
        <v>136</v>
      </c>
      <c r="AA123" s="809"/>
      <c r="AB123" s="809"/>
      <c r="AC123" s="727" t="s">
        <v>2059</v>
      </c>
      <c r="AD123" s="284" t="str">
        <f t="shared" si="3"/>
        <v>Pan_BST1_24100_D_7S4PN5LEDLowDrv_SDI26FM_SW1_Aslp_Wup_CC_DUVP_136R_</v>
      </c>
      <c r="AJ123" s="225">
        <f t="shared" si="19"/>
        <v>3</v>
      </c>
      <c r="AK123" s="225">
        <f t="shared" si="20"/>
        <v>9</v>
      </c>
      <c r="AL123" s="225">
        <f t="shared" si="0"/>
        <v>26</v>
      </c>
      <c r="AM123" s="225">
        <f t="shared" si="1"/>
        <v>10</v>
      </c>
      <c r="AN123" s="225">
        <f t="shared" si="21"/>
        <v>26</v>
      </c>
      <c r="AO123" s="225">
        <f t="shared" si="22"/>
        <v>7</v>
      </c>
      <c r="AP123" s="225">
        <f t="shared" si="23"/>
        <v>4</v>
      </c>
      <c r="AQ123" s="225" t="str">
        <f t="shared" si="24"/>
        <v>ok</v>
      </c>
      <c r="AR123" s="225" t="str">
        <f t="shared" si="10"/>
        <v>7S4P</v>
      </c>
      <c r="AS123" s="225" t="str">
        <f t="shared" si="11"/>
        <v>N5LEDLowDrv_SDI26FM_</v>
      </c>
      <c r="AT123" s="225" t="str">
        <f t="shared" si="12"/>
        <v>SW1_</v>
      </c>
      <c r="AU123" s="225" t="str">
        <f t="shared" si="25"/>
        <v>Aslp_Wup_CC_DUVP_</v>
      </c>
      <c r="AV123" s="225" t="e">
        <f t="shared" si="17"/>
        <v>#VALUE!</v>
      </c>
      <c r="AW123" s="225" t="b">
        <f t="shared" si="18"/>
        <v>1</v>
      </c>
      <c r="AX123" s="225" t="str">
        <f t="shared" si="14"/>
        <v/>
      </c>
      <c r="AY123" s="225" t="str">
        <f t="shared" si="15"/>
        <v/>
      </c>
      <c r="AZ123" s="664" t="str">
        <f t="shared" si="26"/>
        <v>136R_</v>
      </c>
    </row>
    <row r="124" spans="1:52" s="225" customFormat="1" ht="21">
      <c r="A124" s="713" t="s">
        <v>1220</v>
      </c>
      <c r="B124" s="714" t="s">
        <v>1219</v>
      </c>
      <c r="C124" s="715"/>
      <c r="D124" s="713" t="s">
        <v>1075</v>
      </c>
      <c r="E124" s="280" t="str">
        <f t="shared" si="2"/>
        <v>10S7P</v>
      </c>
      <c r="F124" s="696" t="s">
        <v>939</v>
      </c>
      <c r="G124" s="719" t="s">
        <v>116</v>
      </c>
      <c r="H124" s="720">
        <v>5</v>
      </c>
      <c r="I124" s="806" t="s">
        <v>116</v>
      </c>
      <c r="J124" s="713"/>
      <c r="K124" s="806" t="s">
        <v>116</v>
      </c>
      <c r="L124" s="713"/>
      <c r="M124" s="713"/>
      <c r="N124" s="805"/>
      <c r="O124" s="713"/>
      <c r="P124" s="806" t="s">
        <v>116</v>
      </c>
      <c r="Q124" s="807" t="s">
        <v>116</v>
      </c>
      <c r="R124" s="713"/>
      <c r="S124" s="713"/>
      <c r="T124" s="808"/>
      <c r="U124" s="713"/>
      <c r="V124" s="807" t="s">
        <v>116</v>
      </c>
      <c r="W124" s="806" t="s">
        <v>116</v>
      </c>
      <c r="X124" s="713"/>
      <c r="Y124" s="713"/>
      <c r="Z124" s="809">
        <v>136</v>
      </c>
      <c r="AA124" s="809"/>
      <c r="AB124" s="809"/>
      <c r="AC124" s="727" t="s">
        <v>2059</v>
      </c>
      <c r="AD124" s="284" t="str">
        <f t="shared" si="3"/>
        <v>Pan_BLT360_36182_DU_10S7P5LEDLowDrv_SDI26FM_SW1_Aslp_Wup_CC_DUVP_136R_</v>
      </c>
      <c r="AJ124" s="225">
        <f t="shared" si="19"/>
        <v>3</v>
      </c>
      <c r="AK124" s="225">
        <f t="shared" si="20"/>
        <v>9</v>
      </c>
      <c r="AL124" s="225">
        <f t="shared" si="0"/>
        <v>36</v>
      </c>
      <c r="AM124" s="225">
        <f t="shared" si="1"/>
        <v>18.2</v>
      </c>
      <c r="AN124" s="225">
        <f t="shared" si="21"/>
        <v>26</v>
      </c>
      <c r="AO124" s="225">
        <f t="shared" si="22"/>
        <v>10</v>
      </c>
      <c r="AP124" s="225">
        <f t="shared" si="23"/>
        <v>7</v>
      </c>
      <c r="AQ124" s="225" t="str">
        <f t="shared" si="24"/>
        <v>ok</v>
      </c>
      <c r="AR124" s="225" t="str">
        <f t="shared" si="10"/>
        <v>10S7P</v>
      </c>
      <c r="AS124" s="225" t="str">
        <f t="shared" si="11"/>
        <v>5LEDLowDrv_SDI26FM_</v>
      </c>
      <c r="AT124" s="225" t="str">
        <f t="shared" si="12"/>
        <v>SW1_</v>
      </c>
      <c r="AU124" s="225" t="str">
        <f t="shared" si="25"/>
        <v>Aslp_Wup_CC_DUVP_</v>
      </c>
      <c r="AV124" s="225" t="e">
        <f t="shared" si="17"/>
        <v>#VALUE!</v>
      </c>
      <c r="AW124" s="225" t="b">
        <f t="shared" si="18"/>
        <v>1</v>
      </c>
      <c r="AX124" s="225" t="str">
        <f t="shared" si="14"/>
        <v/>
      </c>
      <c r="AY124" s="225" t="str">
        <f t="shared" si="15"/>
        <v/>
      </c>
      <c r="AZ124" s="664" t="str">
        <f t="shared" si="26"/>
        <v>136R_</v>
      </c>
    </row>
    <row r="125" spans="1:52" s="863" customFormat="1" ht="33">
      <c r="A125" s="837" t="s">
        <v>2098</v>
      </c>
      <c r="B125" s="838" t="s">
        <v>2096</v>
      </c>
      <c r="C125" s="839"/>
      <c r="D125" s="837" t="s">
        <v>2099</v>
      </c>
      <c r="E125" s="840" t="str">
        <f t="shared" si="2"/>
        <v>13S9P</v>
      </c>
      <c r="F125" s="841" t="s">
        <v>2100</v>
      </c>
      <c r="G125" s="842" t="s">
        <v>2101</v>
      </c>
      <c r="H125" s="859" t="s">
        <v>2102</v>
      </c>
      <c r="I125" s="846"/>
      <c r="J125" s="837"/>
      <c r="K125" s="860" t="s">
        <v>2101</v>
      </c>
      <c r="L125" s="837"/>
      <c r="M125" s="837"/>
      <c r="N125" s="845"/>
      <c r="O125" s="837"/>
      <c r="P125" s="837" t="s">
        <v>2101</v>
      </c>
      <c r="Q125" s="846" t="s">
        <v>2101</v>
      </c>
      <c r="R125" s="837"/>
      <c r="S125" s="837"/>
      <c r="T125" s="847"/>
      <c r="U125" s="837"/>
      <c r="V125" s="846" t="s">
        <v>2101</v>
      </c>
      <c r="W125" s="837" t="s">
        <v>2101</v>
      </c>
      <c r="X125" s="837"/>
      <c r="Y125" s="837"/>
      <c r="Z125" s="848">
        <v>136</v>
      </c>
      <c r="AA125" s="848"/>
      <c r="AB125" s="848"/>
      <c r="AC125" s="861" t="s">
        <v>2103</v>
      </c>
      <c r="AD125" s="862" t="str">
        <f t="shared" si="3"/>
        <v>Pan_LYUS1_48234_X_13S9PN3LED_SDI26FM_SW1_Aslp_Wup_CC_DUVP_136R_</v>
      </c>
      <c r="AJ125" s="863">
        <f t="shared" si="19"/>
        <v>3</v>
      </c>
      <c r="AK125" s="863">
        <f t="shared" si="20"/>
        <v>9</v>
      </c>
      <c r="AL125" s="863">
        <f t="shared" si="0"/>
        <v>48</v>
      </c>
      <c r="AM125" s="863">
        <f t="shared" si="1"/>
        <v>23.4</v>
      </c>
      <c r="AN125" s="863">
        <f t="shared" si="21"/>
        <v>26</v>
      </c>
      <c r="AO125" s="863">
        <f t="shared" si="22"/>
        <v>13</v>
      </c>
      <c r="AP125" s="863">
        <f t="shared" si="23"/>
        <v>9</v>
      </c>
      <c r="AQ125" s="863" t="str">
        <f t="shared" si="24"/>
        <v>ok</v>
      </c>
      <c r="AR125" s="863" t="str">
        <f t="shared" si="10"/>
        <v>13S9P</v>
      </c>
      <c r="AS125" s="863" t="str">
        <f t="shared" si="11"/>
        <v>N3LED_SDI26FM_</v>
      </c>
      <c r="AT125" s="863" t="str">
        <f t="shared" si="12"/>
        <v>SW1_</v>
      </c>
      <c r="AU125" s="863" t="str">
        <f t="shared" si="25"/>
        <v>Aslp_Wup_CC_DUVP_</v>
      </c>
      <c r="AV125" s="863" t="e">
        <f t="shared" si="17"/>
        <v>#VALUE!</v>
      </c>
      <c r="AW125" s="863" t="b">
        <f t="shared" si="18"/>
        <v>1</v>
      </c>
      <c r="AX125" s="863" t="str">
        <f t="shared" si="14"/>
        <v/>
      </c>
      <c r="AY125" s="863" t="str">
        <f t="shared" si="15"/>
        <v/>
      </c>
      <c r="AZ125" s="864" t="str">
        <f t="shared" si="26"/>
        <v>136R_</v>
      </c>
    </row>
    <row r="126" spans="1:52" s="225" customFormat="1" ht="21">
      <c r="A126" s="713" t="s">
        <v>2071</v>
      </c>
      <c r="B126" s="714" t="s">
        <v>2072</v>
      </c>
      <c r="C126" s="715"/>
      <c r="D126" s="713" t="s">
        <v>1344</v>
      </c>
      <c r="E126" s="280" t="str">
        <f t="shared" si="2"/>
        <v>10S4P</v>
      </c>
      <c r="F126" s="696" t="s">
        <v>939</v>
      </c>
      <c r="G126" s="719" t="s">
        <v>116</v>
      </c>
      <c r="H126" s="720">
        <v>4</v>
      </c>
      <c r="I126" s="806" t="s">
        <v>116</v>
      </c>
      <c r="J126" s="713"/>
      <c r="K126" s="806" t="s">
        <v>116</v>
      </c>
      <c r="L126" s="713"/>
      <c r="M126" s="713"/>
      <c r="N126" s="805"/>
      <c r="O126" s="713"/>
      <c r="P126" s="806" t="s">
        <v>116</v>
      </c>
      <c r="Q126" s="807" t="s">
        <v>116</v>
      </c>
      <c r="R126" s="713"/>
      <c r="S126" s="713"/>
      <c r="T126" s="808"/>
      <c r="U126" s="713"/>
      <c r="V126" s="807" t="s">
        <v>116</v>
      </c>
      <c r="W126" s="806" t="s">
        <v>116</v>
      </c>
      <c r="X126" s="713"/>
      <c r="Y126" s="806"/>
      <c r="Z126" s="809">
        <v>136</v>
      </c>
      <c r="AA126" s="809"/>
      <c r="AB126" s="809"/>
      <c r="AC126" s="727" t="s">
        <v>2077</v>
      </c>
      <c r="AD126" s="284" t="str">
        <f t="shared" si="3"/>
        <v>Pan_RN1_36104_DU_10S4P4LEDLowDrv_SDI26FM_SW1_Aslp_Wup_CC_DUVP_136R_</v>
      </c>
      <c r="AJ126" s="225">
        <f t="shared" si="19"/>
        <v>3</v>
      </c>
      <c r="AK126" s="225">
        <f t="shared" si="20"/>
        <v>9</v>
      </c>
      <c r="AL126" s="225">
        <f t="shared" si="0"/>
        <v>36</v>
      </c>
      <c r="AM126" s="225">
        <f t="shared" si="1"/>
        <v>10.4</v>
      </c>
      <c r="AN126" s="225">
        <f t="shared" si="21"/>
        <v>26</v>
      </c>
      <c r="AO126" s="225">
        <f t="shared" si="22"/>
        <v>10</v>
      </c>
      <c r="AP126" s="225">
        <f t="shared" si="23"/>
        <v>4</v>
      </c>
      <c r="AQ126" s="225" t="str">
        <f t="shared" si="24"/>
        <v>ok</v>
      </c>
      <c r="AR126" s="225" t="str">
        <f t="shared" si="10"/>
        <v>10S4P</v>
      </c>
      <c r="AS126" s="225" t="str">
        <f t="shared" si="11"/>
        <v>4LEDLowDrv_SDI26FM_</v>
      </c>
      <c r="AT126" s="225" t="str">
        <f t="shared" si="12"/>
        <v>SW1_</v>
      </c>
      <c r="AU126" s="225" t="str">
        <f t="shared" si="25"/>
        <v>Aslp_Wup_CC_DUVP_</v>
      </c>
      <c r="AV126" s="225" t="e">
        <f t="shared" si="17"/>
        <v>#VALUE!</v>
      </c>
      <c r="AW126" s="225" t="b">
        <f t="shared" si="18"/>
        <v>1</v>
      </c>
      <c r="AX126" s="225" t="str">
        <f t="shared" si="14"/>
        <v/>
      </c>
      <c r="AY126" s="225" t="str">
        <f t="shared" si="15"/>
        <v/>
      </c>
      <c r="AZ126" s="664" t="str">
        <f t="shared" si="26"/>
        <v>136R_</v>
      </c>
    </row>
    <row r="127" spans="1:52" s="225" customFormat="1" ht="21">
      <c r="A127" s="713" t="s">
        <v>1980</v>
      </c>
      <c r="B127" s="714" t="s">
        <v>2072</v>
      </c>
      <c r="C127" s="715"/>
      <c r="D127" s="713" t="s">
        <v>959</v>
      </c>
      <c r="E127" s="280" t="str">
        <f t="shared" si="2"/>
        <v>10S5P</v>
      </c>
      <c r="F127" s="696" t="s">
        <v>939</v>
      </c>
      <c r="G127" s="719" t="s">
        <v>116</v>
      </c>
      <c r="H127" s="720">
        <v>4</v>
      </c>
      <c r="I127" s="806" t="s">
        <v>116</v>
      </c>
      <c r="J127" s="713"/>
      <c r="K127" s="806" t="s">
        <v>116</v>
      </c>
      <c r="L127" s="713"/>
      <c r="M127" s="713"/>
      <c r="N127" s="805"/>
      <c r="O127" s="713"/>
      <c r="P127" s="806" t="s">
        <v>116</v>
      </c>
      <c r="Q127" s="807" t="s">
        <v>116</v>
      </c>
      <c r="R127" s="713"/>
      <c r="S127" s="713"/>
      <c r="T127" s="808"/>
      <c r="U127" s="713"/>
      <c r="V127" s="807" t="s">
        <v>116</v>
      </c>
      <c r="W127" s="806" t="s">
        <v>116</v>
      </c>
      <c r="X127" s="713"/>
      <c r="Y127" s="806"/>
      <c r="Z127" s="809">
        <v>136</v>
      </c>
      <c r="AA127" s="809"/>
      <c r="AB127" s="809"/>
      <c r="AC127" s="727" t="s">
        <v>2076</v>
      </c>
      <c r="AD127" s="284" t="str">
        <f t="shared" si="3"/>
        <v>Pan_RN1_36130_DU_10S5P4LEDLowDrv_SDI26FM_SW1_Aslp_Wup_CC_DUVP_136R_</v>
      </c>
      <c r="AJ127" s="225">
        <f t="shared" si="19"/>
        <v>3</v>
      </c>
      <c r="AK127" s="225">
        <f t="shared" si="20"/>
        <v>9</v>
      </c>
      <c r="AL127" s="225">
        <f t="shared" si="0"/>
        <v>36</v>
      </c>
      <c r="AM127" s="225">
        <f t="shared" si="1"/>
        <v>13</v>
      </c>
      <c r="AN127" s="225">
        <f t="shared" si="21"/>
        <v>26</v>
      </c>
      <c r="AO127" s="225">
        <f t="shared" si="22"/>
        <v>10</v>
      </c>
      <c r="AP127" s="225">
        <f t="shared" si="23"/>
        <v>5</v>
      </c>
      <c r="AQ127" s="225" t="str">
        <f t="shared" si="24"/>
        <v>ok</v>
      </c>
      <c r="AR127" s="225" t="str">
        <f t="shared" si="10"/>
        <v>10S5P</v>
      </c>
      <c r="AS127" s="225" t="str">
        <f t="shared" si="11"/>
        <v>4LEDLowDrv_SDI26FM_</v>
      </c>
      <c r="AT127" s="225" t="str">
        <f t="shared" si="12"/>
        <v>SW1_</v>
      </c>
      <c r="AU127" s="225" t="str">
        <f t="shared" si="25"/>
        <v>Aslp_Wup_CC_DUVP_</v>
      </c>
      <c r="AV127" s="225" t="e">
        <f t="shared" si="17"/>
        <v>#VALUE!</v>
      </c>
      <c r="AW127" s="225" t="b">
        <f t="shared" si="18"/>
        <v>1</v>
      </c>
      <c r="AX127" s="225" t="str">
        <f t="shared" si="14"/>
        <v/>
      </c>
      <c r="AY127" s="225" t="str">
        <f t="shared" si="15"/>
        <v/>
      </c>
      <c r="AZ127" s="664" t="str">
        <f t="shared" si="26"/>
        <v>136R_</v>
      </c>
    </row>
    <row r="128" spans="1:52" s="225" customFormat="1" ht="21">
      <c r="A128" s="713" t="s">
        <v>2075</v>
      </c>
      <c r="B128" s="714" t="s">
        <v>2072</v>
      </c>
      <c r="C128" s="715"/>
      <c r="D128" s="713" t="s">
        <v>2070</v>
      </c>
      <c r="E128" s="280" t="str">
        <f t="shared" si="2"/>
        <v>10S5P</v>
      </c>
      <c r="F128" s="802" t="s">
        <v>1903</v>
      </c>
      <c r="G128" s="719" t="s">
        <v>116</v>
      </c>
      <c r="H128" s="720">
        <v>4</v>
      </c>
      <c r="I128" s="806" t="s">
        <v>116</v>
      </c>
      <c r="J128" s="713"/>
      <c r="K128" s="806" t="s">
        <v>116</v>
      </c>
      <c r="L128" s="713"/>
      <c r="M128" s="713"/>
      <c r="N128" s="805"/>
      <c r="O128" s="713"/>
      <c r="P128" s="806" t="s">
        <v>116</v>
      </c>
      <c r="Q128" s="807" t="s">
        <v>116</v>
      </c>
      <c r="R128" s="713"/>
      <c r="S128" s="713"/>
      <c r="T128" s="808"/>
      <c r="U128" s="713"/>
      <c r="V128" s="807" t="s">
        <v>116</v>
      </c>
      <c r="W128" s="806" t="s">
        <v>116</v>
      </c>
      <c r="X128" s="713"/>
      <c r="Y128" s="806"/>
      <c r="Z128" s="809">
        <v>136</v>
      </c>
      <c r="AA128" s="809"/>
      <c r="AB128" s="809"/>
      <c r="AC128" s="727" t="s">
        <v>2076</v>
      </c>
      <c r="AD128" s="284" t="str">
        <f t="shared" si="3"/>
        <v>Pan_RN1_36145_DU_10S5P4LEDLowDrv_SDI29E_SW1_Aslp_Wup_CC_DUVP_136R_</v>
      </c>
      <c r="AJ128" s="225">
        <f t="shared" si="19"/>
        <v>3</v>
      </c>
      <c r="AK128" s="225">
        <f t="shared" si="20"/>
        <v>9</v>
      </c>
      <c r="AL128" s="225">
        <f t="shared" si="0"/>
        <v>36</v>
      </c>
      <c r="AM128" s="225">
        <f t="shared" si="1"/>
        <v>14.5</v>
      </c>
      <c r="AN128" s="225">
        <f t="shared" si="21"/>
        <v>29</v>
      </c>
      <c r="AO128" s="225">
        <f t="shared" si="22"/>
        <v>10</v>
      </c>
      <c r="AP128" s="225">
        <f t="shared" si="23"/>
        <v>5</v>
      </c>
      <c r="AQ128" s="225" t="str">
        <f t="shared" si="24"/>
        <v>ok</v>
      </c>
      <c r="AR128" s="225" t="str">
        <f t="shared" si="10"/>
        <v>10S5P</v>
      </c>
      <c r="AS128" s="225" t="str">
        <f t="shared" si="11"/>
        <v>4LEDLowDrv_SDI29E_</v>
      </c>
      <c r="AT128" s="225" t="str">
        <f t="shared" si="12"/>
        <v>SW1_</v>
      </c>
      <c r="AU128" s="225" t="str">
        <f t="shared" si="25"/>
        <v>Aslp_Wup_CC_DUVP_</v>
      </c>
      <c r="AV128" s="225" t="e">
        <f t="shared" si="17"/>
        <v>#VALUE!</v>
      </c>
      <c r="AW128" s="225" t="b">
        <f t="shared" si="18"/>
        <v>1</v>
      </c>
      <c r="AX128" s="225" t="str">
        <f t="shared" si="14"/>
        <v/>
      </c>
      <c r="AY128" s="225" t="str">
        <f t="shared" si="15"/>
        <v/>
      </c>
      <c r="AZ128" s="664" t="str">
        <f t="shared" si="26"/>
        <v>136R_</v>
      </c>
    </row>
    <row r="129" spans="1:52" s="225" customFormat="1" ht="21">
      <c r="A129" s="713" t="s">
        <v>2079</v>
      </c>
      <c r="B129" s="714" t="s">
        <v>2078</v>
      </c>
      <c r="C129" s="715"/>
      <c r="D129" s="713" t="s">
        <v>1344</v>
      </c>
      <c r="E129" s="280" t="str">
        <f t="shared" si="2"/>
        <v>10S4P</v>
      </c>
      <c r="F129" s="696" t="s">
        <v>939</v>
      </c>
      <c r="G129" s="719" t="s">
        <v>116</v>
      </c>
      <c r="H129" s="720">
        <v>4</v>
      </c>
      <c r="I129" s="806" t="s">
        <v>116</v>
      </c>
      <c r="J129" s="713"/>
      <c r="K129" s="806" t="s">
        <v>116</v>
      </c>
      <c r="L129" s="713"/>
      <c r="M129" s="713"/>
      <c r="N129" s="805"/>
      <c r="O129" s="713"/>
      <c r="P129" s="806" t="s">
        <v>116</v>
      </c>
      <c r="Q129" s="807" t="s">
        <v>116</v>
      </c>
      <c r="R129" s="713"/>
      <c r="S129" s="713"/>
      <c r="T129" s="808"/>
      <c r="U129" s="713"/>
      <c r="V129" s="807" t="s">
        <v>116</v>
      </c>
      <c r="W129" s="806" t="s">
        <v>116</v>
      </c>
      <c r="X129" s="713"/>
      <c r="Y129" s="806"/>
      <c r="Z129" s="809">
        <v>136</v>
      </c>
      <c r="AA129" s="809">
        <v>220</v>
      </c>
      <c r="AB129" s="809">
        <v>82</v>
      </c>
      <c r="AC129" s="727" t="s">
        <v>2108</v>
      </c>
      <c r="AD129" s="284" t="str">
        <f t="shared" si="3"/>
        <v>Ares_SX_YJ_36104_D_10S4P4LEDLowDrv_SDI26FM_SW1_Aslp_Wup_CC_DUVP_R136C220D82_</v>
      </c>
      <c r="AJ129" s="225">
        <f t="shared" si="19"/>
        <v>3</v>
      </c>
      <c r="AK129" s="225">
        <f t="shared" si="20"/>
        <v>9</v>
      </c>
      <c r="AL129" s="225">
        <f t="shared" si="0"/>
        <v>36</v>
      </c>
      <c r="AM129" s="225">
        <f t="shared" si="1"/>
        <v>10.4</v>
      </c>
      <c r="AN129" s="225">
        <f t="shared" si="21"/>
        <v>26</v>
      </c>
      <c r="AO129" s="225">
        <f t="shared" si="22"/>
        <v>10</v>
      </c>
      <c r="AP129" s="225">
        <f t="shared" si="23"/>
        <v>4</v>
      </c>
      <c r="AQ129" s="225" t="str">
        <f t="shared" si="24"/>
        <v>ok</v>
      </c>
      <c r="AR129" s="225" t="str">
        <f t="shared" si="10"/>
        <v>10S4P</v>
      </c>
      <c r="AS129" s="225" t="str">
        <f t="shared" si="11"/>
        <v>4LEDLowDrv_SDI26FM_</v>
      </c>
      <c r="AT129" s="225" t="str">
        <f t="shared" si="12"/>
        <v>SW1_</v>
      </c>
      <c r="AU129" s="225" t="str">
        <f t="shared" si="25"/>
        <v>Aslp_Wup_CC_DUVP_</v>
      </c>
      <c r="AV129" s="225" t="e">
        <f t="shared" si="17"/>
        <v>#VALUE!</v>
      </c>
      <c r="AW129" s="225" t="b">
        <f t="shared" si="18"/>
        <v>1</v>
      </c>
      <c r="AX129" s="225" t="str">
        <f t="shared" si="14"/>
        <v/>
      </c>
      <c r="AY129" s="225" t="str">
        <f t="shared" si="15"/>
        <v/>
      </c>
      <c r="AZ129" s="664" t="str">
        <f>IF(UPPER(TRIM(X129))="V",$X$2&amp;"_","")&amp;IF(UPPER(TRIM(Y129))="V",$Y$2&amp;"_","")&amp;IF(ISBLANK(Z129),"",$Z$2&amp;Z129)&amp;IF(ISBLANK(AA129),"",$AA$2&amp;AA129)&amp;IF(ISBLANK(AB129),"",$AB$2&amp;AB129&amp;"_")</f>
        <v>R136C220D82_</v>
      </c>
    </row>
    <row r="130" spans="1:52" s="225" customFormat="1" ht="21">
      <c r="A130" s="713" t="s">
        <v>2083</v>
      </c>
      <c r="B130" s="714" t="s">
        <v>1362</v>
      </c>
      <c r="C130" s="715"/>
      <c r="D130" s="713" t="s">
        <v>1101</v>
      </c>
      <c r="E130" s="280" t="str">
        <f t="shared" si="2"/>
        <v>13S5P</v>
      </c>
      <c r="F130" s="696" t="s">
        <v>939</v>
      </c>
      <c r="G130" s="719" t="s">
        <v>116</v>
      </c>
      <c r="H130" s="720">
        <v>5</v>
      </c>
      <c r="I130" s="806" t="s">
        <v>116</v>
      </c>
      <c r="J130" s="713"/>
      <c r="K130" s="806" t="s">
        <v>116</v>
      </c>
      <c r="L130" s="713"/>
      <c r="M130" s="713"/>
      <c r="N130" s="805"/>
      <c r="O130" s="713"/>
      <c r="P130" s="806" t="s">
        <v>116</v>
      </c>
      <c r="Q130" s="807" t="s">
        <v>116</v>
      </c>
      <c r="R130" s="713"/>
      <c r="S130" s="713"/>
      <c r="T130" s="808"/>
      <c r="U130" s="713"/>
      <c r="V130" s="807" t="s">
        <v>116</v>
      </c>
      <c r="W130" s="806" t="s">
        <v>116</v>
      </c>
      <c r="X130" s="806"/>
      <c r="Y130" s="713"/>
      <c r="Z130" s="809">
        <v>136</v>
      </c>
      <c r="AA130" s="809">
        <v>220</v>
      </c>
      <c r="AB130" s="809">
        <v>82</v>
      </c>
      <c r="AC130" s="727" t="s">
        <v>2084</v>
      </c>
      <c r="AD130" s="284" t="str">
        <f t="shared" si="3"/>
        <v>Pan_BLT360_48130_D_13S5P5LEDLowDrv_SDI26FM_SW1_Aslp_Wup_CC_DUVP_R136C220D82_</v>
      </c>
      <c r="AJ130" s="225">
        <f t="shared" si="19"/>
        <v>3</v>
      </c>
      <c r="AK130" s="225">
        <f t="shared" si="20"/>
        <v>9</v>
      </c>
      <c r="AL130" s="225">
        <f t="shared" si="0"/>
        <v>48</v>
      </c>
      <c r="AM130" s="225">
        <f t="shared" si="1"/>
        <v>13</v>
      </c>
      <c r="AN130" s="225">
        <f t="shared" si="21"/>
        <v>26</v>
      </c>
      <c r="AO130" s="225">
        <f t="shared" si="22"/>
        <v>13</v>
      </c>
      <c r="AP130" s="225">
        <f t="shared" si="23"/>
        <v>5</v>
      </c>
      <c r="AQ130" s="225" t="str">
        <f t="shared" si="24"/>
        <v>ok</v>
      </c>
      <c r="AR130" s="225" t="str">
        <f t="shared" si="10"/>
        <v>13S5P</v>
      </c>
      <c r="AS130" s="225" t="str">
        <f t="shared" si="11"/>
        <v>5LEDLowDrv_SDI26FM_</v>
      </c>
      <c r="AT130" s="225" t="str">
        <f t="shared" si="12"/>
        <v>SW1_</v>
      </c>
      <c r="AU130" s="225" t="str">
        <f t="shared" si="25"/>
        <v>Aslp_Wup_CC_DUVP_</v>
      </c>
      <c r="AV130" s="225" t="e">
        <f t="shared" si="17"/>
        <v>#VALUE!</v>
      </c>
      <c r="AW130" s="225" t="b">
        <f t="shared" si="18"/>
        <v>1</v>
      </c>
      <c r="AX130" s="225" t="str">
        <f t="shared" si="14"/>
        <v/>
      </c>
      <c r="AY130" s="225" t="str">
        <f t="shared" si="15"/>
        <v/>
      </c>
      <c r="AZ130" s="664" t="str">
        <f>IF(UPPER(TRIM(X130))="V",$X$2&amp;"_","")&amp;IF(UPPER(TRIM(Y130))="V",$Y$2&amp;"_","")&amp;IF(ISBLANK(Z130),"",$Z$2&amp;Z130)&amp;IF(ISBLANK(AA130),"",$AA$2&amp;AA130)&amp;IF(ISBLANK(AB130),"",$AB$2&amp;AB130&amp;"_")</f>
        <v>R136C220D82_</v>
      </c>
    </row>
    <row r="131" spans="1:52" s="225" customFormat="1" ht="31.5">
      <c r="A131" s="713" t="s">
        <v>2095</v>
      </c>
      <c r="B131" s="714" t="s">
        <v>2097</v>
      </c>
      <c r="C131" s="715"/>
      <c r="D131" s="713" t="s">
        <v>2067</v>
      </c>
      <c r="E131" s="280" t="str">
        <f t="shared" si="2"/>
        <v>13S9P</v>
      </c>
      <c r="F131" s="696" t="s">
        <v>939</v>
      </c>
      <c r="G131" s="719" t="s">
        <v>116</v>
      </c>
      <c r="H131" s="765" t="s">
        <v>1012</v>
      </c>
      <c r="I131" s="807"/>
      <c r="J131" s="713"/>
      <c r="K131" s="804" t="s">
        <v>116</v>
      </c>
      <c r="L131" s="713"/>
      <c r="M131" s="713"/>
      <c r="N131" s="805"/>
      <c r="O131" s="713"/>
      <c r="P131" s="713" t="s">
        <v>116</v>
      </c>
      <c r="Q131" s="807" t="s">
        <v>116</v>
      </c>
      <c r="R131" s="713"/>
      <c r="S131" s="713"/>
      <c r="T131" s="808"/>
      <c r="U131" s="713"/>
      <c r="V131" s="807" t="s">
        <v>116</v>
      </c>
      <c r="W131" s="713" t="s">
        <v>116</v>
      </c>
      <c r="X131" s="713"/>
      <c r="Y131" s="713"/>
      <c r="Z131" s="809">
        <v>136</v>
      </c>
      <c r="AA131" s="809">
        <v>220</v>
      </c>
      <c r="AB131" s="865">
        <v>68</v>
      </c>
      <c r="AC131" s="836" t="s">
        <v>2104</v>
      </c>
      <c r="AD131" s="284" t="str">
        <f t="shared" si="3"/>
        <v>Pan_LYUS1_48234_X_13S9PN3LED_SDI26FM_SW1_Aslp_Wup_CC_DUVP_R136C220D68_</v>
      </c>
      <c r="AJ131" s="225">
        <f t="shared" si="19"/>
        <v>3</v>
      </c>
      <c r="AK131" s="225">
        <f t="shared" si="20"/>
        <v>9</v>
      </c>
      <c r="AL131" s="225">
        <f t="shared" si="0"/>
        <v>48</v>
      </c>
      <c r="AM131" s="225">
        <f t="shared" si="1"/>
        <v>23.4</v>
      </c>
      <c r="AN131" s="225">
        <f t="shared" si="21"/>
        <v>26</v>
      </c>
      <c r="AO131" s="225">
        <f t="shared" si="22"/>
        <v>13</v>
      </c>
      <c r="AP131" s="225">
        <f t="shared" si="23"/>
        <v>9</v>
      </c>
      <c r="AQ131" s="225" t="str">
        <f t="shared" si="24"/>
        <v>ok</v>
      </c>
      <c r="AR131" s="225" t="str">
        <f t="shared" si="10"/>
        <v>13S9P</v>
      </c>
      <c r="AS131" s="225" t="str">
        <f t="shared" si="11"/>
        <v>N3LED_SDI26FM_</v>
      </c>
      <c r="AT131" s="225" t="str">
        <f t="shared" si="12"/>
        <v>SW1_</v>
      </c>
      <c r="AU131" s="225" t="str">
        <f t="shared" si="25"/>
        <v>Aslp_Wup_CC_DUVP_</v>
      </c>
      <c r="AV131" s="225" t="e">
        <f t="shared" si="17"/>
        <v>#VALUE!</v>
      </c>
      <c r="AW131" s="225" t="b">
        <f t="shared" si="18"/>
        <v>1</v>
      </c>
      <c r="AX131" s="225" t="str">
        <f t="shared" si="14"/>
        <v/>
      </c>
      <c r="AY131" s="225" t="str">
        <f t="shared" si="15"/>
        <v/>
      </c>
      <c r="AZ131" s="664" t="str">
        <f>IF(UPPER(TRIM(X131))="V",$X$2&amp;"_","")&amp;IF(UPPER(TRIM(Y131))="V",$Y$2&amp;"_","")&amp;IF(ISBLANK(Z131),"",$Z$2&amp;Z131)&amp;IF(ISBLANK(AA131),"",$AA$2&amp;AA131)&amp;IF(ISBLANK(AB131),"",$AB$2&amp;AB131&amp;"_")</f>
        <v>R136C220D68_</v>
      </c>
    </row>
    <row r="132" spans="1:52" s="225" customFormat="1" ht="21">
      <c r="A132" s="713" t="s">
        <v>2105</v>
      </c>
      <c r="B132" s="714" t="s">
        <v>2106</v>
      </c>
      <c r="C132" s="715"/>
      <c r="D132" s="713" t="s">
        <v>1344</v>
      </c>
      <c r="E132" s="280" t="str">
        <f t="shared" si="2"/>
        <v>10S4P</v>
      </c>
      <c r="F132" s="696" t="s">
        <v>939</v>
      </c>
      <c r="G132" s="719" t="s">
        <v>116</v>
      </c>
      <c r="H132" s="720">
        <v>4</v>
      </c>
      <c r="I132" s="806" t="s">
        <v>116</v>
      </c>
      <c r="J132" s="713"/>
      <c r="K132" s="806" t="s">
        <v>116</v>
      </c>
      <c r="L132" s="713"/>
      <c r="M132" s="713"/>
      <c r="N132" s="805"/>
      <c r="O132" s="713"/>
      <c r="P132" s="806" t="s">
        <v>116</v>
      </c>
      <c r="Q132" s="807" t="s">
        <v>116</v>
      </c>
      <c r="R132" s="713"/>
      <c r="S132" s="713"/>
      <c r="T132" s="808"/>
      <c r="U132" s="713"/>
      <c r="V132" s="807" t="s">
        <v>116</v>
      </c>
      <c r="W132" s="806" t="s">
        <v>116</v>
      </c>
      <c r="X132" s="713"/>
      <c r="Y132" s="806"/>
      <c r="Z132" s="809">
        <v>136</v>
      </c>
      <c r="AA132" s="809">
        <v>220</v>
      </c>
      <c r="AB132" s="809">
        <v>82</v>
      </c>
      <c r="AC132" s="727"/>
      <c r="AD132" s="284" t="str">
        <f t="shared" si="3"/>
        <v>Pan_ST1_36104_D_10S4P4LEDLowDrv_SDI26FM_SW1_Aslp_Wup_CC_DUVP_R136C220D82_</v>
      </c>
      <c r="AJ132" s="225">
        <f t="shared" si="19"/>
        <v>3</v>
      </c>
      <c r="AK132" s="225">
        <f t="shared" si="20"/>
        <v>9</v>
      </c>
      <c r="AL132" s="225">
        <f t="shared" si="0"/>
        <v>36</v>
      </c>
      <c r="AM132" s="225">
        <f t="shared" si="1"/>
        <v>10.4</v>
      </c>
      <c r="AN132" s="225">
        <f t="shared" si="21"/>
        <v>26</v>
      </c>
      <c r="AO132" s="225">
        <f t="shared" si="22"/>
        <v>10</v>
      </c>
      <c r="AP132" s="225">
        <f t="shared" si="23"/>
        <v>4</v>
      </c>
      <c r="AQ132" s="225" t="str">
        <f t="shared" si="24"/>
        <v>ok</v>
      </c>
      <c r="AR132" s="225" t="str">
        <f t="shared" si="10"/>
        <v>10S4P</v>
      </c>
      <c r="AS132" s="225" t="str">
        <f t="shared" si="11"/>
        <v>4LEDLowDrv_SDI26FM_</v>
      </c>
      <c r="AT132" s="225" t="str">
        <f t="shared" si="12"/>
        <v>SW1_</v>
      </c>
      <c r="AU132" s="225" t="str">
        <f t="shared" si="25"/>
        <v>Aslp_Wup_CC_DUVP_</v>
      </c>
      <c r="AV132" s="225" t="e">
        <f t="shared" si="17"/>
        <v>#VALUE!</v>
      </c>
      <c r="AW132" s="225" t="b">
        <f t="shared" si="18"/>
        <v>1</v>
      </c>
      <c r="AX132" s="225" t="str">
        <f t="shared" si="14"/>
        <v/>
      </c>
      <c r="AY132" s="225" t="str">
        <f t="shared" si="15"/>
        <v/>
      </c>
      <c r="AZ132" s="664" t="str">
        <f t="shared" ref="AZ132:AZ141" si="27">IF(UPPER(TRIM(X132))="V",$X$2&amp;"_","")&amp;IF(UPPER(TRIM(Y132))="V",$Y$2&amp;"_","")&amp;IF(ISBLANK(Z132),"",$Z$2&amp;Z132)&amp;IF(ISBLANK(AA132),"",$AA$2&amp;AA132)&amp;IF(ISBLANK(AB132),"",$AB$2&amp;AB132&amp;"_")</f>
        <v>R136C220D82_</v>
      </c>
    </row>
    <row r="133" spans="1:52" s="225" customFormat="1" ht="42">
      <c r="A133" s="713" t="s">
        <v>2109</v>
      </c>
      <c r="B133" s="714" t="s">
        <v>2112</v>
      </c>
      <c r="C133" s="715"/>
      <c r="D133" s="713" t="s">
        <v>2110</v>
      </c>
      <c r="E133" s="280" t="str">
        <f t="shared" si="2"/>
        <v>10S4P</v>
      </c>
      <c r="F133" s="696" t="s">
        <v>939</v>
      </c>
      <c r="G133" s="719" t="s">
        <v>116</v>
      </c>
      <c r="H133" s="720">
        <v>4</v>
      </c>
      <c r="I133" s="736" t="s">
        <v>116</v>
      </c>
      <c r="J133" s="737"/>
      <c r="K133" s="736" t="s">
        <v>116</v>
      </c>
      <c r="L133" s="737"/>
      <c r="M133" s="737"/>
      <c r="N133" s="866"/>
      <c r="O133" s="737"/>
      <c r="P133" s="736" t="s">
        <v>116</v>
      </c>
      <c r="Q133" s="721" t="s">
        <v>116</v>
      </c>
      <c r="R133" s="737"/>
      <c r="S133" s="737"/>
      <c r="T133" s="867"/>
      <c r="U133" s="737"/>
      <c r="V133" s="721" t="s">
        <v>116</v>
      </c>
      <c r="W133" s="736" t="s">
        <v>116</v>
      </c>
      <c r="X133" s="737"/>
      <c r="Y133" s="737"/>
      <c r="Z133" s="726">
        <v>200</v>
      </c>
      <c r="AA133" s="726">
        <v>180</v>
      </c>
      <c r="AB133" s="726">
        <v>100</v>
      </c>
      <c r="AC133" s="768" t="s">
        <v>2111</v>
      </c>
      <c r="AD133" s="284" t="str">
        <f t="shared" si="3"/>
        <v>Ares_SSHT3280_36100_N_10S4P4LEDLowDrv_SDI26FM_SW1_Aslp_Wup_CC_DUVP_R200C180D100_</v>
      </c>
      <c r="AJ133" s="225">
        <f t="shared" si="19"/>
        <v>3</v>
      </c>
      <c r="AK133" s="225">
        <f t="shared" si="20"/>
        <v>9</v>
      </c>
      <c r="AL133" s="225">
        <f t="shared" si="0"/>
        <v>36</v>
      </c>
      <c r="AM133" s="225">
        <f t="shared" si="1"/>
        <v>10</v>
      </c>
      <c r="AN133" s="225">
        <f t="shared" si="21"/>
        <v>26</v>
      </c>
      <c r="AO133" s="225">
        <f t="shared" si="22"/>
        <v>10</v>
      </c>
      <c r="AP133" s="225">
        <f t="shared" si="23"/>
        <v>4</v>
      </c>
      <c r="AQ133" s="225" t="str">
        <f t="shared" si="24"/>
        <v>ok</v>
      </c>
      <c r="AR133" s="225" t="str">
        <f t="shared" si="10"/>
        <v>10S4P</v>
      </c>
      <c r="AS133" s="225" t="str">
        <f t="shared" si="11"/>
        <v>4LEDLowDrv_SDI26FM_</v>
      </c>
      <c r="AT133" s="225" t="str">
        <f t="shared" si="12"/>
        <v>SW1_</v>
      </c>
      <c r="AU133" s="225" t="str">
        <f t="shared" si="25"/>
        <v>Aslp_Wup_CC_DUVP_</v>
      </c>
      <c r="AV133" s="225" t="e">
        <f t="shared" si="17"/>
        <v>#VALUE!</v>
      </c>
      <c r="AW133" s="225" t="b">
        <f t="shared" si="18"/>
        <v>1</v>
      </c>
      <c r="AX133" s="225" t="str">
        <f t="shared" si="14"/>
        <v/>
      </c>
      <c r="AY133" s="225" t="str">
        <f t="shared" si="15"/>
        <v/>
      </c>
      <c r="AZ133" s="664" t="str">
        <f t="shared" si="27"/>
        <v>R200C180D100_</v>
      </c>
    </row>
    <row r="134" spans="1:52" s="225" customFormat="1" ht="21">
      <c r="A134" s="713" t="s">
        <v>2113</v>
      </c>
      <c r="B134" s="714" t="s">
        <v>2115</v>
      </c>
      <c r="C134" s="715"/>
      <c r="D134" s="713" t="s">
        <v>932</v>
      </c>
      <c r="E134" s="280" t="str">
        <f t="shared" si="2"/>
        <v>10S4P</v>
      </c>
      <c r="F134" s="696" t="s">
        <v>939</v>
      </c>
      <c r="G134" s="719" t="s">
        <v>116</v>
      </c>
      <c r="H134" s="720"/>
      <c r="I134" s="807"/>
      <c r="J134" s="713"/>
      <c r="K134" s="713"/>
      <c r="L134" s="713"/>
      <c r="M134" s="713"/>
      <c r="N134" s="805"/>
      <c r="O134" s="713"/>
      <c r="P134" s="810"/>
      <c r="Q134" s="810"/>
      <c r="R134" s="713"/>
      <c r="S134" s="713"/>
      <c r="T134" s="808"/>
      <c r="U134" s="713"/>
      <c r="V134" s="713"/>
      <c r="W134" s="713"/>
      <c r="X134" s="713"/>
      <c r="Y134" s="713"/>
      <c r="Z134" s="726"/>
      <c r="AA134" s="726"/>
      <c r="AB134" s="726"/>
      <c r="AC134" s="727"/>
      <c r="AD134" s="284" t="str">
        <f t="shared" si="3"/>
        <v>Cupid2_36104_D_10S4P</v>
      </c>
      <c r="AJ134" s="225">
        <f t="shared" ref="AJ134:AJ141" si="28">FIND("V",UPPER(TRIM(D134)))</f>
        <v>3</v>
      </c>
      <c r="AK134" s="225">
        <f t="shared" ref="AK134:AK141" si="29">FIND("AH",UPPER(TRIM(D134)))</f>
        <v>9</v>
      </c>
      <c r="AL134" s="225">
        <f t="shared" si="0"/>
        <v>36</v>
      </c>
      <c r="AM134" s="225">
        <f t="shared" si="1"/>
        <v>10</v>
      </c>
      <c r="AN134" s="225">
        <f t="shared" ref="AN134:AN141" si="30">VALUE(MID(TRIM(F134),4,2))</f>
        <v>26</v>
      </c>
      <c r="AO134" s="225">
        <f t="shared" ref="AO134:AO141" si="31">ROUNDDOWN(AL134/3.5,0)</f>
        <v>10</v>
      </c>
      <c r="AP134" s="225">
        <f t="shared" ref="AP134:AP141" si="32">ROUNDUP(AM134*10/AN134,0)</f>
        <v>4</v>
      </c>
      <c r="AQ134" s="225" t="str">
        <f t="shared" ref="AQ134:AQ141" si="33">IF(OR(ISERROR(AO134),ISERROR(AP134)),"error","ok")</f>
        <v>ok</v>
      </c>
      <c r="AR134" s="225" t="str">
        <f t="shared" si="10"/>
        <v>10S4P</v>
      </c>
      <c r="AS134" s="225" t="str">
        <f t="shared" si="11"/>
        <v/>
      </c>
      <c r="AT134" s="225" t="str">
        <f t="shared" si="12"/>
        <v/>
      </c>
      <c r="AU134" s="225" t="str">
        <f t="shared" si="25"/>
        <v/>
      </c>
      <c r="AV134" s="225" t="e">
        <f t="shared" si="17"/>
        <v>#VALUE!</v>
      </c>
      <c r="AW134" s="225" t="b">
        <f t="shared" si="18"/>
        <v>1</v>
      </c>
      <c r="AX134" s="225" t="str">
        <f t="shared" si="14"/>
        <v/>
      </c>
      <c r="AY134" s="225" t="str">
        <f t="shared" si="15"/>
        <v/>
      </c>
      <c r="AZ134" s="664" t="str">
        <f t="shared" si="27"/>
        <v/>
      </c>
    </row>
    <row r="135" spans="1:52" s="225" customFormat="1" ht="21">
      <c r="A135" s="713" t="s">
        <v>2118</v>
      </c>
      <c r="B135" s="716"/>
      <c r="C135" s="715"/>
      <c r="D135" s="713" t="s">
        <v>2116</v>
      </c>
      <c r="E135" s="280" t="str">
        <f t="shared" si="2"/>
        <v>7S4P</v>
      </c>
      <c r="F135" s="696" t="s">
        <v>939</v>
      </c>
      <c r="G135" s="719" t="s">
        <v>116</v>
      </c>
      <c r="H135" s="720">
        <v>4</v>
      </c>
      <c r="I135" s="806" t="s">
        <v>116</v>
      </c>
      <c r="J135" s="713"/>
      <c r="K135" s="806" t="s">
        <v>116</v>
      </c>
      <c r="L135" s="713"/>
      <c r="M135" s="713"/>
      <c r="N135" s="805"/>
      <c r="O135" s="713"/>
      <c r="P135" s="806" t="s">
        <v>116</v>
      </c>
      <c r="Q135" s="807" t="s">
        <v>116</v>
      </c>
      <c r="R135" s="713"/>
      <c r="S135" s="713"/>
      <c r="T135" s="808"/>
      <c r="U135" s="713"/>
      <c r="V135" s="807" t="s">
        <v>116</v>
      </c>
      <c r="W135" s="806" t="s">
        <v>116</v>
      </c>
      <c r="X135" s="713"/>
      <c r="Y135" s="806"/>
      <c r="Z135" s="809">
        <v>136</v>
      </c>
      <c r="AA135" s="809">
        <v>220</v>
      </c>
      <c r="AB135" s="809">
        <v>82</v>
      </c>
      <c r="AC135" s="727" t="s">
        <v>2119</v>
      </c>
      <c r="AD135" s="284" t="str">
        <f t="shared" si="3"/>
        <v>Ares_TB290_24100_D_7S4P4LEDLowDrv_SDI26FM_SW1_Aslp_Wup_CC_DUVP_R136C220D82_</v>
      </c>
      <c r="AJ135" s="225">
        <f t="shared" si="28"/>
        <v>3</v>
      </c>
      <c r="AK135" s="225">
        <f t="shared" si="29"/>
        <v>9</v>
      </c>
      <c r="AL135" s="225">
        <f t="shared" si="0"/>
        <v>26</v>
      </c>
      <c r="AM135" s="225">
        <f t="shared" si="1"/>
        <v>10</v>
      </c>
      <c r="AN135" s="225">
        <f t="shared" si="30"/>
        <v>26</v>
      </c>
      <c r="AO135" s="225">
        <f t="shared" si="31"/>
        <v>7</v>
      </c>
      <c r="AP135" s="225">
        <f t="shared" si="32"/>
        <v>4</v>
      </c>
      <c r="AQ135" s="225" t="str">
        <f t="shared" si="33"/>
        <v>ok</v>
      </c>
      <c r="AR135" s="225" t="str">
        <f t="shared" si="10"/>
        <v>7S4P</v>
      </c>
      <c r="AS135" s="225" t="str">
        <f t="shared" si="11"/>
        <v>4LEDLowDrv_SDI26FM_</v>
      </c>
      <c r="AT135" s="225" t="str">
        <f t="shared" si="12"/>
        <v>SW1_</v>
      </c>
      <c r="AU135" s="225" t="str">
        <f t="shared" si="25"/>
        <v>Aslp_Wup_CC_DUVP_</v>
      </c>
      <c r="AV135" s="225" t="e">
        <f t="shared" si="17"/>
        <v>#VALUE!</v>
      </c>
      <c r="AW135" s="225" t="b">
        <f t="shared" si="18"/>
        <v>1</v>
      </c>
      <c r="AX135" s="225" t="str">
        <f t="shared" si="14"/>
        <v/>
      </c>
      <c r="AY135" s="225" t="str">
        <f t="shared" si="15"/>
        <v/>
      </c>
      <c r="AZ135" s="664" t="str">
        <f t="shared" si="27"/>
        <v>R136C220D82_</v>
      </c>
    </row>
    <row r="136" spans="1:52" s="225" customFormat="1" ht="21">
      <c r="A136" s="713" t="s">
        <v>2114</v>
      </c>
      <c r="B136" s="716"/>
      <c r="C136" s="715"/>
      <c r="D136" s="713" t="s">
        <v>2117</v>
      </c>
      <c r="E136" s="280" t="str">
        <f t="shared" si="2"/>
        <v>10S4P</v>
      </c>
      <c r="F136" s="797" t="s">
        <v>1431</v>
      </c>
      <c r="G136" s="719" t="s">
        <v>116</v>
      </c>
      <c r="H136" s="720">
        <v>5</v>
      </c>
      <c r="I136" s="806" t="s">
        <v>116</v>
      </c>
      <c r="J136" s="713"/>
      <c r="K136" s="806" t="s">
        <v>116</v>
      </c>
      <c r="L136" s="713"/>
      <c r="M136" s="713"/>
      <c r="N136" s="806"/>
      <c r="O136" s="806"/>
      <c r="P136" s="806" t="s">
        <v>116</v>
      </c>
      <c r="Q136" s="807" t="s">
        <v>116</v>
      </c>
      <c r="R136" s="713"/>
      <c r="S136" s="713"/>
      <c r="T136" s="806" t="s">
        <v>116</v>
      </c>
      <c r="U136" s="713"/>
      <c r="V136" s="807" t="s">
        <v>116</v>
      </c>
      <c r="W136" s="806" t="s">
        <v>116</v>
      </c>
      <c r="X136" s="713"/>
      <c r="Y136" s="713"/>
      <c r="Z136" s="809">
        <v>136</v>
      </c>
      <c r="AA136" s="809">
        <v>220</v>
      </c>
      <c r="AB136" s="809">
        <v>82</v>
      </c>
      <c r="AC136" s="727" t="s">
        <v>2119</v>
      </c>
      <c r="AD136" s="284" t="str">
        <f t="shared" si="3"/>
        <v>Ares_HM_36088_C_10S4P5LEDLowDrv_SDI22FM_SW1_Aslp_Wup_Blight_CC_DUVP_R136C220D82_</v>
      </c>
      <c r="AJ136" s="225">
        <f t="shared" si="28"/>
        <v>3</v>
      </c>
      <c r="AK136" s="225">
        <f t="shared" si="29"/>
        <v>8</v>
      </c>
      <c r="AL136" s="225">
        <f t="shared" si="0"/>
        <v>36</v>
      </c>
      <c r="AM136" s="225">
        <f t="shared" si="1"/>
        <v>8.8000000000000007</v>
      </c>
      <c r="AN136" s="225">
        <f t="shared" si="30"/>
        <v>22</v>
      </c>
      <c r="AO136" s="225">
        <f t="shared" si="31"/>
        <v>10</v>
      </c>
      <c r="AP136" s="225">
        <f t="shared" si="32"/>
        <v>4</v>
      </c>
      <c r="AQ136" s="225" t="str">
        <f t="shared" si="33"/>
        <v>ok</v>
      </c>
      <c r="AR136" s="225" t="str">
        <f t="shared" si="10"/>
        <v>10S4P</v>
      </c>
      <c r="AS136" s="225" t="str">
        <f t="shared" si="11"/>
        <v>5LEDLowDrv_SDI22FM_</v>
      </c>
      <c r="AT136" s="225" t="str">
        <f t="shared" si="12"/>
        <v>SW1_</v>
      </c>
      <c r="AU136" s="225" t="str">
        <f t="shared" si="25"/>
        <v>Aslp_Wup_Blight_CC_DUVP_</v>
      </c>
      <c r="AV136" s="225" t="e">
        <f t="shared" si="17"/>
        <v>#VALUE!</v>
      </c>
      <c r="AW136" s="225" t="b">
        <f t="shared" si="18"/>
        <v>1</v>
      </c>
      <c r="AX136" s="225" t="str">
        <f t="shared" si="14"/>
        <v/>
      </c>
      <c r="AY136" s="225" t="str">
        <f t="shared" si="15"/>
        <v/>
      </c>
      <c r="AZ136" s="664" t="str">
        <f t="shared" si="27"/>
        <v>R136C220D82_</v>
      </c>
    </row>
    <row r="137" spans="1:52" s="225" customFormat="1" ht="21">
      <c r="A137" s="713"/>
      <c r="B137" s="716"/>
      <c r="C137" s="715"/>
      <c r="D137" s="713"/>
      <c r="E137" s="280" t="str">
        <f t="shared" si="2"/>
        <v>_</v>
      </c>
      <c r="F137" s="696" t="s">
        <v>939</v>
      </c>
      <c r="G137" s="719" t="s">
        <v>116</v>
      </c>
      <c r="H137" s="720"/>
      <c r="I137" s="807"/>
      <c r="J137" s="713"/>
      <c r="K137" s="713"/>
      <c r="L137" s="713"/>
      <c r="M137" s="713"/>
      <c r="N137" s="805"/>
      <c r="O137" s="713"/>
      <c r="P137" s="810"/>
      <c r="Q137" s="810"/>
      <c r="R137" s="713"/>
      <c r="S137" s="713"/>
      <c r="T137" s="808"/>
      <c r="U137" s="713"/>
      <c r="V137" s="713"/>
      <c r="W137" s="713"/>
      <c r="X137" s="713"/>
      <c r="Y137" s="713"/>
      <c r="Z137" s="726"/>
      <c r="AA137" s="726"/>
      <c r="AB137" s="726"/>
      <c r="AC137" s="727"/>
      <c r="AD137" s="284" t="str">
        <f t="shared" si="3"/>
        <v>__</v>
      </c>
      <c r="AJ137" s="225" t="e">
        <f t="shared" si="28"/>
        <v>#VALUE!</v>
      </c>
      <c r="AK137" s="225" t="e">
        <f t="shared" si="29"/>
        <v>#VALUE!</v>
      </c>
      <c r="AL137" s="225" t="e">
        <f t="shared" si="0"/>
        <v>#VALUE!</v>
      </c>
      <c r="AM137" s="225" t="e">
        <f t="shared" si="1"/>
        <v>#VALUE!</v>
      </c>
      <c r="AN137" s="225">
        <f t="shared" si="30"/>
        <v>26</v>
      </c>
      <c r="AO137" s="225" t="e">
        <f t="shared" si="31"/>
        <v>#VALUE!</v>
      </c>
      <c r="AP137" s="225" t="e">
        <f t="shared" si="32"/>
        <v>#VALUE!</v>
      </c>
      <c r="AQ137" s="225" t="str">
        <f t="shared" si="33"/>
        <v>error</v>
      </c>
      <c r="AR137" s="225" t="str">
        <f t="shared" si="10"/>
        <v>_</v>
      </c>
      <c r="AS137" s="225" t="str">
        <f t="shared" si="11"/>
        <v/>
      </c>
      <c r="AT137" s="225" t="str">
        <f t="shared" si="12"/>
        <v/>
      </c>
      <c r="AU137" s="225" t="str">
        <f t="shared" si="25"/>
        <v/>
      </c>
      <c r="AV137" s="225" t="e">
        <f t="shared" si="17"/>
        <v>#VALUE!</v>
      </c>
      <c r="AW137" s="225" t="b">
        <f t="shared" si="18"/>
        <v>1</v>
      </c>
      <c r="AX137" s="225" t="str">
        <f t="shared" si="14"/>
        <v/>
      </c>
      <c r="AY137" s="225" t="str">
        <f t="shared" si="15"/>
        <v/>
      </c>
      <c r="AZ137" s="664" t="str">
        <f t="shared" si="27"/>
        <v/>
      </c>
    </row>
    <row r="138" spans="1:52" s="225" customFormat="1" ht="21">
      <c r="A138" s="713"/>
      <c r="B138" s="716"/>
      <c r="C138" s="715"/>
      <c r="D138" s="713"/>
      <c r="E138" s="280" t="str">
        <f t="shared" si="2"/>
        <v>_</v>
      </c>
      <c r="F138" s="696" t="s">
        <v>939</v>
      </c>
      <c r="G138" s="719" t="s">
        <v>116</v>
      </c>
      <c r="H138" s="720"/>
      <c r="I138" s="807"/>
      <c r="J138" s="713"/>
      <c r="K138" s="713"/>
      <c r="L138" s="713"/>
      <c r="M138" s="713"/>
      <c r="N138" s="805"/>
      <c r="O138" s="713"/>
      <c r="P138" s="810"/>
      <c r="Q138" s="810"/>
      <c r="R138" s="713"/>
      <c r="S138" s="713"/>
      <c r="T138" s="808"/>
      <c r="U138" s="713"/>
      <c r="V138" s="713"/>
      <c r="W138" s="713"/>
      <c r="X138" s="713"/>
      <c r="Y138" s="713"/>
      <c r="Z138" s="726"/>
      <c r="AA138" s="726"/>
      <c r="AB138" s="726"/>
      <c r="AC138" s="727"/>
      <c r="AD138" s="284" t="str">
        <f t="shared" si="3"/>
        <v>__</v>
      </c>
      <c r="AJ138" s="225" t="e">
        <f t="shared" si="28"/>
        <v>#VALUE!</v>
      </c>
      <c r="AK138" s="225" t="e">
        <f t="shared" si="29"/>
        <v>#VALUE!</v>
      </c>
      <c r="AL138" s="225" t="e">
        <f t="shared" si="0"/>
        <v>#VALUE!</v>
      </c>
      <c r="AM138" s="225" t="e">
        <f t="shared" si="1"/>
        <v>#VALUE!</v>
      </c>
      <c r="AN138" s="225">
        <f t="shared" si="30"/>
        <v>26</v>
      </c>
      <c r="AO138" s="225" t="e">
        <f t="shared" si="31"/>
        <v>#VALUE!</v>
      </c>
      <c r="AP138" s="225" t="e">
        <f t="shared" si="32"/>
        <v>#VALUE!</v>
      </c>
      <c r="AQ138" s="225" t="str">
        <f t="shared" si="33"/>
        <v>error</v>
      </c>
      <c r="AR138" s="225" t="str">
        <f t="shared" si="10"/>
        <v>_</v>
      </c>
      <c r="AS138" s="225" t="str">
        <f t="shared" si="11"/>
        <v/>
      </c>
      <c r="AT138" s="225" t="str">
        <f t="shared" si="12"/>
        <v/>
      </c>
      <c r="AU138" s="225" t="str">
        <f t="shared" si="25"/>
        <v/>
      </c>
      <c r="AV138" s="225" t="e">
        <f t="shared" si="17"/>
        <v>#VALUE!</v>
      </c>
      <c r="AW138" s="225" t="b">
        <f t="shared" si="18"/>
        <v>1</v>
      </c>
      <c r="AX138" s="225" t="str">
        <f t="shared" si="14"/>
        <v/>
      </c>
      <c r="AY138" s="225" t="str">
        <f t="shared" si="15"/>
        <v/>
      </c>
      <c r="AZ138" s="664" t="str">
        <f t="shared" si="27"/>
        <v/>
      </c>
    </row>
    <row r="139" spans="1:52" s="225" customFormat="1" ht="21">
      <c r="A139" s="713"/>
      <c r="B139" s="716"/>
      <c r="C139" s="715"/>
      <c r="D139" s="713"/>
      <c r="E139" s="280" t="str">
        <f t="shared" si="2"/>
        <v>_</v>
      </c>
      <c r="F139" s="696" t="s">
        <v>939</v>
      </c>
      <c r="G139" s="719" t="s">
        <v>116</v>
      </c>
      <c r="H139" s="720"/>
      <c r="I139" s="807"/>
      <c r="J139" s="713"/>
      <c r="K139" s="713"/>
      <c r="L139" s="713"/>
      <c r="M139" s="713"/>
      <c r="N139" s="805"/>
      <c r="O139" s="713"/>
      <c r="P139" s="810"/>
      <c r="Q139" s="810"/>
      <c r="R139" s="713"/>
      <c r="S139" s="713"/>
      <c r="T139" s="808"/>
      <c r="U139" s="713"/>
      <c r="V139" s="713"/>
      <c r="W139" s="713"/>
      <c r="X139" s="713"/>
      <c r="Y139" s="713"/>
      <c r="Z139" s="726"/>
      <c r="AA139" s="726"/>
      <c r="AB139" s="726"/>
      <c r="AC139" s="727"/>
      <c r="AD139" s="284" t="str">
        <f t="shared" si="3"/>
        <v>__</v>
      </c>
      <c r="AJ139" s="225" t="e">
        <f t="shared" si="28"/>
        <v>#VALUE!</v>
      </c>
      <c r="AK139" s="225" t="e">
        <f t="shared" si="29"/>
        <v>#VALUE!</v>
      </c>
      <c r="AL139" s="225" t="e">
        <f t="shared" si="0"/>
        <v>#VALUE!</v>
      </c>
      <c r="AM139" s="225" t="e">
        <f t="shared" si="1"/>
        <v>#VALUE!</v>
      </c>
      <c r="AN139" s="225">
        <f t="shared" si="30"/>
        <v>26</v>
      </c>
      <c r="AO139" s="225" t="e">
        <f t="shared" si="31"/>
        <v>#VALUE!</v>
      </c>
      <c r="AP139" s="225" t="e">
        <f t="shared" si="32"/>
        <v>#VALUE!</v>
      </c>
      <c r="AQ139" s="225" t="str">
        <f t="shared" si="33"/>
        <v>error</v>
      </c>
      <c r="AR139" s="225" t="str">
        <f t="shared" si="10"/>
        <v>_</v>
      </c>
      <c r="AS139" s="225" t="str">
        <f t="shared" si="11"/>
        <v/>
      </c>
      <c r="AT139" s="225" t="str">
        <f t="shared" si="12"/>
        <v/>
      </c>
      <c r="AU139" s="225" t="str">
        <f t="shared" si="25"/>
        <v/>
      </c>
      <c r="AV139" s="225" t="e">
        <f t="shared" si="17"/>
        <v>#VALUE!</v>
      </c>
      <c r="AW139" s="225" t="b">
        <f t="shared" si="18"/>
        <v>1</v>
      </c>
      <c r="AX139" s="225" t="str">
        <f t="shared" si="14"/>
        <v/>
      </c>
      <c r="AY139" s="225" t="str">
        <f t="shared" si="15"/>
        <v/>
      </c>
      <c r="AZ139" s="664" t="str">
        <f t="shared" si="27"/>
        <v/>
      </c>
    </row>
    <row r="140" spans="1:52" s="225" customFormat="1" ht="21">
      <c r="A140" s="713"/>
      <c r="B140" s="716"/>
      <c r="C140" s="715"/>
      <c r="D140" s="713"/>
      <c r="E140" s="280" t="str">
        <f t="shared" si="2"/>
        <v>_</v>
      </c>
      <c r="F140" s="696" t="s">
        <v>950</v>
      </c>
      <c r="G140" s="719" t="s">
        <v>685</v>
      </c>
      <c r="H140" s="720"/>
      <c r="I140" s="807"/>
      <c r="J140" s="713"/>
      <c r="K140" s="713"/>
      <c r="L140" s="713"/>
      <c r="M140" s="713"/>
      <c r="N140" s="805"/>
      <c r="O140" s="713"/>
      <c r="P140" s="810"/>
      <c r="Q140" s="810"/>
      <c r="R140" s="713"/>
      <c r="S140" s="713"/>
      <c r="T140" s="808"/>
      <c r="U140" s="713"/>
      <c r="V140" s="713"/>
      <c r="W140" s="713"/>
      <c r="X140" s="713"/>
      <c r="Y140" s="713"/>
      <c r="Z140" s="726"/>
      <c r="AA140" s="726"/>
      <c r="AB140" s="726"/>
      <c r="AC140" s="727"/>
      <c r="AD140" s="284" t="str">
        <f t="shared" si="3"/>
        <v>__</v>
      </c>
      <c r="AJ140" s="225" t="e">
        <f t="shared" si="28"/>
        <v>#VALUE!</v>
      </c>
      <c r="AK140" s="225" t="e">
        <f t="shared" si="29"/>
        <v>#VALUE!</v>
      </c>
      <c r="AL140" s="225" t="e">
        <f t="shared" si="0"/>
        <v>#VALUE!</v>
      </c>
      <c r="AM140" s="225" t="e">
        <f t="shared" si="1"/>
        <v>#VALUE!</v>
      </c>
      <c r="AN140" s="225">
        <f t="shared" si="30"/>
        <v>26</v>
      </c>
      <c r="AO140" s="225" t="e">
        <f t="shared" si="31"/>
        <v>#VALUE!</v>
      </c>
      <c r="AP140" s="225" t="e">
        <f t="shared" si="32"/>
        <v>#VALUE!</v>
      </c>
      <c r="AQ140" s="225" t="str">
        <f t="shared" si="33"/>
        <v>error</v>
      </c>
      <c r="AR140" s="225" t="str">
        <f t="shared" si="10"/>
        <v>_</v>
      </c>
      <c r="AS140" s="225" t="str">
        <f t="shared" si="11"/>
        <v/>
      </c>
      <c r="AT140" s="225" t="str">
        <f t="shared" si="12"/>
        <v/>
      </c>
      <c r="AU140" s="225" t="str">
        <f t="shared" si="25"/>
        <v/>
      </c>
      <c r="AV140" s="225" t="e">
        <f t="shared" si="17"/>
        <v>#VALUE!</v>
      </c>
      <c r="AW140" s="225" t="b">
        <f t="shared" si="18"/>
        <v>1</v>
      </c>
      <c r="AX140" s="225" t="str">
        <f t="shared" si="14"/>
        <v/>
      </c>
      <c r="AY140" s="225" t="str">
        <f t="shared" si="15"/>
        <v/>
      </c>
      <c r="AZ140" s="664" t="str">
        <f t="shared" si="27"/>
        <v/>
      </c>
    </row>
    <row r="141" spans="1:52">
      <c r="AJ141" s="225" t="e">
        <f t="shared" si="28"/>
        <v>#VALUE!</v>
      </c>
      <c r="AK141" s="225" t="e">
        <f t="shared" si="29"/>
        <v>#VALUE!</v>
      </c>
      <c r="AL141" s="225" t="e">
        <f t="shared" si="0"/>
        <v>#VALUE!</v>
      </c>
      <c r="AM141" s="225" t="e">
        <f t="shared" si="1"/>
        <v>#VALUE!</v>
      </c>
      <c r="AN141" s="225" t="e">
        <f t="shared" si="30"/>
        <v>#VALUE!</v>
      </c>
      <c r="AO141" s="225" t="e">
        <f t="shared" si="31"/>
        <v>#VALUE!</v>
      </c>
      <c r="AP141" s="225" t="e">
        <f t="shared" si="32"/>
        <v>#VALUE!</v>
      </c>
      <c r="AQ141" s="225" t="str">
        <f t="shared" si="33"/>
        <v>error</v>
      </c>
      <c r="AR141" s="225" t="str">
        <f t="shared" si="10"/>
        <v>_</v>
      </c>
      <c r="AS141" s="225" t="str">
        <f t="shared" si="11"/>
        <v/>
      </c>
      <c r="AT141" s="225" t="str">
        <f t="shared" si="12"/>
        <v/>
      </c>
      <c r="AU141" s="225" t="str">
        <f t="shared" si="25"/>
        <v/>
      </c>
      <c r="AV141" s="225" t="e">
        <f t="shared" si="17"/>
        <v>#VALUE!</v>
      </c>
      <c r="AW141" s="225" t="b">
        <f t="shared" si="18"/>
        <v>1</v>
      </c>
      <c r="AX141" s="225" t="str">
        <f t="shared" si="14"/>
        <v/>
      </c>
      <c r="AY141" s="225" t="str">
        <f t="shared" si="15"/>
        <v/>
      </c>
      <c r="AZ141" s="664" t="str">
        <f t="shared" si="27"/>
        <v/>
      </c>
    </row>
    <row r="142" spans="1:52">
      <c r="AJ142" s="225"/>
      <c r="AK142" s="225"/>
      <c r="AL142" s="225"/>
      <c r="AM142" s="225"/>
      <c r="AN142" s="225"/>
      <c r="AO142" s="225"/>
      <c r="AP142" s="225"/>
      <c r="AQ142" s="225"/>
      <c r="AR142" s="225"/>
    </row>
    <row r="143" spans="1:52">
      <c r="AJ143" s="225"/>
      <c r="AK143" s="225"/>
      <c r="AL143" s="225"/>
      <c r="AM143" s="225"/>
      <c r="AN143" s="225"/>
      <c r="AO143" s="225"/>
      <c r="AP143" s="225"/>
      <c r="AQ143" s="225"/>
      <c r="AR143" s="225"/>
    </row>
    <row r="144" spans="1:52">
      <c r="AJ144" s="225"/>
      <c r="AK144" s="225"/>
      <c r="AL144" s="225"/>
      <c r="AM144" s="225"/>
      <c r="AN144" s="225"/>
      <c r="AO144" s="225"/>
      <c r="AP144" s="225"/>
      <c r="AQ144" s="225"/>
      <c r="AR144" s="225"/>
    </row>
    <row r="145" spans="36:44">
      <c r="AJ145" s="225"/>
      <c r="AK145" s="225"/>
      <c r="AL145" s="225"/>
      <c r="AM145" s="225"/>
      <c r="AN145" s="225"/>
      <c r="AO145" s="225"/>
      <c r="AP145" s="225"/>
      <c r="AQ145" s="225"/>
      <c r="AR145" s="225"/>
    </row>
    <row r="146" spans="36:44">
      <c r="AJ146" s="225"/>
      <c r="AK146" s="225"/>
      <c r="AL146" s="225"/>
      <c r="AM146" s="225"/>
      <c r="AN146" s="225"/>
      <c r="AO146" s="225"/>
      <c r="AP146" s="225"/>
      <c r="AQ146" s="225"/>
      <c r="AR146" s="225"/>
    </row>
    <row r="147" spans="36:44">
      <c r="AJ147" s="225"/>
      <c r="AK147" s="225"/>
      <c r="AL147" s="225"/>
      <c r="AM147" s="225"/>
      <c r="AN147" s="225"/>
      <c r="AO147" s="225"/>
      <c r="AP147" s="225"/>
      <c r="AQ147" s="225"/>
      <c r="AR147" s="225"/>
    </row>
    <row r="148" spans="36:44">
      <c r="AJ148" s="225"/>
      <c r="AK148" s="225"/>
      <c r="AL148" s="225"/>
      <c r="AM148" s="225"/>
      <c r="AN148" s="225"/>
      <c r="AO148" s="225"/>
      <c r="AP148" s="225"/>
      <c r="AQ148" s="225"/>
      <c r="AR148" s="225"/>
    </row>
    <row r="149" spans="36:44">
      <c r="AJ149" s="225"/>
      <c r="AK149" s="225"/>
      <c r="AL149" s="225"/>
      <c r="AM149" s="225"/>
      <c r="AN149" s="225"/>
      <c r="AO149" s="225"/>
      <c r="AP149" s="225"/>
      <c r="AQ149" s="225"/>
      <c r="AR149" s="225"/>
    </row>
    <row r="150" spans="36:44">
      <c r="AJ150" s="225"/>
      <c r="AK150" s="225"/>
      <c r="AL150" s="225"/>
      <c r="AM150" s="225"/>
      <c r="AN150" s="225"/>
      <c r="AO150" s="225"/>
      <c r="AP150" s="225"/>
      <c r="AQ150" s="225"/>
      <c r="AR150" s="225"/>
    </row>
    <row r="151" spans="36:44">
      <c r="AJ151" s="225"/>
      <c r="AK151" s="225"/>
      <c r="AL151" s="225"/>
      <c r="AM151" s="225"/>
      <c r="AN151" s="225"/>
      <c r="AO151" s="225"/>
      <c r="AP151" s="225"/>
      <c r="AQ151" s="225"/>
      <c r="AR151" s="225"/>
    </row>
    <row r="152" spans="36:44">
      <c r="AJ152" s="225"/>
      <c r="AK152" s="225"/>
      <c r="AL152" s="225"/>
      <c r="AM152" s="225"/>
      <c r="AN152" s="225"/>
      <c r="AO152" s="225"/>
      <c r="AP152" s="225"/>
      <c r="AQ152" s="225"/>
      <c r="AR152" s="225"/>
    </row>
    <row r="153" spans="36:44">
      <c r="AJ153" s="225"/>
      <c r="AK153" s="225"/>
      <c r="AL153" s="225"/>
      <c r="AM153" s="225"/>
      <c r="AN153" s="225"/>
      <c r="AO153" s="225"/>
      <c r="AP153" s="225"/>
      <c r="AQ153" s="225"/>
      <c r="AR153" s="225"/>
    </row>
    <row r="154" spans="36:44">
      <c r="AJ154" s="225"/>
      <c r="AK154" s="225"/>
      <c r="AL154" s="225"/>
      <c r="AM154" s="225"/>
      <c r="AN154" s="225"/>
      <c r="AO154" s="225"/>
      <c r="AP154" s="225"/>
      <c r="AQ154" s="225"/>
      <c r="AR154" s="225"/>
    </row>
    <row r="155" spans="36:44">
      <c r="AJ155" s="225"/>
      <c r="AK155" s="225"/>
      <c r="AL155" s="225"/>
      <c r="AM155" s="225"/>
      <c r="AN155" s="225"/>
      <c r="AO155" s="225"/>
      <c r="AP155" s="225"/>
      <c r="AQ155" s="225"/>
      <c r="AR155" s="225"/>
    </row>
    <row r="156" spans="36:44">
      <c r="AJ156" s="225"/>
      <c r="AK156" s="225"/>
      <c r="AL156" s="225"/>
      <c r="AM156" s="225"/>
      <c r="AN156" s="225"/>
      <c r="AO156" s="225"/>
      <c r="AP156" s="225"/>
      <c r="AQ156" s="225"/>
      <c r="AR156" s="225"/>
    </row>
    <row r="157" spans="36:44">
      <c r="AJ157" s="225"/>
      <c r="AK157" s="225"/>
      <c r="AL157" s="225"/>
      <c r="AM157" s="225"/>
      <c r="AN157" s="225"/>
      <c r="AO157" s="225"/>
      <c r="AP157" s="225"/>
      <c r="AQ157" s="225"/>
      <c r="AR157" s="225"/>
    </row>
    <row r="158" spans="36:44">
      <c r="AJ158" s="225"/>
      <c r="AK158" s="225"/>
      <c r="AL158" s="225"/>
      <c r="AM158" s="225"/>
      <c r="AN158" s="225"/>
      <c r="AO158" s="225"/>
      <c r="AP158" s="225"/>
      <c r="AQ158" s="225"/>
      <c r="AR158" s="225"/>
    </row>
    <row r="159" spans="36:44">
      <c r="AJ159" s="225"/>
      <c r="AK159" s="225"/>
      <c r="AL159" s="225"/>
      <c r="AM159" s="225"/>
      <c r="AN159" s="225"/>
      <c r="AO159" s="225"/>
      <c r="AP159" s="225"/>
      <c r="AQ159" s="225"/>
      <c r="AR159" s="225"/>
    </row>
    <row r="160" spans="36:44">
      <c r="AJ160" s="225"/>
      <c r="AK160" s="225"/>
      <c r="AL160" s="225"/>
      <c r="AM160" s="225"/>
      <c r="AN160" s="225"/>
      <c r="AO160" s="225"/>
      <c r="AP160" s="225"/>
      <c r="AQ160" s="225"/>
      <c r="AR160" s="225"/>
    </row>
    <row r="161" spans="36:44">
      <c r="AJ161" s="225"/>
      <c r="AK161" s="225"/>
      <c r="AL161" s="225"/>
      <c r="AM161" s="225"/>
      <c r="AN161" s="225"/>
      <c r="AO161" s="225"/>
      <c r="AP161" s="225"/>
      <c r="AQ161" s="225"/>
      <c r="AR161" s="225"/>
    </row>
    <row r="162" spans="36:44">
      <c r="AJ162" s="225"/>
      <c r="AK162" s="225"/>
      <c r="AL162" s="225"/>
      <c r="AM162" s="225"/>
      <c r="AN162" s="225"/>
      <c r="AO162" s="225"/>
      <c r="AP162" s="225"/>
      <c r="AQ162" s="225"/>
      <c r="AR162" s="225"/>
    </row>
    <row r="163" spans="36:44">
      <c r="AJ163" s="225"/>
      <c r="AK163" s="225"/>
      <c r="AL163" s="225"/>
      <c r="AM163" s="225"/>
      <c r="AN163" s="225"/>
      <c r="AO163" s="225"/>
      <c r="AP163" s="225"/>
      <c r="AQ163" s="225"/>
      <c r="AR163" s="225"/>
    </row>
    <row r="164" spans="36:44">
      <c r="AJ164" s="225"/>
      <c r="AK164" s="225"/>
      <c r="AL164" s="225"/>
      <c r="AM164" s="225"/>
      <c r="AN164" s="225"/>
      <c r="AO164" s="225"/>
      <c r="AP164" s="225"/>
      <c r="AQ164" s="225"/>
      <c r="AR164" s="225"/>
    </row>
    <row r="165" spans="36:44">
      <c r="AJ165" s="225"/>
      <c r="AK165" s="225"/>
      <c r="AL165" s="225"/>
      <c r="AM165" s="225"/>
      <c r="AN165" s="225"/>
      <c r="AO165" s="225"/>
      <c r="AP165" s="225"/>
      <c r="AQ165" s="225"/>
      <c r="AR165" s="225"/>
    </row>
    <row r="166" spans="36:44">
      <c r="AJ166" s="225"/>
      <c r="AK166" s="225"/>
      <c r="AL166" s="225"/>
      <c r="AM166" s="225"/>
      <c r="AN166" s="225"/>
      <c r="AO166" s="225"/>
      <c r="AP166" s="225"/>
      <c r="AQ166" s="225"/>
      <c r="AR166" s="225"/>
    </row>
    <row r="167" spans="36:44">
      <c r="AJ167" s="225"/>
      <c r="AK167" s="225"/>
      <c r="AL167" s="225"/>
      <c r="AM167" s="225"/>
      <c r="AN167" s="225"/>
      <c r="AO167" s="225"/>
      <c r="AP167" s="225"/>
      <c r="AQ167" s="225"/>
      <c r="AR167" s="225"/>
    </row>
    <row r="168" spans="36:44">
      <c r="AJ168" s="225"/>
      <c r="AK168" s="225"/>
      <c r="AL168" s="225"/>
      <c r="AM168" s="225"/>
      <c r="AN168" s="225"/>
      <c r="AO168" s="225"/>
      <c r="AP168" s="225"/>
      <c r="AQ168" s="225"/>
      <c r="AR168" s="225"/>
    </row>
    <row r="169" spans="36:44">
      <c r="AJ169" s="225"/>
      <c r="AK169" s="225"/>
      <c r="AL169" s="225"/>
      <c r="AM169" s="225"/>
      <c r="AN169" s="225"/>
      <c r="AO169" s="225"/>
      <c r="AP169" s="225"/>
      <c r="AQ169" s="225"/>
      <c r="AR169" s="225"/>
    </row>
    <row r="170" spans="36:44">
      <c r="AJ170" s="225"/>
      <c r="AK170" s="225"/>
      <c r="AL170" s="225"/>
      <c r="AM170" s="225"/>
      <c r="AN170" s="225"/>
      <c r="AO170" s="225"/>
      <c r="AP170" s="225"/>
      <c r="AQ170" s="225"/>
      <c r="AR170" s="225"/>
    </row>
    <row r="171" spans="36:44">
      <c r="AJ171" s="225"/>
      <c r="AK171" s="225"/>
      <c r="AL171" s="225"/>
      <c r="AM171" s="225"/>
      <c r="AN171" s="225"/>
      <c r="AO171" s="225"/>
      <c r="AP171" s="225"/>
      <c r="AQ171" s="225"/>
      <c r="AR171" s="225"/>
    </row>
    <row r="172" spans="36:44">
      <c r="AJ172" s="225"/>
      <c r="AK172" s="225"/>
      <c r="AL172" s="225"/>
      <c r="AM172" s="225"/>
      <c r="AN172" s="225"/>
      <c r="AO172" s="225"/>
      <c r="AP172" s="225"/>
      <c r="AQ172" s="225"/>
      <c r="AR172" s="225"/>
    </row>
    <row r="173" spans="36:44">
      <c r="AJ173" s="225"/>
      <c r="AK173" s="225"/>
      <c r="AL173" s="225"/>
      <c r="AM173" s="225"/>
      <c r="AN173" s="225"/>
      <c r="AO173" s="225"/>
      <c r="AP173" s="225"/>
      <c r="AQ173" s="225"/>
      <c r="AR173" s="225"/>
    </row>
    <row r="174" spans="36:44">
      <c r="AJ174" s="225"/>
      <c r="AK174" s="225"/>
      <c r="AL174" s="225"/>
      <c r="AM174" s="225"/>
      <c r="AN174" s="225"/>
      <c r="AO174" s="225"/>
      <c r="AP174" s="225"/>
      <c r="AQ174" s="225"/>
      <c r="AR174" s="225"/>
    </row>
    <row r="175" spans="36:44">
      <c r="AJ175" s="225"/>
      <c r="AK175" s="225"/>
      <c r="AL175" s="225"/>
      <c r="AM175" s="225"/>
      <c r="AN175" s="225"/>
      <c r="AO175" s="225"/>
      <c r="AP175" s="225"/>
      <c r="AQ175" s="225"/>
      <c r="AR175" s="225"/>
    </row>
    <row r="176" spans="36:44">
      <c r="AJ176" s="225"/>
      <c r="AK176" s="225"/>
      <c r="AL176" s="225"/>
      <c r="AM176" s="225"/>
      <c r="AN176" s="225"/>
      <c r="AO176" s="225"/>
      <c r="AP176" s="225"/>
      <c r="AQ176" s="225"/>
      <c r="AR176" s="225"/>
    </row>
    <row r="177" spans="36:44">
      <c r="AJ177" s="225"/>
      <c r="AK177" s="225"/>
      <c r="AL177" s="225"/>
      <c r="AM177" s="225"/>
      <c r="AN177" s="225"/>
      <c r="AO177" s="225"/>
      <c r="AP177" s="225"/>
      <c r="AQ177" s="225"/>
      <c r="AR177" s="225"/>
    </row>
    <row r="178" spans="36:44">
      <c r="AJ178" s="225"/>
      <c r="AK178" s="225"/>
      <c r="AL178" s="225"/>
      <c r="AM178" s="225"/>
      <c r="AN178" s="225"/>
      <c r="AO178" s="225"/>
      <c r="AP178" s="225"/>
      <c r="AQ178" s="225"/>
      <c r="AR178" s="225"/>
    </row>
    <row r="179" spans="36:44">
      <c r="AJ179" s="225"/>
      <c r="AK179" s="225"/>
      <c r="AL179" s="225"/>
      <c r="AM179" s="225"/>
      <c r="AN179" s="225"/>
      <c r="AO179" s="225"/>
      <c r="AP179" s="225"/>
      <c r="AQ179" s="225"/>
      <c r="AR179" s="225"/>
    </row>
    <row r="180" spans="36:44">
      <c r="AJ180" s="225"/>
      <c r="AK180" s="225"/>
      <c r="AL180" s="225"/>
      <c r="AM180" s="225"/>
      <c r="AN180" s="225"/>
      <c r="AO180" s="225"/>
      <c r="AP180" s="225"/>
      <c r="AQ180" s="225"/>
      <c r="AR180" s="225"/>
    </row>
    <row r="181" spans="36:44">
      <c r="AJ181" s="225"/>
      <c r="AK181" s="225"/>
      <c r="AL181" s="225"/>
      <c r="AM181" s="225"/>
      <c r="AN181" s="225"/>
      <c r="AO181" s="225"/>
      <c r="AP181" s="225"/>
      <c r="AQ181" s="225"/>
      <c r="AR181" s="225"/>
    </row>
    <row r="182" spans="36:44">
      <c r="AJ182" s="225"/>
      <c r="AK182" s="225"/>
      <c r="AL182" s="225"/>
      <c r="AM182" s="225"/>
      <c r="AN182" s="225"/>
      <c r="AO182" s="225"/>
      <c r="AP182" s="225"/>
      <c r="AQ182" s="225"/>
      <c r="AR182" s="225"/>
    </row>
    <row r="183" spans="36:44">
      <c r="AJ183" s="225"/>
      <c r="AK183" s="225"/>
      <c r="AL183" s="225"/>
      <c r="AM183" s="225"/>
      <c r="AN183" s="225"/>
      <c r="AO183" s="225"/>
      <c r="AP183" s="225"/>
      <c r="AQ183" s="225"/>
      <c r="AR183" s="225"/>
    </row>
    <row r="184" spans="36:44">
      <c r="AJ184" s="225"/>
      <c r="AK184" s="225"/>
      <c r="AL184" s="225"/>
      <c r="AM184" s="225"/>
      <c r="AN184" s="225"/>
      <c r="AO184" s="225"/>
      <c r="AP184" s="225"/>
      <c r="AQ184" s="225"/>
      <c r="AR184" s="225"/>
    </row>
    <row r="185" spans="36:44">
      <c r="AJ185" s="225"/>
      <c r="AK185" s="225"/>
      <c r="AL185" s="225"/>
      <c r="AM185" s="225"/>
      <c r="AN185" s="225"/>
      <c r="AO185" s="225"/>
      <c r="AP185" s="225"/>
      <c r="AQ185" s="225"/>
      <c r="AR185" s="225"/>
    </row>
    <row r="186" spans="36:44">
      <c r="AJ186" s="225"/>
      <c r="AK186" s="225"/>
      <c r="AL186" s="225"/>
      <c r="AM186" s="225"/>
      <c r="AN186" s="225"/>
      <c r="AO186" s="225"/>
      <c r="AP186" s="225"/>
      <c r="AQ186" s="225"/>
      <c r="AR186" s="225"/>
    </row>
    <row r="187" spans="36:44">
      <c r="AJ187" s="225"/>
      <c r="AK187" s="225"/>
      <c r="AL187" s="225"/>
      <c r="AM187" s="225"/>
      <c r="AN187" s="225"/>
      <c r="AO187" s="225"/>
      <c r="AP187" s="225"/>
      <c r="AQ187" s="225"/>
      <c r="AR187" s="225"/>
    </row>
    <row r="188" spans="36:44">
      <c r="AJ188" s="225"/>
      <c r="AK188" s="225"/>
      <c r="AL188" s="225"/>
      <c r="AM188" s="225"/>
      <c r="AN188" s="225"/>
      <c r="AO188" s="225"/>
      <c r="AP188" s="225"/>
      <c r="AQ188" s="225"/>
      <c r="AR188" s="225"/>
    </row>
    <row r="189" spans="36:44">
      <c r="AJ189" s="225"/>
      <c r="AK189" s="225"/>
      <c r="AL189" s="225"/>
      <c r="AM189" s="225"/>
      <c r="AN189" s="225"/>
      <c r="AO189" s="225"/>
      <c r="AP189" s="225"/>
      <c r="AQ189" s="225"/>
      <c r="AR189" s="225"/>
    </row>
    <row r="190" spans="36:44">
      <c r="AJ190" s="225"/>
      <c r="AK190" s="225"/>
      <c r="AL190" s="225"/>
      <c r="AM190" s="225"/>
      <c r="AN190" s="225"/>
      <c r="AO190" s="225"/>
      <c r="AP190" s="225"/>
      <c r="AQ190" s="225"/>
      <c r="AR190" s="225"/>
    </row>
    <row r="191" spans="36:44">
      <c r="AJ191" s="225"/>
      <c r="AK191" s="225"/>
      <c r="AL191" s="225"/>
      <c r="AM191" s="225"/>
      <c r="AN191" s="225"/>
      <c r="AO191" s="225"/>
      <c r="AP191" s="225"/>
      <c r="AQ191" s="225"/>
      <c r="AR191" s="225"/>
    </row>
    <row r="192" spans="36:44">
      <c r="AJ192" s="225"/>
      <c r="AK192" s="225"/>
      <c r="AL192" s="225"/>
      <c r="AM192" s="225"/>
      <c r="AN192" s="225"/>
      <c r="AO192" s="225"/>
      <c r="AP192" s="225"/>
      <c r="AQ192" s="225"/>
      <c r="AR192" s="225"/>
    </row>
    <row r="193" spans="36:44">
      <c r="AJ193" s="225"/>
      <c r="AK193" s="225"/>
      <c r="AL193" s="225"/>
      <c r="AM193" s="225"/>
      <c r="AN193" s="225"/>
      <c r="AO193" s="225"/>
      <c r="AP193" s="225"/>
      <c r="AQ193" s="225"/>
      <c r="AR193" s="225"/>
    </row>
    <row r="194" spans="36:44">
      <c r="AJ194" s="225"/>
      <c r="AK194" s="225"/>
      <c r="AL194" s="225"/>
      <c r="AM194" s="225"/>
      <c r="AN194" s="225"/>
      <c r="AO194" s="225"/>
      <c r="AP194" s="225"/>
      <c r="AQ194" s="225"/>
      <c r="AR194" s="225"/>
    </row>
    <row r="195" spans="36:44">
      <c r="AJ195" s="225"/>
      <c r="AK195" s="225"/>
      <c r="AL195" s="225"/>
      <c r="AM195" s="225"/>
      <c r="AN195" s="225"/>
      <c r="AO195" s="225"/>
      <c r="AP195" s="225"/>
      <c r="AQ195" s="225"/>
      <c r="AR195" s="225"/>
    </row>
    <row r="196" spans="36:44">
      <c r="AJ196" s="225"/>
      <c r="AK196" s="225"/>
      <c r="AL196" s="225"/>
      <c r="AM196" s="225"/>
      <c r="AN196" s="225"/>
      <c r="AO196" s="225"/>
      <c r="AP196" s="225"/>
      <c r="AQ196" s="225"/>
      <c r="AR196" s="225"/>
    </row>
    <row r="197" spans="36:44">
      <c r="AJ197" s="225"/>
      <c r="AK197" s="225"/>
      <c r="AL197" s="225"/>
      <c r="AM197" s="225"/>
      <c r="AN197" s="225"/>
      <c r="AO197" s="225"/>
      <c r="AP197" s="225"/>
      <c r="AQ197" s="225"/>
      <c r="AR197" s="225"/>
    </row>
    <row r="198" spans="36:44">
      <c r="AJ198" s="225"/>
      <c r="AK198" s="225"/>
      <c r="AL198" s="225"/>
      <c r="AM198" s="225"/>
      <c r="AN198" s="225"/>
      <c r="AO198" s="225"/>
      <c r="AP198" s="225"/>
      <c r="AQ198" s="225"/>
      <c r="AR198" s="225"/>
    </row>
    <row r="199" spans="36:44">
      <c r="AJ199" s="225"/>
      <c r="AK199" s="225"/>
      <c r="AL199" s="225"/>
      <c r="AM199" s="225"/>
      <c r="AN199" s="225"/>
      <c r="AO199" s="225"/>
      <c r="AP199" s="225"/>
      <c r="AQ199" s="225"/>
      <c r="AR199" s="225"/>
    </row>
    <row r="200" spans="36:44">
      <c r="AJ200" s="225"/>
      <c r="AK200" s="225"/>
      <c r="AL200" s="225"/>
      <c r="AM200" s="225"/>
      <c r="AN200" s="225"/>
      <c r="AO200" s="225"/>
      <c r="AP200" s="225"/>
      <c r="AQ200" s="225"/>
      <c r="AR200" s="225"/>
    </row>
    <row r="201" spans="36:44">
      <c r="AJ201" s="225"/>
      <c r="AK201" s="225"/>
      <c r="AL201" s="225"/>
      <c r="AM201" s="225"/>
      <c r="AN201" s="225"/>
      <c r="AO201" s="225"/>
      <c r="AP201" s="225"/>
      <c r="AQ201" s="225"/>
      <c r="AR201" s="225"/>
    </row>
    <row r="202" spans="36:44">
      <c r="AJ202" s="225"/>
      <c r="AK202" s="225"/>
      <c r="AL202" s="225"/>
      <c r="AM202" s="225"/>
      <c r="AN202" s="225"/>
      <c r="AO202" s="225"/>
      <c r="AP202" s="225"/>
      <c r="AQ202" s="225"/>
      <c r="AR202" s="225"/>
    </row>
    <row r="203" spans="36:44">
      <c r="AJ203" s="225"/>
      <c r="AK203" s="225"/>
      <c r="AL203" s="225"/>
      <c r="AM203" s="225"/>
      <c r="AN203" s="225"/>
      <c r="AO203" s="225"/>
      <c r="AP203" s="225"/>
      <c r="AQ203" s="225"/>
      <c r="AR203" s="225"/>
    </row>
    <row r="204" spans="36:44">
      <c r="AJ204" s="225"/>
      <c r="AK204" s="225"/>
      <c r="AL204" s="225"/>
      <c r="AM204" s="225"/>
      <c r="AN204" s="225"/>
      <c r="AO204" s="225"/>
      <c r="AP204" s="225"/>
      <c r="AQ204" s="225"/>
      <c r="AR204" s="225"/>
    </row>
    <row r="205" spans="36:44">
      <c r="AJ205" s="225"/>
      <c r="AK205" s="225"/>
      <c r="AL205" s="225"/>
      <c r="AM205" s="225"/>
      <c r="AN205" s="225"/>
      <c r="AO205" s="225"/>
      <c r="AP205" s="225"/>
      <c r="AQ205" s="225"/>
      <c r="AR205" s="225"/>
    </row>
    <row r="206" spans="36:44">
      <c r="AJ206" s="225"/>
      <c r="AK206" s="225"/>
      <c r="AL206" s="225"/>
      <c r="AM206" s="225"/>
      <c r="AN206" s="225"/>
      <c r="AO206" s="225"/>
      <c r="AP206" s="225"/>
      <c r="AQ206" s="225"/>
      <c r="AR206" s="225"/>
    </row>
    <row r="207" spans="36:44">
      <c r="AJ207" s="225"/>
      <c r="AK207" s="225"/>
      <c r="AL207" s="225"/>
      <c r="AM207" s="225"/>
      <c r="AN207" s="225"/>
      <c r="AO207" s="225"/>
      <c r="AP207" s="225"/>
      <c r="AQ207" s="225"/>
      <c r="AR207" s="225"/>
    </row>
    <row r="208" spans="36:44">
      <c r="AJ208" s="225"/>
      <c r="AK208" s="225"/>
      <c r="AL208" s="225"/>
      <c r="AM208" s="225"/>
      <c r="AN208" s="225"/>
      <c r="AO208" s="225"/>
      <c r="AP208" s="225"/>
      <c r="AQ208" s="225"/>
      <c r="AR208" s="225"/>
    </row>
    <row r="209" spans="36:44">
      <c r="AJ209" s="225"/>
      <c r="AK209" s="225"/>
      <c r="AL209" s="225"/>
      <c r="AM209" s="225"/>
      <c r="AN209" s="225"/>
      <c r="AO209" s="225"/>
      <c r="AP209" s="225"/>
      <c r="AQ209" s="225"/>
      <c r="AR209" s="225"/>
    </row>
    <row r="210" spans="36:44">
      <c r="AJ210" s="225"/>
      <c r="AK210" s="225"/>
      <c r="AL210" s="225"/>
      <c r="AM210" s="225"/>
      <c r="AN210" s="225"/>
      <c r="AO210" s="225"/>
      <c r="AP210" s="225"/>
      <c r="AQ210" s="225"/>
      <c r="AR210" s="225"/>
    </row>
    <row r="211" spans="36:44">
      <c r="AJ211" s="225"/>
      <c r="AK211" s="225"/>
      <c r="AL211" s="225"/>
      <c r="AM211" s="225"/>
      <c r="AN211" s="225"/>
      <c r="AO211" s="225"/>
      <c r="AP211" s="225"/>
      <c r="AQ211" s="225"/>
      <c r="AR211" s="225"/>
    </row>
    <row r="212" spans="36:44">
      <c r="AJ212" s="225"/>
      <c r="AK212" s="225"/>
      <c r="AL212" s="225"/>
      <c r="AM212" s="225"/>
      <c r="AN212" s="225"/>
      <c r="AO212" s="225"/>
      <c r="AP212" s="225"/>
      <c r="AQ212" s="225"/>
      <c r="AR212" s="225"/>
    </row>
    <row r="213" spans="36:44">
      <c r="AJ213" s="225"/>
      <c r="AK213" s="225"/>
      <c r="AL213" s="225"/>
      <c r="AM213" s="225"/>
      <c r="AN213" s="225"/>
      <c r="AO213" s="225"/>
      <c r="AP213" s="225"/>
      <c r="AQ213" s="225"/>
      <c r="AR213" s="225"/>
    </row>
    <row r="214" spans="36:44">
      <c r="AJ214" s="225"/>
      <c r="AK214" s="225"/>
      <c r="AL214" s="225"/>
      <c r="AM214" s="225"/>
      <c r="AN214" s="225"/>
      <c r="AO214" s="225"/>
      <c r="AP214" s="225"/>
      <c r="AQ214" s="225"/>
      <c r="AR214" s="225"/>
    </row>
    <row r="215" spans="36:44">
      <c r="AJ215" s="225"/>
      <c r="AK215" s="225"/>
      <c r="AL215" s="225"/>
      <c r="AM215" s="225"/>
      <c r="AN215" s="225"/>
      <c r="AO215" s="225"/>
      <c r="AP215" s="225"/>
      <c r="AQ215" s="225"/>
      <c r="AR215" s="225"/>
    </row>
    <row r="216" spans="36:44">
      <c r="AJ216" s="225"/>
      <c r="AK216" s="225"/>
      <c r="AL216" s="225"/>
      <c r="AM216" s="225"/>
      <c r="AN216" s="225"/>
      <c r="AO216" s="225"/>
      <c r="AP216" s="225"/>
      <c r="AQ216" s="225"/>
      <c r="AR216" s="225"/>
    </row>
    <row r="217" spans="36:44">
      <c r="AJ217" s="225"/>
      <c r="AK217" s="225"/>
      <c r="AL217" s="225"/>
      <c r="AM217" s="225"/>
      <c r="AN217" s="225"/>
      <c r="AO217" s="225"/>
      <c r="AP217" s="225"/>
      <c r="AQ217" s="225"/>
      <c r="AR217" s="225"/>
    </row>
    <row r="218" spans="36:44">
      <c r="AJ218" s="225"/>
      <c r="AK218" s="225"/>
      <c r="AL218" s="225"/>
      <c r="AM218" s="225"/>
      <c r="AN218" s="225"/>
      <c r="AO218" s="225"/>
      <c r="AP218" s="225"/>
      <c r="AQ218" s="225"/>
      <c r="AR218" s="225"/>
    </row>
    <row r="219" spans="36:44">
      <c r="AJ219" s="225"/>
      <c r="AK219" s="225"/>
      <c r="AL219" s="225"/>
      <c r="AM219" s="225"/>
      <c r="AN219" s="225"/>
      <c r="AO219" s="225"/>
      <c r="AP219" s="225"/>
      <c r="AQ219" s="225"/>
      <c r="AR219" s="225"/>
    </row>
    <row r="220" spans="36:44">
      <c r="AJ220" s="225"/>
      <c r="AK220" s="225"/>
      <c r="AL220" s="225"/>
      <c r="AM220" s="225"/>
      <c r="AN220" s="225"/>
      <c r="AO220" s="225"/>
      <c r="AP220" s="225"/>
      <c r="AQ220" s="225"/>
      <c r="AR220" s="225"/>
    </row>
    <row r="221" spans="36:44">
      <c r="AJ221" s="225"/>
      <c r="AK221" s="225"/>
      <c r="AL221" s="225"/>
      <c r="AM221" s="225"/>
      <c r="AN221" s="225"/>
      <c r="AO221" s="225"/>
      <c r="AP221" s="225"/>
      <c r="AQ221" s="225"/>
      <c r="AR221" s="225"/>
    </row>
    <row r="222" spans="36:44">
      <c r="AJ222" s="225"/>
      <c r="AK222" s="225"/>
      <c r="AL222" s="225"/>
      <c r="AM222" s="225"/>
      <c r="AN222" s="225"/>
      <c r="AO222" s="225"/>
      <c r="AP222" s="225"/>
      <c r="AQ222" s="225"/>
      <c r="AR222" s="225"/>
    </row>
    <row r="223" spans="36:44">
      <c r="AJ223" s="225"/>
      <c r="AK223" s="225"/>
      <c r="AL223" s="225"/>
      <c r="AM223" s="225"/>
      <c r="AN223" s="225"/>
      <c r="AO223" s="225"/>
      <c r="AP223" s="225"/>
      <c r="AQ223" s="225"/>
      <c r="AR223" s="225"/>
    </row>
    <row r="224" spans="36:44">
      <c r="AJ224" s="225"/>
      <c r="AK224" s="225"/>
      <c r="AL224" s="225"/>
      <c r="AM224" s="225"/>
      <c r="AN224" s="225"/>
      <c r="AO224" s="225"/>
      <c r="AP224" s="225"/>
      <c r="AQ224" s="225"/>
      <c r="AR224" s="225"/>
    </row>
    <row r="225" spans="36:44">
      <c r="AJ225" s="225"/>
      <c r="AK225" s="225"/>
      <c r="AL225" s="225"/>
      <c r="AM225" s="225"/>
      <c r="AN225" s="225"/>
      <c r="AO225" s="225"/>
      <c r="AP225" s="225"/>
      <c r="AQ225" s="225"/>
      <c r="AR225" s="225"/>
    </row>
    <row r="226" spans="36:44">
      <c r="AJ226" s="225"/>
      <c r="AK226" s="225"/>
      <c r="AL226" s="225"/>
      <c r="AM226" s="225"/>
      <c r="AN226" s="225"/>
      <c r="AO226" s="225"/>
      <c r="AP226" s="225"/>
      <c r="AQ226" s="225"/>
      <c r="AR226" s="225"/>
    </row>
    <row r="227" spans="36:44">
      <c r="AJ227" s="225"/>
      <c r="AK227" s="225"/>
      <c r="AL227" s="225"/>
      <c r="AM227" s="225"/>
      <c r="AN227" s="225"/>
      <c r="AO227" s="225"/>
      <c r="AP227" s="225"/>
      <c r="AQ227" s="225"/>
      <c r="AR227" s="225"/>
    </row>
    <row r="228" spans="36:44">
      <c r="AJ228" s="225"/>
      <c r="AK228" s="225"/>
      <c r="AL228" s="225"/>
      <c r="AM228" s="225"/>
      <c r="AN228" s="225"/>
      <c r="AO228" s="225"/>
      <c r="AP228" s="225"/>
      <c r="AQ228" s="225"/>
      <c r="AR228" s="225"/>
    </row>
    <row r="229" spans="36:44">
      <c r="AJ229" s="225"/>
      <c r="AK229" s="225"/>
      <c r="AL229" s="225"/>
      <c r="AM229" s="225"/>
      <c r="AN229" s="225"/>
      <c r="AO229" s="225"/>
      <c r="AP229" s="225"/>
      <c r="AQ229" s="225"/>
      <c r="AR229" s="225"/>
    </row>
    <row r="230" spans="36:44">
      <c r="AJ230" s="225"/>
      <c r="AK230" s="225"/>
      <c r="AL230" s="225"/>
      <c r="AM230" s="225"/>
      <c r="AN230" s="225"/>
      <c r="AO230" s="225"/>
      <c r="AP230" s="225"/>
      <c r="AQ230" s="225"/>
      <c r="AR230" s="225"/>
    </row>
    <row r="231" spans="36:44">
      <c r="AJ231" s="225"/>
      <c r="AK231" s="225"/>
      <c r="AL231" s="225"/>
      <c r="AM231" s="225"/>
      <c r="AN231" s="225"/>
      <c r="AO231" s="225"/>
      <c r="AP231" s="225"/>
      <c r="AQ231" s="225"/>
      <c r="AR231" s="225"/>
    </row>
    <row r="232" spans="36:44">
      <c r="AJ232" s="225"/>
      <c r="AK232" s="225"/>
      <c r="AL232" s="225"/>
      <c r="AM232" s="225"/>
      <c r="AN232" s="225"/>
      <c r="AO232" s="225"/>
      <c r="AP232" s="225"/>
      <c r="AQ232" s="225"/>
      <c r="AR232" s="225"/>
    </row>
    <row r="233" spans="36:44">
      <c r="AJ233" s="225"/>
      <c r="AK233" s="225"/>
      <c r="AL233" s="225"/>
      <c r="AM233" s="225"/>
      <c r="AN233" s="225"/>
      <c r="AO233" s="225"/>
      <c r="AP233" s="225"/>
      <c r="AQ233" s="225"/>
      <c r="AR233" s="225"/>
    </row>
    <row r="234" spans="36:44">
      <c r="AJ234" s="225"/>
      <c r="AK234" s="225"/>
      <c r="AL234" s="225"/>
      <c r="AM234" s="225"/>
      <c r="AN234" s="225"/>
      <c r="AO234" s="225"/>
      <c r="AP234" s="225"/>
      <c r="AQ234" s="225"/>
      <c r="AR234" s="225"/>
    </row>
    <row r="235" spans="36:44">
      <c r="AJ235" s="225"/>
      <c r="AK235" s="225"/>
      <c r="AL235" s="225"/>
      <c r="AM235" s="225"/>
      <c r="AN235" s="225"/>
      <c r="AO235" s="225"/>
      <c r="AP235" s="225"/>
      <c r="AQ235" s="225"/>
      <c r="AR235" s="225"/>
    </row>
    <row r="236" spans="36:44">
      <c r="AJ236" s="225"/>
      <c r="AK236" s="225"/>
      <c r="AL236" s="225"/>
      <c r="AM236" s="225"/>
      <c r="AN236" s="225"/>
      <c r="AO236" s="225"/>
      <c r="AP236" s="225"/>
      <c r="AQ236" s="225"/>
      <c r="AR236" s="225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FF00"/>
  </sheetPr>
  <dimension ref="A1:V46"/>
  <sheetViews>
    <sheetView tabSelected="1" zoomScale="70" zoomScaleNormal="70" workbookViewId="0">
      <selection activeCell="I11" sqref="I11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17604</v>
      </c>
      <c r="G2" s="470" t="s">
        <v>216</v>
      </c>
      <c r="H2" s="490">
        <v>2014</v>
      </c>
      <c r="I2" s="468"/>
      <c r="J2" s="470" t="s">
        <v>217</v>
      </c>
      <c r="K2" s="490">
        <v>6</v>
      </c>
      <c r="L2" s="468"/>
      <c r="M2" s="468" t="s">
        <v>218</v>
      </c>
      <c r="N2" s="491">
        <v>4</v>
      </c>
    </row>
    <row r="3" spans="1:22" ht="18" thickTop="1" thickBot="1">
      <c r="C3" s="471"/>
      <c r="D3" s="472"/>
      <c r="E3" s="473" t="s">
        <v>519</v>
      </c>
      <c r="F3" s="489">
        <v>17457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1</v>
      </c>
      <c r="L3" s="476"/>
      <c r="M3" s="476" t="s">
        <v>218</v>
      </c>
      <c r="N3" s="477">
        <f>F3-((H3-1980)*512+K3*32)</f>
        <v>17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872"/>
      <c r="E5" s="872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871">
        <v>12</v>
      </c>
      <c r="E6" s="872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871">
        <v>3.3</v>
      </c>
      <c r="E7" s="872" t="s">
        <v>18</v>
      </c>
      <c r="F7" s="336"/>
      <c r="G7" s="872"/>
      <c r="H7" s="337"/>
      <c r="I7" s="912" t="s">
        <v>94</v>
      </c>
      <c r="J7" s="912"/>
      <c r="K7" s="913" t="s">
        <v>13</v>
      </c>
      <c r="L7" s="913"/>
      <c r="M7" s="913" t="s">
        <v>1380</v>
      </c>
      <c r="N7" s="913"/>
      <c r="O7" s="913" t="s">
        <v>222</v>
      </c>
      <c r="P7" s="914"/>
      <c r="Q7" s="438" t="s">
        <v>86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872"/>
      <c r="H8" s="341" t="s">
        <v>93</v>
      </c>
      <c r="I8" s="915">
        <v>4500</v>
      </c>
      <c r="J8" s="915"/>
      <c r="K8" s="916">
        <f>ROUND(I8*E12+E11,0)</f>
        <v>2078</v>
      </c>
      <c r="L8" s="916"/>
      <c r="M8" s="916">
        <f>I8*F9</f>
        <v>2.6999999999999997</v>
      </c>
      <c r="N8" s="916"/>
      <c r="O8" s="917">
        <f>I8*(D9/1000*E10)</f>
        <v>1673.9999999999998</v>
      </c>
      <c r="P8" s="918"/>
      <c r="Q8" s="439">
        <f>O8/M8</f>
        <v>620</v>
      </c>
    </row>
    <row r="9" spans="1:22" ht="18" thickTop="1" thickBot="1">
      <c r="C9" s="332" t="s">
        <v>0</v>
      </c>
      <c r="D9" s="871">
        <v>0.6</v>
      </c>
      <c r="E9" s="872" t="s">
        <v>8</v>
      </c>
      <c r="F9" s="872">
        <f>D9/1000</f>
        <v>5.9999999999999995E-4</v>
      </c>
      <c r="G9" s="872" t="s">
        <v>3</v>
      </c>
      <c r="H9" s="342" t="s">
        <v>95</v>
      </c>
      <c r="I9" s="905">
        <v>13000</v>
      </c>
      <c r="J9" s="905"/>
      <c r="K9" s="906">
        <f>ROUND(I9*E16+E15,0)</f>
        <v>794</v>
      </c>
      <c r="L9" s="906"/>
      <c r="M9" s="906">
        <f>I9*F9</f>
        <v>7.7999999999999989</v>
      </c>
      <c r="N9" s="906"/>
      <c r="O9" s="907">
        <f>I9*(D9/1000*E14)</f>
        <v>639.59999999999991</v>
      </c>
      <c r="P9" s="908"/>
      <c r="Q9" s="440">
        <f>O9/M9</f>
        <v>82</v>
      </c>
    </row>
    <row r="10" spans="1:22">
      <c r="C10" s="343" t="s">
        <v>12</v>
      </c>
      <c r="D10" s="344" t="s">
        <v>86</v>
      </c>
      <c r="E10" s="493">
        <v>620</v>
      </c>
      <c r="F10" s="344"/>
      <c r="G10" s="345"/>
    </row>
    <row r="11" spans="1:22">
      <c r="C11" s="346"/>
      <c r="D11" s="872" t="s">
        <v>88</v>
      </c>
      <c r="E11" s="871">
        <v>0</v>
      </c>
      <c r="F11" s="872" t="s">
        <v>97</v>
      </c>
      <c r="G11" s="335"/>
    </row>
    <row r="12" spans="1:22">
      <c r="C12" s="332" t="s">
        <v>92</v>
      </c>
      <c r="D12" s="872"/>
      <c r="E12" s="347">
        <f>F9*E10/D8</f>
        <v>0.46173090909090903</v>
      </c>
      <c r="F12" s="459" t="s">
        <v>1584</v>
      </c>
      <c r="G12" s="460">
        <f>1/E12</f>
        <v>2.165763608870968</v>
      </c>
    </row>
    <row r="13" spans="1:22">
      <c r="C13" s="348" t="s">
        <v>200</v>
      </c>
      <c r="D13" s="349"/>
      <c r="E13" s="350"/>
      <c r="F13" s="349">
        <f>F6/E12</f>
        <v>8870.9677419354848</v>
      </c>
      <c r="G13" s="351" t="s">
        <v>201</v>
      </c>
    </row>
    <row r="14" spans="1:22">
      <c r="C14" s="343" t="s">
        <v>35</v>
      </c>
      <c r="D14" s="344" t="s">
        <v>86</v>
      </c>
      <c r="E14" s="493">
        <v>82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872" t="s">
        <v>88</v>
      </c>
      <c r="E15" s="871">
        <v>0</v>
      </c>
      <c r="F15" s="872" t="s">
        <v>96</v>
      </c>
      <c r="G15" s="335"/>
      <c r="R15" s="462" t="s">
        <v>38</v>
      </c>
      <c r="S15" s="872"/>
      <c r="T15" s="872"/>
      <c r="U15" s="872"/>
      <c r="V15" s="379"/>
    </row>
    <row r="16" spans="1:22">
      <c r="C16" s="332" t="s">
        <v>92</v>
      </c>
      <c r="D16" s="872"/>
      <c r="E16" s="347">
        <f>F9*E14/D8</f>
        <v>6.1067636363636359E-2</v>
      </c>
      <c r="F16" s="459" t="s">
        <v>1584</v>
      </c>
      <c r="G16" s="460">
        <f>1/E16</f>
        <v>16.375285823170731</v>
      </c>
      <c r="R16" s="462" t="s">
        <v>205</v>
      </c>
      <c r="S16" s="872"/>
      <c r="T16" s="872"/>
      <c r="U16" s="872"/>
      <c r="V16" s="379"/>
    </row>
    <row r="17" spans="3:22">
      <c r="C17" s="348" t="s">
        <v>202</v>
      </c>
      <c r="D17" s="349"/>
      <c r="E17" s="350"/>
      <c r="F17" s="349">
        <f>F6/E16</f>
        <v>67073.170731707316</v>
      </c>
      <c r="G17" s="351" t="s">
        <v>201</v>
      </c>
      <c r="R17" s="462" t="s">
        <v>219</v>
      </c>
      <c r="S17" s="872"/>
      <c r="T17" s="872"/>
      <c r="U17" s="872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872"/>
      <c r="T18" s="872"/>
      <c r="U18" s="872"/>
      <c r="V18" s="379"/>
    </row>
    <row r="19" spans="3:22">
      <c r="C19" s="332"/>
      <c r="D19" s="872" t="s">
        <v>22</v>
      </c>
      <c r="E19" s="871">
        <v>39</v>
      </c>
      <c r="F19" s="872" t="s">
        <v>5</v>
      </c>
      <c r="G19" s="355">
        <f>(E19/(E18+E19))</f>
        <v>3.7536092396535131E-2</v>
      </c>
      <c r="H19" s="356"/>
      <c r="I19" s="909" t="s">
        <v>208</v>
      </c>
      <c r="J19" s="909"/>
      <c r="K19" s="910" t="s">
        <v>220</v>
      </c>
      <c r="L19" s="910"/>
      <c r="M19" s="910" t="s">
        <v>13</v>
      </c>
      <c r="N19" s="910"/>
      <c r="O19" s="910" t="s">
        <v>223</v>
      </c>
      <c r="P19" s="911"/>
      <c r="R19" s="462" t="s">
        <v>196</v>
      </c>
      <c r="S19" s="872"/>
      <c r="T19" s="872"/>
      <c r="U19" s="872"/>
      <c r="V19" s="379"/>
    </row>
    <row r="20" spans="3:22" ht="17.25" thickBot="1">
      <c r="C20" s="332"/>
      <c r="D20" s="872" t="s">
        <v>88</v>
      </c>
      <c r="E20" s="871">
        <v>0</v>
      </c>
      <c r="F20" s="872" t="s">
        <v>96</v>
      </c>
      <c r="G20" s="335"/>
      <c r="H20" s="357" t="s">
        <v>21</v>
      </c>
      <c r="I20" s="898">
        <v>24800</v>
      </c>
      <c r="J20" s="898"/>
      <c r="K20" s="899">
        <f>I20*E21</f>
        <v>1155.4382710648351</v>
      </c>
      <c r="L20" s="899"/>
      <c r="M20" s="900">
        <f>ROUND(K20,0)</f>
        <v>1155</v>
      </c>
      <c r="N20" s="900"/>
      <c r="O20" s="901">
        <f>I20*(E19/(E18+E19))</f>
        <v>930.89509143407122</v>
      </c>
      <c r="P20" s="902"/>
      <c r="R20" s="462" t="s">
        <v>209</v>
      </c>
      <c r="S20" s="872"/>
      <c r="T20" s="872"/>
      <c r="U20" s="872"/>
      <c r="V20" s="379"/>
    </row>
    <row r="21" spans="3:22">
      <c r="C21" s="332" t="s">
        <v>203</v>
      </c>
      <c r="D21" s="358"/>
      <c r="E21" s="359">
        <f>1/(D8/(E19/(E18+E19)))</f>
        <v>4.6590252865517545E-2</v>
      </c>
      <c r="F21" s="459" t="s">
        <v>1584</v>
      </c>
      <c r="G21" s="460">
        <f>1/E21</f>
        <v>21.463716947115383</v>
      </c>
      <c r="K21" s="494"/>
      <c r="R21" s="462" t="s">
        <v>210</v>
      </c>
      <c r="S21" s="872"/>
      <c r="T21" s="872"/>
      <c r="U21" s="872"/>
      <c r="V21" s="379"/>
    </row>
    <row r="22" spans="3:22" ht="17.25" thickBot="1">
      <c r="C22" s="360" t="s">
        <v>206</v>
      </c>
      <c r="D22" s="361"/>
      <c r="E22" s="361"/>
      <c r="F22" s="361">
        <f>F6/E21</f>
        <v>87915.38461538461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0.6mR</v>
      </c>
    </row>
    <row r="25" spans="3:22" ht="18" thickTop="1" thickBot="1">
      <c r="C25" s="868" t="s">
        <v>110</v>
      </c>
      <c r="D25" s="327" t="s">
        <v>99</v>
      </c>
      <c r="E25" s="372">
        <f>E12</f>
        <v>0.46173090909090903</v>
      </c>
      <c r="F25" s="327"/>
      <c r="G25" s="329"/>
    </row>
    <row r="26" spans="3:22">
      <c r="C26" s="884" t="s">
        <v>248</v>
      </c>
      <c r="D26" s="885"/>
      <c r="E26" s="871">
        <v>10400</v>
      </c>
      <c r="F26" s="872" t="s">
        <v>249</v>
      </c>
      <c r="G26" s="335"/>
      <c r="H26" s="896" t="s">
        <v>101</v>
      </c>
      <c r="I26" s="897"/>
      <c r="J26" s="495">
        <v>600</v>
      </c>
      <c r="K26" s="373"/>
      <c r="M26" s="892" t="s">
        <v>236</v>
      </c>
      <c r="N26" s="893"/>
      <c r="O26" s="385" t="s">
        <v>95</v>
      </c>
      <c r="P26" s="385" t="s">
        <v>232</v>
      </c>
      <c r="Q26" s="385"/>
      <c r="R26" s="385"/>
      <c r="S26" s="386"/>
    </row>
    <row r="27" spans="3:22">
      <c r="C27" s="884" t="s">
        <v>111</v>
      </c>
      <c r="D27" s="885"/>
      <c r="E27" s="872">
        <f>ROUND(E26*E25,0)</f>
        <v>4802</v>
      </c>
      <c r="F27" s="872"/>
      <c r="G27" s="335"/>
      <c r="H27" s="884" t="s">
        <v>109</v>
      </c>
      <c r="I27" s="885"/>
      <c r="J27" s="872">
        <f>ROUND(J26/E25,0)</f>
        <v>1299</v>
      </c>
      <c r="K27" s="374"/>
      <c r="M27" s="903"/>
      <c r="N27" s="904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4" t="s">
        <v>104</v>
      </c>
      <c r="D28" s="885"/>
      <c r="E28" s="871">
        <v>875</v>
      </c>
      <c r="F28" s="872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4" t="s">
        <v>105</v>
      </c>
      <c r="D29" s="885"/>
      <c r="E29" s="872">
        <f>E28-E27</f>
        <v>-3927</v>
      </c>
      <c r="F29" s="872" t="s">
        <v>106</v>
      </c>
      <c r="G29" s="335"/>
      <c r="H29" s="377" t="str">
        <f>DEC2HEX(E29)</f>
        <v>FFFFFFF0A9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6" t="s">
        <v>230</v>
      </c>
      <c r="O30" s="870" t="s">
        <v>110</v>
      </c>
      <c r="P30" s="870" t="s">
        <v>115</v>
      </c>
      <c r="Q30" s="870"/>
      <c r="R30" s="870"/>
      <c r="S30" s="393"/>
    </row>
    <row r="31" spans="3:22" ht="17.25" thickTop="1">
      <c r="C31" s="868" t="s">
        <v>95</v>
      </c>
      <c r="D31" s="327" t="s">
        <v>99</v>
      </c>
      <c r="E31" s="372">
        <f>E16</f>
        <v>6.1067636363636359E-2</v>
      </c>
      <c r="F31" s="327"/>
      <c r="G31" s="329"/>
      <c r="N31" s="887"/>
      <c r="O31" s="872"/>
      <c r="P31" s="872" t="s">
        <v>108</v>
      </c>
      <c r="Q31" s="872"/>
      <c r="R31" s="872"/>
      <c r="S31" s="394"/>
    </row>
    <row r="32" spans="3:22" ht="17.25" thickBot="1">
      <c r="C32" s="884" t="s">
        <v>252</v>
      </c>
      <c r="D32" s="885"/>
      <c r="E32" s="871">
        <v>10400</v>
      </c>
      <c r="F32" s="872" t="s">
        <v>249</v>
      </c>
      <c r="G32" s="335"/>
      <c r="H32" s="896" t="s">
        <v>101</v>
      </c>
      <c r="I32" s="897"/>
      <c r="J32" s="495">
        <v>417</v>
      </c>
      <c r="K32" s="373"/>
      <c r="N32" s="888"/>
      <c r="O32" s="869" t="s">
        <v>95</v>
      </c>
      <c r="P32" s="869" t="s">
        <v>112</v>
      </c>
      <c r="Q32" s="869"/>
      <c r="R32" s="869"/>
      <c r="S32" s="396"/>
    </row>
    <row r="33" spans="3:18">
      <c r="C33" s="884" t="s">
        <v>111</v>
      </c>
      <c r="D33" s="885"/>
      <c r="E33" s="872">
        <f>ROUND(E32*E31,0)</f>
        <v>635</v>
      </c>
      <c r="F33" s="872"/>
      <c r="G33" s="335"/>
      <c r="H33" s="884" t="s">
        <v>109</v>
      </c>
      <c r="I33" s="885"/>
      <c r="J33" s="872">
        <f>ROUND(J32/E31,0)</f>
        <v>6828</v>
      </c>
      <c r="K33" s="374"/>
    </row>
    <row r="34" spans="3:18">
      <c r="C34" s="884" t="s">
        <v>104</v>
      </c>
      <c r="D34" s="885"/>
      <c r="E34" s="871">
        <v>495</v>
      </c>
      <c r="F34" s="872"/>
      <c r="G34" s="335"/>
      <c r="H34" s="375" t="s">
        <v>254</v>
      </c>
      <c r="I34" s="344"/>
      <c r="J34" s="376"/>
      <c r="K34" s="374"/>
    </row>
    <row r="35" spans="3:18">
      <c r="C35" s="884" t="s">
        <v>105</v>
      </c>
      <c r="D35" s="885"/>
      <c r="E35" s="872">
        <f>E34-E33</f>
        <v>-140</v>
      </c>
      <c r="F35" s="872" t="s">
        <v>106</v>
      </c>
      <c r="G35" s="335"/>
      <c r="H35" s="377" t="str">
        <f>DEC2HEX(E35)</f>
        <v>FFFFFFFF74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=39kR</v>
      </c>
    </row>
    <row r="39" spans="3:18" ht="18" thickTop="1" thickBot="1">
      <c r="C39" s="482" t="s">
        <v>21</v>
      </c>
      <c r="D39" s="483" t="s">
        <v>99</v>
      </c>
      <c r="E39" s="485">
        <f>E21</f>
        <v>4.6590252865517545E-2</v>
      </c>
      <c r="F39" s="483" t="s">
        <v>100</v>
      </c>
      <c r="G39" s="484"/>
    </row>
    <row r="40" spans="3:18" ht="17.25" thickTop="1">
      <c r="C40" s="889" t="s">
        <v>102</v>
      </c>
      <c r="D40" s="890"/>
      <c r="E40" s="497">
        <v>30000</v>
      </c>
      <c r="F40" s="327"/>
      <c r="G40" s="329"/>
      <c r="H40" s="891" t="s">
        <v>101</v>
      </c>
      <c r="I40" s="891"/>
      <c r="J40" s="496">
        <v>6</v>
      </c>
      <c r="M40" s="892" t="s">
        <v>236</v>
      </c>
      <c r="N40" s="893"/>
      <c r="O40" s="385" t="s">
        <v>237</v>
      </c>
      <c r="P40" s="385"/>
      <c r="Q40" s="385"/>
      <c r="R40" s="386"/>
    </row>
    <row r="41" spans="3:18" ht="17.25" thickBot="1">
      <c r="C41" s="884" t="s">
        <v>111</v>
      </c>
      <c r="D41" s="885"/>
      <c r="E41" s="872">
        <f>ROUND(E40*E39,0)</f>
        <v>1398</v>
      </c>
      <c r="F41" s="872"/>
      <c r="G41" s="335"/>
      <c r="H41" s="891" t="s">
        <v>103</v>
      </c>
      <c r="I41" s="891"/>
      <c r="J41" s="318">
        <f>ROUND(J40/E39,0)</f>
        <v>129</v>
      </c>
      <c r="M41" s="894"/>
      <c r="N41" s="895"/>
      <c r="O41" s="390" t="s">
        <v>244</v>
      </c>
      <c r="P41" s="390" t="s">
        <v>239</v>
      </c>
      <c r="Q41" s="390"/>
      <c r="R41" s="391"/>
    </row>
    <row r="42" spans="3:18">
      <c r="C42" s="884" t="s">
        <v>104</v>
      </c>
      <c r="D42" s="885"/>
      <c r="E42" s="871">
        <v>1111</v>
      </c>
      <c r="F42" s="872"/>
      <c r="G42" s="335"/>
      <c r="H42" s="375" t="s">
        <v>254</v>
      </c>
      <c r="I42" s="344"/>
      <c r="J42" s="376"/>
    </row>
    <row r="43" spans="3:18" ht="17.25" thickBot="1">
      <c r="C43" s="884" t="s">
        <v>105</v>
      </c>
      <c r="D43" s="885"/>
      <c r="E43" s="872">
        <f>E42-E41</f>
        <v>-287</v>
      </c>
      <c r="F43" s="872" t="s">
        <v>106</v>
      </c>
      <c r="G43" s="335"/>
      <c r="H43" s="377" t="str">
        <f>DEC2HEX(E43)</f>
        <v>FFFFFFFEE1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6" t="s">
        <v>230</v>
      </c>
      <c r="N44" s="870" t="s">
        <v>170</v>
      </c>
      <c r="O44" s="870"/>
      <c r="P44" s="870"/>
      <c r="Q44" s="393"/>
    </row>
    <row r="45" spans="3:18" ht="17.25" thickTop="1">
      <c r="M45" s="887"/>
      <c r="N45" s="872" t="s">
        <v>108</v>
      </c>
      <c r="O45" s="872"/>
      <c r="P45" s="872"/>
      <c r="Q45" s="394"/>
    </row>
    <row r="46" spans="3:18" ht="17.25" thickBot="1">
      <c r="M46" s="888"/>
      <c r="N46" s="869"/>
      <c r="O46" s="869"/>
      <c r="P46" s="869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00FF00"/>
  </sheetPr>
  <dimension ref="A1:V46"/>
  <sheetViews>
    <sheetView zoomScale="70" zoomScaleNormal="70" workbookViewId="0">
      <selection activeCell="P2" sqref="P2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17604</v>
      </c>
      <c r="G2" s="470" t="s">
        <v>216</v>
      </c>
      <c r="H2" s="490">
        <v>2014</v>
      </c>
      <c r="I2" s="468"/>
      <c r="J2" s="470" t="s">
        <v>217</v>
      </c>
      <c r="K2" s="490">
        <v>6</v>
      </c>
      <c r="L2" s="468"/>
      <c r="M2" s="468" t="s">
        <v>218</v>
      </c>
      <c r="N2" s="491">
        <v>4</v>
      </c>
    </row>
    <row r="3" spans="1:22" ht="18" thickTop="1" thickBot="1">
      <c r="C3" s="471"/>
      <c r="D3" s="472"/>
      <c r="E3" s="473" t="s">
        <v>519</v>
      </c>
      <c r="F3" s="489">
        <v>17457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1</v>
      </c>
      <c r="L3" s="476"/>
      <c r="M3" s="476" t="s">
        <v>218</v>
      </c>
      <c r="N3" s="477">
        <f>F3-((H3-1980)*512+K3*32)</f>
        <v>17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12" t="s">
        <v>94</v>
      </c>
      <c r="J7" s="912"/>
      <c r="K7" s="913" t="s">
        <v>13</v>
      </c>
      <c r="L7" s="913"/>
      <c r="M7" s="913" t="s">
        <v>1380</v>
      </c>
      <c r="N7" s="913"/>
      <c r="O7" s="913" t="s">
        <v>222</v>
      </c>
      <c r="P7" s="914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5">
        <v>4500</v>
      </c>
      <c r="J8" s="915"/>
      <c r="K8" s="916">
        <f>ROUND(I8*E12+E11,0)</f>
        <v>2011</v>
      </c>
      <c r="L8" s="916"/>
      <c r="M8" s="916">
        <f>I8*F9</f>
        <v>9</v>
      </c>
      <c r="N8" s="916"/>
      <c r="O8" s="917">
        <f>I8*(D9/1000*E10)</f>
        <v>1620</v>
      </c>
      <c r="P8" s="918"/>
      <c r="Q8" s="439">
        <f>O8/M8</f>
        <v>180</v>
      </c>
    </row>
    <row r="9" spans="1:22" ht="18" thickTop="1" thickBot="1">
      <c r="C9" s="332" t="s">
        <v>0</v>
      </c>
      <c r="D9" s="492">
        <v>2</v>
      </c>
      <c r="E9" s="444" t="s">
        <v>8</v>
      </c>
      <c r="F9" s="444">
        <f>D9/1000</f>
        <v>2E-3</v>
      </c>
      <c r="G9" s="444" t="s">
        <v>3</v>
      </c>
      <c r="H9" s="342" t="s">
        <v>95</v>
      </c>
      <c r="I9" s="905">
        <v>13000</v>
      </c>
      <c r="J9" s="905"/>
      <c r="K9" s="906">
        <f>ROUND(I9*E16+E15,0)</f>
        <v>3227</v>
      </c>
      <c r="L9" s="906"/>
      <c r="M9" s="906">
        <f>I9*F9</f>
        <v>26</v>
      </c>
      <c r="N9" s="906"/>
      <c r="O9" s="907">
        <f>I9*(D9/1000*E14)</f>
        <v>2600</v>
      </c>
      <c r="P9" s="908"/>
      <c r="Q9" s="440">
        <f>O9/M9</f>
        <v>100</v>
      </c>
    </row>
    <row r="10" spans="1:22">
      <c r="C10" s="343" t="s">
        <v>12</v>
      </c>
      <c r="D10" s="344" t="s">
        <v>86</v>
      </c>
      <c r="E10" s="493">
        <v>180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0.44683636363636364</v>
      </c>
      <c r="F12" s="459" t="s">
        <v>1585</v>
      </c>
      <c r="G12" s="460">
        <f>1/E12</f>
        <v>2.2379557291666665</v>
      </c>
    </row>
    <row r="13" spans="1:22">
      <c r="C13" s="348" t="s">
        <v>200</v>
      </c>
      <c r="D13" s="349"/>
      <c r="E13" s="350"/>
      <c r="F13" s="349">
        <f>F6/E12</f>
        <v>9166.6666666666661</v>
      </c>
      <c r="G13" s="351" t="s">
        <v>201</v>
      </c>
    </row>
    <row r="14" spans="1:22">
      <c r="C14" s="343" t="s">
        <v>35</v>
      </c>
      <c r="D14" s="344" t="s">
        <v>86</v>
      </c>
      <c r="E14" s="493">
        <v>100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0.24824242424242426</v>
      </c>
      <c r="F16" s="459" t="s">
        <v>1584</v>
      </c>
      <c r="G16" s="460">
        <f>1/E16</f>
        <v>4.0283203125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16500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09" t="s">
        <v>208</v>
      </c>
      <c r="J19" s="909"/>
      <c r="K19" s="910" t="s">
        <v>220</v>
      </c>
      <c r="L19" s="910"/>
      <c r="M19" s="910" t="s">
        <v>13</v>
      </c>
      <c r="N19" s="910"/>
      <c r="O19" s="910" t="s">
        <v>223</v>
      </c>
      <c r="P19" s="911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8">
        <v>24800</v>
      </c>
      <c r="J20" s="898"/>
      <c r="K20" s="899">
        <f>I20*E21</f>
        <v>1632.3820018365473</v>
      </c>
      <c r="L20" s="899"/>
      <c r="M20" s="900">
        <f>ROUND(K20,0)</f>
        <v>1632</v>
      </c>
      <c r="N20" s="900"/>
      <c r="O20" s="901">
        <f>I20*(E19/(E18+E19))</f>
        <v>1315.1515151515152</v>
      </c>
      <c r="P20" s="902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2mR</v>
      </c>
    </row>
    <row r="25" spans="3:22" ht="18" thickTop="1" thickBot="1">
      <c r="C25" s="443" t="s">
        <v>110</v>
      </c>
      <c r="D25" s="327" t="s">
        <v>99</v>
      </c>
      <c r="E25" s="372">
        <f>E12</f>
        <v>0.44683636363636364</v>
      </c>
      <c r="F25" s="327"/>
      <c r="G25" s="329"/>
    </row>
    <row r="26" spans="3:22">
      <c r="C26" s="884" t="s">
        <v>248</v>
      </c>
      <c r="D26" s="885"/>
      <c r="E26" s="492">
        <v>10400</v>
      </c>
      <c r="F26" s="444" t="s">
        <v>249</v>
      </c>
      <c r="G26" s="335"/>
      <c r="H26" s="896" t="s">
        <v>101</v>
      </c>
      <c r="I26" s="897"/>
      <c r="J26" s="495">
        <v>600</v>
      </c>
      <c r="K26" s="373"/>
      <c r="M26" s="892" t="s">
        <v>236</v>
      </c>
      <c r="N26" s="893"/>
      <c r="O26" s="385" t="s">
        <v>231</v>
      </c>
      <c r="P26" s="385" t="s">
        <v>232</v>
      </c>
      <c r="Q26" s="385"/>
      <c r="R26" s="385"/>
      <c r="S26" s="386"/>
    </row>
    <row r="27" spans="3:22">
      <c r="C27" s="884" t="s">
        <v>111</v>
      </c>
      <c r="D27" s="885"/>
      <c r="E27" s="444">
        <f>ROUND(E26*E25,0)</f>
        <v>4647</v>
      </c>
      <c r="F27" s="444"/>
      <c r="G27" s="335"/>
      <c r="H27" s="884" t="s">
        <v>109</v>
      </c>
      <c r="I27" s="885"/>
      <c r="J27" s="444">
        <f>ROUND(J26/E25,0)</f>
        <v>1343</v>
      </c>
      <c r="K27" s="374"/>
      <c r="M27" s="903"/>
      <c r="N27" s="904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4" t="s">
        <v>104</v>
      </c>
      <c r="D28" s="885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4" t="s">
        <v>105</v>
      </c>
      <c r="D29" s="885"/>
      <c r="E29" s="444">
        <f>E28-E27</f>
        <v>-3772</v>
      </c>
      <c r="F29" s="444" t="s">
        <v>106</v>
      </c>
      <c r="G29" s="335"/>
      <c r="H29" s="377" t="str">
        <f>DEC2HEX(E29)</f>
        <v>FFFFFFF144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6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0.24824242424242426</v>
      </c>
      <c r="F31" s="327"/>
      <c r="G31" s="329"/>
      <c r="N31" s="887"/>
      <c r="O31" s="444"/>
      <c r="P31" s="444" t="s">
        <v>108</v>
      </c>
      <c r="Q31" s="444"/>
      <c r="R31" s="444"/>
      <c r="S31" s="394"/>
    </row>
    <row r="32" spans="3:22" ht="17.25" thickBot="1">
      <c r="C32" s="884" t="s">
        <v>252</v>
      </c>
      <c r="D32" s="885"/>
      <c r="E32" s="492">
        <v>10400</v>
      </c>
      <c r="F32" s="444" t="s">
        <v>249</v>
      </c>
      <c r="G32" s="335"/>
      <c r="H32" s="896" t="s">
        <v>101</v>
      </c>
      <c r="I32" s="897"/>
      <c r="J32" s="495">
        <v>417</v>
      </c>
      <c r="K32" s="373"/>
      <c r="N32" s="888"/>
      <c r="O32" s="441" t="s">
        <v>95</v>
      </c>
      <c r="P32" s="441" t="s">
        <v>112</v>
      </c>
      <c r="Q32" s="441"/>
      <c r="R32" s="441"/>
      <c r="S32" s="396"/>
    </row>
    <row r="33" spans="3:18">
      <c r="C33" s="884" t="s">
        <v>111</v>
      </c>
      <c r="D33" s="885"/>
      <c r="E33" s="444">
        <f>ROUND(E32*E31,0)</f>
        <v>2582</v>
      </c>
      <c r="F33" s="444"/>
      <c r="G33" s="335"/>
      <c r="H33" s="884" t="s">
        <v>109</v>
      </c>
      <c r="I33" s="885"/>
      <c r="J33" s="444">
        <f>ROUND(J32/E31,0)</f>
        <v>1680</v>
      </c>
      <c r="K33" s="374"/>
    </row>
    <row r="34" spans="3:18">
      <c r="C34" s="884" t="s">
        <v>104</v>
      </c>
      <c r="D34" s="885"/>
      <c r="E34" s="492">
        <v>495</v>
      </c>
      <c r="F34" s="444"/>
      <c r="G34" s="335"/>
      <c r="H34" s="375" t="s">
        <v>254</v>
      </c>
      <c r="I34" s="344"/>
      <c r="J34" s="376"/>
      <c r="K34" s="374"/>
    </row>
    <row r="35" spans="3:18">
      <c r="C35" s="884" t="s">
        <v>105</v>
      </c>
      <c r="D35" s="885"/>
      <c r="E35" s="444">
        <f>E34-E33</f>
        <v>-2087</v>
      </c>
      <c r="F35" s="444" t="s">
        <v>106</v>
      </c>
      <c r="G35" s="335"/>
      <c r="H35" s="377" t="str">
        <f>DEC2HEX(E35)</f>
        <v>FFFFFFF7D9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9" t="s">
        <v>102</v>
      </c>
      <c r="D40" s="890"/>
      <c r="E40" s="497">
        <v>30000</v>
      </c>
      <c r="F40" s="327"/>
      <c r="G40" s="329"/>
      <c r="H40" s="891" t="s">
        <v>101</v>
      </c>
      <c r="I40" s="891"/>
      <c r="J40" s="496">
        <v>6</v>
      </c>
      <c r="M40" s="892" t="s">
        <v>236</v>
      </c>
      <c r="N40" s="893"/>
      <c r="O40" s="385" t="s">
        <v>237</v>
      </c>
      <c r="P40" s="385"/>
      <c r="Q40" s="385"/>
      <c r="R40" s="386"/>
    </row>
    <row r="41" spans="3:18" ht="17.25" thickBot="1">
      <c r="C41" s="884" t="s">
        <v>111</v>
      </c>
      <c r="D41" s="885"/>
      <c r="E41" s="444">
        <f>ROUND(E40*E39,0)</f>
        <v>1975</v>
      </c>
      <c r="F41" s="444"/>
      <c r="G41" s="335"/>
      <c r="H41" s="891" t="s">
        <v>103</v>
      </c>
      <c r="I41" s="891"/>
      <c r="J41" s="318">
        <f>ROUND(J40/E39,0)</f>
        <v>91</v>
      </c>
      <c r="M41" s="894"/>
      <c r="N41" s="895"/>
      <c r="O41" s="390" t="s">
        <v>244</v>
      </c>
      <c r="P41" s="390" t="s">
        <v>239</v>
      </c>
      <c r="Q41" s="390"/>
      <c r="R41" s="391"/>
    </row>
    <row r="42" spans="3:18">
      <c r="C42" s="884" t="s">
        <v>104</v>
      </c>
      <c r="D42" s="885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84" t="s">
        <v>105</v>
      </c>
      <c r="D43" s="885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6" t="s">
        <v>230</v>
      </c>
      <c r="N44" s="442" t="s">
        <v>170</v>
      </c>
      <c r="O44" s="442"/>
      <c r="P44" s="442"/>
      <c r="Q44" s="393"/>
    </row>
    <row r="45" spans="3:18" ht="17.25" thickTop="1">
      <c r="M45" s="887"/>
      <c r="N45" s="444" t="s">
        <v>108</v>
      </c>
      <c r="O45" s="444"/>
      <c r="P45" s="444"/>
      <c r="Q45" s="394"/>
    </row>
    <row r="46" spans="3:18" ht="17.25" thickBot="1">
      <c r="M46" s="888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FFC000"/>
  </sheetPr>
  <dimension ref="A1:V46"/>
  <sheetViews>
    <sheetView zoomScale="70" zoomScaleNormal="70" workbookViewId="0">
      <selection activeCell="M15" sqref="M15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17516</v>
      </c>
      <c r="G2" s="470" t="s">
        <v>216</v>
      </c>
      <c r="H2" s="490">
        <v>2014</v>
      </c>
      <c r="I2" s="468"/>
      <c r="J2" s="470" t="s">
        <v>217</v>
      </c>
      <c r="K2" s="490">
        <v>3</v>
      </c>
      <c r="L2" s="468"/>
      <c r="M2" s="468" t="s">
        <v>218</v>
      </c>
      <c r="N2" s="491">
        <v>12</v>
      </c>
    </row>
    <row r="3" spans="1:22" ht="18" thickTop="1" thickBot="1">
      <c r="C3" s="471"/>
      <c r="D3" s="472"/>
      <c r="E3" s="473" t="s">
        <v>519</v>
      </c>
      <c r="F3" s="489">
        <v>17516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3</v>
      </c>
      <c r="L3" s="476"/>
      <c r="M3" s="476" t="s">
        <v>218</v>
      </c>
      <c r="N3" s="477">
        <f>F3-((H3-1980)*512+K3*32)</f>
        <v>12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12" t="s">
        <v>94</v>
      </c>
      <c r="J7" s="912"/>
      <c r="K7" s="913" t="s">
        <v>13</v>
      </c>
      <c r="L7" s="913"/>
      <c r="M7" s="913" t="s">
        <v>1380</v>
      </c>
      <c r="N7" s="913"/>
      <c r="O7" s="913" t="s">
        <v>222</v>
      </c>
      <c r="P7" s="914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5">
        <v>1500</v>
      </c>
      <c r="J8" s="915"/>
      <c r="K8" s="916">
        <f>ROUND(I8*E12+E11,0)</f>
        <v>683</v>
      </c>
      <c r="L8" s="916"/>
      <c r="M8" s="916">
        <f>I8*F9</f>
        <v>2.5</v>
      </c>
      <c r="N8" s="916"/>
      <c r="O8" s="917">
        <f>I8*(D9/1000*E10)</f>
        <v>550</v>
      </c>
      <c r="P8" s="918"/>
      <c r="Q8" s="439">
        <f>O8/M8</f>
        <v>220</v>
      </c>
    </row>
    <row r="9" spans="1:22" ht="18" thickTop="1" thickBot="1">
      <c r="C9" s="332" t="s">
        <v>0</v>
      </c>
      <c r="D9" s="492">
        <f>5/3</f>
        <v>1.6666666666666667</v>
      </c>
      <c r="E9" s="444" t="s">
        <v>8</v>
      </c>
      <c r="F9" s="444">
        <f>D9/1000</f>
        <v>1.6666666666666668E-3</v>
      </c>
      <c r="G9" s="444" t="s">
        <v>3</v>
      </c>
      <c r="H9" s="342" t="s">
        <v>95</v>
      </c>
      <c r="I9" s="905">
        <v>8000</v>
      </c>
      <c r="J9" s="905"/>
      <c r="K9" s="906">
        <f>ROUND(I9*E16+E15,0)</f>
        <v>1357</v>
      </c>
      <c r="L9" s="906"/>
      <c r="M9" s="906">
        <f>I9*F9</f>
        <v>13.333333333333334</v>
      </c>
      <c r="N9" s="906"/>
      <c r="O9" s="907">
        <f>I9*(D9/1000*E14)</f>
        <v>1093.3333333333335</v>
      </c>
      <c r="P9" s="908"/>
      <c r="Q9" s="440">
        <f>O9/M9</f>
        <v>82.000000000000014</v>
      </c>
    </row>
    <row r="10" spans="1:22">
      <c r="C10" s="343" t="s">
        <v>12</v>
      </c>
      <c r="D10" s="344" t="s">
        <v>86</v>
      </c>
      <c r="E10" s="493">
        <v>220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0.45511111111111113</v>
      </c>
      <c r="F12" s="459" t="s">
        <v>1585</v>
      </c>
      <c r="G12" s="460">
        <f>1/E12</f>
        <v>2.197265625</v>
      </c>
    </row>
    <row r="13" spans="1:22">
      <c r="C13" s="348" t="s">
        <v>200</v>
      </c>
      <c r="D13" s="349"/>
      <c r="E13" s="350"/>
      <c r="F13" s="349">
        <f>F6/E12</f>
        <v>9000</v>
      </c>
      <c r="G13" s="351" t="s">
        <v>201</v>
      </c>
    </row>
    <row r="14" spans="1:22">
      <c r="C14" s="343" t="s">
        <v>35</v>
      </c>
      <c r="D14" s="344" t="s">
        <v>86</v>
      </c>
      <c r="E14" s="493">
        <v>82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0.16963232323232325</v>
      </c>
      <c r="F16" s="459" t="s">
        <v>1584</v>
      </c>
      <c r="G16" s="460">
        <f>1/E16</f>
        <v>5.8951028963414629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24146.341463414632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09" t="s">
        <v>208</v>
      </c>
      <c r="J19" s="909"/>
      <c r="K19" s="910" t="s">
        <v>220</v>
      </c>
      <c r="L19" s="910"/>
      <c r="M19" s="910" t="s">
        <v>13</v>
      </c>
      <c r="N19" s="910"/>
      <c r="O19" s="910" t="s">
        <v>223</v>
      </c>
      <c r="P19" s="911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8">
        <v>39000</v>
      </c>
      <c r="J20" s="898"/>
      <c r="K20" s="899">
        <f>I20*E21</f>
        <v>2567.0523415977959</v>
      </c>
      <c r="L20" s="899"/>
      <c r="M20" s="900">
        <f>ROUND(K20,0)</f>
        <v>2567</v>
      </c>
      <c r="N20" s="900"/>
      <c r="O20" s="901">
        <f>I20*(E19/(E18+E19))</f>
        <v>2068.181818181818</v>
      </c>
      <c r="P20" s="902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1.66666666666667mR</v>
      </c>
    </row>
    <row r="25" spans="3:22" ht="18" thickTop="1" thickBot="1">
      <c r="C25" s="443" t="s">
        <v>110</v>
      </c>
      <c r="D25" s="327" t="s">
        <v>99</v>
      </c>
      <c r="E25" s="372">
        <f>E12</f>
        <v>0.45511111111111113</v>
      </c>
      <c r="F25" s="327"/>
      <c r="G25" s="329"/>
    </row>
    <row r="26" spans="3:22">
      <c r="C26" s="884" t="s">
        <v>248</v>
      </c>
      <c r="D26" s="885"/>
      <c r="E26" s="492">
        <v>2500</v>
      </c>
      <c r="F26" s="444" t="s">
        <v>249</v>
      </c>
      <c r="G26" s="335"/>
      <c r="H26" s="896" t="s">
        <v>101</v>
      </c>
      <c r="I26" s="897"/>
      <c r="J26" s="495">
        <v>38</v>
      </c>
      <c r="K26" s="373"/>
      <c r="M26" s="892" t="s">
        <v>236</v>
      </c>
      <c r="N26" s="893"/>
      <c r="O26" s="385" t="s">
        <v>231</v>
      </c>
      <c r="P26" s="385" t="s">
        <v>232</v>
      </c>
      <c r="Q26" s="385"/>
      <c r="R26" s="385"/>
      <c r="S26" s="386"/>
    </row>
    <row r="27" spans="3:22">
      <c r="C27" s="884" t="s">
        <v>111</v>
      </c>
      <c r="D27" s="885"/>
      <c r="E27" s="444">
        <f>ROUND(E26*E25,0)</f>
        <v>1138</v>
      </c>
      <c r="F27" s="444"/>
      <c r="G27" s="335"/>
      <c r="H27" s="884" t="s">
        <v>109</v>
      </c>
      <c r="I27" s="885"/>
      <c r="J27" s="444">
        <f>ROUND(J26/E25,0)</f>
        <v>83</v>
      </c>
      <c r="K27" s="374"/>
      <c r="M27" s="903"/>
      <c r="N27" s="904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84" t="s">
        <v>104</v>
      </c>
      <c r="D28" s="885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84" t="s">
        <v>105</v>
      </c>
      <c r="D29" s="885"/>
      <c r="E29" s="444">
        <f>E28-E27</f>
        <v>-263</v>
      </c>
      <c r="F29" s="444" t="s">
        <v>106</v>
      </c>
      <c r="G29" s="335"/>
      <c r="H29" s="377" t="str">
        <f>DEC2HEX(E29)</f>
        <v>FFFFFFFEF9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6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0.16963232323232325</v>
      </c>
      <c r="F31" s="327"/>
      <c r="G31" s="329"/>
      <c r="N31" s="887"/>
      <c r="O31" s="444"/>
      <c r="P31" s="444" t="s">
        <v>108</v>
      </c>
      <c r="Q31" s="444"/>
      <c r="R31" s="444"/>
      <c r="S31" s="394"/>
    </row>
    <row r="32" spans="3:22" ht="17.25" thickBot="1">
      <c r="C32" s="884" t="s">
        <v>252</v>
      </c>
      <c r="D32" s="885"/>
      <c r="E32" s="492">
        <v>8000</v>
      </c>
      <c r="F32" s="444" t="s">
        <v>249</v>
      </c>
      <c r="G32" s="335"/>
      <c r="H32" s="896" t="s">
        <v>101</v>
      </c>
      <c r="I32" s="897"/>
      <c r="J32" s="495">
        <v>1357</v>
      </c>
      <c r="K32" s="373"/>
      <c r="N32" s="888"/>
      <c r="O32" s="441" t="s">
        <v>95</v>
      </c>
      <c r="P32" s="441" t="s">
        <v>112</v>
      </c>
      <c r="Q32" s="441"/>
      <c r="R32" s="441"/>
      <c r="S32" s="396"/>
    </row>
    <row r="33" spans="3:18">
      <c r="C33" s="884" t="s">
        <v>111</v>
      </c>
      <c r="D33" s="885"/>
      <c r="E33" s="444">
        <f>ROUND(E32*E31,0)</f>
        <v>1357</v>
      </c>
      <c r="F33" s="444"/>
      <c r="G33" s="335"/>
      <c r="H33" s="884" t="s">
        <v>109</v>
      </c>
      <c r="I33" s="885"/>
      <c r="J33" s="444">
        <f>ROUND(J32/E31,0)</f>
        <v>8000</v>
      </c>
      <c r="K33" s="374"/>
    </row>
    <row r="34" spans="3:18">
      <c r="C34" s="884" t="s">
        <v>104</v>
      </c>
      <c r="D34" s="885"/>
      <c r="E34" s="492">
        <v>1358</v>
      </c>
      <c r="F34" s="444"/>
      <c r="G34" s="335"/>
      <c r="H34" s="375" t="s">
        <v>254</v>
      </c>
      <c r="I34" s="344"/>
      <c r="J34" s="376"/>
      <c r="K34" s="374"/>
    </row>
    <row r="35" spans="3:18">
      <c r="C35" s="884" t="s">
        <v>105</v>
      </c>
      <c r="D35" s="885"/>
      <c r="E35" s="444">
        <f>E34-E33</f>
        <v>1</v>
      </c>
      <c r="F35" s="444" t="s">
        <v>106</v>
      </c>
      <c r="G35" s="335"/>
      <c r="H35" s="377" t="str">
        <f>DEC2HEX(E35)</f>
        <v>1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9" t="s">
        <v>102</v>
      </c>
      <c r="D40" s="890"/>
      <c r="E40" s="497">
        <v>30000</v>
      </c>
      <c r="F40" s="327"/>
      <c r="G40" s="329"/>
      <c r="H40" s="891" t="s">
        <v>101</v>
      </c>
      <c r="I40" s="891"/>
      <c r="J40" s="496">
        <v>6</v>
      </c>
      <c r="M40" s="892" t="s">
        <v>236</v>
      </c>
      <c r="N40" s="893"/>
      <c r="O40" s="385" t="s">
        <v>237</v>
      </c>
      <c r="P40" s="385"/>
      <c r="Q40" s="385"/>
      <c r="R40" s="386"/>
    </row>
    <row r="41" spans="3:18" ht="17.25" thickBot="1">
      <c r="C41" s="884" t="s">
        <v>111</v>
      </c>
      <c r="D41" s="885"/>
      <c r="E41" s="444">
        <f>ROUND(E40*E39,0)</f>
        <v>1975</v>
      </c>
      <c r="F41" s="444"/>
      <c r="G41" s="335"/>
      <c r="H41" s="891" t="s">
        <v>103</v>
      </c>
      <c r="I41" s="891"/>
      <c r="J41" s="318">
        <f>ROUND(J40/E39,0)</f>
        <v>91</v>
      </c>
      <c r="M41" s="894"/>
      <c r="N41" s="895"/>
      <c r="O41" s="390" t="s">
        <v>244</v>
      </c>
      <c r="P41" s="390" t="s">
        <v>239</v>
      </c>
      <c r="Q41" s="390"/>
      <c r="R41" s="391"/>
    </row>
    <row r="42" spans="3:18">
      <c r="C42" s="884" t="s">
        <v>104</v>
      </c>
      <c r="D42" s="885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84" t="s">
        <v>105</v>
      </c>
      <c r="D43" s="885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6" t="s">
        <v>230</v>
      </c>
      <c r="N44" s="442" t="s">
        <v>170</v>
      </c>
      <c r="O44" s="442"/>
      <c r="P44" s="442"/>
      <c r="Q44" s="393"/>
    </row>
    <row r="45" spans="3:18" ht="17.25" thickTop="1">
      <c r="M45" s="887"/>
      <c r="N45" s="444" t="s">
        <v>108</v>
      </c>
      <c r="O45" s="444"/>
      <c r="P45" s="444"/>
      <c r="Q45" s="394"/>
    </row>
    <row r="46" spans="3:18" ht="17.25" thickBot="1">
      <c r="M46" s="888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>
    <tabColor rgb="FFFFC000"/>
  </sheetPr>
  <dimension ref="A1:Q30"/>
  <sheetViews>
    <sheetView workbookViewId="0">
      <selection activeCell="K6" sqref="K6:L6"/>
    </sheetView>
  </sheetViews>
  <sheetFormatPr defaultRowHeight="16.5"/>
  <cols>
    <col min="1" max="3" width="9" style="318"/>
    <col min="4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3:17" ht="17.25" thickBot="1">
      <c r="C1" s="318" t="s">
        <v>215</v>
      </c>
      <c r="F1" s="319">
        <f>(H1-1980)*512+K1*32+N1</f>
        <v>17516</v>
      </c>
      <c r="G1" s="320" t="s">
        <v>216</v>
      </c>
      <c r="H1" s="366">
        <v>2014</v>
      </c>
      <c r="J1" s="320" t="s">
        <v>217</v>
      </c>
      <c r="K1" s="366">
        <v>3</v>
      </c>
      <c r="M1" s="318" t="s">
        <v>218</v>
      </c>
      <c r="N1" s="366">
        <v>12</v>
      </c>
    </row>
    <row r="2" spans="3:17" ht="18" thickTop="1" thickBot="1">
      <c r="C2" s="318" t="s">
        <v>89</v>
      </c>
      <c r="E2" s="321" t="s">
        <v>519</v>
      </c>
      <c r="F2" s="365">
        <v>17457</v>
      </c>
      <c r="G2" s="322" t="s">
        <v>216</v>
      </c>
      <c r="H2" s="323">
        <f>FLOOR(F2/512,1)+1980</f>
        <v>2014</v>
      </c>
      <c r="I2" s="324"/>
      <c r="J2" s="322" t="s">
        <v>217</v>
      </c>
      <c r="K2" s="323">
        <f>FLOOR((F2-((H2-1980)*512))/32,1)</f>
        <v>1</v>
      </c>
      <c r="L2" s="324"/>
      <c r="M2" s="324" t="s">
        <v>218</v>
      </c>
      <c r="N2" s="325">
        <f>F2-((H2-1980)*512+K2*32)</f>
        <v>17</v>
      </c>
    </row>
    <row r="3" spans="3:17" ht="17.25" thickTop="1">
      <c r="C3" s="326" t="s">
        <v>14</v>
      </c>
      <c r="D3" s="327"/>
      <c r="E3" s="327"/>
      <c r="F3" s="328"/>
      <c r="G3" s="329"/>
      <c r="H3" s="330" t="s">
        <v>91</v>
      </c>
      <c r="I3" s="330"/>
      <c r="J3" s="330"/>
      <c r="K3" s="331"/>
      <c r="L3" s="331"/>
      <c r="M3" s="331"/>
      <c r="N3" s="331"/>
    </row>
    <row r="4" spans="3:17" ht="17.25" thickBot="1">
      <c r="C4" s="332" t="s">
        <v>15</v>
      </c>
      <c r="D4" s="363">
        <v>12</v>
      </c>
      <c r="E4" s="333" t="s">
        <v>16</v>
      </c>
      <c r="F4" s="334">
        <f>2^D4</f>
        <v>4096</v>
      </c>
      <c r="G4" s="335"/>
      <c r="H4" s="331" t="s">
        <v>90</v>
      </c>
      <c r="I4" s="331"/>
      <c r="J4" s="331"/>
      <c r="K4" s="331"/>
      <c r="L4" s="331"/>
      <c r="M4" s="331"/>
      <c r="N4" s="331"/>
    </row>
    <row r="5" spans="3:17">
      <c r="C5" s="332" t="s">
        <v>17</v>
      </c>
      <c r="D5" s="363">
        <v>3.3</v>
      </c>
      <c r="E5" s="333" t="s">
        <v>18</v>
      </c>
      <c r="F5" s="336"/>
      <c r="G5" s="333"/>
      <c r="H5" s="337"/>
      <c r="I5" s="912" t="s">
        <v>94</v>
      </c>
      <c r="J5" s="912"/>
      <c r="K5" s="913" t="s">
        <v>1379</v>
      </c>
      <c r="L5" s="913"/>
      <c r="M5" s="913" t="s">
        <v>1380</v>
      </c>
      <c r="N5" s="913"/>
      <c r="O5" s="913" t="s">
        <v>222</v>
      </c>
      <c r="P5" s="914"/>
      <c r="Q5" s="438" t="s">
        <v>1381</v>
      </c>
    </row>
    <row r="6" spans="3:17" ht="17.25" thickBot="1">
      <c r="C6" s="338" t="s">
        <v>85</v>
      </c>
      <c r="D6" s="339">
        <f>D5/F4*1000</f>
        <v>0.8056640625</v>
      </c>
      <c r="E6" s="339" t="s">
        <v>19</v>
      </c>
      <c r="F6" s="340"/>
      <c r="G6" s="333"/>
      <c r="H6" s="341" t="s">
        <v>93</v>
      </c>
      <c r="I6" s="919">
        <v>6240</v>
      </c>
      <c r="J6" s="919"/>
      <c r="K6" s="916">
        <f>ROUND(I6*E10+E9,0)</f>
        <v>2788</v>
      </c>
      <c r="L6" s="916"/>
      <c r="M6" s="916">
        <f>I6*F7</f>
        <v>12.48</v>
      </c>
      <c r="N6" s="916"/>
      <c r="O6" s="917">
        <f>I6*(D7/1000*E8)</f>
        <v>2246.4</v>
      </c>
      <c r="P6" s="918"/>
      <c r="Q6" s="439">
        <f>O6/M6</f>
        <v>180</v>
      </c>
    </row>
    <row r="7" spans="3:17" ht="18" thickTop="1" thickBot="1">
      <c r="C7" s="332" t="s">
        <v>0</v>
      </c>
      <c r="D7" s="363">
        <v>2</v>
      </c>
      <c r="E7" s="333" t="s">
        <v>8</v>
      </c>
      <c r="F7" s="333">
        <f>D7/1000</f>
        <v>2E-3</v>
      </c>
      <c r="G7" s="333" t="s">
        <v>3</v>
      </c>
      <c r="H7" s="342" t="s">
        <v>95</v>
      </c>
      <c r="I7" s="921">
        <v>13000</v>
      </c>
      <c r="J7" s="921"/>
      <c r="K7" s="906">
        <f>ROUND(I7*E14+E13,0)</f>
        <v>3227</v>
      </c>
      <c r="L7" s="906"/>
      <c r="M7" s="906">
        <f>I7*F7</f>
        <v>26</v>
      </c>
      <c r="N7" s="906"/>
      <c r="O7" s="907">
        <f>I7*(D7/1000*E12)</f>
        <v>2600</v>
      </c>
      <c r="P7" s="908"/>
      <c r="Q7" s="440">
        <f>O7/M7</f>
        <v>100</v>
      </c>
    </row>
    <row r="8" spans="3:17">
      <c r="C8" s="343" t="s">
        <v>12</v>
      </c>
      <c r="D8" s="344" t="s">
        <v>86</v>
      </c>
      <c r="E8" s="364">
        <v>180</v>
      </c>
      <c r="F8" s="344"/>
      <c r="G8" s="345"/>
    </row>
    <row r="9" spans="3:17">
      <c r="C9" s="346"/>
      <c r="D9" s="333" t="s">
        <v>88</v>
      </c>
      <c r="E9" s="363">
        <v>0</v>
      </c>
      <c r="F9" s="333" t="s">
        <v>97</v>
      </c>
      <c r="G9" s="335"/>
    </row>
    <row r="10" spans="3:17">
      <c r="C10" s="332" t="s">
        <v>92</v>
      </c>
      <c r="D10" s="333"/>
      <c r="E10" s="347">
        <f>F7*E8/D6</f>
        <v>0.44683636363636364</v>
      </c>
      <c r="F10" s="333"/>
      <c r="G10" s="335"/>
    </row>
    <row r="11" spans="3:17">
      <c r="C11" s="348" t="s">
        <v>200</v>
      </c>
      <c r="D11" s="349"/>
      <c r="E11" s="350"/>
      <c r="F11" s="349">
        <f>F4/E10</f>
        <v>9166.6666666666661</v>
      </c>
      <c r="G11" s="351" t="s">
        <v>201</v>
      </c>
    </row>
    <row r="12" spans="3:17">
      <c r="C12" s="343" t="s">
        <v>35</v>
      </c>
      <c r="D12" s="344" t="s">
        <v>86</v>
      </c>
      <c r="E12" s="364">
        <v>100</v>
      </c>
      <c r="F12" s="344"/>
      <c r="G12" s="345"/>
    </row>
    <row r="13" spans="3:17">
      <c r="C13" s="346"/>
      <c r="D13" s="333" t="s">
        <v>88</v>
      </c>
      <c r="E13" s="363">
        <v>0</v>
      </c>
      <c r="F13" s="333" t="s">
        <v>96</v>
      </c>
      <c r="G13" s="335"/>
    </row>
    <row r="14" spans="3:17">
      <c r="C14" s="332" t="s">
        <v>92</v>
      </c>
      <c r="D14" s="333"/>
      <c r="E14" s="347">
        <f>F7*E12/D6</f>
        <v>0.24824242424242426</v>
      </c>
      <c r="F14" s="333"/>
      <c r="G14" s="335"/>
    </row>
    <row r="15" spans="3:17">
      <c r="C15" s="348" t="s">
        <v>202</v>
      </c>
      <c r="D15" s="349"/>
      <c r="E15" s="350"/>
      <c r="F15" s="349">
        <f>F4/E14</f>
        <v>16500</v>
      </c>
      <c r="G15" s="351" t="s">
        <v>201</v>
      </c>
    </row>
    <row r="16" spans="3:17" ht="17.25" thickBot="1">
      <c r="C16" s="352" t="s">
        <v>21</v>
      </c>
      <c r="D16" s="344" t="s">
        <v>2</v>
      </c>
      <c r="E16" s="364">
        <v>1000</v>
      </c>
      <c r="F16" s="344" t="s">
        <v>5</v>
      </c>
      <c r="G16" s="353" t="s">
        <v>221</v>
      </c>
      <c r="H16" s="354" t="s">
        <v>212</v>
      </c>
      <c r="I16" s="354"/>
      <c r="J16" s="354"/>
      <c r="K16" s="354"/>
      <c r="L16" s="354"/>
      <c r="M16" s="354"/>
      <c r="N16" s="354"/>
      <c r="O16" s="354"/>
      <c r="P16" s="354"/>
      <c r="Q16" s="354"/>
    </row>
    <row r="17" spans="1:16">
      <c r="C17" s="332"/>
      <c r="D17" s="333" t="s">
        <v>22</v>
      </c>
      <c r="E17" s="363">
        <v>56</v>
      </c>
      <c r="F17" s="333" t="s">
        <v>5</v>
      </c>
      <c r="G17" s="355">
        <f>(E17/(E16+E17))</f>
        <v>5.3030303030303032E-2</v>
      </c>
      <c r="H17" s="356"/>
      <c r="I17" s="909" t="s">
        <v>208</v>
      </c>
      <c r="J17" s="909"/>
      <c r="K17" s="910" t="s">
        <v>220</v>
      </c>
      <c r="L17" s="910"/>
      <c r="M17" s="910" t="s">
        <v>13</v>
      </c>
      <c r="N17" s="910"/>
      <c r="O17" s="910" t="s">
        <v>223</v>
      </c>
      <c r="P17" s="911"/>
    </row>
    <row r="18" spans="1:16" ht="17.25" thickBot="1">
      <c r="C18" s="332"/>
      <c r="D18" s="333" t="s">
        <v>88</v>
      </c>
      <c r="E18" s="363">
        <v>0</v>
      </c>
      <c r="F18" s="333" t="s">
        <v>96</v>
      </c>
      <c r="G18" s="335"/>
      <c r="H18" s="357" t="s">
        <v>21</v>
      </c>
      <c r="I18" s="920">
        <v>24800</v>
      </c>
      <c r="J18" s="920"/>
      <c r="K18" s="899">
        <f>I18*E19</f>
        <v>1632.3820018365473</v>
      </c>
      <c r="L18" s="899"/>
      <c r="M18" s="900">
        <f>ROUND(K18,0)</f>
        <v>1632</v>
      </c>
      <c r="N18" s="900"/>
      <c r="O18" s="901">
        <f>I18*(E17/(E16+E17))</f>
        <v>1315.1515151515152</v>
      </c>
      <c r="P18" s="902"/>
    </row>
    <row r="19" spans="1:16">
      <c r="C19" s="332" t="s">
        <v>203</v>
      </c>
      <c r="D19" s="358"/>
      <c r="E19" s="359">
        <f>1/(D6/(E17/(E16+E17)))</f>
        <v>6.5821854912764002E-2</v>
      </c>
      <c r="F19" s="333"/>
      <c r="G19" s="335"/>
    </row>
    <row r="20" spans="1:16" ht="17.25" thickBot="1">
      <c r="C20" s="360" t="s">
        <v>206</v>
      </c>
      <c r="D20" s="361"/>
      <c r="E20" s="361"/>
      <c r="F20" s="361">
        <f>F4/E19</f>
        <v>62228.571428571428</v>
      </c>
      <c r="G20" s="362" t="s">
        <v>19</v>
      </c>
    </row>
    <row r="21" spans="1:16" ht="17.25" thickTop="1"/>
    <row r="22" spans="1:16">
      <c r="A22" s="318" t="s">
        <v>204</v>
      </c>
    </row>
    <row r="23" spans="1:16">
      <c r="A23" s="318" t="s">
        <v>38</v>
      </c>
    </row>
    <row r="24" spans="1:16">
      <c r="A24" s="318" t="s">
        <v>205</v>
      </c>
    </row>
    <row r="25" spans="1:16">
      <c r="A25" s="318" t="s">
        <v>219</v>
      </c>
    </row>
    <row r="26" spans="1:16">
      <c r="A26" s="318" t="s">
        <v>196</v>
      </c>
    </row>
    <row r="27" spans="1:16">
      <c r="A27" s="318" t="s">
        <v>196</v>
      </c>
    </row>
    <row r="28" spans="1:16">
      <c r="A28" s="318" t="s">
        <v>209</v>
      </c>
    </row>
    <row r="29" spans="1:16">
      <c r="A29" s="318" t="s">
        <v>210</v>
      </c>
    </row>
    <row r="30" spans="1:16">
      <c r="A30" s="318" t="s">
        <v>38</v>
      </c>
    </row>
  </sheetData>
  <sheetProtection sheet="1" objects="1" scenarios="1"/>
  <mergeCells count="20">
    <mergeCell ref="I18:J18"/>
    <mergeCell ref="K18:L18"/>
    <mergeCell ref="M18:N18"/>
    <mergeCell ref="I7:J7"/>
    <mergeCell ref="K7:L7"/>
    <mergeCell ref="M7:N7"/>
    <mergeCell ref="I17:J17"/>
    <mergeCell ref="K17:L17"/>
    <mergeCell ref="M17:N17"/>
    <mergeCell ref="I5:J5"/>
    <mergeCell ref="K5:L5"/>
    <mergeCell ref="M5:N5"/>
    <mergeCell ref="I6:J6"/>
    <mergeCell ref="K6:L6"/>
    <mergeCell ref="M6:N6"/>
    <mergeCell ref="O17:P17"/>
    <mergeCell ref="O18:P18"/>
    <mergeCell ref="O5:P5"/>
    <mergeCell ref="O6:P6"/>
    <mergeCell ref="O7:P7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Team member</vt:lpstr>
      <vt:lpstr>LEV PN</vt:lpstr>
      <vt:lpstr>LEV PN_Oct24_2013</vt:lpstr>
      <vt:lpstr>LEV PN_aug18_2013</vt:lpstr>
      <vt:lpstr>LEV 機種功能表_NEW</vt:lpstr>
      <vt:lpstr>FW設定值_EV_0.6mR_C620D82</vt:lpstr>
      <vt:lpstr>FW設定值_2mR_C180D100</vt:lpstr>
      <vt:lpstr>ST_FW設定值_1.667mR_New</vt:lpstr>
      <vt:lpstr>ST_FW設定值_2mR</vt:lpstr>
      <vt:lpstr>Current校正用_2mR</vt:lpstr>
      <vt:lpstr>Voltage校正用</vt:lpstr>
      <vt:lpstr>ST_FW設定值_1.667mR</vt:lpstr>
      <vt:lpstr>Current校正用_1.667mR</vt:lpstr>
      <vt:lpstr>ST_FW設定值_1.43mR_New</vt:lpstr>
      <vt:lpstr>FW設定值_1.36mR_C220D82</vt:lpstr>
      <vt:lpstr>ST_FW設定值_1.2mR_New</vt:lpstr>
      <vt:lpstr>FW設定值_1.36mR_C220D68</vt:lpstr>
      <vt:lpstr>Project name define</vt:lpstr>
      <vt:lpstr>LEV 機種功能表_org</vt:lpstr>
      <vt:lpstr>ME assigment</vt:lpstr>
      <vt:lpstr>LEV engineer sample label</vt:lpstr>
      <vt:lpstr>Mitsu H NTC R1=10K</vt:lpstr>
      <vt:lpstr>Thinking NTC3435 R10K</vt:lpstr>
      <vt:lpstr>Dynamic_UVP</vt:lpstr>
      <vt:lpstr>Capacity_static</vt:lpstr>
      <vt:lpstr>LEV 保護點</vt:lpstr>
      <vt:lpstr>Mitsu J NTC R1=10K</vt:lpstr>
      <vt:lpstr>Thinking NTC R1=10K</vt:lpstr>
      <vt:lpstr>Mitsu J NTC R1=15K</vt:lpstr>
      <vt:lpstr>Thinking NTC R1=15K</vt:lpstr>
      <vt:lpstr>CHG DSG OP</vt:lpstr>
      <vt:lpstr>Voltage</vt:lpstr>
      <vt:lpstr>新增欄位</vt:lpstr>
      <vt:lpstr>Sheet1</vt:lpstr>
      <vt:lpstr>Error_Mitsu H NTC R1=10K</vt:lpstr>
      <vt:lpstr>LEVD2_ST_Solution_FW設定值_Old</vt:lpstr>
      <vt:lpstr>LEV PN V1</vt:lpstr>
      <vt:lpstr>LEV PN V2</vt:lpstr>
      <vt:lpstr>Project List_舊型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2014-06-09T02:13:05Z</dcterms:modified>
</cp:coreProperties>
</file>