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75" windowWidth="1915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0" i="3" a="1"/>
  <c r="M10" s="1"/>
  <c r="G10" a="1"/>
  <c r="G10" s="1"/>
  <c r="E14" a="1"/>
  <c r="E14" s="1"/>
  <c r="X9" i="2"/>
  <c r="X8"/>
  <c r="W9"/>
  <c r="V9"/>
  <c r="U9"/>
  <c r="T9"/>
  <c r="W8"/>
  <c r="V8"/>
  <c r="U8"/>
  <c r="T8"/>
  <c r="Q9"/>
  <c r="O9"/>
  <c r="Q8"/>
  <c r="O8"/>
  <c r="O5"/>
  <c r="O4"/>
  <c r="N2"/>
  <c r="C21"/>
  <c r="G19"/>
  <c r="G18"/>
  <c r="C22" s="1"/>
  <c r="C19"/>
  <c r="C18"/>
  <c r="C6"/>
  <c r="C5"/>
  <c r="F2"/>
  <c r="C8" s="1"/>
  <c r="B6" i="1"/>
  <c r="F5"/>
  <c r="F6" s="1"/>
  <c r="F7" s="1"/>
  <c r="J5"/>
  <c r="J6" s="1"/>
  <c r="J7" s="1"/>
  <c r="B5"/>
  <c r="J4"/>
  <c r="I4"/>
  <c r="I5" s="1"/>
  <c r="I6" s="1"/>
  <c r="I7" s="1"/>
  <c r="H4"/>
  <c r="H5" s="1"/>
  <c r="H6" s="1"/>
  <c r="H7" s="1"/>
  <c r="G4"/>
  <c r="G5" s="1"/>
  <c r="G6" s="1"/>
  <c r="G7" s="1"/>
  <c r="J3"/>
  <c r="I3"/>
  <c r="H3"/>
  <c r="G3"/>
  <c r="F3"/>
  <c r="E3"/>
  <c r="E5" s="1"/>
  <c r="E6" s="1"/>
  <c r="E7" s="1"/>
  <c r="D4"/>
  <c r="D5" s="1"/>
  <c r="D6" s="1"/>
  <c r="D7" s="1"/>
  <c r="C4"/>
  <c r="C5" s="1"/>
  <c r="C6" s="1"/>
  <c r="C7" s="1"/>
  <c r="T10" i="2" l="1"/>
  <c r="V10"/>
  <c r="U10"/>
  <c r="W10"/>
  <c r="X10"/>
  <c r="M15" i="3"/>
  <c r="M13"/>
  <c r="M11"/>
  <c r="M14"/>
  <c r="M12"/>
  <c r="J15"/>
  <c r="H15"/>
  <c r="J14"/>
  <c r="H14"/>
  <c r="J13"/>
  <c r="H13"/>
  <c r="J12"/>
  <c r="H12"/>
  <c r="J11"/>
  <c r="H11"/>
  <c r="J10"/>
  <c r="H10"/>
  <c r="I15"/>
  <c r="G15"/>
  <c r="I14"/>
  <c r="G14"/>
  <c r="I13"/>
  <c r="G13"/>
  <c r="I12"/>
  <c r="G12"/>
  <c r="I11"/>
  <c r="G11"/>
  <c r="I10"/>
  <c r="C23" i="2"/>
  <c r="F23"/>
  <c r="L27" s="1"/>
  <c r="C9"/>
  <c r="F21"/>
  <c r="C10"/>
  <c r="F22" s="1"/>
  <c r="U11" l="1"/>
  <c r="T11"/>
  <c r="W11"/>
  <c r="V11"/>
  <c r="L26"/>
  <c r="C25" s="1"/>
  <c r="C26"/>
  <c r="Q12" l="1"/>
  <c r="Q13" s="1"/>
  <c r="Q10"/>
  <c r="Q11" a="1"/>
  <c r="Q11" s="1"/>
</calcChain>
</file>

<file path=xl/sharedStrings.xml><?xml version="1.0" encoding="utf-8"?>
<sst xmlns="http://schemas.openxmlformats.org/spreadsheetml/2006/main" count="131" uniqueCount="82">
  <si>
    <t>op voltage offset</t>
    <phoneticPr fontId="1" type="noConversion"/>
  </si>
  <si>
    <t>MCU ADC =</t>
    <phoneticPr fontId="1" type="noConversion"/>
  </si>
  <si>
    <t>bit</t>
    <phoneticPr fontId="1" type="noConversion"/>
  </si>
  <si>
    <t>step</t>
    <phoneticPr fontId="1" type="noConversion"/>
  </si>
  <si>
    <t>Ref =</t>
    <phoneticPr fontId="1" type="noConversion"/>
  </si>
  <si>
    <t>V</t>
    <phoneticPr fontId="1" type="noConversion"/>
  </si>
  <si>
    <t>%</t>
    <phoneticPr fontId="1" type="noConversion"/>
  </si>
  <si>
    <t>MCU Reference Tolerance</t>
    <phoneticPr fontId="1" type="noConversion"/>
  </si>
  <si>
    <t>MCU ADC convection Spec</t>
    <phoneticPr fontId="1" type="noConversion"/>
  </si>
  <si>
    <t>R1 =</t>
    <phoneticPr fontId="1" type="noConversion"/>
  </si>
  <si>
    <t>R2 (to Gnd) =</t>
    <phoneticPr fontId="1" type="noConversion"/>
  </si>
  <si>
    <t>K-ohm</t>
    <phoneticPr fontId="1" type="noConversion"/>
  </si>
  <si>
    <t>R1</t>
    <phoneticPr fontId="1" type="noConversion"/>
  </si>
  <si>
    <t>R2</t>
    <phoneticPr fontId="1" type="noConversion"/>
  </si>
  <si>
    <t>R1 Max. =</t>
    <phoneticPr fontId="1" type="noConversion"/>
  </si>
  <si>
    <t>R1 Min. =</t>
    <phoneticPr fontId="1" type="noConversion"/>
  </si>
  <si>
    <t>R2 Max. =</t>
    <phoneticPr fontId="1" type="noConversion"/>
  </si>
  <si>
    <t>R2 Min. =</t>
    <phoneticPr fontId="1" type="noConversion"/>
  </si>
  <si>
    <t>V-divider Factor</t>
    <phoneticPr fontId="1" type="noConversion"/>
  </si>
  <si>
    <t>tolerence</t>
    <phoneticPr fontId="1" type="noConversion"/>
  </si>
  <si>
    <t>MCU ADC=</t>
    <phoneticPr fontId="1" type="noConversion"/>
  </si>
  <si>
    <t>bit</t>
    <phoneticPr fontId="1" type="noConversion"/>
  </si>
  <si>
    <t>=</t>
    <phoneticPr fontId="1" type="noConversion"/>
  </si>
  <si>
    <t>step</t>
    <phoneticPr fontId="1" type="noConversion"/>
  </si>
  <si>
    <t>==&gt;</t>
    <phoneticPr fontId="1" type="noConversion"/>
  </si>
  <si>
    <t>Ref=</t>
    <phoneticPr fontId="1" type="noConversion"/>
  </si>
  <si>
    <t>V</t>
    <phoneticPr fontId="1" type="noConversion"/>
  </si>
  <si>
    <t>%</t>
    <phoneticPr fontId="1" type="noConversion"/>
  </si>
  <si>
    <t>Max Ref=</t>
    <phoneticPr fontId="1" type="noConversion"/>
  </si>
  <si>
    <t>Min Ref=</t>
    <phoneticPr fontId="1" type="noConversion"/>
  </si>
  <si>
    <t>1 step (typ.)=</t>
    <phoneticPr fontId="1" type="noConversion"/>
  </si>
  <si>
    <t>mV</t>
    <phoneticPr fontId="1" type="noConversion"/>
  </si>
  <si>
    <t>(Max.)=</t>
    <phoneticPr fontId="1" type="noConversion"/>
  </si>
  <si>
    <t>(Min.)=</t>
    <phoneticPr fontId="1" type="noConversion"/>
  </si>
  <si>
    <t>OP Vos=</t>
    <phoneticPr fontId="1" type="noConversion"/>
  </si>
  <si>
    <t>Kohm</t>
    <phoneticPr fontId="1" type="noConversion"/>
  </si>
  <si>
    <t>Max=</t>
    <phoneticPr fontId="1" type="noConversion"/>
  </si>
  <si>
    <t>Min=</t>
    <phoneticPr fontId="1" type="noConversion"/>
  </si>
  <si>
    <t>Typ.=</t>
    <phoneticPr fontId="1" type="noConversion"/>
  </si>
  <si>
    <t>Max.=</t>
    <phoneticPr fontId="1" type="noConversion"/>
  </si>
  <si>
    <t>+</t>
    <phoneticPr fontId="1" type="noConversion"/>
  </si>
  <si>
    <t>MCU offset error 2bits</t>
    <phoneticPr fontId="1" type="noConversion"/>
  </si>
  <si>
    <t>Min.=</t>
    <phoneticPr fontId="1" type="noConversion"/>
  </si>
  <si>
    <t>-</t>
    <phoneticPr fontId="1" type="noConversion"/>
  </si>
  <si>
    <t>step=</t>
    <phoneticPr fontId="1" type="noConversion"/>
  </si>
  <si>
    <r>
      <rPr>
        <sz val="12"/>
        <color theme="1"/>
        <rFont val="新細明體"/>
        <family val="2"/>
        <charset val="136"/>
      </rPr>
      <t>誤差</t>
    </r>
    <r>
      <rPr>
        <sz val="12"/>
        <color theme="1"/>
        <rFont val="Arial"/>
        <family val="2"/>
      </rPr>
      <t xml:space="preserve"> =</t>
    </r>
    <phoneticPr fontId="1" type="noConversion"/>
  </si>
  <si>
    <r>
      <t>Ref Vol</t>
    </r>
    <r>
      <rPr>
        <sz val="12"/>
        <color theme="1"/>
        <rFont val="新細明體"/>
        <family val="2"/>
        <charset val="136"/>
      </rPr>
      <t>誤差</t>
    </r>
    <r>
      <rPr>
        <sz val="12"/>
        <color theme="1"/>
        <rFont val="Arial"/>
        <family val="2"/>
      </rPr>
      <t xml:space="preserve"> =</t>
    </r>
    <phoneticPr fontId="1" type="noConversion"/>
  </si>
  <si>
    <r>
      <t xml:space="preserve">Pack Voltage </t>
    </r>
    <r>
      <rPr>
        <b/>
        <sz val="12"/>
        <color theme="1"/>
        <rFont val="新細明體"/>
        <family val="1"/>
        <charset val="136"/>
      </rPr>
      <t>分壓</t>
    </r>
    <r>
      <rPr>
        <b/>
        <sz val="12"/>
        <color theme="1"/>
        <rFont val="Arial"/>
        <family val="2"/>
      </rPr>
      <t xml:space="preserve"> tolerence</t>
    </r>
    <phoneticPr fontId="1" type="noConversion"/>
  </si>
  <si>
    <r>
      <t xml:space="preserve">Resistor </t>
    </r>
    <r>
      <rPr>
        <sz val="12"/>
        <color theme="1"/>
        <rFont val="新細明體"/>
        <family val="2"/>
        <charset val="136"/>
      </rPr>
      <t>誤差</t>
    </r>
    <r>
      <rPr>
        <sz val="12"/>
        <color theme="1"/>
        <rFont val="Arial"/>
        <family val="2"/>
      </rPr>
      <t xml:space="preserve"> =</t>
    </r>
    <phoneticPr fontId="1" type="noConversion"/>
  </si>
  <si>
    <r>
      <rPr>
        <sz val="12"/>
        <color theme="1"/>
        <rFont val="新細明體"/>
        <family val="2"/>
        <charset val="136"/>
      </rPr>
      <t>校正時</t>
    </r>
    <r>
      <rPr>
        <sz val="12"/>
        <color theme="1"/>
        <rFont val="Arial"/>
        <family val="2"/>
      </rPr>
      <t xml:space="preserve"> pack=</t>
    </r>
    <phoneticPr fontId="1" type="noConversion"/>
  </si>
  <si>
    <r>
      <rPr>
        <sz val="12"/>
        <color theme="1"/>
        <rFont val="新細明體"/>
        <family val="2"/>
        <charset val="136"/>
      </rPr>
      <t>儀器誤差</t>
    </r>
    <r>
      <rPr>
        <sz val="12"/>
        <color theme="1"/>
        <rFont val="Arial"/>
        <family val="2"/>
      </rPr>
      <t>=</t>
    </r>
    <phoneticPr fontId="1" type="noConversion"/>
  </si>
  <si>
    <r>
      <t xml:space="preserve">OP </t>
    </r>
    <r>
      <rPr>
        <sz val="12"/>
        <color theme="1"/>
        <rFont val="新細明體"/>
        <family val="2"/>
        <charset val="136"/>
      </rPr>
      <t>輸出</t>
    </r>
    <phoneticPr fontId="1" type="noConversion"/>
  </si>
  <si>
    <r>
      <t xml:space="preserve">OP </t>
    </r>
    <r>
      <rPr>
        <b/>
        <sz val="12"/>
        <color theme="1"/>
        <rFont val="新細明體"/>
        <family val="1"/>
        <charset val="136"/>
      </rPr>
      <t>輸出</t>
    </r>
    <r>
      <rPr>
        <b/>
        <sz val="12"/>
        <color theme="1"/>
        <rFont val="Arial"/>
        <family val="2"/>
      </rPr>
      <t xml:space="preserve"> (OP as Buffer)</t>
    </r>
    <phoneticPr fontId="1" type="noConversion"/>
  </si>
  <si>
    <r>
      <t>MCU</t>
    </r>
    <r>
      <rPr>
        <sz val="12"/>
        <color theme="1"/>
        <rFont val="新細明體"/>
        <family val="2"/>
        <charset val="136"/>
      </rPr>
      <t>誤差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上限</t>
    </r>
    <r>
      <rPr>
        <sz val="12"/>
        <color theme="1"/>
        <rFont val="Arial"/>
        <family val="2"/>
      </rPr>
      <t>=</t>
    </r>
    <phoneticPr fontId="1" type="noConversion"/>
  </si>
  <si>
    <r>
      <t>MCU</t>
    </r>
    <r>
      <rPr>
        <sz val="12"/>
        <color theme="1"/>
        <rFont val="新細明體"/>
        <family val="2"/>
        <charset val="136"/>
      </rPr>
      <t>誤差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細明體"/>
        <family val="2"/>
        <charset val="136"/>
      </rPr>
      <t>下限</t>
    </r>
    <r>
      <rPr>
        <sz val="12"/>
        <color theme="1"/>
        <rFont val="Arial"/>
        <family val="2"/>
      </rPr>
      <t>=</t>
    </r>
    <phoneticPr fontId="1" type="noConversion"/>
  </si>
  <si>
    <t>N/A</t>
    <phoneticPr fontId="1" type="noConversion"/>
  </si>
  <si>
    <t>Max. Tolerence(%)</t>
    <phoneticPr fontId="1" type="noConversion"/>
  </si>
  <si>
    <t>Max. V-divider Factor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</si>
  <si>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</si>
  <si>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</si>
  <si>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</si>
  <si>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</si>
  <si>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</si>
  <si>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</si>
  <si>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</si>
  <si>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Index</t>
    <phoneticPr fontId="1" type="noConversion"/>
  </si>
  <si>
    <t>B</t>
    <phoneticPr fontId="1" type="noConversion"/>
  </si>
  <si>
    <t xml:space="preserve">Input </t>
    <phoneticPr fontId="1" type="noConversion"/>
  </si>
  <si>
    <t>A =</t>
    <phoneticPr fontId="1" type="noConversion"/>
  </si>
  <si>
    <t>B =</t>
    <phoneticPr fontId="1" type="noConversion"/>
  </si>
  <si>
    <t>Max Val</t>
    <phoneticPr fontId="1" type="noConversion"/>
  </si>
  <si>
    <t>'=SUM(IF((銷售&lt;5)+(銷售&gt;15),銷售))</t>
  </si>
  <si>
    <t>IF 函數會找出小於 5 以及大於 15 的所有數值，然後將這些數值傳遞給 SUM 函數。</t>
  </si>
  <si>
    <t xml:space="preserve"> 重要事項   您不能直接在陣列公式中使用 AND 與 OR 函數，因為這些函數會傳回單一結果，不是 TRUE 就是 FALSE，而陣列函數需要結果陣列。您可以使用出現在先前公式中的邏輯，解決這項問題。換句話說，您在符合 OR 或 AND 條件的數值上，執行加法或乘法之類的數學運算。</t>
  </si>
  <si>
    <t>if =&gt; 回傳陣列==&gt;</t>
    <phoneticPr fontId="1" type="noConversion"/>
  </si>
  <si>
    <t>index</t>
    <phoneticPr fontId="1" type="noConversion"/>
  </si>
  <si>
    <t>Voltage Offset</t>
    <phoneticPr fontId="1" type="noConversion"/>
  </si>
  <si>
    <t>mV</t>
    <phoneticPr fontId="1" type="noConversion"/>
  </si>
  <si>
    <r>
      <rPr>
        <sz val="12"/>
        <color theme="1"/>
        <rFont val="新細明體"/>
        <family val="2"/>
        <charset val="136"/>
      </rPr>
      <t>量測誤差</t>
    </r>
    <r>
      <rPr>
        <sz val="12"/>
        <color theme="1"/>
        <rFont val="Arial"/>
        <family val="2"/>
      </rPr>
      <t>=</t>
    </r>
    <phoneticPr fontId="1" type="noConversion"/>
  </si>
  <si>
    <t>量測儀器 (量測Battery Pack)</t>
    <phoneticPr fontId="1" type="noConversion"/>
  </si>
  <si>
    <t>Min. Tolerence(%)</t>
    <phoneticPr fontId="1" type="noConversion"/>
  </si>
  <si>
    <t>Min. V-divider Factor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</si>
</sst>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00000000_ "/>
    <numFmt numFmtId="177" formatCode="0.00_ "/>
    <numFmt numFmtId="178" formatCode="0.000_ "/>
    <numFmt numFmtId="179" formatCode="0_ 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</font>
    <font>
      <sz val="11"/>
      <color rgb="FF000000"/>
      <name val="Consolas"/>
      <family val="3"/>
    </font>
    <font>
      <b/>
      <sz val="12"/>
      <color theme="1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7" borderId="0" xfId="0" applyFont="1" applyFill="1" applyAlignment="1">
      <alignment horizontal="left" vertical="center"/>
    </xf>
    <xf numFmtId="0" fontId="4" fillId="7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4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0" borderId="0" xfId="0" quotePrefix="1" applyFont="1">
      <alignment vertical="center"/>
    </xf>
    <xf numFmtId="178" fontId="4" fillId="3" borderId="0" xfId="0" applyNumberFormat="1" applyFont="1" applyFill="1">
      <alignment vertical="center"/>
    </xf>
    <xf numFmtId="0" fontId="4" fillId="6" borderId="0" xfId="0" applyFont="1" applyFill="1" applyAlignment="1">
      <alignment horizontal="right" vertical="center"/>
    </xf>
    <xf numFmtId="177" fontId="4" fillId="3" borderId="0" xfId="0" applyNumberFormat="1" applyFont="1" applyFill="1">
      <alignment vertical="center"/>
    </xf>
    <xf numFmtId="179" fontId="4" fillId="0" borderId="0" xfId="0" applyNumberFormat="1" applyFont="1" applyFill="1">
      <alignment vertical="center"/>
    </xf>
    <xf numFmtId="179" fontId="4" fillId="3" borderId="0" xfId="0" applyNumberFormat="1" applyFont="1" applyFill="1">
      <alignment vertical="center"/>
    </xf>
    <xf numFmtId="179" fontId="4" fillId="6" borderId="0" xfId="0" applyNumberFormat="1" applyFont="1" applyFill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12" borderId="0" xfId="0" applyFill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11" borderId="15" xfId="0" applyFont="1" applyFill="1" applyBorder="1">
      <alignment vertical="center"/>
    </xf>
    <xf numFmtId="0" fontId="4" fillId="0" borderId="16" xfId="0" applyFont="1" applyBorder="1">
      <alignment vertical="center"/>
    </xf>
    <xf numFmtId="0" fontId="4" fillId="11" borderId="17" xfId="0" applyFont="1" applyFill="1" applyBorder="1">
      <alignment vertical="center"/>
    </xf>
    <xf numFmtId="0" fontId="3" fillId="0" borderId="1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11" borderId="20" xfId="0" applyFont="1" applyFill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5" fillId="0" borderId="31" xfId="0" applyFont="1" applyBorder="1">
      <alignment vertical="center"/>
    </xf>
    <xf numFmtId="0" fontId="4" fillId="0" borderId="34" xfId="0" applyFont="1" applyBorder="1">
      <alignment vertical="center"/>
    </xf>
    <xf numFmtId="0" fontId="9" fillId="7" borderId="0" xfId="0" applyFont="1" applyFill="1" applyAlignment="1">
      <alignment horizontal="left" vertical="center"/>
    </xf>
    <xf numFmtId="0" fontId="4" fillId="9" borderId="0" xfId="0" applyFont="1" applyFill="1">
      <alignment vertical="center"/>
    </xf>
    <xf numFmtId="0" fontId="4" fillId="9" borderId="25" xfId="0" applyFont="1" applyFill="1" applyBorder="1">
      <alignment vertical="center"/>
    </xf>
    <xf numFmtId="0" fontId="4" fillId="9" borderId="0" xfId="0" applyFont="1" applyFill="1" applyBorder="1">
      <alignment vertical="center"/>
    </xf>
    <xf numFmtId="0" fontId="4" fillId="9" borderId="26" xfId="0" applyFont="1" applyFill="1" applyBorder="1">
      <alignment vertical="center"/>
    </xf>
    <xf numFmtId="0" fontId="4" fillId="9" borderId="36" xfId="0" applyFont="1" applyFill="1" applyBorder="1">
      <alignment vertical="center"/>
    </xf>
    <xf numFmtId="0" fontId="5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5" fillId="0" borderId="33" xfId="0" applyFont="1" applyBorder="1">
      <alignment vertical="center"/>
    </xf>
    <xf numFmtId="0" fontId="5" fillId="10" borderId="30" xfId="0" applyFont="1" applyFill="1" applyBorder="1">
      <alignment vertical="center"/>
    </xf>
    <xf numFmtId="0" fontId="5" fillId="10" borderId="32" xfId="0" applyFont="1" applyFill="1" applyBorder="1">
      <alignment vertical="center"/>
    </xf>
    <xf numFmtId="0" fontId="5" fillId="10" borderId="39" xfId="0" applyFont="1" applyFill="1" applyBorder="1">
      <alignment vertical="center"/>
    </xf>
    <xf numFmtId="0" fontId="5" fillId="10" borderId="3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66FF66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"/>
  <sheetViews>
    <sheetView workbookViewId="0">
      <selection activeCell="D11" sqref="D11"/>
    </sheetView>
  </sheetViews>
  <sheetFormatPr defaultRowHeight="16.5"/>
  <cols>
    <col min="2" max="10" width="13.875" bestFit="1" customWidth="1"/>
  </cols>
  <sheetData>
    <row r="2" spans="1:10">
      <c r="C2" s="1">
        <v>0.01</v>
      </c>
    </row>
    <row r="3" spans="1:10">
      <c r="A3">
        <v>40</v>
      </c>
      <c r="B3">
        <v>1000</v>
      </c>
      <c r="C3">
        <v>1000</v>
      </c>
      <c r="D3">
        <v>1000</v>
      </c>
      <c r="E3">
        <f>B3*(1+C2)</f>
        <v>1010</v>
      </c>
      <c r="F3">
        <f>B3*(1-C2)</f>
        <v>990</v>
      </c>
      <c r="G3">
        <f>B3*(1+C2)</f>
        <v>1010</v>
      </c>
      <c r="H3">
        <f>B3*(1+C2)</f>
        <v>1010</v>
      </c>
      <c r="I3">
        <f>B3*(1-C2)</f>
        <v>990</v>
      </c>
      <c r="J3">
        <f>B3*(1-C2)</f>
        <v>990</v>
      </c>
    </row>
    <row r="4" spans="1:10">
      <c r="B4">
        <v>56</v>
      </c>
      <c r="C4">
        <f>B4*(1+C2)</f>
        <v>56.56</v>
      </c>
      <c r="D4">
        <f>B4*(1-C2)</f>
        <v>55.44</v>
      </c>
      <c r="E4">
        <v>56</v>
      </c>
      <c r="F4">
        <v>56</v>
      </c>
      <c r="G4">
        <f>B4*(1+C2)</f>
        <v>56.56</v>
      </c>
      <c r="H4">
        <f>B4*(1-C2)</f>
        <v>55.44</v>
      </c>
      <c r="I4">
        <f>B4*(1+C2)</f>
        <v>56.56</v>
      </c>
      <c r="J4">
        <f>B4*(1-C2)</f>
        <v>55.44</v>
      </c>
    </row>
    <row r="5" spans="1:10">
      <c r="B5" s="3">
        <f>B4/(B4+B3)*100</f>
        <v>5.3030303030303028</v>
      </c>
      <c r="C5" s="2">
        <f t="shared" ref="C5:J5" si="0">C4/(C4+C3)*100</f>
        <v>5.3532217763307344</v>
      </c>
      <c r="D5" s="2">
        <f t="shared" si="0"/>
        <v>5.2527855681042972</v>
      </c>
      <c r="E5" s="2">
        <f t="shared" si="0"/>
        <v>5.2532833020637906</v>
      </c>
      <c r="F5" s="2">
        <f t="shared" si="0"/>
        <v>5.353728489483748</v>
      </c>
      <c r="G5" s="3">
        <f t="shared" si="0"/>
        <v>5.3030303030303028</v>
      </c>
      <c r="H5" s="2">
        <f t="shared" si="0"/>
        <v>5.2034840066075985</v>
      </c>
      <c r="I5" s="4">
        <f t="shared" si="0"/>
        <v>5.4043724201192482</v>
      </c>
      <c r="J5" s="3">
        <f t="shared" si="0"/>
        <v>5.3030303030303028</v>
      </c>
    </row>
    <row r="6" spans="1:10">
      <c r="B6">
        <f>$A$3*B5/100</f>
        <v>2.1212121212121211</v>
      </c>
      <c r="C6">
        <f>$A$3*C5/100</f>
        <v>2.1412887105322937</v>
      </c>
      <c r="D6">
        <f t="shared" ref="D6:J6" si="1">$A$3*D5/100</f>
        <v>2.1011142272417187</v>
      </c>
      <c r="E6">
        <f t="shared" si="1"/>
        <v>2.1013133208255166</v>
      </c>
      <c r="F6">
        <f t="shared" si="1"/>
        <v>2.1414913957934996</v>
      </c>
      <c r="G6">
        <f t="shared" si="1"/>
        <v>2.1212121212121211</v>
      </c>
      <c r="H6">
        <f t="shared" si="1"/>
        <v>2.0813936026430393</v>
      </c>
      <c r="I6" s="5">
        <f t="shared" si="1"/>
        <v>2.1617489680476991</v>
      </c>
      <c r="J6">
        <f t="shared" si="1"/>
        <v>2.1212121212121211</v>
      </c>
    </row>
    <row r="7" spans="1:10">
      <c r="C7">
        <f>ABS((C6-$B$6)/$B$6)*100</f>
        <v>0.94646778223671046</v>
      </c>
      <c r="D7">
        <f t="shared" ref="D7:J7" si="2">ABS((D6-$B$6)/$B$6)*100</f>
        <v>0.94747214431897042</v>
      </c>
      <c r="E7">
        <f t="shared" si="2"/>
        <v>0.93808630393992753</v>
      </c>
      <c r="F7">
        <f t="shared" si="2"/>
        <v>0.95602294455069892</v>
      </c>
      <c r="G7">
        <f t="shared" si="2"/>
        <v>0</v>
      </c>
      <c r="H7">
        <f t="shared" si="2"/>
        <v>1.8771587325424282</v>
      </c>
      <c r="I7">
        <f t="shared" si="2"/>
        <v>1.9110227793915351</v>
      </c>
      <c r="J7">
        <f t="shared" si="2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X27"/>
  <sheetViews>
    <sheetView tabSelected="1" topLeftCell="A7" workbookViewId="0">
      <selection activeCell="O23" sqref="O23"/>
    </sheetView>
  </sheetViews>
  <sheetFormatPr defaultRowHeight="15"/>
  <cols>
    <col min="1" max="1" width="9" style="8"/>
    <col min="2" max="2" width="11.875" style="8" bestFit="1" customWidth="1"/>
    <col min="3" max="3" width="9.5" style="8" bestFit="1" customWidth="1"/>
    <col min="4" max="4" width="6.375" style="8" bestFit="1" customWidth="1"/>
    <col min="5" max="5" width="2.5" style="8" bestFit="1" customWidth="1"/>
    <col min="6" max="6" width="6" style="8" bestFit="1" customWidth="1"/>
    <col min="7" max="7" width="6.5" style="8" bestFit="1" customWidth="1"/>
    <col min="8" max="8" width="3.125" style="8" bestFit="1" customWidth="1"/>
    <col min="9" max="9" width="19" style="8" customWidth="1"/>
    <col min="10" max="10" width="13.625" style="8" customWidth="1"/>
    <col min="11" max="11" width="7.625" style="8" customWidth="1"/>
    <col min="12" max="12" width="6.75" style="8" customWidth="1"/>
    <col min="13" max="13" width="4.5" style="8" customWidth="1"/>
    <col min="14" max="14" width="9.75" style="8" bestFit="1" customWidth="1"/>
    <col min="15" max="15" width="8.625" style="8" customWidth="1"/>
    <col min="16" max="18" width="9" style="8"/>
    <col min="19" max="19" width="12.625" style="8" customWidth="1"/>
    <col min="20" max="20" width="9" style="8"/>
    <col min="21" max="21" width="10.25" style="8" customWidth="1"/>
    <col min="22" max="22" width="9.75" style="8" customWidth="1"/>
    <col min="23" max="16384" width="9" style="8"/>
  </cols>
  <sheetData>
    <row r="1" spans="2:24" ht="15.75">
      <c r="J1" s="9" t="s">
        <v>8</v>
      </c>
      <c r="K1" s="10"/>
      <c r="L1" s="10"/>
      <c r="M1" s="10"/>
    </row>
    <row r="2" spans="2:24">
      <c r="B2" s="11" t="s">
        <v>20</v>
      </c>
      <c r="C2" s="12">
        <v>12</v>
      </c>
      <c r="D2" s="8" t="s">
        <v>21</v>
      </c>
      <c r="E2" s="8" t="s">
        <v>22</v>
      </c>
      <c r="F2" s="13">
        <f>2^C2</f>
        <v>4096</v>
      </c>
      <c r="G2" s="8" t="s">
        <v>23</v>
      </c>
      <c r="J2" s="11" t="s">
        <v>1</v>
      </c>
      <c r="K2" s="14">
        <v>12</v>
      </c>
      <c r="L2" s="8" t="s">
        <v>2</v>
      </c>
      <c r="M2" s="15" t="s">
        <v>24</v>
      </c>
      <c r="N2" s="71">
        <f>2^K2</f>
        <v>4096</v>
      </c>
      <c r="O2" s="8" t="s">
        <v>3</v>
      </c>
    </row>
    <row r="3" spans="2:24" ht="15.75">
      <c r="B3" s="11"/>
      <c r="J3" s="9" t="s">
        <v>7</v>
      </c>
      <c r="K3" s="10"/>
      <c r="L3" s="10"/>
      <c r="M3" s="10"/>
    </row>
    <row r="4" spans="2:24" ht="16.5">
      <c r="B4" s="11" t="s">
        <v>25</v>
      </c>
      <c r="C4" s="12">
        <v>3.3</v>
      </c>
      <c r="D4" s="8" t="s">
        <v>26</v>
      </c>
      <c r="F4" s="8" t="s">
        <v>45</v>
      </c>
      <c r="G4" s="12">
        <v>2</v>
      </c>
      <c r="H4" s="8" t="s">
        <v>27</v>
      </c>
      <c r="J4" s="11" t="s">
        <v>4</v>
      </c>
      <c r="K4" s="14">
        <v>3.3</v>
      </c>
      <c r="L4" s="8" t="s">
        <v>5</v>
      </c>
      <c r="M4" s="15" t="s">
        <v>24</v>
      </c>
      <c r="N4" s="11" t="s">
        <v>28</v>
      </c>
      <c r="O4" s="71">
        <f>K4*(1+K5/100)</f>
        <v>3.3659999999999997</v>
      </c>
      <c r="P4" s="8" t="s">
        <v>5</v>
      </c>
    </row>
    <row r="5" spans="2:24" ht="16.5">
      <c r="B5" s="11" t="s">
        <v>28</v>
      </c>
      <c r="C5" s="16">
        <f>$C$4*(1+$G$4/100)</f>
        <v>3.3659999999999997</v>
      </c>
      <c r="D5" s="8" t="s">
        <v>26</v>
      </c>
      <c r="J5" s="11" t="s">
        <v>46</v>
      </c>
      <c r="K5" s="14">
        <v>2</v>
      </c>
      <c r="L5" s="8" t="s">
        <v>6</v>
      </c>
      <c r="N5" s="11" t="s">
        <v>29</v>
      </c>
      <c r="O5" s="71">
        <f>K4*(1-K5/100)</f>
        <v>3.234</v>
      </c>
      <c r="P5" s="8" t="s">
        <v>5</v>
      </c>
    </row>
    <row r="6" spans="2:24">
      <c r="B6" s="11" t="s">
        <v>29</v>
      </c>
      <c r="C6" s="16">
        <f>$C$4*(1-$G$4/100)</f>
        <v>3.234</v>
      </c>
      <c r="D6" s="8" t="s">
        <v>26</v>
      </c>
      <c r="J6" s="11"/>
    </row>
    <row r="7" spans="2:24" ht="16.5">
      <c r="B7" s="11"/>
      <c r="J7" s="9" t="s">
        <v>47</v>
      </c>
      <c r="K7" s="10"/>
      <c r="L7" s="10"/>
      <c r="M7" s="10"/>
    </row>
    <row r="8" spans="2:24">
      <c r="B8" s="11" t="s">
        <v>30</v>
      </c>
      <c r="C8" s="13">
        <f>C4/$F$2*1000</f>
        <v>0.8056640625</v>
      </c>
      <c r="D8" s="8" t="s">
        <v>31</v>
      </c>
      <c r="J8" s="11" t="s">
        <v>9</v>
      </c>
      <c r="K8" s="14">
        <v>100</v>
      </c>
      <c r="L8" s="8" t="s">
        <v>11</v>
      </c>
      <c r="M8" s="15" t="s">
        <v>24</v>
      </c>
      <c r="N8" s="63" t="s">
        <v>14</v>
      </c>
      <c r="O8" s="72">
        <f>$K$8*(1+$K$10/100)</f>
        <v>101</v>
      </c>
      <c r="P8" s="64" t="s">
        <v>15</v>
      </c>
      <c r="Q8" s="74">
        <f>$K$8*(1-$K$10/100)</f>
        <v>99</v>
      </c>
      <c r="S8" s="54" t="s">
        <v>12</v>
      </c>
      <c r="T8" s="55">
        <f>$K$8*(1+$K$10/100)</f>
        <v>101</v>
      </c>
      <c r="U8" s="55">
        <f>$K$8*(1+$K$10/100)</f>
        <v>101</v>
      </c>
      <c r="V8" s="55">
        <f>$K$8*(1-$K$10/100)</f>
        <v>99</v>
      </c>
      <c r="W8" s="55">
        <f>$K$8*(1-$K$10/100)</f>
        <v>99</v>
      </c>
      <c r="X8" s="56">
        <f>K8</f>
        <v>100</v>
      </c>
    </row>
    <row r="9" spans="2:24" ht="15.75" thickBot="1">
      <c r="B9" s="11" t="s">
        <v>32</v>
      </c>
      <c r="C9" s="13">
        <f t="shared" ref="C9:C10" si="0">C5/$F$2*1000</f>
        <v>0.82177734374999989</v>
      </c>
      <c r="D9" s="8" t="s">
        <v>31</v>
      </c>
      <c r="J9" s="11" t="s">
        <v>10</v>
      </c>
      <c r="K9" s="14">
        <v>56</v>
      </c>
      <c r="L9" s="8" t="s">
        <v>11</v>
      </c>
      <c r="N9" s="65" t="s">
        <v>16</v>
      </c>
      <c r="O9" s="73">
        <f>$K$9*(1+$K$10/100)</f>
        <v>56.56</v>
      </c>
      <c r="P9" s="22" t="s">
        <v>17</v>
      </c>
      <c r="Q9" s="75">
        <f>$K$9*(1-$K$10/100)</f>
        <v>55.44</v>
      </c>
      <c r="S9" s="57" t="s">
        <v>13</v>
      </c>
      <c r="T9" s="22">
        <f>$K$9*(1+$K$10/100)</f>
        <v>56.56</v>
      </c>
      <c r="U9" s="22">
        <f>$K$9*(1-$K$10/100)</f>
        <v>55.44</v>
      </c>
      <c r="V9" s="22">
        <f>$K$9*(1+$K$10/100)</f>
        <v>56.56</v>
      </c>
      <c r="W9" s="22">
        <f>$K$9*(1-$K$10/100)</f>
        <v>55.44</v>
      </c>
      <c r="X9" s="58">
        <f>K9</f>
        <v>56</v>
      </c>
    </row>
    <row r="10" spans="2:24" ht="16.5">
      <c r="B10" s="11" t="s">
        <v>33</v>
      </c>
      <c r="C10" s="13">
        <f t="shared" si="0"/>
        <v>0.78955078125</v>
      </c>
      <c r="D10" s="8" t="s">
        <v>31</v>
      </c>
      <c r="J10" s="11" t="s">
        <v>48</v>
      </c>
      <c r="K10" s="14">
        <v>1</v>
      </c>
      <c r="L10" s="8" t="s">
        <v>6</v>
      </c>
      <c r="N10" s="66" t="s">
        <v>56</v>
      </c>
      <c r="O10" s="67"/>
      <c r="P10" s="67"/>
      <c r="Q10" s="79">
        <f>MAX(T11:W11)</f>
        <v>1.2856775520699451E-2</v>
      </c>
      <c r="R10" s="22"/>
      <c r="S10" s="59" t="s">
        <v>18</v>
      </c>
      <c r="T10" s="22">
        <f>T9/(T8+T9)</f>
        <v>0.35897435897435898</v>
      </c>
      <c r="U10" s="22">
        <f t="shared" ref="U10:X10" si="1">U9/(U8+U9)</f>
        <v>0.35438506775760675</v>
      </c>
      <c r="V10" s="22">
        <f t="shared" si="1"/>
        <v>0.36358961172537929</v>
      </c>
      <c r="W10" s="22">
        <f t="shared" si="1"/>
        <v>0.35897435897435898</v>
      </c>
      <c r="X10" s="58">
        <f t="shared" si="1"/>
        <v>0.35897435897435898</v>
      </c>
    </row>
    <row r="11" spans="2:24" ht="16.5" thickBot="1">
      <c r="B11" s="11"/>
      <c r="N11" s="68" t="s">
        <v>57</v>
      </c>
      <c r="O11" s="22"/>
      <c r="P11" s="22"/>
      <c r="Q11" s="80">
        <f t="array" ref="Q11">INDEX(IF(T11:W11=Q10,T10:W10),MATCH(Q10,T11:W11))</f>
        <v>0.36358961172537929</v>
      </c>
      <c r="R11" s="22"/>
      <c r="S11" s="60" t="s">
        <v>19</v>
      </c>
      <c r="T11" s="61">
        <f>(T10-$X$10)/$X$10</f>
        <v>0</v>
      </c>
      <c r="U11" s="61">
        <f t="shared" ref="U11:W11" si="2">(U10-$X$10)/$X$10</f>
        <v>-1.2784454103809764E-2</v>
      </c>
      <c r="V11" s="61">
        <f t="shared" si="2"/>
        <v>1.2856775520699451E-2</v>
      </c>
      <c r="W11" s="61">
        <f t="shared" si="2"/>
        <v>0</v>
      </c>
      <c r="X11" s="62" t="s">
        <v>55</v>
      </c>
    </row>
    <row r="12" spans="2:24" ht="17.25" thickTop="1">
      <c r="B12" s="11" t="s">
        <v>49</v>
      </c>
      <c r="C12" s="12">
        <v>40</v>
      </c>
      <c r="D12" s="8" t="s">
        <v>26</v>
      </c>
      <c r="N12" s="76" t="s">
        <v>80</v>
      </c>
      <c r="O12" s="77"/>
      <c r="P12" s="77"/>
      <c r="Q12" s="81">
        <f>MIN(T11:W11)</f>
        <v>-1.2784454103809764E-2</v>
      </c>
      <c r="R12" s="22"/>
    </row>
    <row r="13" spans="2:24" ht="17.25" thickBot="1">
      <c r="B13" s="11" t="s">
        <v>50</v>
      </c>
      <c r="C13" s="12">
        <v>3</v>
      </c>
      <c r="D13" s="8" t="s">
        <v>31</v>
      </c>
      <c r="N13" s="78" t="s">
        <v>81</v>
      </c>
      <c r="O13" s="69"/>
      <c r="P13" s="69"/>
      <c r="Q13" s="82">
        <f>INDEX(T10:W10,MATCH(Q12,T11:W11))</f>
        <v>0.35438506775760675</v>
      </c>
      <c r="R13" s="22"/>
    </row>
    <row r="14" spans="2:24">
      <c r="B14" s="11" t="s">
        <v>34</v>
      </c>
      <c r="C14" s="12">
        <v>3</v>
      </c>
      <c r="D14" s="8" t="s">
        <v>31</v>
      </c>
      <c r="F14" s="8" t="s">
        <v>0</v>
      </c>
    </row>
    <row r="15" spans="2:24" ht="16.5">
      <c r="J15" s="9" t="s">
        <v>52</v>
      </c>
      <c r="K15" s="10"/>
      <c r="L15" s="10"/>
      <c r="M15" s="10"/>
    </row>
    <row r="16" spans="2:24" ht="16.5">
      <c r="B16" s="17" t="s">
        <v>51</v>
      </c>
      <c r="J16" s="8" t="s">
        <v>76</v>
      </c>
      <c r="K16" s="14">
        <v>3</v>
      </c>
      <c r="L16" s="8" t="s">
        <v>77</v>
      </c>
    </row>
    <row r="17" spans="2:13" ht="16.5">
      <c r="C17" s="12">
        <v>1000</v>
      </c>
      <c r="D17" s="8" t="s">
        <v>35</v>
      </c>
      <c r="G17" s="12">
        <v>56</v>
      </c>
      <c r="H17" s="8" t="s">
        <v>35</v>
      </c>
      <c r="J17" s="70" t="s">
        <v>79</v>
      </c>
      <c r="K17" s="10"/>
      <c r="L17" s="10"/>
      <c r="M17" s="10"/>
    </row>
    <row r="18" spans="2:13" ht="16.5">
      <c r="B18" s="11" t="s">
        <v>36</v>
      </c>
      <c r="C18" s="18">
        <f>$C$17*(1+$K$21/100)</f>
        <v>1010</v>
      </c>
      <c r="D18" s="8" t="s">
        <v>35</v>
      </c>
      <c r="F18" s="11" t="s">
        <v>36</v>
      </c>
      <c r="G18" s="18">
        <f>$G$17*(1+$K$21/100)</f>
        <v>56.56</v>
      </c>
      <c r="H18" s="8" t="s">
        <v>35</v>
      </c>
      <c r="J18" s="11" t="s">
        <v>78</v>
      </c>
      <c r="K18" s="14">
        <v>3</v>
      </c>
      <c r="L18" s="8" t="s">
        <v>31</v>
      </c>
    </row>
    <row r="19" spans="2:13">
      <c r="B19" s="11" t="s">
        <v>37</v>
      </c>
      <c r="C19" s="18">
        <f>$C$17*(1-$K$21/100)</f>
        <v>990</v>
      </c>
      <c r="D19" s="8" t="s">
        <v>35</v>
      </c>
      <c r="F19" s="11" t="s">
        <v>37</v>
      </c>
      <c r="G19" s="18">
        <f>$G$17*(1-$K$21/100)</f>
        <v>55.44</v>
      </c>
      <c r="H19" s="8" t="s">
        <v>35</v>
      </c>
    </row>
    <row r="20" spans="2:13">
      <c r="B20" s="11"/>
      <c r="C20" s="19"/>
    </row>
    <row r="21" spans="2:13" ht="16.5">
      <c r="B21" s="11" t="s">
        <v>38</v>
      </c>
      <c r="C21" s="13">
        <f>$C$12*$G$17/($G$17+$C$17)</f>
        <v>2.1212121212121211</v>
      </c>
      <c r="D21" s="8" t="s">
        <v>26</v>
      </c>
      <c r="E21" s="8" t="s">
        <v>22</v>
      </c>
      <c r="F21" s="20">
        <f>$C$21/($C$8/1000)</f>
        <v>2632.8741965105601</v>
      </c>
      <c r="G21" s="8" t="s">
        <v>23</v>
      </c>
      <c r="J21" s="8" t="s">
        <v>45</v>
      </c>
      <c r="K21" s="12">
        <v>1</v>
      </c>
      <c r="L21" s="8" t="s">
        <v>27</v>
      </c>
    </row>
    <row r="22" spans="2:13">
      <c r="B22" s="11" t="s">
        <v>39</v>
      </c>
      <c r="C22" s="13">
        <f>($C$12+$C$13/1000)*$G$18/($G$18+$C$19)+$C$14/1000</f>
        <v>2.1649110992203031</v>
      </c>
      <c r="D22" s="8" t="s">
        <v>26</v>
      </c>
      <c r="E22" s="8" t="s">
        <v>22</v>
      </c>
      <c r="F22" s="20">
        <f>$C$22/($C$10/1000)</f>
        <v>2741.9529568356097</v>
      </c>
      <c r="G22" s="8" t="s">
        <v>23</v>
      </c>
      <c r="H22" s="8" t="s">
        <v>40</v>
      </c>
      <c r="I22" s="8" t="s">
        <v>41</v>
      </c>
    </row>
    <row r="23" spans="2:13">
      <c r="B23" s="11" t="s">
        <v>42</v>
      </c>
      <c r="C23" s="13">
        <f>($C$12-$C$13/1000)*$G$19/($G$19+$C$18)-$C$14/1000</f>
        <v>2.0782374981228413</v>
      </c>
      <c r="D23" s="8" t="s">
        <v>26</v>
      </c>
      <c r="E23" s="8" t="s">
        <v>22</v>
      </c>
      <c r="F23" s="20">
        <f>$C$23/($C$9/1000)</f>
        <v>2528.9544837525723</v>
      </c>
      <c r="G23" s="8" t="s">
        <v>23</v>
      </c>
      <c r="H23" s="15" t="s">
        <v>43</v>
      </c>
      <c r="I23" s="8" t="s">
        <v>41</v>
      </c>
    </row>
    <row r="25" spans="2:13" ht="16.5">
      <c r="B25" s="11" t="s">
        <v>53</v>
      </c>
      <c r="C25" s="21">
        <f>L26-F21</f>
        <v>113.07876032504964</v>
      </c>
      <c r="D25" s="8" t="s">
        <v>23</v>
      </c>
    </row>
    <row r="26" spans="2:13" ht="16.5">
      <c r="B26" s="11" t="s">
        <v>54</v>
      </c>
      <c r="C26" s="21">
        <f>F21-L27</f>
        <v>107.91971275798778</v>
      </c>
      <c r="D26" s="8" t="s">
        <v>23</v>
      </c>
      <c r="J26" s="12">
        <v>4</v>
      </c>
      <c r="K26" s="8" t="s">
        <v>44</v>
      </c>
      <c r="L26" s="20">
        <f>F22+J26</f>
        <v>2745.9529568356097</v>
      </c>
      <c r="M26" s="8" t="s">
        <v>23</v>
      </c>
    </row>
    <row r="27" spans="2:13">
      <c r="J27" s="12">
        <v>4</v>
      </c>
      <c r="K27" s="8" t="s">
        <v>44</v>
      </c>
      <c r="L27" s="20">
        <f>F23-J27</f>
        <v>2524.9544837525723</v>
      </c>
      <c r="M27" s="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N18"/>
  <sheetViews>
    <sheetView workbookViewId="0">
      <selection activeCell="N8" sqref="N8"/>
    </sheetView>
  </sheetViews>
  <sheetFormatPr defaultRowHeight="16.5"/>
  <cols>
    <col min="15" max="15" width="9.5" bestFit="1" customWidth="1"/>
  </cols>
  <sheetData>
    <row r="1" spans="3:14" ht="17.25" thickBot="1"/>
    <row r="2" spans="3:14" ht="18" thickTop="1" thickBot="1">
      <c r="C2" s="39" t="s">
        <v>65</v>
      </c>
      <c r="D2" s="40" t="s">
        <v>60</v>
      </c>
      <c r="E2" s="40" t="s">
        <v>66</v>
      </c>
      <c r="F2" s="37"/>
      <c r="G2" s="37"/>
      <c r="H2" s="37"/>
      <c r="I2" s="38"/>
    </row>
    <row r="3" spans="3:14" ht="17.25" thickTop="1">
      <c r="C3" s="35">
        <v>1</v>
      </c>
      <c r="D3" s="25" t="s">
        <v>58</v>
      </c>
      <c r="E3" s="25" t="s">
        <v>62</v>
      </c>
      <c r="F3" s="26">
        <v>25</v>
      </c>
      <c r="G3" s="26">
        <v>6</v>
      </c>
      <c r="H3" s="26">
        <v>23</v>
      </c>
      <c r="I3" s="36">
        <v>11</v>
      </c>
    </row>
    <row r="4" spans="3:14">
      <c r="C4" s="29">
        <v>2</v>
      </c>
      <c r="D4" s="27" t="s">
        <v>58</v>
      </c>
      <c r="E4" s="27" t="s">
        <v>63</v>
      </c>
      <c r="F4" s="28">
        <v>39</v>
      </c>
      <c r="G4" s="28">
        <v>15</v>
      </c>
      <c r="H4" s="28">
        <v>42</v>
      </c>
      <c r="I4" s="30">
        <v>19</v>
      </c>
    </row>
    <row r="5" spans="3:14">
      <c r="C5" s="29">
        <v>3</v>
      </c>
      <c r="D5" s="27" t="s">
        <v>59</v>
      </c>
      <c r="E5" s="27" t="s">
        <v>62</v>
      </c>
      <c r="F5" s="28">
        <v>28</v>
      </c>
      <c r="G5" s="28">
        <v>34</v>
      </c>
      <c r="H5" s="28">
        <v>51</v>
      </c>
      <c r="I5" s="30">
        <v>24</v>
      </c>
    </row>
    <row r="6" spans="3:14">
      <c r="C6" s="29">
        <v>4</v>
      </c>
      <c r="D6" s="27" t="s">
        <v>59</v>
      </c>
      <c r="E6" s="27" t="s">
        <v>63</v>
      </c>
      <c r="F6" s="28">
        <v>27</v>
      </c>
      <c r="G6" s="28">
        <v>19</v>
      </c>
      <c r="H6" s="28">
        <v>15</v>
      </c>
      <c r="I6" s="30">
        <v>35</v>
      </c>
    </row>
    <row r="7" spans="3:14">
      <c r="C7" s="29">
        <v>5</v>
      </c>
      <c r="D7" s="27" t="s">
        <v>59</v>
      </c>
      <c r="E7" s="27" t="s">
        <v>64</v>
      </c>
      <c r="F7" s="28">
        <v>38</v>
      </c>
      <c r="G7" s="28">
        <v>26</v>
      </c>
      <c r="H7" s="28">
        <v>12</v>
      </c>
      <c r="I7" s="30">
        <v>18</v>
      </c>
    </row>
    <row r="8" spans="3:14" ht="17.25" thickBot="1">
      <c r="C8" s="31">
        <v>6</v>
      </c>
      <c r="D8" s="32" t="s">
        <v>61</v>
      </c>
      <c r="E8" s="32" t="s">
        <v>62</v>
      </c>
      <c r="F8" s="33">
        <v>12</v>
      </c>
      <c r="G8" s="33">
        <v>19</v>
      </c>
      <c r="H8" s="33">
        <v>22</v>
      </c>
      <c r="I8" s="34">
        <v>15</v>
      </c>
      <c r="N8" t="s">
        <v>75</v>
      </c>
    </row>
    <row r="9" spans="3:14" ht="17.25" thickTop="1">
      <c r="C9" s="23"/>
      <c r="L9" s="7" t="s">
        <v>61</v>
      </c>
    </row>
    <row r="10" spans="3:14">
      <c r="C10" s="23"/>
      <c r="F10" s="6" t="s">
        <v>74</v>
      </c>
      <c r="G10" s="42" t="b">
        <f t="array" ref="G10:J15">IF((D3:D8=E12)*(E3:E8=E13),F3:I8)</f>
        <v>0</v>
      </c>
      <c r="H10" s="43" t="b">
        <v>0</v>
      </c>
      <c r="I10" s="43" t="b">
        <v>0</v>
      </c>
      <c r="J10" s="44" t="b">
        <v>0</v>
      </c>
      <c r="M10" s="51" t="b">
        <f t="array" ref="M10:M15">IF(D3:D8=L9,F3:F8)</f>
        <v>0</v>
      </c>
    </row>
    <row r="11" spans="3:14">
      <c r="G11" s="45" t="b">
        <v>0</v>
      </c>
      <c r="H11" s="46" t="b">
        <v>0</v>
      </c>
      <c r="I11" s="46" t="b">
        <v>0</v>
      </c>
      <c r="J11" s="47" t="b">
        <v>0</v>
      </c>
      <c r="M11" s="52" t="b">
        <v>0</v>
      </c>
    </row>
    <row r="12" spans="3:14">
      <c r="C12" t="s">
        <v>67</v>
      </c>
      <c r="D12" s="24" t="s">
        <v>68</v>
      </c>
      <c r="E12" s="7" t="s">
        <v>59</v>
      </c>
      <c r="G12" s="45" t="b">
        <v>0</v>
      </c>
      <c r="H12" s="46" t="b">
        <v>0</v>
      </c>
      <c r="I12" s="46" t="b">
        <v>0</v>
      </c>
      <c r="J12" s="47" t="b">
        <v>0</v>
      </c>
      <c r="M12" s="52" t="b">
        <v>0</v>
      </c>
    </row>
    <row r="13" spans="3:14">
      <c r="D13" s="24" t="s">
        <v>69</v>
      </c>
      <c r="E13" s="7" t="s">
        <v>63</v>
      </c>
      <c r="G13" s="45">
        <v>27</v>
      </c>
      <c r="H13" s="46">
        <v>19</v>
      </c>
      <c r="I13" s="46">
        <v>15</v>
      </c>
      <c r="J13" s="47">
        <v>35</v>
      </c>
      <c r="M13" s="52" t="b">
        <v>0</v>
      </c>
    </row>
    <row r="14" spans="3:14">
      <c r="D14" t="s">
        <v>70</v>
      </c>
      <c r="E14" s="41">
        <f t="array" ref="E14">MAX(IF((E12=D3:D8)*(E13=E3:E8),F3:I8))</f>
        <v>35</v>
      </c>
      <c r="G14" s="45" t="b">
        <v>0</v>
      </c>
      <c r="H14" s="46" t="b">
        <v>0</v>
      </c>
      <c r="I14" s="46" t="b">
        <v>0</v>
      </c>
      <c r="J14" s="47" t="b">
        <v>0</v>
      </c>
      <c r="M14" s="52" t="b">
        <v>0</v>
      </c>
    </row>
    <row r="15" spans="3:14">
      <c r="G15" s="48" t="b">
        <v>0</v>
      </c>
      <c r="H15" s="49" t="b">
        <v>0</v>
      </c>
      <c r="I15" s="49" t="b">
        <v>0</v>
      </c>
      <c r="J15" s="50" t="b">
        <v>0</v>
      </c>
      <c r="M15" s="53">
        <v>12</v>
      </c>
    </row>
    <row r="16" spans="3:14">
      <c r="D16" t="s">
        <v>71</v>
      </c>
    </row>
    <row r="17" spans="4:4">
      <c r="D17" t="s">
        <v>72</v>
      </c>
    </row>
    <row r="18" spans="4:4">
      <c r="D18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Emmet.Kuo</dc:creator>
  <cp:lastModifiedBy>Hsinmo.Lin(林欣模)</cp:lastModifiedBy>
  <dcterms:created xsi:type="dcterms:W3CDTF">2013-09-02T03:33:36Z</dcterms:created>
  <dcterms:modified xsi:type="dcterms:W3CDTF">2013-09-25T10:00:52Z</dcterms:modified>
</cp:coreProperties>
</file>