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6.xml" ContentType="application/vnd.openxmlformats-officedocument.spreadsheetml.comments+xml"/>
  <Override PartName="/xl/worksheets/sheet17.xml" ContentType="application/vnd.openxmlformats-officedocument.spreadsheetml.worksheet+xml"/>
  <Override PartName="/xl/comments/comment7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8.xml" ContentType="application/vnd.openxmlformats-officedocument.spreadsheetml.comments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comments/comment9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10.xml" ContentType="application/vnd.openxmlformats-officedocument.spreadsheetml.comments+xml"/>
  <Override PartName="/xl/worksheets/sheet26.xml" ContentType="application/vnd.openxmlformats-officedocument.spreadsheetml.worksheet+xml"/>
  <Override PartName="/xl/comments/comment11.xml" ContentType="application/vnd.openxmlformats-officedocument.spreadsheetml.comments+xml"/>
  <Override PartName="/xl/worksheets/sheet27.xml" ContentType="application/vnd.openxmlformats-officedocument.spreadsheetml.worksheet+xml"/>
  <Override PartName="/xl/comments/comment12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/comment13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5" activeTab="1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Deal Assumptions &amp; Analysis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Merger-Model" sheetId="4" state="visible" r:id="rId4"/>
    <sheet xmlns:r="http://schemas.openxmlformats.org/officeDocument/2006/relationships" name="Merger-Shares-BS" sheetId="5" state="visible" r:id="rId5"/>
    <sheet xmlns:r="http://schemas.openxmlformats.org/officeDocument/2006/relationships" name="Synergy_Schedule" sheetId="6" state="visible" r:id="rId6"/>
    <sheet xmlns:r="http://schemas.openxmlformats.org/officeDocument/2006/relationships" name="M&amp;A_Valuation" sheetId="7" state="visible" r:id="rId7"/>
    <sheet xmlns:r="http://schemas.openxmlformats.org/officeDocument/2006/relationships" name="OJK Compliance" sheetId="8" state="visible" r:id="rId8"/>
    <sheet xmlns:r="http://schemas.openxmlformats.org/officeDocument/2006/relationships" name="Football Field" sheetId="9" state="visible" r:id="rId9"/>
    <sheet xmlns:r="http://schemas.openxmlformats.org/officeDocument/2006/relationships" name="Sensitivities" sheetId="10" state="visible" r:id="rId10"/>
    <sheet xmlns:r="http://schemas.openxmlformats.org/officeDocument/2006/relationships" name="Financing_Mix" sheetId="11" state="visible" r:id="rId11"/>
    <sheet xmlns:r="http://schemas.openxmlformats.org/officeDocument/2006/relationships" name="Financing Strategy" sheetId="12" state="visible" r:id="rId12"/>
    <sheet xmlns:r="http://schemas.openxmlformats.org/officeDocument/2006/relationships" name="Returns Analysis" sheetId="13" state="visible" r:id="rId13"/>
    <sheet xmlns:r="http://schemas.openxmlformats.org/officeDocument/2006/relationships" name="Synergies" sheetId="14" state="visible" r:id="rId14"/>
    <sheet xmlns:r="http://schemas.openxmlformats.org/officeDocument/2006/relationships" name="Dissynergy" sheetId="15" state="visible" r:id="rId15"/>
    <sheet xmlns:r="http://schemas.openxmlformats.org/officeDocument/2006/relationships" name="Financial &amp; Dupont Analysis" sheetId="16" state="visible" r:id="rId16"/>
    <sheet xmlns:r="http://schemas.openxmlformats.org/officeDocument/2006/relationships" name="TOWR WIFI-Comparable Preced (2)" sheetId="17" state="visible" r:id="rId17"/>
    <sheet xmlns:r="http://schemas.openxmlformats.org/officeDocument/2006/relationships" name="TOWR-3-Statements" sheetId="18" state="visible" r:id="rId18"/>
    <sheet xmlns:r="http://schemas.openxmlformats.org/officeDocument/2006/relationships" name="TOWR WIFI-Comparable Precedent" sheetId="19" state="hidden" r:id="rId19"/>
    <sheet xmlns:r="http://schemas.openxmlformats.org/officeDocument/2006/relationships" name="WIFI 3-Statement Model" sheetId="20" state="visible" r:id="rId20"/>
    <sheet xmlns:r="http://schemas.openxmlformats.org/officeDocument/2006/relationships" name="TOWR VALUATION" sheetId="21" state="visible" r:id="rId21"/>
    <sheet xmlns:r="http://schemas.openxmlformats.org/officeDocument/2006/relationships" name="TOWR WACC" sheetId="22" state="visible" r:id="rId22"/>
    <sheet xmlns:r="http://schemas.openxmlformats.org/officeDocument/2006/relationships" name="SOURCE TOWR Income Statement" sheetId="23" state="hidden" r:id="rId23"/>
    <sheet xmlns:r="http://schemas.openxmlformats.org/officeDocument/2006/relationships" name="SOURCE TOWR Balance Sheet" sheetId="24" state="hidden" r:id="rId24"/>
    <sheet xmlns:r="http://schemas.openxmlformats.org/officeDocument/2006/relationships" name="WIFI Rev-COGS Detail" sheetId="25" state="visible" r:id="rId25"/>
    <sheet xmlns:r="http://schemas.openxmlformats.org/officeDocument/2006/relationships" name="WIFI VALUATION" sheetId="26" state="visible" r:id="rId26"/>
    <sheet xmlns:r="http://schemas.openxmlformats.org/officeDocument/2006/relationships" name="WIFI BLENDED" sheetId="27" state="visible" r:id="rId27"/>
    <sheet xmlns:r="http://schemas.openxmlformats.org/officeDocument/2006/relationships" name="BETA TOWR" sheetId="28" state="visible" r:id="rId28"/>
    <sheet xmlns:r="http://schemas.openxmlformats.org/officeDocument/2006/relationships" name="source WIFI revenue" sheetId="29" state="hidden" r:id="rId29"/>
    <sheet xmlns:r="http://schemas.openxmlformats.org/officeDocument/2006/relationships" name="SOURCE WIFI Income Statement" sheetId="30" state="hidden" r:id="rId30"/>
    <sheet xmlns:r="http://schemas.openxmlformats.org/officeDocument/2006/relationships" name="SOURCE WIFI Balance Sheet" sheetId="31" state="hidden" r:id="rId31"/>
    <sheet xmlns:r="http://schemas.openxmlformats.org/officeDocument/2006/relationships" name="WIFI BETA" sheetId="32" state="visible" r:id="rId32"/>
    <sheet xmlns:r="http://schemas.openxmlformats.org/officeDocument/2006/relationships" name="WIFI WACC" sheetId="33" state="visible" r:id="rId33"/>
    <sheet xmlns:r="http://schemas.openxmlformats.org/officeDocument/2006/relationships" name="WIFI SOTP" sheetId="34" state="visible" r:id="rId34"/>
    <sheet xmlns:r="http://schemas.openxmlformats.org/officeDocument/2006/relationships" name="SOURCE WIFI Balance Sheet (2)" sheetId="35" state="hidden" r:id="rId35"/>
    <sheet xmlns:r="http://schemas.openxmlformats.org/officeDocument/2006/relationships" name="SOURCE WIFI Income Statemen (2)" sheetId="36" state="hidden" r:id="rId36"/>
    <sheet xmlns:r="http://schemas.openxmlformats.org/officeDocument/2006/relationships" name="SOURCE TOWR Balance Sheet (2)" sheetId="37" state="hidden" r:id="rId37"/>
    <sheet xmlns:r="http://schemas.openxmlformats.org/officeDocument/2006/relationships" name="SOURCE TOWR Income Statemen (2)" sheetId="38" state="hidden" r:id="rId38"/>
    <sheet xmlns:r="http://schemas.openxmlformats.org/officeDocument/2006/relationships" name="ARCHIVE-SOURCE TOWR (REV)" sheetId="39" state="hidden" r:id="rId39"/>
  </sheets>
  <definedNames>
    <definedName name="Company_Name">Control!$B$3</definedName>
    <definedName name="Date">Control!$B$2</definedName>
    <definedName name="Days_In_Year">#REF!</definedName>
    <definedName name="Debt_Amount">'Merger-Model'!$L$9</definedName>
    <definedName name="Debt_Date">Control!$B$2</definedName>
    <definedName name="Diluted_Shares">Control!$B$5</definedName>
    <definedName name="Enterprise_Value">Control!$B$7</definedName>
    <definedName name="Equity_Value">Control!$B$6</definedName>
    <definedName name="Hist_Year">Control!$B$8</definedName>
    <definedName name="Purchase_Price">'Merger-Model'!$F$7</definedName>
    <definedName name="Seller_Name">Control!$B$15</definedName>
    <definedName name="Seller_Share_Price">Control!$B$16</definedName>
    <definedName name="Share_Price">Control!$B$4</definedName>
    <definedName name="Tax_Rate">Control!$B$11</definedName>
    <definedName name="Units">Control!$B$9</definedName>
    <definedName name="Company_Name" localSheetId="15">#REF!</definedName>
    <definedName name="Date" localSheetId="15">#REF!</definedName>
    <definedName name="Debt_Amount" localSheetId="15">#REF!</definedName>
    <definedName name="Debt_Date" localSheetId="15">#REF!</definedName>
    <definedName name="Diluted_Shares" localSheetId="15">#REF!</definedName>
    <definedName name="Enterprise_Value" localSheetId="15">#REF!</definedName>
    <definedName name="Equity_Value" localSheetId="15">#REF!</definedName>
    <definedName name="Hist_Year" localSheetId="15">#REF!</definedName>
    <definedName name="Purchase_Price" localSheetId="15">#REF!</definedName>
    <definedName name="Seller_Name" localSheetId="15">#REF!</definedName>
    <definedName name="Seller_Share_Price" localSheetId="15">#REF!</definedName>
    <definedName name="Share_Price" localSheetId="15">#REF!</definedName>
    <definedName name="Tax_Rate" localSheetId="15">#REF!</definedName>
    <definedName name="Units" localSheetId="15">#REF!</definedName>
    <definedName name="Company_Name" localSheetId="16">#REF!</definedName>
    <definedName name="Date" localSheetId="16">#REF!</definedName>
    <definedName name="Debt_Amount" localSheetId="16">#REF!</definedName>
    <definedName name="Debt_Date" localSheetId="16">#REF!</definedName>
    <definedName name="Diluted_Shares" localSheetId="16">#REF!</definedName>
    <definedName name="Enterprise_Value" localSheetId="16">#REF!</definedName>
    <definedName name="Equity_Value" localSheetId="16">#REF!</definedName>
    <definedName name="Hist_Year" localSheetId="16">#REF!</definedName>
    <definedName name="Purchase_Price" localSheetId="16">#REF!</definedName>
    <definedName name="Seller_Name" localSheetId="16">#REF!</definedName>
    <definedName name="Seller_Share_Price" localSheetId="16">#REF!</definedName>
    <definedName name="Share_Price" localSheetId="16">#REF!</definedName>
    <definedName name="Tax_Rate" localSheetId="16">#REF!</definedName>
    <definedName name="Units" localSheetId="16">#REF!</definedName>
    <definedName name="Company_Name" localSheetId="19">#REF!</definedName>
    <definedName name="Date" localSheetId="19">#REF!</definedName>
    <definedName name="Debt_Amount" localSheetId="19">#REF!</definedName>
    <definedName name="Debt_Date" localSheetId="19">#REF!</definedName>
    <definedName name="Diluted_Shares" localSheetId="19">#REF!</definedName>
    <definedName name="Enterprise_Value" localSheetId="19">#REF!</definedName>
    <definedName name="Equity_Value" localSheetId="19">#REF!</definedName>
    <definedName name="Hist_Year" localSheetId="19">#REF!</definedName>
    <definedName name="Purchase_Price" localSheetId="19">#REF!</definedName>
    <definedName name="Seller_Name" localSheetId="19">#REF!</definedName>
    <definedName name="Seller_Share_Price" localSheetId="19">#REF!</definedName>
    <definedName name="Share_Price" localSheetId="19">#REF!</definedName>
    <definedName name="Tax_Rate" localSheetId="19">#REF!</definedName>
    <definedName name="Units" localSheetId="19">#REF!</definedName>
    <definedName name="Company_Name" localSheetId="25">#REF!</definedName>
    <definedName name="Date" localSheetId="25">#REF!</definedName>
    <definedName name="Debt_Amount" localSheetId="25">#REF!</definedName>
    <definedName name="Debt_Date" localSheetId="25">#REF!</definedName>
    <definedName name="Diluted_Shares" localSheetId="25">#REF!</definedName>
    <definedName name="Enterprise_Value" localSheetId="25">#REF!</definedName>
    <definedName name="Equity_Value" localSheetId="25">#REF!</definedName>
    <definedName name="Hist_Year" localSheetId="25">#REF!</definedName>
    <definedName name="Purchase_Price" localSheetId="25">#REF!</definedName>
    <definedName name="Seller_Name" localSheetId="25">#REF!</definedName>
    <definedName name="Seller_Share_Price" localSheetId="25">#REF!</definedName>
    <definedName name="Share_Price" localSheetId="25">#REF!</definedName>
    <definedName name="Tax_Rate" localSheetId="25">#REF!</definedName>
    <definedName name="Units" localSheetId="25">#REF!</definedName>
    <definedName name="Company_Name" localSheetId="26">#REF!</definedName>
    <definedName name="Date" localSheetId="26">#REF!</definedName>
    <definedName name="Debt_Amount" localSheetId="26">#REF!</definedName>
    <definedName name="Debt_Date" localSheetId="26">#REF!</definedName>
    <definedName name="Diluted_Shares" localSheetId="26">#REF!</definedName>
    <definedName name="Enterprise_Value" localSheetId="26">#REF!</definedName>
    <definedName name="Equity_Value" localSheetId="26">#REF!</definedName>
    <definedName name="Hist_Year" localSheetId="26">#REF!</definedName>
    <definedName name="Purchase_Price" localSheetId="26">#REF!</definedName>
    <definedName name="Seller_Name" localSheetId="26">#REF!</definedName>
    <definedName name="Seller_Share_Price" localSheetId="26">#REF!</definedName>
    <definedName name="Share_Price" localSheetId="26">#REF!</definedName>
    <definedName name="Tax_Rate" localSheetId="26">#REF!</definedName>
    <definedName name="Units" localSheetId="26">#REF!</definedName>
    <definedName name="Company_Name" localSheetId="28">#REF!</definedName>
    <definedName name="Date" localSheetId="28">#REF!</definedName>
    <definedName name="Debt_Amount" localSheetId="28">#REF!</definedName>
    <definedName name="Debt_Date" localSheetId="28">#REF!</definedName>
    <definedName name="Diluted_Shares" localSheetId="28">#REF!</definedName>
    <definedName name="Enterprise_Value" localSheetId="28">#REF!</definedName>
    <definedName name="Equity_Value" localSheetId="28">#REF!</definedName>
    <definedName name="Hist_Year" localSheetId="28">#REF!</definedName>
    <definedName name="Purchase_Price" localSheetId="28">#REF!</definedName>
    <definedName name="Seller_Name" localSheetId="28">#REF!</definedName>
    <definedName name="Seller_Share_Price" localSheetId="28">#REF!</definedName>
    <definedName name="Share_Price" localSheetId="28">#REF!</definedName>
    <definedName name="Tax_Rate" localSheetId="28">#REF!</definedName>
    <definedName name="Units" localSheetId="28">#REF!</definedName>
    <definedName name="Company_Name" localSheetId="29">#REF!</definedName>
    <definedName name="Date" localSheetId="29">#REF!</definedName>
    <definedName name="Debt_Amount" localSheetId="29">#REF!</definedName>
    <definedName name="Debt_Date" localSheetId="29">#REF!</definedName>
    <definedName name="Diluted_Shares" localSheetId="29">#REF!</definedName>
    <definedName name="Enterprise_Value" localSheetId="29">#REF!</definedName>
    <definedName name="Equity_Value" localSheetId="29">#REF!</definedName>
    <definedName name="Hist_Year" localSheetId="29">#REF!</definedName>
    <definedName name="Purchase_Price" localSheetId="29">#REF!</definedName>
    <definedName name="Seller_Name" localSheetId="29">#REF!</definedName>
    <definedName name="Seller_Share_Price" localSheetId="29">#REF!</definedName>
    <definedName name="Share_Price" localSheetId="29">#REF!</definedName>
    <definedName name="Tax_Rate" localSheetId="29">#REF!</definedName>
    <definedName name="Units" localSheetId="29">#REF!</definedName>
    <definedName name="Company_Name" localSheetId="30">#REF!</definedName>
    <definedName name="Date" localSheetId="30">#REF!</definedName>
    <definedName name="Debt_Amount" localSheetId="30">#REF!</definedName>
    <definedName name="Debt_Date" localSheetId="30">#REF!</definedName>
    <definedName name="Diluted_Shares" localSheetId="30">#REF!</definedName>
    <definedName name="Enterprise_Value" localSheetId="30">#REF!</definedName>
    <definedName name="Equity_Value" localSheetId="30">#REF!</definedName>
    <definedName name="Hist_Year" localSheetId="30">#REF!</definedName>
    <definedName name="Purchase_Price" localSheetId="30">#REF!</definedName>
    <definedName name="Seller_Name" localSheetId="30">#REF!</definedName>
    <definedName name="Seller_Share_Price" localSheetId="30">#REF!</definedName>
    <definedName name="Share_Price" localSheetId="30">#REF!</definedName>
    <definedName name="Tax_Rate" localSheetId="30">#REF!</definedName>
    <definedName name="Units" localSheetId="30">#REF!</definedName>
    <definedName name="Company_Name" localSheetId="31">#REF!</definedName>
    <definedName name="Date" localSheetId="31">#REF!</definedName>
    <definedName name="Debt_Amount" localSheetId="31">#REF!</definedName>
    <definedName name="Debt_Date" localSheetId="31">#REF!</definedName>
    <definedName name="Diluted_Shares" localSheetId="31">#REF!</definedName>
    <definedName name="Enterprise_Value" localSheetId="31">#REF!</definedName>
    <definedName name="Equity_Value" localSheetId="31">#REF!</definedName>
    <definedName name="Hist_Year" localSheetId="31">#REF!</definedName>
    <definedName name="Purchase_Price" localSheetId="31">#REF!</definedName>
    <definedName name="Seller_Name" localSheetId="31">#REF!</definedName>
    <definedName name="Seller_Share_Price" localSheetId="31">#REF!</definedName>
    <definedName name="Share_Price" localSheetId="31">#REF!</definedName>
    <definedName name="Tax_Rate" localSheetId="31">#REF!</definedName>
    <definedName name="Units" localSheetId="31">#REF!</definedName>
    <definedName name="Company_Name" localSheetId="32">#REF!</definedName>
    <definedName name="Date" localSheetId="32">#REF!</definedName>
    <definedName name="Debt_Amount" localSheetId="32">#REF!</definedName>
    <definedName name="Debt_Date" localSheetId="32">#REF!</definedName>
    <definedName name="Diluted_Shares" localSheetId="32">#REF!</definedName>
    <definedName name="Enterprise_Value" localSheetId="32">#REF!</definedName>
    <definedName name="Equity_Value" localSheetId="32">#REF!</definedName>
    <definedName name="Hist_Year" localSheetId="32">#REF!</definedName>
    <definedName name="Purchase_Price" localSheetId="32">#REF!</definedName>
    <definedName name="Seller_Name" localSheetId="32">#REF!</definedName>
    <definedName name="Seller_Share_Price" localSheetId="32">#REF!</definedName>
    <definedName name="Share_Price" localSheetId="32">#REF!</definedName>
    <definedName name="Tax_Rate" localSheetId="32">#REF!</definedName>
    <definedName name="Units" localSheetId="32">#REF!</definedName>
    <definedName name="Company_Name" localSheetId="33">#REF!</definedName>
    <definedName name="Date" localSheetId="33">#REF!</definedName>
    <definedName name="Debt_Amount" localSheetId="33">#REF!</definedName>
    <definedName name="Debt_Date" localSheetId="33">#REF!</definedName>
    <definedName name="Diluted_Shares" localSheetId="33">#REF!</definedName>
    <definedName name="Enterprise_Value" localSheetId="33">#REF!</definedName>
    <definedName name="Equity_Value" localSheetId="33">#REF!</definedName>
    <definedName name="Hist_Year" localSheetId="33">#REF!</definedName>
    <definedName name="Purchase_Price" localSheetId="33">#REF!</definedName>
    <definedName name="Seller_Name" localSheetId="33">#REF!</definedName>
    <definedName name="Seller_Share_Price" localSheetId="33">#REF!</definedName>
    <definedName name="Share_Price" localSheetId="33">#REF!</definedName>
    <definedName name="Tax_Rate" localSheetId="33">#REF!</definedName>
    <definedName name="Units" localSheetId="33">#REF!</definedName>
    <definedName name="Company_Name" localSheetId="34">#REF!</definedName>
    <definedName name="Date" localSheetId="34">#REF!</definedName>
    <definedName name="Debt_Amount" localSheetId="34">#REF!</definedName>
    <definedName name="Debt_Date" localSheetId="34">#REF!</definedName>
    <definedName name="Diluted_Shares" localSheetId="34">#REF!</definedName>
    <definedName name="Enterprise_Value" localSheetId="34">#REF!</definedName>
    <definedName name="Equity_Value" localSheetId="34">#REF!</definedName>
    <definedName name="Hist_Year" localSheetId="34">#REF!</definedName>
    <definedName name="Purchase_Price" localSheetId="34">#REF!</definedName>
    <definedName name="Seller_Name" localSheetId="34">#REF!</definedName>
    <definedName name="Seller_Share_Price" localSheetId="34">#REF!</definedName>
    <definedName name="Share_Price" localSheetId="34">#REF!</definedName>
    <definedName name="Tax_Rate" localSheetId="34">#REF!</definedName>
    <definedName name="Units" localSheetId="34">#REF!</definedName>
    <definedName name="Company_Name" localSheetId="35">#REF!</definedName>
    <definedName name="Date" localSheetId="35">#REF!</definedName>
    <definedName name="Debt_Amount" localSheetId="35">#REF!</definedName>
    <definedName name="Debt_Date" localSheetId="35">#REF!</definedName>
    <definedName name="Diluted_Shares" localSheetId="35">#REF!</definedName>
    <definedName name="Enterprise_Value" localSheetId="35">#REF!</definedName>
    <definedName name="Equity_Value" localSheetId="35">#REF!</definedName>
    <definedName name="Hist_Year" localSheetId="35">#REF!</definedName>
    <definedName name="Purchase_Price" localSheetId="35">#REF!</definedName>
    <definedName name="Seller_Name" localSheetId="35">#REF!</definedName>
    <definedName name="Seller_Share_Price" localSheetId="35">#REF!</definedName>
    <definedName name="Share_Price" localSheetId="35">#REF!</definedName>
    <definedName name="Tax_Rate" localSheetId="35">#REF!</definedName>
    <definedName name="Units" localSheetId="35">#REF!</definedName>
    <definedName name="Company_Name" localSheetId="36">#REF!</definedName>
    <definedName name="Date" localSheetId="36">#REF!</definedName>
    <definedName name="Debt_Amount" localSheetId="36">#REF!</definedName>
    <definedName name="Debt_Date" localSheetId="36">#REF!</definedName>
    <definedName name="Diluted_Shares" localSheetId="36">#REF!</definedName>
    <definedName name="Enterprise_Value" localSheetId="36">#REF!</definedName>
    <definedName name="Equity_Value" localSheetId="36">#REF!</definedName>
    <definedName name="Hist_Year" localSheetId="36">#REF!</definedName>
    <definedName name="Purchase_Price" localSheetId="36">#REF!</definedName>
    <definedName name="Seller_Name" localSheetId="36">#REF!</definedName>
    <definedName name="Seller_Share_Price" localSheetId="36">#REF!</definedName>
    <definedName name="Share_Price" localSheetId="36">#REF!</definedName>
    <definedName name="Tax_Rate" localSheetId="36">#REF!</definedName>
    <definedName name="Units" localSheetId="36">#REF!</definedName>
    <definedName name="Company_Name" localSheetId="37">#REF!</definedName>
    <definedName name="Date" localSheetId="37">#REF!</definedName>
    <definedName name="Debt_Amount" localSheetId="37">#REF!</definedName>
    <definedName name="Debt_Date" localSheetId="37">#REF!</definedName>
    <definedName name="Diluted_Shares" localSheetId="37">#REF!</definedName>
    <definedName name="Enterprise_Value" localSheetId="37">#REF!</definedName>
    <definedName name="Equity_Value" localSheetId="37">#REF!</definedName>
    <definedName name="Hist_Year" localSheetId="37">#REF!</definedName>
    <definedName name="Purchase_Price" localSheetId="37">#REF!</definedName>
    <definedName name="Seller_Name" localSheetId="37">#REF!</definedName>
    <definedName name="Seller_Share_Price" localSheetId="37">#REF!</definedName>
    <definedName name="Share_Price" localSheetId="37">#REF!</definedName>
    <definedName name="Tax_Rate" localSheetId="37">#REF!</definedName>
    <definedName name="Units" localSheetId="37">#REF!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48">
    <numFmt numFmtId="164" formatCode="#,##0.0_);[Red]\(#,##0.0\)"/>
    <numFmt numFmtId="165" formatCode="0.0%"/>
    <numFmt numFmtId="166" formatCode="\$#,##0.00_);[Red]&quot;($&quot;#,##0.00\)"/>
    <numFmt numFmtId="167" formatCode="\$#,##0_);[Red]&quot;($&quot;#,##0\)"/>
    <numFmt numFmtId="168" formatCode="0.0%;[Red]\(0.0%\)"/>
    <numFmt numFmtId="169" formatCode="_(* #,##0_);_(* \(#,##0\);_(* \-_);_(@_)"/>
    <numFmt numFmtId="170" formatCode="_(\$* #,##0_);_(\$* \(#,##0\);_(\$* \-_);_(@_)"/>
    <numFmt numFmtId="171" formatCode="0.0%;\(0.0%\)"/>
    <numFmt numFmtId="172" formatCode="_(\$* #,##0.00_);_(\$* \(#,##0.00\);_(\$* \-??_);_(@_)"/>
    <numFmt numFmtId="173" formatCode="\$#,##0"/>
    <numFmt numFmtId="174" formatCode="\$#,##0_);&quot;($&quot;#,##0\)"/>
    <numFmt numFmtId="175" formatCode="\$#,##0.000_);[Red]&quot;($&quot;#,##0.000\)"/>
    <numFmt numFmtId="176" formatCode="0.0\x"/>
    <numFmt numFmtId="177" formatCode="#,##0.0_);[Red]\(#,##0.0\);\-"/>
    <numFmt numFmtId="178" formatCode="#,##0.0"/>
    <numFmt numFmtId="179" formatCode="[$-421]#,##0"/>
    <numFmt numFmtId="180" formatCode="[$-421]#,##0.0000"/>
    <numFmt numFmtId="181" formatCode="[$-421]#,##0.0;\([$-421]#,##0.0\);\-"/>
    <numFmt numFmtId="182" formatCode="[$-421]0.0\x"/>
    <numFmt numFmtId="183" formatCode="[$-421]0.0%"/>
    <numFmt numFmtId="184" formatCode="[$-421]0%"/>
    <numFmt numFmtId="185" formatCode="[$-421]0.0%;\([$-421]0.0&quot;%)&quot;;\-"/>
    <numFmt numFmtId="186" formatCode="[$-421]#,##0.0"/>
    <numFmt numFmtId="187" formatCode="[$-421]#,##0;\([$-421]#,##0\);\-"/>
    <numFmt numFmtId="188" formatCode="#,##0.00_);[Red]\(#,##0.00\);\-"/>
    <numFmt numFmtId="189" formatCode="_(* #,##0.00_);_(* \(#,##0.00\);_(* \-??_);_(@_)"/>
    <numFmt numFmtId="190" formatCode="#,##0.0;[Red]\(#,##0.0\);\-"/>
    <numFmt numFmtId="191" formatCode="0.00\x"/>
    <numFmt numFmtId="192" formatCode="#,##0.0;\(#,##0.0\)"/>
    <numFmt numFmtId="193" formatCode="0.000"/>
    <numFmt numFmtId="194" formatCode="0.0"/>
    <numFmt numFmtId="195" formatCode="0.0%;[Red]\(0.0%\);\-"/>
    <numFmt numFmtId="196" formatCode="0.00&quot; x&quot;"/>
    <numFmt numFmtId="197" formatCode="0\F"/>
    <numFmt numFmtId="198" formatCode="_-* #,##0_-;\(#,##0\)_-;_-* \-_-;_-@_-"/>
    <numFmt numFmtId="199" formatCode="_(* #,##0_);_(* \(#,##0\);_(* \-??_);_(@_)"/>
    <numFmt numFmtId="200" formatCode="_(* #,##0.00_);_(* \(#,##0.00\);_(* \-_);_(@_)"/>
    <numFmt numFmtId="201" formatCode="_-* #,##0.0_-;\-* #,##0.0_-;_-* \-?_-;_-@_-"/>
    <numFmt numFmtId="202" formatCode="_-* #,##0_-;\-* #,##0_-;_-* \-??_-;_-@_-"/>
    <numFmt numFmtId="203" formatCode="#,##0;\(#,##0\);\-"/>
    <numFmt numFmtId="204" formatCode="dd\-mm\-yyyy"/>
    <numFmt numFmtId="205" formatCode="_(* #,##0_);_(* \(#,##0\);_(* &quot;-&quot;??_);_(@_)"/>
    <numFmt numFmtId="206" formatCode="#,##0;(#,##0)"/>
    <numFmt numFmtId="207" formatCode="0.00&quot;x&quot;"/>
    <numFmt numFmtId="208" formatCode="dd-mmm-yy"/>
    <numFmt numFmtId="209" formatCode="0.0&quot;x&quot;"/>
    <numFmt numFmtId="210" formatCode="0.0000"/>
    <numFmt numFmtId="211" formatCode="#,##0.0000"/>
  </numFmts>
  <fonts count="217">
    <font>
      <name val="Calibri"/>
      <charset val="1"/>
      <family val="2"/>
      <color rgb="FF000000"/>
      <sz val="11"/>
    </font>
    <font>
      <name val="Arial"/>
      <family val="2"/>
      <sz val="10"/>
    </font>
    <font>
      <name val="Arial"/>
      <charset val="1"/>
      <family val="2"/>
      <color theme="1"/>
      <sz val="11"/>
    </font>
    <font>
      <name val="Arial Narrow"/>
      <charset val="1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color theme="1"/>
      <sz val="11"/>
    </font>
    <font>
      <name val="Arial"/>
      <charset val="1"/>
      <family val="2"/>
      <color theme="1"/>
      <sz val="12"/>
    </font>
    <font>
      <name val="Arial"/>
      <charset val="1"/>
      <family val="2"/>
      <color theme="2" tint="-0.499984740745262"/>
      <sz val="10"/>
    </font>
    <font>
      <name val="Calibri"/>
      <charset val="1"/>
      <family val="2"/>
      <color rgb="FF0000FF"/>
      <sz val="11"/>
    </font>
    <font>
      <name val="Calibri"/>
      <charset val="1"/>
      <family val="2"/>
      <color rgb="FF008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333399"/>
      <sz val="11"/>
    </font>
    <font>
      <name val="Calibri"/>
      <charset val="1"/>
      <family val="2"/>
      <sz val="11"/>
    </font>
    <font>
      <name val="Arial"/>
      <family val="2"/>
      <i val="1"/>
      <color rgb="FF808080"/>
      <sz val="10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008000"/>
      <sz val="11"/>
    </font>
    <font>
      <name val="Calibri"/>
      <charset val="1"/>
      <family val="2"/>
      <b val="1"/>
      <color rgb="FF333399"/>
      <sz val="11"/>
    </font>
    <font>
      <name val="Arial"/>
      <family val="2"/>
      <i val="1"/>
      <color rgb="FF008000"/>
      <sz val="10"/>
    </font>
    <font>
      <name val="Arial"/>
      <family val="2"/>
      <color rgb="FF008000"/>
      <sz val="10"/>
    </font>
    <font>
      <name val="Calibri"/>
      <charset val="1"/>
      <family val="2"/>
      <i val="1"/>
      <sz val="10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0"/>
      <u val="single"/>
    </font>
    <font>
      <name val="Arial"/>
      <charset val="1"/>
      <family val="2"/>
      <color rgb="FFFFFFFF"/>
      <sz val="10"/>
      <u val="single"/>
    </font>
    <font>
      <name val="Calibri"/>
      <charset val="1"/>
      <family val="2"/>
      <color rgb="FF0066CC"/>
      <sz val="11"/>
    </font>
    <font>
      <name val="Calibri"/>
      <charset val="1"/>
      <family val="2"/>
      <i val="1"/>
      <sz val="11"/>
    </font>
    <font>
      <name val="Calibri"/>
      <charset val="1"/>
      <family val="2"/>
      <i val="1"/>
      <color rgb="FF008000"/>
      <sz val="11"/>
    </font>
    <font>
      <name val="Calibri"/>
      <charset val="1"/>
      <family val="2"/>
      <b val="1"/>
      <i val="1"/>
      <color rgb="FF008000"/>
      <sz val="11"/>
    </font>
    <font>
      <name val="Aptos Narrow"/>
      <charset val="1"/>
      <family val="2"/>
      <color rgb="FF000000"/>
      <sz val="11"/>
    </font>
    <font>
      <name val="Aptos Narrow"/>
      <charset val="1"/>
      <family val="2"/>
      <b val="1"/>
      <color rgb="FFFFFFFF"/>
      <sz val="11"/>
    </font>
    <font>
      <name val="Aptos Narrow"/>
      <charset val="1"/>
      <family val="2"/>
      <i val="1"/>
      <color rgb="FF666666"/>
      <sz val="11"/>
    </font>
    <font>
      <name val="Aptos Narrow"/>
      <charset val="1"/>
      <family val="2"/>
      <b val="1"/>
      <sz val="11"/>
    </font>
    <font>
      <name val="Arial"/>
      <family val="2"/>
      <color rgb="FF0000FF"/>
      <sz val="10"/>
    </font>
    <font>
      <name val="Aptos Narrow"/>
      <charset val="1"/>
      <family val="2"/>
      <color rgb="FF0000FF"/>
      <sz val="11"/>
    </font>
    <font>
      <name val="Arial"/>
      <family val="2"/>
      <i val="1"/>
      <color rgb="FF808080"/>
      <sz val="9"/>
    </font>
    <font>
      <name val="Arial"/>
      <family val="2"/>
      <b val="1"/>
      <color rgb="FF008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i val="1"/>
      <color rgb="FF7A5230"/>
      <sz val="9"/>
    </font>
    <font>
      <name val="Arial"/>
      <family val="2"/>
      <i val="1"/>
      <color rgb="FF555555"/>
      <sz val="8"/>
    </font>
    <font>
      <name val="Aptos Narrow"/>
      <charset val="1"/>
      <family val="2"/>
      <i val="1"/>
      <color rgb="FF595959"/>
      <sz val="9"/>
    </font>
    <font>
      <name val="Arial"/>
      <family val="2"/>
      <b val="1"/>
      <color rgb="FFFFFFFF"/>
      <sz val="14"/>
    </font>
    <font>
      <name val="Arial"/>
      <family val="2"/>
      <i val="1"/>
      <color rgb="FFFFFFFF"/>
      <sz val="9"/>
    </font>
    <font>
      <name val="Arial"/>
      <family val="2"/>
      <b val="1"/>
      <color rgb="FF7A5230"/>
      <sz val="10"/>
    </font>
    <font>
      <name val="Arial"/>
      <family val="2"/>
      <color rgb="FF000000"/>
      <sz val="9"/>
    </font>
    <font>
      <name val="Arial"/>
      <family val="2"/>
      <color rgb="FF555555"/>
      <sz val="7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7"/>
    </font>
    <font>
      <name val="Arial"/>
      <family val="2"/>
      <color rgb="FF008000"/>
      <sz val="9"/>
    </font>
    <font>
      <name val="Arial"/>
      <family val="2"/>
      <color rgb="FF000000"/>
      <sz val="8"/>
    </font>
    <font>
      <name val="Arial"/>
      <family val="2"/>
      <b val="1"/>
      <color rgb="FFFFFFFF"/>
      <sz val="13"/>
    </font>
    <font>
      <name val="Arial"/>
      <family val="2"/>
      <color rgb="FF7A5230"/>
      <sz val="8"/>
    </font>
    <font>
      <name val="Arial"/>
      <family val="2"/>
      <i val="1"/>
      <color rgb="FF7A5230"/>
      <sz val="8.5"/>
    </font>
    <font>
      <name val="Arial"/>
      <family val="2"/>
      <color rgb="FF555555"/>
      <sz val="8"/>
    </font>
    <font>
      <name val="Arial"/>
      <family val="2"/>
      <b val="1"/>
      <color rgb="FF0000FF"/>
      <sz val="10"/>
    </font>
    <font>
      <name val="Arial"/>
      <family val="2"/>
      <b val="1"/>
      <color rgb="FF7A5230"/>
      <sz val="11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008000"/>
      <sz val="10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000000"/>
      <sz val="10"/>
    </font>
    <font>
      <name val="Aptos Narrow"/>
      <charset val="1"/>
      <family val="2"/>
      <b val="1"/>
      <color rgb="FFFFFFFF"/>
      <sz val="14"/>
    </font>
    <font>
      <name val="Aptos Narrow"/>
      <charset val="1"/>
      <family val="2"/>
      <sz val="11"/>
    </font>
    <font>
      <name val="Aptos Narrow"/>
      <charset val="1"/>
      <family val="2"/>
      <color theme="1"/>
      <sz val="11"/>
    </font>
    <font>
      <name val="Arial"/>
      <charset val="1"/>
      <family val="2"/>
      <b val="1"/>
      <color theme="0"/>
      <sz val="11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b val="1"/>
      <color theme="0"/>
      <sz val="12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color theme="10"/>
      <sz val="11"/>
      <u val="single"/>
    </font>
    <font>
      <name val="Aptos Narrow"/>
      <charset val="1"/>
      <family val="2"/>
      <color theme="9"/>
      <sz val="11"/>
    </font>
    <font>
      <name val="Aptos Narrow"/>
      <charset val="1"/>
      <family val="2"/>
      <b val="1"/>
      <color rgb="FF000000"/>
      <sz val="11"/>
    </font>
    <font>
      <name val="Aptos Narrow"/>
      <charset val="1"/>
      <family val="2"/>
      <color rgb="FF000000"/>
      <sz val="11"/>
      <u val="single"/>
    </font>
    <font>
      <name val="Aptos Narrow"/>
      <charset val="1"/>
      <family val="2"/>
      <i val="1"/>
      <color rgb="FF000000"/>
      <sz val="11"/>
    </font>
    <font>
      <name val="Arial"/>
      <charset val="1"/>
      <family val="2"/>
      <b val="1"/>
      <color theme="0"/>
      <sz val="20"/>
    </font>
    <font>
      <name val="Arial"/>
      <charset val="1"/>
      <family val="2"/>
      <b val="1"/>
      <color theme="0"/>
      <sz val="12"/>
    </font>
    <font>
      <name val="Arial Narrow"/>
      <charset val="1"/>
      <family val="2"/>
      <i val="1"/>
      <color theme="1"/>
      <sz val="12"/>
    </font>
    <font>
      <name val="Arial Narrow"/>
      <charset val="1"/>
      <family val="2"/>
      <color theme="1"/>
      <sz val="12"/>
    </font>
    <font>
      <name val="Arial"/>
      <charset val="1"/>
      <family val="2"/>
      <b val="1"/>
      <color theme="1"/>
      <sz val="12"/>
    </font>
    <font>
      <name val="Open Sans"/>
      <charset val="1"/>
      <family val="2"/>
      <b val="1"/>
      <color theme="0"/>
      <sz val="18"/>
    </font>
    <font>
      <name val="Arial"/>
      <charset val="1"/>
      <family val="2"/>
      <color theme="3" tint="0.09979552598651081"/>
      <sz val="12"/>
    </font>
    <font>
      <name val="Arial"/>
      <charset val="1"/>
      <family val="2"/>
      <b val="1"/>
      <color theme="2"/>
      <sz val="12"/>
    </font>
    <font>
      <name val="Arial"/>
      <charset val="1"/>
      <family val="2"/>
      <color rgb="FF0070C0"/>
      <sz val="12"/>
    </font>
    <font>
      <name val="Arial"/>
      <charset val="1"/>
      <family val="2"/>
      <color rgb="FF011D4B"/>
      <sz val="12"/>
    </font>
    <font>
      <name val="Arial"/>
      <charset val="1"/>
      <family val="2"/>
      <b val="1"/>
      <color theme="0"/>
      <sz val="10"/>
    </font>
    <font>
      <name val="Arial"/>
      <charset val="1"/>
      <family val="2"/>
      <b val="1"/>
      <color rgb="FF0070C0"/>
      <sz val="12"/>
    </font>
    <font>
      <name val="Arial"/>
      <charset val="1"/>
      <family val="2"/>
      <sz val="12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2"/>
    </font>
    <font>
      <name val="Open Sans"/>
      <charset val="1"/>
      <family val="2"/>
      <b val="1"/>
      <color rgb="FFFFFFFF"/>
      <sz val="18"/>
    </font>
    <font>
      <name val="Open Sans"/>
      <charset val="1"/>
      <family val="2"/>
      <color rgb="FF000000"/>
      <sz val="18"/>
    </font>
    <font>
      <name val="Arial"/>
      <charset val="1"/>
      <family val="2"/>
      <i val="1"/>
      <color rgb="FFFF0000"/>
      <sz val="12"/>
    </font>
    <font>
      <name val="Arial Narrow"/>
      <charset val="1"/>
      <family val="2"/>
      <sz val="12"/>
    </font>
    <font>
      <name val="Arial Narrow"/>
      <charset val="1"/>
      <family val="2"/>
      <b val="1"/>
      <sz val="12"/>
    </font>
    <font>
      <name val="Arial Narrow"/>
      <charset val="1"/>
      <family val="2"/>
      <b val="1"/>
      <color theme="1"/>
      <sz val="12"/>
    </font>
    <font>
      <name val="Calibri"/>
      <charset val="1"/>
      <family val="2"/>
      <b val="1"/>
      <color theme="2" tint="-0.499984740745262"/>
      <sz val="11"/>
    </font>
    <font>
      <name val="Arial"/>
      <charset val="1"/>
      <family val="2"/>
      <color theme="2" tint="-0.499984740745262"/>
      <sz val="12"/>
    </font>
    <font>
      <name val="Calibri"/>
      <charset val="1"/>
      <family val="2"/>
      <color theme="2" tint="-0.499984740745262"/>
      <sz val="11"/>
    </font>
    <font>
      <name val="Arial"/>
      <charset val="1"/>
      <family val="2"/>
      <b val="1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808080"/>
      <sz val="12"/>
    </font>
    <font>
      <name val="Aptos Narrow"/>
      <charset val="1"/>
      <family val="2"/>
      <b val="1"/>
      <color rgb="FFFFFFFF"/>
      <sz val="13"/>
    </font>
    <font>
      <name val="Aptos Narrow"/>
      <charset val="1"/>
      <family val="2"/>
      <b val="1"/>
      <color rgb="FFFFFFFF"/>
      <sz val="10"/>
    </font>
    <font>
      <name val="Aptos Narrow"/>
      <charset val="1"/>
      <family val="2"/>
      <b val="1"/>
      <sz val="10"/>
    </font>
    <font>
      <name val="Aptos Narrow"/>
      <charset val="1"/>
      <family val="2"/>
      <b val="1"/>
      <color rgb="FF1F4E79"/>
      <sz val="10"/>
    </font>
    <font>
      <name val="Aptos Narrow"/>
      <charset val="1"/>
      <family val="2"/>
      <b val="1"/>
      <color rgb="FF0000FF"/>
      <sz val="11"/>
    </font>
    <font>
      <name val="Aptos Narrow"/>
      <charset val="1"/>
      <family val="2"/>
      <sz val="10"/>
    </font>
    <font>
      <name val="Aptos Narrow"/>
      <charset val="1"/>
      <family val="2"/>
      <color rgb="FF000000"/>
      <sz val="10"/>
    </font>
    <font>
      <name val="Aptos Narrow"/>
      <charset val="1"/>
      <family val="2"/>
      <color theme="1"/>
      <sz val="10"/>
    </font>
    <font>
      <name val="Aptos Narrow"/>
      <charset val="1"/>
      <family val="2"/>
      <color rgb="FF008000"/>
      <sz val="10"/>
    </font>
    <font>
      <name val="Aptos Narrow"/>
      <charset val="1"/>
      <family val="2"/>
      <color rgb="FF0000FF"/>
      <sz val="10"/>
    </font>
    <font>
      <name val="Aptos Narrow"/>
      <charset val="1"/>
      <family val="2"/>
      <i val="1"/>
      <color theme="1" tint="0.4994964445936461"/>
      <sz val="10"/>
    </font>
    <font>
      <name val="Aptos Narrow"/>
      <charset val="1"/>
      <family val="2"/>
      <color theme="1" tint="0.4994964445936461"/>
      <sz val="11"/>
    </font>
    <font>
      <name val="Aptos Narrow"/>
      <charset val="1"/>
      <family val="2"/>
      <color theme="1" tint="0.4994964445936461"/>
      <sz val="10"/>
    </font>
    <font>
      <name val="Aptos Narrow"/>
      <charset val="1"/>
      <family val="2"/>
      <i val="1"/>
      <color theme="1" tint="0.4994964445936461"/>
      <sz val="11"/>
    </font>
    <font>
      <name val="Aptos Narrow"/>
      <charset val="1"/>
      <family val="2"/>
      <color rgb="FF008000"/>
      <sz val="11"/>
    </font>
    <font>
      <name val="Calibri"/>
      <charset val="1"/>
      <family val="2"/>
      <color rgb="FF000000"/>
      <sz val="12"/>
    </font>
    <font>
      <name val="Arial"/>
      <charset val="1"/>
      <family val="2"/>
      <b val="1"/>
      <color theme="0"/>
      <sz val="8"/>
    </font>
    <font>
      <name val="Arial"/>
      <charset val="1"/>
      <family val="2"/>
      <b val="1"/>
      <color theme="2"/>
      <sz val="26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FFFFFF"/>
      <sz val="10"/>
    </font>
    <font>
      <name val="Calibri"/>
      <charset val="1"/>
      <family val="2"/>
      <b val="1"/>
      <color rgb="FF334BFF"/>
      <sz val="10"/>
    </font>
    <font>
      <name val="Calibri"/>
      <charset val="1"/>
      <family val="2"/>
      <color rgb="FFF5475B"/>
      <sz val="10"/>
    </font>
    <font>
      <name val="Arial"/>
      <charset val="1"/>
      <family val="2"/>
      <i val="1"/>
      <color rgb="FF000000"/>
      <sz val="9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theme="2"/>
      <sz val="10"/>
    </font>
    <font>
      <name val="Calibri"/>
      <charset val="1"/>
      <family val="2"/>
      <color theme="2"/>
      <sz val="11"/>
    </font>
    <font>
      <name val="Arial"/>
      <charset val="1"/>
      <family val="2"/>
      <i val="1"/>
      <color rgb="FF0000FF"/>
      <sz val="9"/>
    </font>
    <font>
      <name val="Arial"/>
      <charset val="1"/>
      <family val="2"/>
      <color rgb="FF000000"/>
      <sz val="9"/>
    </font>
    <font>
      <name val="Arial"/>
      <charset val="1"/>
      <family val="2"/>
      <color rgb="FF0000FF"/>
      <sz val="9"/>
    </font>
    <font>
      <name val="Arial"/>
      <charset val="1"/>
      <family val="2"/>
      <color rgb="FF00000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rgb="FF008000"/>
      <sz val="10"/>
    </font>
    <font>
      <name val="Arial"/>
      <charset val="1"/>
      <family val="2"/>
      <i val="1"/>
      <color rgb="FF000000"/>
      <sz val="10"/>
    </font>
    <font>
      <name val="Aptos Narrow"/>
      <charset val="1"/>
      <family val="2"/>
      <b val="1"/>
      <color theme="0"/>
      <sz val="20"/>
    </font>
    <font>
      <name val="Aptos Narrow"/>
      <charset val="1"/>
      <family val="2"/>
      <b val="1"/>
      <color theme="0"/>
      <sz val="18"/>
    </font>
    <font>
      <name val="Aptos Narrow"/>
      <charset val="1"/>
      <family val="2"/>
      <color theme="1"/>
      <sz val="12"/>
    </font>
    <font>
      <name val="Aptos Narrow"/>
      <charset val="1"/>
      <family val="2"/>
      <color rgb="FF000000"/>
      <sz val="12"/>
    </font>
    <font>
      <name val="Aptos Narrow"/>
      <charset val="1"/>
      <family val="2"/>
      <b val="1"/>
      <color theme="0"/>
      <sz val="8"/>
    </font>
    <font>
      <name val="Aptos Narrow"/>
      <charset val="1"/>
      <family val="2"/>
      <b val="1"/>
      <color theme="1"/>
      <sz val="12"/>
    </font>
    <font>
      <name val="Aptos Narrow"/>
      <charset val="1"/>
      <family val="2"/>
      <b val="1"/>
      <color rgb="FF000000"/>
      <sz val="12"/>
    </font>
    <font>
      <name val="Aptos Narrow"/>
      <charset val="1"/>
      <family val="2"/>
      <b val="1"/>
      <color rgb="FF1F4E79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i val="1"/>
      <color rgb="FF000000"/>
      <sz val="11"/>
    </font>
    <font>
      <name val="Aptos Narrow"/>
      <charset val="1"/>
      <family val="2"/>
      <b val="1"/>
      <color theme="2"/>
      <sz val="26"/>
    </font>
    <font>
      <name val="Aptos Narrow"/>
      <charset val="1"/>
      <family val="2"/>
      <b val="1"/>
      <color theme="2"/>
      <sz val="12"/>
    </font>
    <font>
      <name val="Aptos Narrow"/>
      <charset val="1"/>
      <family val="2"/>
      <b val="1"/>
      <color theme="1"/>
      <sz val="10"/>
    </font>
    <font>
      <name val="Calibri"/>
      <charset val="1"/>
      <family val="2"/>
      <color rgb="FF000000"/>
      <sz val="11"/>
    </font>
    <font>
      <name val="Arial Narrow"/>
      <b val="1"/>
      <color rgb="FFFFFFFF"/>
      <sz val="24"/>
    </font>
    <font>
      <name val="Arial Narrow"/>
      <b val="1"/>
      <color rgb="FFFFFFFF"/>
      <sz val="13"/>
    </font>
    <font>
      <name val="Arial Narrow"/>
      <b val="1"/>
      <color rgb="FFFFFFFF"/>
      <sz val="14"/>
    </font>
    <font>
      <name val="Arial Narrow"/>
      <color rgb="FF000000"/>
      <sz val="11"/>
    </font>
    <font>
      <name val="Arial Narrow"/>
      <b val="1"/>
      <color rgb="FF00B050"/>
      <sz val="11"/>
    </font>
    <font>
      <name val="Arial Narrow"/>
      <b val="1"/>
      <color rgb="FFFFFFFF"/>
      <sz val="12"/>
    </font>
    <font>
      <name val="Arial Narrow"/>
      <i val="1"/>
      <color rgb="FF808080"/>
      <sz val="9"/>
    </font>
    <font>
      <name val="Arial Narrow"/>
      <b val="1"/>
      <color rgb="FFFFFFFF"/>
      <sz val="15"/>
    </font>
    <font>
      <name val="Arial Narrow"/>
      <color rgb="FF00B050"/>
      <sz val="11"/>
    </font>
    <font>
      <name val="Arial Narrow"/>
      <color rgb="FF0000FF"/>
      <sz val="11"/>
    </font>
    <font>
      <name val="Arial Narrow"/>
      <b val="1"/>
      <color rgb="FF000000"/>
      <sz val="11"/>
    </font>
    <font>
      <name val="Arial Narrow"/>
      <b val="1"/>
      <color rgb="FF000000"/>
      <sz val="10"/>
    </font>
    <font>
      <name val="Arial Narrow"/>
      <color rgb="FF0000FF"/>
      <sz val="10"/>
    </font>
    <font>
      <name val="Arial Narrow"/>
      <color rgb="FF00B050"/>
      <sz val="10"/>
    </font>
    <font>
      <name val="Arial Narrow"/>
      <color rgb="FF000000"/>
      <sz val="10"/>
    </font>
    <font>
      <name val="Arial Narrow"/>
      <b val="1"/>
      <color rgb="FFFFFFFF"/>
      <sz val="11"/>
    </font>
    <font>
      <name val="Arial Narrow"/>
      <b val="1"/>
      <color rgb="FF0000FF"/>
      <sz val="11"/>
    </font>
    <font>
      <name val="Arial Narrow"/>
      <i val="1"/>
      <color rgb="FF000000"/>
      <sz val="10"/>
    </font>
    <font>
      <name val="Arial Narrow"/>
      <color rgb="FFFFFFFF"/>
      <sz val="11"/>
    </font>
    <font>
      <name val="Arial Narrow"/>
      <i val="1"/>
      <color rgb="FF000000"/>
      <sz val="11"/>
    </font>
    <font>
      <name val="Arial Narrow"/>
      <i val="1"/>
      <color rgb="FF000000"/>
      <sz val="9"/>
    </font>
    <font>
      <name val="Arial Narrow"/>
      <i val="1"/>
      <color rgb="FF000000"/>
      <sz val="8"/>
    </font>
    <font>
      <name val="Arial Narrow"/>
      <i val="1"/>
      <color rgb="FFFFFFFF"/>
      <sz val="9"/>
    </font>
    <font>
      <name val="Arial Narrow"/>
      <color rgb="FF000000"/>
      <sz val="9"/>
    </font>
    <font>
      <name val="Arial Narrow"/>
      <color rgb="FF000000"/>
      <sz val="7"/>
    </font>
    <font>
      <name val="Arial Narrow"/>
      <b val="1"/>
      <color rgb="FFFFFFFF"/>
      <sz val="10"/>
    </font>
    <font>
      <name val="Arial Narrow"/>
      <b val="1"/>
      <color rgb="FF000000"/>
      <sz val="9"/>
    </font>
    <font>
      <name val="Arial Narrow"/>
      <color rgb="FF00B050"/>
      <sz val="9"/>
    </font>
    <font>
      <name val="Arial Narrow"/>
      <color rgb="FF000000"/>
      <sz val="8"/>
    </font>
    <font>
      <name val="Arial Narrow"/>
      <i val="1"/>
      <color rgb="FF000000"/>
      <sz val="8.5"/>
    </font>
    <font>
      <name val="Arial Narrow"/>
      <b val="1"/>
      <color rgb="FF0000FF"/>
      <sz val="10"/>
    </font>
    <font>
      <name val="Arial Narrow"/>
      <b val="1"/>
      <color rgb="FF00B050"/>
      <sz val="10"/>
    </font>
    <font>
      <name val="Arial Narrow"/>
      <b val="1"/>
      <color rgb="FFFFFFFF"/>
      <sz val="20"/>
    </font>
    <font>
      <name val="Arial Narrow"/>
      <i val="1"/>
      <color rgb="FF000000"/>
      <sz val="12"/>
    </font>
    <font>
      <name val="Arial Narrow"/>
      <i val="1"/>
      <color rgb="FF0000FF"/>
      <sz val="12"/>
    </font>
    <font>
      <name val="Arial Narrow"/>
      <b val="1"/>
      <color rgb="FFFFFFFF"/>
      <sz val="18"/>
    </font>
    <font>
      <name val="Arial Narrow"/>
      <color rgb="FF0000FF"/>
      <sz val="12"/>
    </font>
    <font>
      <name val="Arial Narrow"/>
      <color rgb="FF000000"/>
      <sz val="12"/>
    </font>
    <font>
      <name val="Arial Narrow"/>
      <b val="1"/>
      <color rgb="FF000000"/>
      <sz val="12"/>
    </font>
    <font>
      <name val="Arial Narrow"/>
      <b val="1"/>
      <color rgb="FF0000FF"/>
      <sz val="12"/>
    </font>
    <font>
      <name val="Arial Narrow"/>
      <color rgb="FF00B050"/>
      <sz val="12"/>
    </font>
    <font>
      <name val="Arial Narrow"/>
      <i val="1"/>
      <color rgb="FFFF0000"/>
      <sz val="12"/>
    </font>
    <font>
      <name val="Arial Narrow"/>
      <b val="1"/>
      <color rgb="FFFF0000"/>
      <sz val="12"/>
    </font>
    <font>
      <name val="Arial Narrow"/>
      <b val="1"/>
      <color rgb="FFFFFFFF"/>
      <sz val="8"/>
    </font>
    <font>
      <name val="Arial Narrow"/>
      <b val="1"/>
      <color rgb="FF00B050"/>
      <sz val="12"/>
    </font>
    <font>
      <name val="Arial Narrow"/>
      <b val="1"/>
      <color rgb="FFFFFFFF"/>
      <sz val="26"/>
    </font>
    <font>
      <name val="Arial Narrow"/>
      <color rgb="FFFFFFFF"/>
      <sz val="10"/>
    </font>
    <font>
      <name val="Arial Narrow"/>
      <color rgb="FF0000FF"/>
      <sz val="9"/>
    </font>
    <font>
      <name val="Arial Narrow"/>
      <i val="1"/>
      <strike val="1"/>
      <color rgb="FF808080"/>
      <sz val="11"/>
    </font>
    <font>
      <name val="Arial Narrow"/>
      <i val="1"/>
      <strike val="1"/>
      <color rgb="FF808080"/>
      <sz val="9"/>
    </font>
    <font>
      <name val="Arial Narrow"/>
      <color rgb="FF808080"/>
      <sz val="11"/>
    </font>
    <font>
      <name val="Arial Narrow"/>
      <color rgb="FF606060"/>
      <sz val="9"/>
    </font>
    <font>
      <name val="Arial Narrow"/>
      <b val="1"/>
      <sz val="11"/>
    </font>
    <font>
      <name val="Arial Narrow"/>
      <i val="1"/>
      <color rgb="FFC00000"/>
      <sz val="9"/>
    </font>
    <font>
      <name val="Arial Narrow"/>
      <b val="1"/>
      <color rgb="FFC00000"/>
      <sz val="11"/>
    </font>
    <font>
      <name val="Arial Narrow"/>
      <i val="1"/>
      <color rgb="FF606060"/>
      <sz val="9"/>
    </font>
    <font>
      <name val="Arial Narrow"/>
      <b val="1"/>
      <strike val="0"/>
      <color rgb="FFFFFFFF"/>
      <sz val="11"/>
    </font>
    <font>
      <name val="Arial Narrow"/>
      <b val="1"/>
      <strike val="0"/>
      <color rgb="FF000000"/>
      <sz val="10"/>
    </font>
    <font>
      <name val="Arial Narrow"/>
      <strike val="0"/>
      <color rgb="FF606060"/>
      <sz val="9"/>
    </font>
    <font>
      <name val="Arial Narrow"/>
      <strike val="0"/>
      <color rgb="FF00B050"/>
      <sz val="10"/>
    </font>
    <font>
      <name val="Arial Narrow"/>
      <strike val="0"/>
      <color rgb="FF000000"/>
      <sz val="10"/>
    </font>
    <font>
      <name val="Arial Narrow"/>
      <i val="1"/>
      <strike val="0"/>
      <color rgb="FFC00000"/>
      <sz val="9"/>
    </font>
    <font>
      <name val="Arial Narrow"/>
      <b val="1"/>
      <strike val="0"/>
      <color rgb="FF00B050"/>
      <sz val="10"/>
    </font>
    <font>
      <name val="Arial Narrow"/>
      <b val="1"/>
      <sz val="10"/>
    </font>
    <font>
      <name val="Arial Narrow"/>
      <b val="1"/>
      <color rgb="FFC00000"/>
      <sz val="10"/>
    </font>
  </fonts>
  <fills count="36">
    <fill>
      <patternFill/>
    </fill>
    <fill>
      <patternFill patternType="gray125"/>
    </fill>
    <fill>
      <patternFill patternType="solid">
        <fgColor theme="1"/>
        <bgColor rgb="FF191919"/>
      </patternFill>
    </fill>
    <fill>
      <patternFill patternType="solid">
        <fgColor rgb="FFFFF2CC"/>
        <bgColor rgb="FFFFF1C1"/>
      </patternFill>
    </fill>
    <fill>
      <patternFill patternType="solid">
        <fgColor rgb="FF003366"/>
        <bgColor rgb="FF013451"/>
      </patternFill>
    </fill>
    <fill>
      <patternFill patternType="solid">
        <fgColor rgb="FF1F4E78"/>
        <bgColor rgb="FF1F4E79"/>
      </patternFill>
    </fill>
    <fill>
      <patternFill patternType="solid">
        <fgColor rgb="FF2E75B6"/>
        <bgColor rgb="FF0070C0"/>
      </patternFill>
    </fill>
    <fill>
      <patternFill patternType="solid">
        <fgColor rgb="FFE2EFDA"/>
        <bgColor rgb="FFF2EFEA"/>
      </patternFill>
    </fill>
    <fill>
      <patternFill patternType="solid">
        <fgColor rgb="FF7A5230"/>
        <bgColor rgb="FF595959"/>
      </patternFill>
    </fill>
    <fill>
      <patternFill patternType="solid">
        <fgColor rgb="FFC8A97E"/>
        <bgColor rgb="FFBFB8AC"/>
      </patternFill>
    </fill>
    <fill>
      <patternFill patternType="solid">
        <fgColor rgb="FFF2EFEA"/>
        <bgColor rgb="FFF2F2F2"/>
      </patternFill>
    </fill>
    <fill>
      <patternFill patternType="solid">
        <fgColor rgb="FF1F3B57"/>
        <bgColor rgb="FF013451"/>
      </patternFill>
    </fill>
    <fill>
      <patternFill patternType="solid">
        <fgColor rgb="FFD9A321"/>
        <bgColor rgb="FFC8A97E"/>
      </patternFill>
    </fill>
    <fill>
      <patternFill patternType="solid">
        <fgColor rgb="FF1F4E79"/>
        <bgColor rgb="FF1F4E78"/>
      </patternFill>
    </fill>
    <fill>
      <patternFill patternType="solid">
        <fgColor rgb="FFFCE4D6"/>
        <bgColor rgb="FFFFF2CC"/>
      </patternFill>
    </fill>
    <fill>
      <patternFill patternType="solid">
        <fgColor rgb="FF002060"/>
        <bgColor rgb="FF011D4B"/>
      </patternFill>
    </fill>
    <fill>
      <patternFill patternType="solid">
        <fgColor theme="5" tint="0.5997802667317729"/>
        <bgColor rgb="FFBBE6FE"/>
      </patternFill>
    </fill>
    <fill>
      <patternFill patternType="solid">
        <fgColor theme="5"/>
        <bgColor rgb="FF0070C0"/>
      </patternFill>
    </fill>
    <fill>
      <patternFill patternType="solid">
        <fgColor theme="5" tint="0.7997985778374584"/>
        <bgColor rgb="FFD6E4F0"/>
      </patternFill>
    </fill>
    <fill>
      <patternFill patternType="solid">
        <fgColor theme="0"/>
        <bgColor rgb="FFF2F2F2"/>
      </patternFill>
    </fill>
    <fill>
      <patternFill patternType="solid">
        <fgColor theme="5" tint="-0.249977111117893"/>
        <bgColor rgb="FF1F4E79"/>
      </patternFill>
    </fill>
    <fill>
      <patternFill patternType="solid">
        <fgColor theme="2" tint="-0.0499893185216834"/>
        <bgColor rgb="FFF2EFEA"/>
      </patternFill>
    </fill>
    <fill>
      <patternFill patternType="solid">
        <fgColor rgb="FF00B0F0"/>
        <bgColor rgb="FF0070C0"/>
      </patternFill>
    </fill>
    <fill>
      <patternFill patternType="solid">
        <fgColor theme="8" tint="0.7997985778374584"/>
        <bgColor rgb="FFFFF2CC"/>
      </patternFill>
    </fill>
    <fill>
      <patternFill patternType="solid">
        <fgColor rgb="FFD6E4F0"/>
        <bgColor rgb="FFD9D9D9"/>
      </patternFill>
    </fill>
    <fill>
      <patternFill patternType="solid">
        <fgColor rgb="FFFFFF00"/>
        <bgColor rgb="FFFFF1C1"/>
      </patternFill>
    </fill>
    <fill>
      <patternFill patternType="solid">
        <fgColor rgb="FF334BFF"/>
        <bgColor rgb="FF333399"/>
      </patternFill>
    </fill>
    <fill>
      <patternFill patternType="solid">
        <fgColor rgb="FFD5D8DB"/>
        <bgColor rgb="FFD9D9D9"/>
      </patternFill>
    </fill>
    <fill>
      <patternFill patternType="solid">
        <fgColor rgb="FFD9D9D9"/>
        <bgColor rgb="FFD5D8DB"/>
      </patternFill>
    </fill>
    <fill>
      <patternFill patternType="solid">
        <fgColor theme="5" tint="-0.499984740745262"/>
        <bgColor rgb="FF003366"/>
      </patternFill>
    </fill>
    <fill>
      <patternFill patternType="solid">
        <fgColor theme="7" tint="0.7997985778374584"/>
        <bgColor rgb="FFFFC7CE"/>
      </patternFill>
    </fill>
    <fill>
      <patternFill patternType="solid">
        <fgColor theme="9" tint="0.7997985778374584"/>
        <bgColor rgb="FFFFC7CE"/>
      </patternFill>
    </fill>
    <fill>
      <patternFill patternType="solid">
        <fgColor rgb="FF132E57"/>
      </patternFill>
    </fill>
    <fill>
      <patternFill patternType="solid">
        <fgColor rgb="FFED942D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FB8AC"/>
      </left>
      <right style="thin">
        <color rgb="FFBFB8AC"/>
      </right>
      <top style="thin">
        <color rgb="FFBFB8AC"/>
      </top>
      <bottom style="thin">
        <color rgb="FFBFB8A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theme="1"/>
      </left>
      <right/>
      <top/>
      <bottom style="double">
        <color theme="1"/>
      </bottom>
      <diagonal/>
    </border>
    <border>
      <left/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9" tint="0.3994872890408033"/>
      </left>
      <right/>
      <top style="thin">
        <color theme="9" tint="0.3994872890408033"/>
      </top>
      <bottom style="thin">
        <color theme="9" tint="0.3994872890408033"/>
      </bottom>
      <diagonal/>
    </border>
    <border>
      <left/>
      <right/>
      <top style="thin">
        <color theme="9" tint="0.3994872890408033"/>
      </top>
      <bottom style="thin">
        <color theme="9" tint="0.3994872890408033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bottom style="thin">
        <color rgb="FFBFBFBF"/>
      </bottom>
    </border>
    <border>
      <top style="thin">
        <color rgb="FF000000"/>
      </top>
    </border>
    <border>
      <left/>
      <right/>
      <top/>
      <bottom style="thin">
        <color rgb="FFBFBFBF"/>
      </bottom>
      <diagonal/>
    </border>
    <border>
      <right/>
      <bottom style="thin">
        <color rgb="FFBFBFBF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right/>
      <bottom/>
    </border>
  </borders>
  <cellStyleXfs count="14">
    <xf numFmtId="0" fontId="151" fillId="0" borderId="0"/>
    <xf numFmtId="189" fontId="2" fillId="0" borderId="0"/>
    <xf numFmtId="189" fontId="3" fillId="0" borderId="0"/>
    <xf numFmtId="189" fontId="151" fillId="0" borderId="0"/>
    <xf numFmtId="0" fontId="4" fillId="0" borderId="0"/>
    <xf numFmtId="0" fontId="151" fillId="0" borderId="0"/>
    <xf numFmtId="0" fontId="151" fillId="0" borderId="0"/>
    <xf numFmtId="0" fontId="151" fillId="0" borderId="0"/>
    <xf numFmtId="0" fontId="5" fillId="0" borderId="0"/>
    <xf numFmtId="0" fontId="151" fillId="0" borderId="0"/>
    <xf numFmtId="169" fontId="6" fillId="0" borderId="0" applyAlignment="1">
      <alignment horizontal="center"/>
    </xf>
    <xf numFmtId="9" fontId="2" fillId="0" borderId="0"/>
    <xf numFmtId="169" fontId="6" fillId="2" borderId="0"/>
    <xf numFmtId="169" fontId="7" fillId="0" borderId="0" applyAlignment="1">
      <alignment horizontal="left" vertical="center"/>
    </xf>
  </cellStyleXfs>
  <cellXfs count="2083">
    <xf numFmtId="0" fontId="0" fillId="0" borderId="0" pivotButton="0" quotePrefix="0" xfId="0"/>
    <xf numFmtId="0" fontId="30" fillId="0" borderId="0" pivotButton="0" quotePrefix="0" xfId="0"/>
    <xf numFmtId="0" fontId="4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/>
    </xf>
    <xf numFmtId="0" fontId="8" fillId="3" borderId="0" pivotButton="0" quotePrefix="0" xfId="0"/>
    <xf numFmtId="164" fontId="8" fillId="3" borderId="0" pivotButton="0" quotePrefix="0" xfId="0"/>
    <xf numFmtId="164" fontId="0" fillId="0" borderId="0" pivotButton="0" quotePrefix="0" xfId="0"/>
    <xf numFmtId="164" fontId="9" fillId="0" borderId="0" pivotButton="0" quotePrefix="0" xfId="0"/>
    <xf numFmtId="165" fontId="8" fillId="3" borderId="0" pivotButton="0" quotePrefix="0" xfId="0"/>
    <xf numFmtId="165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left"/>
    </xf>
    <xf numFmtId="0" fontId="11" fillId="4" borderId="1" applyAlignment="1" pivotButton="0" quotePrefix="0" xfId="0">
      <alignment horizontal="left"/>
    </xf>
    <xf numFmtId="0" fontId="11" fillId="4" borderId="2" applyAlignment="1" pivotButton="0" quotePrefix="0" xfId="0">
      <alignment horizontal="left"/>
    </xf>
    <xf numFmtId="0" fontId="11" fillId="4" borderId="3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left"/>
    </xf>
    <xf numFmtId="166" fontId="12" fillId="0" borderId="0" applyAlignment="1" pivotButton="0" quotePrefix="0" xfId="0">
      <alignment horizontal="right"/>
    </xf>
    <xf numFmtId="167" fontId="9" fillId="0" borderId="5" pivotButton="0" quotePrefix="0" xfId="0"/>
    <xf numFmtId="167" fontId="0" fillId="0" borderId="0" pivotButton="0" quotePrefix="0" xfId="0"/>
    <xf numFmtId="165" fontId="12" fillId="0" borderId="0" pivotButton="0" quotePrefix="0" xfId="0"/>
    <xf numFmtId="167" fontId="13" fillId="0" borderId="5" pivotButton="0" quotePrefix="0" xfId="0"/>
    <xf numFmtId="3" fontId="13" fillId="0" borderId="5" applyAlignment="1" pivotButton="0" quotePrefix="0" xfId="0">
      <alignment horizontal="right"/>
    </xf>
    <xf numFmtId="9" fontId="0" fillId="0" borderId="0" pivotButton="0" quotePrefix="0" xfId="0"/>
    <xf numFmtId="165" fontId="9" fillId="0" borderId="5" pivotButton="0" quotePrefix="0" xfId="0"/>
    <xf numFmtId="0" fontId="14" fillId="0" borderId="4" pivotButton="0" quotePrefix="0" xfId="0"/>
    <xf numFmtId="165" fontId="12" fillId="0" borderId="5" pivotButton="0" quotePrefix="0" xfId="0"/>
    <xf numFmtId="0" fontId="14" fillId="0" borderId="6" pivotButton="0" quotePrefix="0" xfId="0"/>
    <xf numFmtId="0" fontId="0" fillId="0" borderId="7" pivotButton="0" quotePrefix="0" xfId="0"/>
    <xf numFmtId="165" fontId="12" fillId="0" borderId="7" pivotButton="0" quotePrefix="0" xfId="0"/>
    <xf numFmtId="0" fontId="0" fillId="0" borderId="8" pivotButton="0" quotePrefix="0" xfId="0"/>
    <xf numFmtId="0" fontId="10" fillId="0" borderId="4" pivotButton="0" quotePrefix="0" xfId="0"/>
    <xf numFmtId="0" fontId="0" fillId="0" borderId="4" applyAlignment="1" pivotButton="0" quotePrefix="0" xfId="0">
      <alignment horizontal="left" indent="1"/>
    </xf>
    <xf numFmtId="167" fontId="13" fillId="0" borderId="0" pivotButton="0" quotePrefix="0" xfId="0"/>
    <xf numFmtId="168" fontId="12" fillId="0" borderId="5" pivotButton="0" quotePrefix="0" xfId="0"/>
    <xf numFmtId="167" fontId="9" fillId="0" borderId="0" pivotButton="0" quotePrefix="0" xfId="0"/>
    <xf numFmtId="169" fontId="12" fillId="0" borderId="5" pivotButton="0" quotePrefix="0" xfId="0"/>
    <xf numFmtId="0" fontId="10" fillId="0" borderId="4" applyAlignment="1" pivotButton="0" quotePrefix="0" xfId="0">
      <alignment horizontal="left"/>
    </xf>
    <xf numFmtId="167" fontId="15" fillId="0" borderId="2" pivotButton="0" quotePrefix="0" xfId="0"/>
    <xf numFmtId="0" fontId="0" fillId="0" borderId="6" pivotButton="0" quotePrefix="0" xfId="0"/>
    <xf numFmtId="167" fontId="13" fillId="0" borderId="8" pivotButton="0" quotePrefix="0" xfId="0"/>
    <xf numFmtId="170" fontId="13" fillId="0" borderId="0" pivotButton="0" quotePrefix="0" xfId="0"/>
    <xf numFmtId="0" fontId="12" fillId="0" borderId="5" applyAlignment="1" pivotButton="0" quotePrefix="0" xfId="0">
      <alignment horizontal="right"/>
    </xf>
    <xf numFmtId="0" fontId="9" fillId="0" borderId="5" applyAlignment="1" pivotButton="0" quotePrefix="0" xfId="0">
      <alignment horizontal="right"/>
    </xf>
    <xf numFmtId="166" fontId="9" fillId="0" borderId="5" applyAlignment="1" pivotButton="0" quotePrefix="0" xfId="0">
      <alignment horizontal="right"/>
    </xf>
    <xf numFmtId="3" fontId="9" fillId="0" borderId="5" applyAlignment="1" pivotButton="0" quotePrefix="0" xfId="0">
      <alignment horizontal="right"/>
    </xf>
    <xf numFmtId="3" fontId="9" fillId="0" borderId="5" pivotButton="0" quotePrefix="0" xfId="0"/>
    <xf numFmtId="167" fontId="9" fillId="0" borderId="5" applyAlignment="1" pivotButton="0" quotePrefix="0" xfId="0">
      <alignment horizontal="right"/>
    </xf>
    <xf numFmtId="9" fontId="9" fillId="0" borderId="8" applyAlignment="1" pivotButton="0" quotePrefix="0" xfId="0">
      <alignment horizontal="right"/>
    </xf>
    <xf numFmtId="165" fontId="9" fillId="0" borderId="8" pivotButton="0" quotePrefix="0" xfId="0"/>
    <xf numFmtId="166" fontId="0" fillId="0" borderId="0" pivotButton="0" quotePrefix="0" xfId="0"/>
    <xf numFmtId="0" fontId="10" fillId="0" borderId="7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167" fontId="16" fillId="0" borderId="0" pivotButton="0" quotePrefix="0" xfId="0"/>
    <xf numFmtId="167" fontId="16" fillId="0" borderId="3" pivotButton="0" quotePrefix="0" xfId="0"/>
    <xf numFmtId="167" fontId="17" fillId="0" borderId="0" pivotButton="0" quotePrefix="0" xfId="0"/>
    <xf numFmtId="167" fontId="17" fillId="0" borderId="3" pivotButton="0" quotePrefix="0" xfId="0"/>
    <xf numFmtId="167" fontId="12" fillId="0" borderId="0" pivotButton="0" quotePrefix="0" xfId="0"/>
    <xf numFmtId="167" fontId="12" fillId="0" borderId="5" pivotButton="0" quotePrefix="0" xfId="0"/>
    <xf numFmtId="0" fontId="10" fillId="0" borderId="4" applyAlignment="1" pivotButton="0" quotePrefix="0" xfId="0">
      <alignment horizontal="left" indent="1"/>
    </xf>
    <xf numFmtId="167" fontId="10" fillId="0" borderId="0" pivotButton="0" quotePrefix="0" xfId="0"/>
    <xf numFmtId="167" fontId="10" fillId="0" borderId="5" pivotButton="0" quotePrefix="0" xfId="0"/>
    <xf numFmtId="167" fontId="16" fillId="0" borderId="5" pivotButton="0" quotePrefix="0" xfId="0"/>
    <xf numFmtId="167" fontId="17" fillId="0" borderId="5" pivotButton="0" quotePrefix="0" xfId="0"/>
    <xf numFmtId="167" fontId="0" fillId="0" borderId="5" pivotButton="0" quotePrefix="0" xfId="0"/>
    <xf numFmtId="166" fontId="10" fillId="0" borderId="0" pivotButton="0" quotePrefix="0" xfId="0"/>
    <xf numFmtId="166" fontId="10" fillId="0" borderId="5" pivotButton="0" quotePrefix="0" xfId="0"/>
    <xf numFmtId="0" fontId="0" fillId="0" borderId="6" applyAlignment="1" pivotButton="0" quotePrefix="0" xfId="0">
      <alignment horizontal="left"/>
    </xf>
    <xf numFmtId="3" fontId="9" fillId="0" borderId="7" pivotButton="0" quotePrefix="0" xfId="0"/>
    <xf numFmtId="3" fontId="9" fillId="0" borderId="8" pivotButton="0" quotePrefix="0" xfId="0"/>
    <xf numFmtId="3" fontId="12" fillId="0" borderId="7" pivotButton="0" quotePrefix="0" xfId="0"/>
    <xf numFmtId="3" fontId="12" fillId="0" borderId="8" pivotButton="0" quotePrefix="0" xfId="0"/>
    <xf numFmtId="167" fontId="15" fillId="0" borderId="0" pivotButton="0" quotePrefix="0" xfId="0"/>
    <xf numFmtId="167" fontId="15" fillId="0" borderId="3" pivotButton="0" quotePrefix="0" xfId="0"/>
    <xf numFmtId="0" fontId="18" fillId="0" borderId="9" applyAlignment="1" pivotButton="0" quotePrefix="0" xfId="0">
      <alignment horizontal="left" indent="1"/>
    </xf>
    <xf numFmtId="0" fontId="0" fillId="0" borderId="10" pivotButton="0" quotePrefix="0" xfId="0"/>
    <xf numFmtId="167" fontId="13" fillId="0" borderId="10" pivotButton="0" quotePrefix="0" xfId="0"/>
    <xf numFmtId="167" fontId="13" fillId="0" borderId="11" pivotButton="0" quotePrefix="0" xfId="0"/>
    <xf numFmtId="0" fontId="0" fillId="0" borderId="9" applyAlignment="1" pivotButton="0" quotePrefix="0" xfId="0">
      <alignment horizontal="left" indent="1"/>
    </xf>
    <xf numFmtId="167" fontId="15" fillId="0" borderId="5" pivotButton="0" quotePrefix="0" xfId="0"/>
    <xf numFmtId="0" fontId="13" fillId="0" borderId="0" pivotButton="0" quotePrefix="0" xfId="0"/>
    <xf numFmtId="0" fontId="13" fillId="0" borderId="5" pivotButton="0" quotePrefix="0" xfId="0"/>
    <xf numFmtId="0" fontId="0" fillId="0" borderId="9" applyAlignment="1" pivotButton="0" quotePrefix="0" xfId="0">
      <alignment horizontal="left" indent="3"/>
    </xf>
    <xf numFmtId="0" fontId="19" fillId="0" borderId="4" applyAlignment="1" pivotButton="0" quotePrefix="0" xfId="0">
      <alignment horizontal="left" indent="1"/>
    </xf>
    <xf numFmtId="0" fontId="0" fillId="0" borderId="1" applyAlignment="1" pivotButton="0" quotePrefix="0" xfId="0">
      <alignment horizontal="left" indent="1"/>
    </xf>
    <xf numFmtId="0" fontId="0" fillId="0" borderId="2" pivotButton="0" quotePrefix="0" xfId="0"/>
    <xf numFmtId="167" fontId="0" fillId="0" borderId="2" pivotButton="0" quotePrefix="0" xfId="0"/>
    <xf numFmtId="167" fontId="0" fillId="0" borderId="3" pivotButton="0" quotePrefix="0" xfId="0"/>
    <xf numFmtId="0" fontId="0" fillId="0" borderId="6" applyAlignment="1" pivotButton="0" quotePrefix="0" xfId="0">
      <alignment horizontal="left" indent="1"/>
    </xf>
    <xf numFmtId="167" fontId="0" fillId="0" borderId="7" pivotButton="0" quotePrefix="0" xfId="0"/>
    <xf numFmtId="167" fontId="0" fillId="0" borderId="8" pivotButton="0" quotePrefix="0" xfId="0"/>
    <xf numFmtId="0" fontId="0" fillId="0" borderId="9" applyAlignment="1" pivotButton="0" quotePrefix="0" xfId="0">
      <alignment horizontal="left"/>
    </xf>
    <xf numFmtId="3" fontId="13" fillId="0" borderId="10" pivotButton="0" quotePrefix="0" xfId="0"/>
    <xf numFmtId="3" fontId="13" fillId="0" borderId="11" pivotButton="0" quotePrefix="0" xfId="0"/>
    <xf numFmtId="3" fontId="13" fillId="0" borderId="0" pivotButton="0" quotePrefix="0" xfId="0"/>
    <xf numFmtId="3" fontId="13" fillId="0" borderId="5" pivotButton="0" quotePrefix="0" xfId="0"/>
    <xf numFmtId="0" fontId="10" fillId="0" borderId="6" applyAlignment="1" pivotButton="0" quotePrefix="0" xfId="0">
      <alignment horizontal="left"/>
    </xf>
    <xf numFmtId="168" fontId="10" fillId="0" borderId="7" pivotButton="0" quotePrefix="0" xfId="0"/>
    <xf numFmtId="168" fontId="10" fillId="0" borderId="8" pivotButton="0" quotePrefix="0" xfId="0"/>
    <xf numFmtId="0" fontId="11" fillId="0" borderId="0" pivotButton="0" quotePrefix="0" xfId="0"/>
    <xf numFmtId="0" fontId="20" fillId="0" borderId="0" pivotButton="0" quotePrefix="0" xfId="0"/>
    <xf numFmtId="0" fontId="15" fillId="0" borderId="0" applyAlignment="1" pivotButton="0" quotePrefix="0" xfId="0">
      <alignment horizontal="center"/>
    </xf>
    <xf numFmtId="0" fontId="21" fillId="4" borderId="1" pivotButton="0" quotePrefix="0" xfId="0"/>
    <xf numFmtId="0" fontId="21" fillId="4" borderId="2" pivotButton="0" quotePrefix="0" xfId="0"/>
    <xf numFmtId="0" fontId="11" fillId="4" borderId="3" applyAlignment="1" pivotButton="0" quotePrefix="0" xfId="0">
      <alignment horizontal="center"/>
    </xf>
    <xf numFmtId="2" fontId="0" fillId="0" borderId="0" pivotButton="0" quotePrefix="0" xfId="0"/>
    <xf numFmtId="0" fontId="5" fillId="0" borderId="0" pivotButton="0" quotePrefix="0" xfId="0"/>
    <xf numFmtId="171" fontId="5" fillId="0" borderId="0" pivotButton="0" quotePrefix="0" xfId="0"/>
    <xf numFmtId="171" fontId="22" fillId="0" borderId="0" applyAlignment="1" pivotButton="0" quotePrefix="0" xfId="0">
      <alignment horizontal="center"/>
    </xf>
    <xf numFmtId="2" fontId="22" fillId="0" borderId="0" applyAlignment="1" pivotButton="0" quotePrefix="0" xfId="0">
      <alignment horizontal="center"/>
    </xf>
    <xf numFmtId="172" fontId="11" fillId="0" borderId="0" pivotButton="0" quotePrefix="0" xfId="0"/>
    <xf numFmtId="168" fontId="0" fillId="0" borderId="0" pivotButton="0" quotePrefix="0" xfId="0"/>
    <xf numFmtId="0" fontId="15" fillId="0" borderId="0" pivotButton="0" quotePrefix="0" xfId="0"/>
    <xf numFmtId="2" fontId="15" fillId="0" borderId="0" pivotButton="0" quotePrefix="0" xfId="0"/>
    <xf numFmtId="168" fontId="15" fillId="0" borderId="0" pivotButton="0" quotePrefix="0" xfId="0"/>
    <xf numFmtId="0" fontId="23" fillId="4" borderId="2" applyAlignment="1" pivotButton="0" quotePrefix="0" xfId="0">
      <alignment horizontal="left"/>
    </xf>
    <xf numFmtId="0" fontId="24" fillId="4" borderId="2" applyAlignment="1" pivotButton="0" quotePrefix="0" xfId="0">
      <alignment horizontal="left"/>
    </xf>
    <xf numFmtId="0" fontId="24" fillId="4" borderId="3" applyAlignment="1" pivotButton="0" quotePrefix="0" xfId="0">
      <alignment horizontal="left"/>
    </xf>
    <xf numFmtId="0" fontId="12" fillId="0" borderId="0" pivotButton="0" quotePrefix="0" xfId="0"/>
    <xf numFmtId="166" fontId="9" fillId="0" borderId="0" applyAlignment="1" pivotButton="0" quotePrefix="0" xfId="0">
      <alignment horizontal="right"/>
    </xf>
    <xf numFmtId="9" fontId="12" fillId="0" borderId="0" pivotButton="0" quotePrefix="0" xfId="0"/>
    <xf numFmtId="0" fontId="1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12" fillId="0" borderId="0" pivotButton="0" quotePrefix="0" xfId="0"/>
    <xf numFmtId="0" fontId="10" fillId="0" borderId="2" pivotButton="0" quotePrefix="0" xfId="0"/>
    <xf numFmtId="3" fontId="15" fillId="0" borderId="3" pivotButton="0" quotePrefix="0" xfId="0"/>
    <xf numFmtId="0" fontId="0" fillId="0" borderId="0" applyAlignment="1" pivotButton="0" quotePrefix="0" xfId="0">
      <alignment horizontal="left" indent="1"/>
    </xf>
    <xf numFmtId="0" fontId="10" fillId="0" borderId="6" pivotButton="0" quotePrefix="0" xfId="0"/>
    <xf numFmtId="167" fontId="10" fillId="0" borderId="10" pivotButton="0" quotePrefix="0" xfId="0"/>
    <xf numFmtId="0" fontId="10" fillId="0" borderId="7" pivotButton="0" quotePrefix="0" xfId="0"/>
    <xf numFmtId="0" fontId="10" fillId="0" borderId="10" pivotButton="0" quotePrefix="0" xfId="0"/>
    <xf numFmtId="3" fontId="15" fillId="0" borderId="11" pivotButton="0" quotePrefix="0" xfId="0"/>
    <xf numFmtId="0" fontId="15" fillId="0" borderId="5" applyAlignment="1" pivotButton="0" quotePrefix="0" xfId="0">
      <alignment horizontal="center"/>
    </xf>
    <xf numFmtId="4" fontId="16" fillId="0" borderId="0" applyAlignment="1" pivotButton="0" quotePrefix="0" xfId="0">
      <alignment horizontal="left"/>
    </xf>
    <xf numFmtId="0" fontId="10" fillId="0" borderId="1" pivotButton="0" quotePrefix="0" xfId="0"/>
    <xf numFmtId="173" fontId="15" fillId="0" borderId="2" pivotButton="0" quotePrefix="0" xfId="0"/>
    <xf numFmtId="173" fontId="16" fillId="0" borderId="2" pivotButton="0" quotePrefix="0" xfId="0"/>
    <xf numFmtId="167" fontId="25" fillId="0" borderId="0" pivotButton="0" quotePrefix="0" xfId="0"/>
    <xf numFmtId="174" fontId="25" fillId="0" borderId="0" pivotButton="0" quotePrefix="0" xfId="0"/>
    <xf numFmtId="174" fontId="13" fillId="0" borderId="0" pivotButton="0" quotePrefix="0" xfId="0"/>
    <xf numFmtId="168" fontId="13" fillId="0" borderId="4" applyAlignment="1" pivotButton="0" quotePrefix="0" xfId="0">
      <alignment horizontal="left" indent="1"/>
    </xf>
    <xf numFmtId="168" fontId="26" fillId="0" borderId="0" pivotButton="0" quotePrefix="0" xfId="0"/>
    <xf numFmtId="168" fontId="27" fillId="0" borderId="0" pivotButton="0" quotePrefix="0" xfId="0"/>
    <xf numFmtId="168" fontId="26" fillId="0" borderId="4" pivotButton="0" quotePrefix="0" xfId="0"/>
    <xf numFmtId="168" fontId="27" fillId="0" borderId="5" pivotButton="0" quotePrefix="0" xfId="0"/>
    <xf numFmtId="168" fontId="28" fillId="0" borderId="0" applyAlignment="1" pivotButton="0" quotePrefix="0" xfId="0">
      <alignment horizontal="left"/>
    </xf>
    <xf numFmtId="168" fontId="28" fillId="0" borderId="5" applyAlignment="1" pivotButton="0" quotePrefix="0" xfId="0">
      <alignment horizontal="left"/>
    </xf>
    <xf numFmtId="167" fontId="15" fillId="0" borderId="7" pivotButton="0" quotePrefix="0" xfId="0"/>
    <xf numFmtId="167" fontId="15" fillId="0" borderId="8" pivotButton="0" quotePrefix="0" xfId="0"/>
    <xf numFmtId="175" fontId="10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2" fillId="3" borderId="0" pivotButton="0" quotePrefix="0" xfId="0"/>
    <xf numFmtId="165" fontId="29" fillId="0" borderId="0" pivotButton="0" quotePrefix="0" xfId="0"/>
    <xf numFmtId="165" fontId="33" fillId="0" borderId="0" pivotButton="0" quotePrefix="0" xfId="0"/>
    <xf numFmtId="165" fontId="34" fillId="0" borderId="0" pivotButton="0" quotePrefix="0" xfId="0"/>
    <xf numFmtId="176" fontId="33" fillId="0" borderId="0" pivotButton="0" quotePrefix="0" xfId="0"/>
    <xf numFmtId="0" fontId="35" fillId="3" borderId="0" applyAlignment="1" pivotButton="0" quotePrefix="0" xfId="0">
      <alignment vertical="center"/>
    </xf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177" fontId="29" fillId="0" borderId="0" pivotButton="0" quotePrefix="0" xfId="0"/>
    <xf numFmtId="0" fontId="36" fillId="0" borderId="12" applyAlignment="1" pivotButton="0" quotePrefix="0" xfId="0">
      <alignment vertical="center"/>
    </xf>
    <xf numFmtId="177" fontId="37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2" fillId="0" borderId="12" pivotButton="0" quotePrefix="0" xfId="0"/>
    <xf numFmtId="0" fontId="39" fillId="0" borderId="0" applyAlignment="1" pivotButton="0" quotePrefix="0" xfId="0">
      <alignment vertical="center"/>
    </xf>
    <xf numFmtId="0" fontId="30" fillId="6" borderId="0" pivotButton="0" quotePrefix="0" xfId="0"/>
    <xf numFmtId="178" fontId="29" fillId="0" borderId="0" pivotButton="0" quotePrefix="0" xfId="0"/>
    <xf numFmtId="178" fontId="34" fillId="3" borderId="0" pivotButton="0" quotePrefix="0" xfId="0"/>
    <xf numFmtId="0" fontId="32" fillId="7" borderId="0" pivotButton="0" quotePrefix="0" xfId="0"/>
    <xf numFmtId="0" fontId="29" fillId="7" borderId="0" pivotButton="0" quotePrefix="0" xfId="0"/>
    <xf numFmtId="178" fontId="32" fillId="7" borderId="0" pivotButton="0" quotePrefix="0" xfId="0"/>
    <xf numFmtId="0" fontId="41" fillId="0" borderId="0" pivotButton="0" quotePrefix="0" xfId="0"/>
    <xf numFmtId="0" fontId="44" fillId="0" borderId="0" applyAlignment="1" pivotButton="0" quotePrefix="0" xfId="0">
      <alignment vertical="center"/>
    </xf>
    <xf numFmtId="179" fontId="33" fillId="10" borderId="13" applyAlignment="1" pivotButton="0" quotePrefix="0" xfId="0">
      <alignment horizontal="center" vertical="center"/>
    </xf>
    <xf numFmtId="0" fontId="45" fillId="0" borderId="0" applyAlignment="1" pivotButton="0" quotePrefix="0" xfId="0">
      <alignment vertical="center"/>
    </xf>
    <xf numFmtId="179" fontId="33" fillId="0" borderId="13" applyAlignment="1" pivotButton="0" quotePrefix="0" xfId="0">
      <alignment horizontal="right" vertical="center"/>
    </xf>
    <xf numFmtId="0" fontId="46" fillId="0" borderId="0" applyAlignment="1" pivotButton="0" quotePrefix="0" xfId="0">
      <alignment vertical="center"/>
    </xf>
    <xf numFmtId="180" fontId="33" fillId="0" borderId="13" applyAlignment="1" pivotButton="0" quotePrefix="0" xfId="0">
      <alignment horizontal="right" vertical="center"/>
    </xf>
    <xf numFmtId="181" fontId="33" fillId="0" borderId="13" applyAlignment="1" pivotButton="0" quotePrefix="0" xfId="0">
      <alignment horizontal="right" vertical="center"/>
    </xf>
    <xf numFmtId="0" fontId="47" fillId="11" borderId="13" applyAlignment="1" pivotButton="0" quotePrefix="0" xfId="0">
      <alignment horizontal="center" vertical="center" wrapText="1"/>
    </xf>
    <xf numFmtId="0" fontId="48" fillId="0" borderId="13" applyAlignment="1" pivotButton="0" quotePrefix="0" xfId="0">
      <alignment vertical="top" wrapText="1"/>
    </xf>
    <xf numFmtId="0" fontId="49" fillId="0" borderId="13" applyAlignment="1" pivotButton="0" quotePrefix="0" xfId="0">
      <alignment vertical="top" wrapText="1"/>
    </xf>
    <xf numFmtId="179" fontId="19" fillId="0" borderId="13" applyAlignment="1" pivotButton="0" quotePrefix="0" xfId="0">
      <alignment horizontal="center" vertical="center"/>
    </xf>
    <xf numFmtId="182" fontId="33" fillId="0" borderId="13" applyAlignment="1" pivotButton="0" quotePrefix="0" xfId="0">
      <alignment horizontal="center" vertical="center"/>
    </xf>
    <xf numFmtId="179" fontId="38" fillId="0" borderId="13" applyAlignment="1" pivotButton="0" quotePrefix="0" xfId="0">
      <alignment vertical="center"/>
    </xf>
    <xf numFmtId="180" fontId="19" fillId="0" borderId="13" applyAlignment="1" pivotButton="0" quotePrefix="0" xfId="0">
      <alignment horizontal="center" vertical="center"/>
    </xf>
    <xf numFmtId="181" fontId="38" fillId="0" borderId="13" applyAlignment="1" pivotButton="0" quotePrefix="0" xfId="0">
      <alignment vertical="center"/>
    </xf>
    <xf numFmtId="183" fontId="50" fillId="0" borderId="13" applyAlignment="1" pivotButton="0" quotePrefix="0" xfId="0">
      <alignment horizontal="center" vertical="center"/>
    </xf>
    <xf numFmtId="181" fontId="37" fillId="0" borderId="13" applyAlignment="1" pivotButton="0" quotePrefix="0" xfId="0">
      <alignment vertical="center"/>
    </xf>
    <xf numFmtId="0" fontId="51" fillId="0" borderId="13" applyAlignment="1" pivotButton="0" quotePrefix="0" xfId="0">
      <alignment horizontal="center" vertical="center"/>
    </xf>
    <xf numFmtId="184" fontId="33" fillId="0" borderId="13" applyAlignment="1" pivotButton="0" quotePrefix="0" xfId="0">
      <alignment horizontal="center" vertical="center"/>
    </xf>
    <xf numFmtId="181" fontId="44" fillId="0" borderId="13" applyAlignment="1" pivotButton="0" quotePrefix="0" xfId="0">
      <alignment vertical="center"/>
    </xf>
    <xf numFmtId="0" fontId="46" fillId="0" borderId="13" applyAlignment="1" pivotButton="0" quotePrefix="0" xfId="0">
      <alignment vertical="top" wrapText="1"/>
    </xf>
    <xf numFmtId="185" fontId="33" fillId="0" borderId="13" applyAlignment="1" pivotButton="0" quotePrefix="0" xfId="0">
      <alignment horizontal="center" vertical="center"/>
    </xf>
    <xf numFmtId="181" fontId="19" fillId="0" borderId="13" applyAlignment="1" pivotButton="0" quotePrefix="0" xfId="0">
      <alignment horizontal="center" vertical="center"/>
    </xf>
    <xf numFmtId="186" fontId="33" fillId="0" borderId="13" applyAlignment="1" pivotButton="0" quotePrefix="0" xfId="0">
      <alignment horizontal="center" vertical="center"/>
    </xf>
    <xf numFmtId="0" fontId="47" fillId="8" borderId="13" applyAlignment="1" pivotButton="0" quotePrefix="0" xfId="0">
      <alignment vertical="center"/>
    </xf>
    <xf numFmtId="0" fontId="37" fillId="8" borderId="13" applyAlignment="1" pivotButton="0" quotePrefix="0" xfId="0">
      <alignment vertical="center"/>
    </xf>
    <xf numFmtId="181" fontId="47" fillId="8" borderId="13" applyAlignment="1" pivotButton="0" quotePrefix="0" xfId="0">
      <alignment vertical="center"/>
    </xf>
    <xf numFmtId="181" fontId="38" fillId="0" borderId="13" applyAlignment="1" pivotButton="0" quotePrefix="0" xfId="0">
      <alignment horizontal="right" vertical="center"/>
    </xf>
    <xf numFmtId="181" fontId="44" fillId="0" borderId="13" applyAlignment="1" pivotButton="0" quotePrefix="0" xfId="0">
      <alignment horizontal="right" vertical="center"/>
    </xf>
    <xf numFmtId="187" fontId="38" fillId="10" borderId="13" applyAlignment="1" pivotButton="0" quotePrefix="0" xfId="0">
      <alignment horizontal="right" vertical="center"/>
    </xf>
    <xf numFmtId="185" fontId="19" fillId="0" borderId="13" applyAlignment="1" pivotButton="0" quotePrefix="0" xfId="0">
      <alignment horizontal="center" vertical="center"/>
    </xf>
    <xf numFmtId="187" fontId="33" fillId="0" borderId="13" applyAlignment="1" pivotButton="0" quotePrefix="0" xfId="0">
      <alignment horizontal="right" vertical="center"/>
    </xf>
    <xf numFmtId="185" fontId="38" fillId="0" borderId="13" applyAlignment="1" pivotButton="0" quotePrefix="0" xfId="0">
      <alignment horizontal="center" vertical="center"/>
    </xf>
    <xf numFmtId="0" fontId="45" fillId="0" borderId="13" applyAlignment="1" pivotButton="0" quotePrefix="0" xfId="0">
      <alignment horizontal="center" vertical="center"/>
    </xf>
    <xf numFmtId="181" fontId="37" fillId="0" borderId="0" applyAlignment="1" pivotButton="0" quotePrefix="0" xfId="0">
      <alignment vertical="center"/>
    </xf>
    <xf numFmtId="181" fontId="33" fillId="0" borderId="13" applyAlignment="1" pivotButton="0" quotePrefix="0" xfId="0">
      <alignment horizontal="center" vertical="center"/>
    </xf>
    <xf numFmtId="179" fontId="33" fillId="0" borderId="13" applyAlignment="1" pivotButton="0" quotePrefix="0" xfId="0">
      <alignment horizontal="center" vertical="center"/>
    </xf>
    <xf numFmtId="188" fontId="29" fillId="0" borderId="0" pivotButton="0" quotePrefix="0" xfId="0"/>
    <xf numFmtId="165" fontId="32" fillId="0" borderId="0" applyAlignment="1" pivotButton="0" quotePrefix="0" xfId="0">
      <alignment horizontal="center"/>
    </xf>
    <xf numFmtId="177" fontId="32" fillId="0" borderId="0" pivotButton="0" quotePrefix="0" xfId="0"/>
    <xf numFmtId="189" fontId="29" fillId="0" borderId="0" pivotButton="0" quotePrefix="0" xfId="0"/>
    <xf numFmtId="0" fontId="47" fillId="11" borderId="13" applyAlignment="1" pivotButton="0" quotePrefix="0" xfId="0">
      <alignment horizontal="center" vertical="center"/>
    </xf>
    <xf numFmtId="0" fontId="51" fillId="0" borderId="13" applyAlignment="1" pivotButton="0" quotePrefix="0" xfId="0">
      <alignment vertical="top" wrapText="1"/>
    </xf>
    <xf numFmtId="0" fontId="53" fillId="0" borderId="13" applyAlignment="1" pivotButton="0" quotePrefix="0" xfId="0">
      <alignment vertical="top" wrapText="1"/>
    </xf>
    <xf numFmtId="0" fontId="45" fillId="0" borderId="13" applyAlignment="1" pivotButton="0" quotePrefix="0" xfId="0">
      <alignment vertical="center"/>
    </xf>
    <xf numFmtId="187" fontId="56" fillId="0" borderId="13" applyAlignment="1" pivotButton="0" quotePrefix="0" xfId="0">
      <alignment horizontal="right" vertical="center"/>
    </xf>
    <xf numFmtId="183" fontId="37" fillId="0" borderId="13" applyAlignment="1" pivotButton="0" quotePrefix="0" xfId="0">
      <alignment horizontal="right" vertical="center"/>
    </xf>
    <xf numFmtId="0" fontId="46" fillId="0" borderId="13" applyAlignment="1" pivotButton="0" quotePrefix="0" xfId="0">
      <alignment vertical="center" wrapText="1"/>
    </xf>
    <xf numFmtId="0" fontId="57" fillId="0" borderId="0" applyAlignment="1" pivotButton="0" quotePrefix="0" xfId="0">
      <alignment vertical="center"/>
    </xf>
    <xf numFmtId="187" fontId="37" fillId="0" borderId="13" applyAlignment="1" pivotButton="0" quotePrefix="0" xfId="0">
      <alignment horizontal="right" vertical="center"/>
    </xf>
    <xf numFmtId="0" fontId="48" fillId="0" borderId="13" applyAlignment="1" pivotButton="0" quotePrefix="0" xfId="0">
      <alignment vertical="center"/>
    </xf>
    <xf numFmtId="187" fontId="44" fillId="0" borderId="13" applyAlignment="1" pivotButton="0" quotePrefix="0" xfId="0">
      <alignment horizontal="right" vertical="center"/>
    </xf>
    <xf numFmtId="164" fontId="29" fillId="0" borderId="0" pivotButton="0" quotePrefix="0" xfId="0"/>
    <xf numFmtId="183" fontId="36" fillId="0" borderId="0" pivotButton="0" quotePrefix="0" xfId="0"/>
    <xf numFmtId="0" fontId="40" fillId="0" borderId="0" pivotButton="0" quotePrefix="0" xfId="0"/>
    <xf numFmtId="165" fontId="32" fillId="0" borderId="0" pivotButton="0" quotePrefix="0" xfId="0"/>
    <xf numFmtId="0" fontId="60" fillId="0" borderId="14" applyAlignment="1" pivotButton="0" quotePrefix="0" xfId="0">
      <alignment vertical="top"/>
    </xf>
    <xf numFmtId="3" fontId="61" fillId="3" borderId="14" applyAlignment="1" pivotButton="0" quotePrefix="0" xfId="0">
      <alignment horizontal="right" vertical="top"/>
    </xf>
    <xf numFmtId="0" fontId="62" fillId="0" borderId="14" applyAlignment="1" pivotButton="0" quotePrefix="0" xfId="0">
      <alignment vertical="top"/>
    </xf>
    <xf numFmtId="165" fontId="61" fillId="3" borderId="14" applyAlignment="1" pivotButton="0" quotePrefix="0" xfId="0">
      <alignment horizontal="right" vertical="top"/>
    </xf>
    <xf numFmtId="0" fontId="63" fillId="0" borderId="14" applyAlignment="1" pivotButton="0" quotePrefix="0" xfId="0">
      <alignment vertical="top"/>
    </xf>
    <xf numFmtId="0" fontId="0" fillId="0" borderId="14" applyAlignment="1" pivotButton="0" quotePrefix="0" xfId="0">
      <alignment vertical="top"/>
    </xf>
    <xf numFmtId="176" fontId="63" fillId="0" borderId="14" applyAlignment="1" pivotButton="0" quotePrefix="0" xfId="0">
      <alignment vertical="top"/>
    </xf>
    <xf numFmtId="165" fontId="63" fillId="0" borderId="14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right" vertical="top"/>
    </xf>
    <xf numFmtId="0" fontId="59" fillId="12" borderId="14" applyAlignment="1" pivotButton="0" quotePrefix="0" xfId="0">
      <alignment vertical="top"/>
    </xf>
    <xf numFmtId="190" fontId="61" fillId="0" borderId="14" applyAlignment="1" pivotButton="0" quotePrefix="0" xfId="0">
      <alignment horizontal="right" vertical="top"/>
    </xf>
    <xf numFmtId="178" fontId="0" fillId="0" borderId="14" applyAlignment="1" pivotButton="0" quotePrefix="0" xfId="0">
      <alignment vertical="top"/>
    </xf>
    <xf numFmtId="3" fontId="61" fillId="0" borderId="14" applyAlignment="1" pivotButton="0" quotePrefix="0" xfId="0">
      <alignment horizontal="right" vertical="top"/>
    </xf>
    <xf numFmtId="178" fontId="61" fillId="0" borderId="14" applyAlignment="1" pivotButton="0" quotePrefix="0" xfId="0">
      <alignment horizontal="right" vertical="top"/>
    </xf>
    <xf numFmtId="190" fontId="63" fillId="0" borderId="14" applyAlignment="1" pivotButton="0" quotePrefix="0" xfId="0">
      <alignment horizontal="right" vertical="top"/>
    </xf>
    <xf numFmtId="176" fontId="63" fillId="0" borderId="14" applyAlignment="1" pivotButton="0" quotePrefix="0" xfId="0">
      <alignment horizontal="right" vertical="top"/>
    </xf>
    <xf numFmtId="3" fontId="63" fillId="0" borderId="14" applyAlignment="1" pivotButton="0" quotePrefix="0" xfId="0">
      <alignment horizontal="right" vertical="top"/>
    </xf>
    <xf numFmtId="0" fontId="64" fillId="13" borderId="0" pivotButton="0" quotePrefix="0" xfId="0"/>
    <xf numFmtId="0" fontId="29" fillId="13" borderId="0" pivotButton="0" quotePrefix="0" xfId="0"/>
    <xf numFmtId="0" fontId="32" fillId="6" borderId="0" pivotButton="0" quotePrefix="0" xfId="0"/>
    <xf numFmtId="0" fontId="29" fillId="6" borderId="0" pivotButton="0" quotePrefix="0" xfId="0"/>
    <xf numFmtId="0" fontId="65" fillId="0" borderId="0" pivotButton="0" quotePrefix="0" xfId="0"/>
    <xf numFmtId="191" fontId="34" fillId="3" borderId="0" pivotButton="0" quotePrefix="0" xfId="0"/>
    <xf numFmtId="9" fontId="65" fillId="0" borderId="0" pivotButton="0" quotePrefix="0" xfId="0"/>
    <xf numFmtId="0" fontId="30" fillId="6" borderId="0" applyAlignment="1" pivotButton="0" quotePrefix="0" xfId="0">
      <alignment horizontal="center"/>
    </xf>
    <xf numFmtId="178" fontId="65" fillId="0" borderId="0" pivotButton="0" quotePrefix="0" xfId="0"/>
    <xf numFmtId="191" fontId="32" fillId="7" borderId="0" pivotButton="0" quotePrefix="0" xfId="0"/>
    <xf numFmtId="0" fontId="32" fillId="14" borderId="0" pivotButton="0" quotePrefix="0" xfId="0"/>
    <xf numFmtId="191" fontId="32" fillId="14" borderId="0" pivotButton="0" quotePrefix="0" xfId="0"/>
    <xf numFmtId="191" fontId="65" fillId="0" borderId="0" pivotButton="0" quotePrefix="0" xfId="0"/>
    <xf numFmtId="191" fontId="32" fillId="0" borderId="0" pivotButton="0" quotePrefix="0" xfId="0"/>
    <xf numFmtId="9" fontId="32" fillId="14" borderId="0" pivotButton="0" quotePrefix="0" xfId="0"/>
    <xf numFmtId="165" fontId="66" fillId="0" borderId="0" pivotButton="0" quotePrefix="0" xfId="0"/>
    <xf numFmtId="165" fontId="65" fillId="0" borderId="0" pivotButton="0" quotePrefix="0" xfId="0"/>
    <xf numFmtId="191" fontId="66" fillId="0" borderId="0" pivotButton="0" quotePrefix="0" xfId="0"/>
    <xf numFmtId="192" fontId="36" fillId="0" borderId="0" pivotButton="0" quotePrefix="0" xfId="0"/>
    <xf numFmtId="165" fontId="36" fillId="0" borderId="0" pivotButton="0" quotePrefix="0" xfId="0"/>
    <xf numFmtId="192" fontId="66" fillId="0" borderId="0" pivotButton="0" quotePrefix="0" xfId="0"/>
    <xf numFmtId="192" fontId="65" fillId="0" borderId="0" pivotButton="0" quotePrefix="0" xfId="0"/>
    <xf numFmtId="192" fontId="32" fillId="7" borderId="0" pivotButton="0" quotePrefix="0" xfId="0"/>
    <xf numFmtId="193" fontId="65" fillId="0" borderId="0" pivotButton="0" quotePrefix="0" xfId="0"/>
    <xf numFmtId="192" fontId="32" fillId="14" borderId="0" pivotButton="0" quotePrefix="0" xfId="0"/>
    <xf numFmtId="165" fontId="32" fillId="14" borderId="0" pivotButton="0" quotePrefix="0" xfId="0"/>
    <xf numFmtId="194" fontId="32" fillId="14" borderId="0" pivotButton="0" quotePrefix="0" xfId="0"/>
    <xf numFmtId="165" fontId="34" fillId="3" borderId="0" pivotButton="0" quotePrefix="0" xfId="0"/>
    <xf numFmtId="165" fontId="19" fillId="3" borderId="0" pivotButton="0" quotePrefix="0" xfId="0"/>
    <xf numFmtId="2" fontId="34" fillId="3" borderId="0" pivotButton="0" quotePrefix="0" xfId="0"/>
    <xf numFmtId="0" fontId="41" fillId="0" borderId="0" applyAlignment="1" pivotButton="0" quotePrefix="0" xfId="0">
      <alignment horizontal="center"/>
    </xf>
    <xf numFmtId="192" fontId="29" fillId="0" borderId="0" pivotButton="0" quotePrefix="0" xfId="0"/>
    <xf numFmtId="3" fontId="29" fillId="0" borderId="0" pivotButton="0" quotePrefix="0" xfId="0"/>
    <xf numFmtId="165" fontId="34" fillId="3" borderId="0" applyAlignment="1" pivotButton="0" quotePrefix="0" xfId="0">
      <alignment horizontal="center"/>
    </xf>
    <xf numFmtId="176" fontId="34" fillId="3" borderId="0" pivotButton="0" quotePrefix="0" xfId="0"/>
    <xf numFmtId="3" fontId="32" fillId="14" borderId="0" pivotButton="0" quotePrefix="0" xfId="0"/>
    <xf numFmtId="191" fontId="34" fillId="3" borderId="0" applyAlignment="1" pivotButton="0" quotePrefix="0" xfId="0">
      <alignment horizontal="center"/>
    </xf>
    <xf numFmtId="0" fontId="67" fillId="15" borderId="16" applyAlignment="1" pivotButton="0" quotePrefix="0" xfId="0">
      <alignment horizontal="center"/>
    </xf>
    <xf numFmtId="0" fontId="67" fillId="15" borderId="17" applyAlignment="1" pivotButton="0" quotePrefix="0" xfId="0">
      <alignment horizontal="center"/>
    </xf>
    <xf numFmtId="0" fontId="67" fillId="15" borderId="15" pivotButton="0" quotePrefix="0" xfId="0"/>
    <xf numFmtId="0" fontId="11" fillId="5" borderId="0" pivotButton="0" quotePrefix="0" xfId="0"/>
    <xf numFmtId="0" fontId="0" fillId="0" borderId="12" applyAlignment="1" pivotButton="0" quotePrefix="0" xfId="0">
      <alignment wrapText="1"/>
    </xf>
    <xf numFmtId="190" fontId="0" fillId="0" borderId="12" applyAlignment="1" pivotButton="0" quotePrefix="0" xfId="0">
      <alignment horizontal="center"/>
    </xf>
    <xf numFmtId="190" fontId="0" fillId="0" borderId="18" applyAlignment="1" pivotButton="0" quotePrefix="0" xfId="0">
      <alignment horizontal="center"/>
    </xf>
    <xf numFmtId="0" fontId="0" fillId="0" borderId="19" pivotButton="0" quotePrefix="0" xfId="0"/>
    <xf numFmtId="165" fontId="0" fillId="0" borderId="0" pivotButton="0" quotePrefix="0" xfId="0"/>
    <xf numFmtId="165" fontId="0" fillId="0" borderId="20" pivotButton="0" quotePrefix="0" xfId="0"/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76" fontId="0" fillId="0" borderId="0" pivotButton="0" quotePrefix="0" xfId="0"/>
    <xf numFmtId="176" fontId="0" fillId="0" borderId="20" pivotButton="0" quotePrefix="0" xfId="0"/>
    <xf numFmtId="190" fontId="0" fillId="0" borderId="0" applyAlignment="1" pivotButton="0" quotePrefix="0" xfId="0">
      <alignment horizontal="center"/>
    </xf>
    <xf numFmtId="190" fontId="0" fillId="0" borderId="20" applyAlignment="1" pivotButton="0" quotePrefix="0" xfId="0">
      <alignment horizontal="center"/>
    </xf>
    <xf numFmtId="0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76" fontId="0" fillId="0" borderId="0" applyAlignment="1" pivotButton="0" quotePrefix="0" xfId="0">
      <alignment horizontal="center"/>
    </xf>
    <xf numFmtId="176" fontId="0" fillId="0" borderId="20" applyAlignment="1" pivotButton="0" quotePrefix="0" xfId="0">
      <alignment horizontal="center"/>
    </xf>
    <xf numFmtId="190" fontId="9" fillId="0" borderId="12" applyAlignment="1" pivotButton="0" quotePrefix="0" xfId="0">
      <alignment horizontal="center"/>
    </xf>
    <xf numFmtId="190" fontId="9" fillId="0" borderId="18" applyAlignment="1" pivotButton="0" quotePrefix="0" xfId="0">
      <alignment horizontal="center"/>
    </xf>
    <xf numFmtId="190" fontId="9" fillId="0" borderId="0" applyAlignment="1" pivotButton="0" quotePrefix="0" xfId="0">
      <alignment horizontal="center"/>
    </xf>
    <xf numFmtId="190" fontId="9" fillId="0" borderId="20" applyAlignment="1" pivotButton="0" quotePrefix="0" xfId="0">
      <alignment horizontal="center"/>
    </xf>
    <xf numFmtId="195" fontId="9" fillId="0" borderId="0" applyAlignment="1" pivotButton="0" quotePrefix="0" xfId="0">
      <alignment horizontal="center"/>
    </xf>
    <xf numFmtId="195" fontId="9" fillId="0" borderId="20" applyAlignment="1" pivotButton="0" quotePrefix="0" xfId="0">
      <alignment horizontal="center"/>
    </xf>
    <xf numFmtId="195" fontId="0" fillId="0" borderId="0" pivotButton="0" quotePrefix="0" xfId="0"/>
    <xf numFmtId="195" fontId="0" fillId="0" borderId="20" pivotButton="0" quotePrefix="0" xfId="0"/>
    <xf numFmtId="178" fontId="0" fillId="0" borderId="0" pivotButton="0" quotePrefix="0" xfId="0"/>
    <xf numFmtId="178" fontId="0" fillId="0" borderId="20" pivotButton="0" quotePrefix="0" xfId="0"/>
    <xf numFmtId="0" fontId="0" fillId="0" borderId="22" applyAlignment="1" pivotButton="0" quotePrefix="0" xfId="0">
      <alignment wrapText="1"/>
    </xf>
    <xf numFmtId="190" fontId="0" fillId="0" borderId="22" pivotButton="0" quotePrefix="0" xfId="0"/>
    <xf numFmtId="190" fontId="0" fillId="0" borderId="23" pivotButton="0" quotePrefix="0" xfId="0"/>
    <xf numFmtId="0" fontId="68" fillId="16" borderId="16" applyAlignment="1" pivotButton="0" quotePrefix="0" xfId="0">
      <alignment horizontal="center"/>
    </xf>
    <xf numFmtId="0" fontId="68" fillId="16" borderId="17" applyAlignment="1" pivotButton="0" quotePrefix="0" xfId="0">
      <alignment horizontal="center"/>
    </xf>
    <xf numFmtId="0" fontId="69" fillId="16" borderId="15" pivotButton="0" quotePrefix="0" xfId="0"/>
    <xf numFmtId="0" fontId="69" fillId="16" borderId="16" applyAlignment="1" pivotButton="0" quotePrefix="0" xfId="0">
      <alignment horizontal="center"/>
    </xf>
    <xf numFmtId="0" fontId="69" fillId="16" borderId="17" applyAlignment="1" pivotButton="0" quotePrefix="0" xfId="0">
      <alignment horizontal="center"/>
    </xf>
    <xf numFmtId="196" fontId="0" fillId="0" borderId="0" applyAlignment="1" pivotButton="0" quotePrefix="0" xfId="0">
      <alignment horizontal="center"/>
    </xf>
    <xf numFmtId="196" fontId="0" fillId="0" borderId="20" applyAlignment="1" pivotButton="0" quotePrefix="0" xfId="0">
      <alignment horizontal="center"/>
    </xf>
    <xf numFmtId="195" fontId="0" fillId="0" borderId="0" applyAlignment="1" pivotButton="0" quotePrefix="0" xfId="0">
      <alignment horizontal="center"/>
    </xf>
    <xf numFmtId="195" fontId="0" fillId="0" borderId="20" applyAlignment="1" pivotButton="0" quotePrefix="0" xfId="0">
      <alignment horizontal="center"/>
    </xf>
    <xf numFmtId="190" fontId="0" fillId="0" borderId="0" pivotButton="0" quotePrefix="0" xfId="0"/>
    <xf numFmtId="190" fontId="0" fillId="0" borderId="20" pivotButton="0" quotePrefix="0" xfId="0"/>
    <xf numFmtId="0" fontId="29" fillId="0" borderId="5" pivotButton="0" quotePrefix="0" xfId="0"/>
    <xf numFmtId="0" fontId="72" fillId="0" borderId="0" pivotButton="0" quotePrefix="0" xfId="0"/>
    <xf numFmtId="0" fontId="70" fillId="17" borderId="24" applyAlignment="1" pivotButton="0" quotePrefix="0" xfId="0">
      <alignment horizontal="center" vertical="center"/>
    </xf>
    <xf numFmtId="0" fontId="70" fillId="17" borderId="12" applyAlignment="1" pivotButton="0" quotePrefix="0" xfId="0">
      <alignment horizontal="center" vertical="center"/>
    </xf>
    <xf numFmtId="0" fontId="70" fillId="17" borderId="18" applyAlignment="1" pivotButton="0" quotePrefix="0" xfId="0">
      <alignment horizontal="center" vertical="center"/>
    </xf>
    <xf numFmtId="0" fontId="29" fillId="0" borderId="19" applyAlignment="1" pivotButton="0" quotePrefix="0" xfId="0">
      <alignment horizontal="center"/>
    </xf>
    <xf numFmtId="196" fontId="29" fillId="0" borderId="0" applyAlignment="1" pivotButton="0" quotePrefix="0" xfId="0">
      <alignment horizontal="center"/>
    </xf>
    <xf numFmtId="196" fontId="29" fillId="0" borderId="20" applyAlignment="1" pivotButton="0" quotePrefix="0" xfId="0">
      <alignment horizontal="center"/>
    </xf>
    <xf numFmtId="0" fontId="73" fillId="0" borderId="0" pivotButton="0" quotePrefix="0" xfId="0"/>
    <xf numFmtId="2" fontId="29" fillId="0" borderId="20" applyAlignment="1" pivotButton="0" quotePrefix="0" xfId="0">
      <alignment horizontal="center"/>
    </xf>
    <xf numFmtId="196" fontId="74" fillId="0" borderId="0" applyAlignment="1" pivotButton="0" quotePrefix="0" xfId="0">
      <alignment horizontal="center"/>
    </xf>
    <xf numFmtId="196" fontId="74" fillId="0" borderId="20" applyAlignment="1" pivotButton="0" quotePrefix="0" xfId="0">
      <alignment horizontal="center"/>
    </xf>
    <xf numFmtId="0" fontId="72" fillId="0" borderId="12" applyAlignment="1" pivotButton="0" quotePrefix="0" xfId="0">
      <alignment horizontal="center"/>
    </xf>
    <xf numFmtId="196" fontId="29" fillId="0" borderId="12" applyAlignment="1" pivotButton="0" quotePrefix="0" xfId="0">
      <alignment horizontal="center"/>
    </xf>
    <xf numFmtId="2" fontId="29" fillId="0" borderId="18" applyAlignment="1" pivotButton="0" quotePrefix="0" xfId="0">
      <alignment horizontal="center"/>
    </xf>
    <xf numFmtId="0" fontId="72" fillId="0" borderId="24" applyAlignment="1" pivotButton="0" quotePrefix="0" xfId="0">
      <alignment horizontal="left"/>
    </xf>
    <xf numFmtId="196" fontId="29" fillId="0" borderId="18" applyAlignment="1" pivotButton="0" quotePrefix="0" xfId="0">
      <alignment horizontal="center"/>
    </xf>
    <xf numFmtId="0" fontId="72" fillId="18" borderId="0" applyAlignment="1" pivotButton="0" quotePrefix="0" xfId="0">
      <alignment horizontal="center"/>
    </xf>
    <xf numFmtId="196" fontId="29" fillId="18" borderId="0" applyAlignment="1" pivotButton="0" quotePrefix="0" xfId="0">
      <alignment horizontal="center"/>
    </xf>
    <xf numFmtId="2" fontId="29" fillId="18" borderId="20" applyAlignment="1" pivotButton="0" quotePrefix="0" xfId="0">
      <alignment horizontal="center"/>
    </xf>
    <xf numFmtId="0" fontId="72" fillId="19" borderId="19" applyAlignment="1" pivotButton="0" quotePrefix="0" xfId="0">
      <alignment horizontal="left"/>
    </xf>
    <xf numFmtId="0" fontId="72" fillId="19" borderId="0" applyAlignment="1" pivotButton="0" quotePrefix="0" xfId="0">
      <alignment horizontal="center"/>
    </xf>
    <xf numFmtId="196" fontId="29" fillId="19" borderId="0" applyAlignment="1" pivotButton="0" quotePrefix="0" xfId="0">
      <alignment horizontal="center"/>
    </xf>
    <xf numFmtId="196" fontId="29" fillId="19" borderId="20" applyAlignment="1" pivotButton="0" quotePrefix="0" xfId="0">
      <alignment horizontal="center"/>
    </xf>
    <xf numFmtId="0" fontId="72" fillId="0" borderId="22" applyAlignment="1" pivotButton="0" quotePrefix="0" xfId="0">
      <alignment horizontal="center"/>
    </xf>
    <xf numFmtId="196" fontId="29" fillId="0" borderId="22" applyAlignment="1" pivotButton="0" quotePrefix="0" xfId="0">
      <alignment horizontal="center"/>
    </xf>
    <xf numFmtId="2" fontId="29" fillId="0" borderId="23" applyAlignment="1" pivotButton="0" quotePrefix="0" xfId="0">
      <alignment horizontal="center"/>
    </xf>
    <xf numFmtId="0" fontId="75" fillId="0" borderId="19" applyAlignment="1" pivotButton="0" quotePrefix="0" xfId="0">
      <alignment horizontal="left"/>
    </xf>
    <xf numFmtId="0" fontId="72" fillId="0" borderId="0" applyAlignment="1" pivotButton="0" quotePrefix="0" xfId="0">
      <alignment horizontal="center"/>
    </xf>
    <xf numFmtId="0" fontId="76" fillId="0" borderId="0" pivotButton="0" quotePrefix="0" xfId="0"/>
    <xf numFmtId="0" fontId="72" fillId="0" borderId="21" applyAlignment="1" pivotButton="0" quotePrefix="0" xfId="0">
      <alignment horizontal="left"/>
    </xf>
    <xf numFmtId="196" fontId="29" fillId="0" borderId="23" applyAlignment="1" pivotButton="0" quotePrefix="0" xfId="0">
      <alignment horizontal="center"/>
    </xf>
    <xf numFmtId="0" fontId="75" fillId="0" borderId="19" pivotButton="0" quotePrefix="0" xfId="0"/>
    <xf numFmtId="0" fontId="75" fillId="0" borderId="24" pivotButton="0" quotePrefix="0" xfId="0"/>
    <xf numFmtId="0" fontId="29" fillId="0" borderId="12" pivotButton="0" quotePrefix="0" xfId="0"/>
    <xf numFmtId="2" fontId="29" fillId="18" borderId="12" applyAlignment="1" pivotButton="0" quotePrefix="0" xfId="0">
      <alignment horizontal="center"/>
    </xf>
    <xf numFmtId="2" fontId="29" fillId="18" borderId="18" applyAlignment="1" pivotButton="0" quotePrefix="0" xfId="0">
      <alignment horizontal="center"/>
    </xf>
    <xf numFmtId="2" fontId="29" fillId="18" borderId="0" applyAlignment="1" pivotButton="0" quotePrefix="0" xfId="0">
      <alignment horizontal="center"/>
    </xf>
    <xf numFmtId="0" fontId="75" fillId="0" borderId="21" pivotButton="0" quotePrefix="0" xfId="0"/>
    <xf numFmtId="0" fontId="29" fillId="0" borderId="22" pivotButton="0" quotePrefix="0" xfId="0"/>
    <xf numFmtId="2" fontId="29" fillId="18" borderId="22" applyAlignment="1" pivotButton="0" quotePrefix="0" xfId="0">
      <alignment horizontal="center"/>
    </xf>
    <xf numFmtId="2" fontId="29" fillId="18" borderId="23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29" fillId="0" borderId="18" applyAlignment="1" pivotButton="0" quotePrefix="0" xfId="0">
      <alignment horizontal="center"/>
    </xf>
    <xf numFmtId="3" fontId="29" fillId="0" borderId="20" pivotButton="0" quotePrefix="0" xfId="0"/>
    <xf numFmtId="0" fontId="70" fillId="20" borderId="24" applyAlignment="1" pivotButton="0" quotePrefix="0" xfId="0">
      <alignment horizontal="center" vertical="center"/>
    </xf>
    <xf numFmtId="0" fontId="70" fillId="20" borderId="12" applyAlignment="1" pivotButton="0" quotePrefix="0" xfId="0">
      <alignment horizontal="center" vertical="center"/>
    </xf>
    <xf numFmtId="0" fontId="70" fillId="20" borderId="18" applyAlignment="1" pivotButton="0" quotePrefix="0" xfId="0">
      <alignment horizontal="center" vertical="center"/>
    </xf>
    <xf numFmtId="2" fontId="29" fillId="0" borderId="20" pivotButton="0" quotePrefix="0" xfId="0"/>
    <xf numFmtId="0" fontId="29" fillId="0" borderId="20" pivotButton="0" quotePrefix="0" xfId="0"/>
    <xf numFmtId="0" fontId="75" fillId="0" borderId="1" pivotButton="0" quotePrefix="0" xfId="0"/>
    <xf numFmtId="0" fontId="29" fillId="0" borderId="2" pivotButton="0" quotePrefix="0" xfId="0"/>
    <xf numFmtId="189" fontId="29" fillId="0" borderId="2" pivotButton="0" quotePrefix="0" xfId="0"/>
    <xf numFmtId="0" fontId="29" fillId="0" borderId="3" pivotButton="0" quotePrefix="0" xfId="0"/>
    <xf numFmtId="0" fontId="29" fillId="0" borderId="23" pivotButton="0" quotePrefix="0" xfId="0"/>
    <xf numFmtId="0" fontId="75" fillId="0" borderId="4" pivotButton="0" quotePrefix="0" xfId="0"/>
    <xf numFmtId="0" fontId="77" fillId="0" borderId="0" pivotButton="0" quotePrefix="0" xfId="0"/>
    <xf numFmtId="0" fontId="75" fillId="0" borderId="6" pivotButton="0" quotePrefix="0" xfId="0"/>
    <xf numFmtId="0" fontId="29" fillId="0" borderId="7" pivotButton="0" quotePrefix="0" xfId="0"/>
    <xf numFmtId="0" fontId="29" fillId="0" borderId="8" pivotButton="0" quotePrefix="0" xfId="0"/>
    <xf numFmtId="0" fontId="72" fillId="21" borderId="15" pivotButton="0" quotePrefix="0" xfId="0"/>
    <xf numFmtId="0" fontId="72" fillId="21" borderId="16" pivotButton="0" quotePrefix="0" xfId="0"/>
    <xf numFmtId="0" fontId="72" fillId="21" borderId="17" pivotButton="0" quotePrefix="0" xfId="0"/>
    <xf numFmtId="189" fontId="29" fillId="0" borderId="3" applyAlignment="1" pivotButton="0" quotePrefix="0" xfId="0">
      <alignment horizontal="center"/>
    </xf>
    <xf numFmtId="189" fontId="29" fillId="0" borderId="5" applyAlignment="1" pivotButton="0" quotePrefix="0" xfId="0">
      <alignment horizontal="center"/>
    </xf>
    <xf numFmtId="0" fontId="29" fillId="0" borderId="24" pivotButton="0" quotePrefix="0" xfId="0"/>
    <xf numFmtId="2" fontId="29" fillId="21" borderId="12" applyAlignment="1" pivotButton="0" quotePrefix="0" xfId="0">
      <alignment horizontal="center"/>
    </xf>
    <xf numFmtId="2" fontId="29" fillId="21" borderId="18" applyAlignment="1" pivotButton="0" quotePrefix="0" xfId="0">
      <alignment horizontal="center"/>
    </xf>
    <xf numFmtId="0" fontId="29" fillId="0" borderId="19" pivotButton="0" quotePrefix="0" xfId="0"/>
    <xf numFmtId="2" fontId="29" fillId="21" borderId="0" applyAlignment="1" pivotButton="0" quotePrefix="0" xfId="0">
      <alignment horizontal="center"/>
    </xf>
    <xf numFmtId="2" fontId="29" fillId="21" borderId="20" applyAlignment="1" pivotButton="0" quotePrefix="0" xfId="0">
      <alignment horizontal="center"/>
    </xf>
    <xf numFmtId="0" fontId="29" fillId="0" borderId="21" pivotButton="0" quotePrefix="0" xfId="0"/>
    <xf numFmtId="2" fontId="29" fillId="21" borderId="22" applyAlignment="1" pivotButton="0" quotePrefix="0" xfId="0">
      <alignment horizontal="center"/>
    </xf>
    <xf numFmtId="2" fontId="29" fillId="21" borderId="23" applyAlignment="1" pivotButton="0" quotePrefix="0" xfId="0">
      <alignment horizontal="center"/>
    </xf>
    <xf numFmtId="189" fontId="29" fillId="0" borderId="8" applyAlignment="1" pivotButton="0" quotePrefix="0" xfId="0">
      <alignment horizontal="center"/>
    </xf>
    <xf numFmtId="0" fontId="6" fillId="0" borderId="0" pivotButton="0" quotePrefix="0" xfId="0"/>
    <xf numFmtId="0" fontId="79" fillId="15" borderId="0" pivotButton="0" quotePrefix="0" xfId="0"/>
    <xf numFmtId="197" fontId="79" fillId="22" borderId="0" pivotButton="0" quotePrefix="0" xfId="0"/>
    <xf numFmtId="0" fontId="80" fillId="0" borderId="0" applyAlignment="1" applyProtection="1" pivotButton="0" quotePrefix="0" xfId="0">
      <alignment horizontal="left"/>
      <protection locked="0" hidden="0"/>
    </xf>
    <xf numFmtId="198" fontId="81" fillId="0" borderId="0" applyProtection="1" pivotButton="0" quotePrefix="0" xfId="0">
      <protection locked="0" hidden="0"/>
    </xf>
    <xf numFmtId="14" fontId="80" fillId="0" borderId="0" applyAlignment="1" applyProtection="1" pivotButton="0" quotePrefix="0" xfId="0">
      <alignment horizontal="right" wrapText="1"/>
      <protection locked="0" hidden="0"/>
    </xf>
    <xf numFmtId="14" fontId="80" fillId="0" borderId="0" applyAlignment="1" applyProtection="1" pivotButton="0" quotePrefix="0" xfId="0">
      <alignment horizontal="right"/>
      <protection locked="0" hidden="0"/>
    </xf>
    <xf numFmtId="0" fontId="81" fillId="0" borderId="0" applyAlignment="1" applyProtection="1" pivotButton="0" quotePrefix="0" xfId="0">
      <alignment horizontal="left"/>
      <protection locked="0" hidden="0"/>
    </xf>
    <xf numFmtId="198" fontId="80" fillId="0" borderId="0" applyAlignment="1" applyProtection="1" pivotButton="0" quotePrefix="0" xfId="0">
      <alignment horizontal="right" wrapText="1"/>
      <protection locked="0" hidden="0"/>
    </xf>
    <xf numFmtId="198" fontId="80" fillId="0" borderId="0" applyAlignment="1" applyProtection="1" pivotButton="0" quotePrefix="0" xfId="0">
      <alignment horizontal="right"/>
      <protection locked="0" hidden="0"/>
    </xf>
    <xf numFmtId="0" fontId="83" fillId="15" borderId="0" pivotButton="0" quotePrefix="0" xfId="0"/>
    <xf numFmtId="0" fontId="83" fillId="0" borderId="0" pivotButton="0" quotePrefix="0" xfId="0"/>
    <xf numFmtId="165" fontId="6" fillId="0" borderId="0" pivotButton="0" quotePrefix="0" xfId="0"/>
    <xf numFmtId="9" fontId="84" fillId="0" borderId="0" pivotButton="0" quotePrefix="0" xfId="0"/>
    <xf numFmtId="169" fontId="85" fillId="15" borderId="0" applyAlignment="1" pivotButton="0" quotePrefix="0" xfId="0">
      <alignment horizontal="left" vertical="center"/>
    </xf>
    <xf numFmtId="169" fontId="6" fillId="0" borderId="26" applyAlignment="1" pivotButton="0" quotePrefix="0" xfId="0">
      <alignment horizontal="center" vertical="center"/>
    </xf>
    <xf numFmtId="169" fontId="6" fillId="0" borderId="0" applyAlignment="1" pivotButton="0" quotePrefix="0" xfId="0">
      <alignment horizontal="left" vertical="center"/>
    </xf>
    <xf numFmtId="169" fontId="6" fillId="0" borderId="0" pivotButton="0" quotePrefix="0" xfId="0"/>
    <xf numFmtId="169" fontId="85" fillId="15" borderId="1" applyAlignment="1" pivotButton="0" quotePrefix="0" xfId="0">
      <alignment horizontal="left" vertical="center"/>
    </xf>
    <xf numFmtId="169" fontId="85" fillId="15" borderId="27" applyAlignment="1" pivotButton="0" quotePrefix="0" xfId="0">
      <alignment horizontal="left" vertical="center"/>
    </xf>
    <xf numFmtId="169" fontId="85" fillId="15" borderId="2" applyAlignment="1" pivotButton="0" quotePrefix="0" xfId="0">
      <alignment horizontal="center" vertical="center"/>
    </xf>
    <xf numFmtId="169" fontId="85" fillId="15" borderId="27" applyAlignment="1" pivotButton="0" quotePrefix="0" xfId="0">
      <alignment horizontal="center" vertical="center"/>
    </xf>
    <xf numFmtId="169" fontId="6" fillId="0" borderId="4" applyAlignment="1" pivotButton="0" quotePrefix="0" xfId="0">
      <alignment horizontal="left" vertical="center"/>
    </xf>
    <xf numFmtId="169" fontId="7" fillId="0" borderId="28" applyAlignment="1" pivotButton="0" quotePrefix="0" xfId="0">
      <alignment horizontal="left" vertical="center"/>
    </xf>
    <xf numFmtId="9" fontId="86" fillId="0" borderId="0" applyAlignment="1" pivotButton="0" quotePrefix="0" xfId="0">
      <alignment horizontal="right" vertical="center"/>
    </xf>
    <xf numFmtId="165" fontId="82" fillId="23" borderId="28" applyAlignment="1" pivotButton="0" quotePrefix="0" xfId="0">
      <alignment horizontal="right" vertical="center"/>
    </xf>
    <xf numFmtId="165" fontId="86" fillId="0" borderId="0" applyAlignment="1" pivotButton="0" quotePrefix="0" xfId="0">
      <alignment horizontal="right" vertical="center"/>
    </xf>
    <xf numFmtId="0" fontId="6" fillId="0" borderId="4" applyAlignment="1" pivotButton="0" quotePrefix="0" xfId="0">
      <alignment horizontal="left"/>
    </xf>
    <xf numFmtId="10" fontId="6" fillId="0" borderId="0" pivotButton="0" quotePrefix="0" xfId="0"/>
    <xf numFmtId="10" fontId="87" fillId="0" borderId="0" pivotButton="0" quotePrefix="0" xfId="0"/>
    <xf numFmtId="0" fontId="6" fillId="0" borderId="6" applyAlignment="1" pivotButton="0" quotePrefix="0" xfId="0">
      <alignment horizontal="left"/>
    </xf>
    <xf numFmtId="169" fontId="7" fillId="0" borderId="29" applyAlignment="1" pivotButton="0" quotePrefix="0" xfId="0">
      <alignment horizontal="left" vertical="center"/>
    </xf>
    <xf numFmtId="165" fontId="86" fillId="0" borderId="7" applyAlignment="1" pivotButton="0" quotePrefix="0" xfId="0">
      <alignment horizontal="right" vertical="center"/>
    </xf>
    <xf numFmtId="169" fontId="7" fillId="0" borderId="0" pivotButton="0" quotePrefix="0" xfId="0"/>
    <xf numFmtId="9" fontId="6" fillId="0" borderId="0" pivotButton="0" quotePrefix="0" xfId="0"/>
    <xf numFmtId="169" fontId="79" fillId="15" borderId="1" applyAlignment="1" pivotButton="0" quotePrefix="0" xfId="0">
      <alignment horizontal="left" vertical="center"/>
    </xf>
    <xf numFmtId="169" fontId="88" fillId="15" borderId="1" pivotButton="0" quotePrefix="0" xfId="0"/>
    <xf numFmtId="9" fontId="79" fillId="15" borderId="27" pivotButton="0" quotePrefix="0" xfId="0"/>
    <xf numFmtId="169" fontId="7" fillId="0" borderId="4" applyAlignment="1" pivotButton="0" quotePrefix="0" xfId="0">
      <alignment horizontal="left" vertical="center"/>
    </xf>
    <xf numFmtId="165" fontId="89" fillId="23" borderId="28" applyAlignment="1" pivotButton="0" quotePrefix="0" xfId="0">
      <alignment horizontal="right" vertical="center"/>
    </xf>
    <xf numFmtId="199" fontId="89" fillId="23" borderId="28" applyAlignment="1" pivotButton="0" quotePrefix="0" xfId="0">
      <alignment horizontal="right" vertical="center"/>
    </xf>
    <xf numFmtId="10" fontId="84" fillId="0" borderId="0" pivotButton="0" quotePrefix="0" xfId="0"/>
    <xf numFmtId="9" fontId="89" fillId="23" borderId="28" applyAlignment="1" pivotButton="0" quotePrefix="0" xfId="0">
      <alignment horizontal="right" vertical="center"/>
    </xf>
    <xf numFmtId="1" fontId="6" fillId="0" borderId="0" pivotButton="0" quotePrefix="0" xfId="0"/>
    <xf numFmtId="1" fontId="87" fillId="0" borderId="0" pivotButton="0" quotePrefix="0" xfId="0"/>
    <xf numFmtId="169" fontId="6" fillId="0" borderId="6" applyAlignment="1" pivotButton="0" quotePrefix="0" xfId="0">
      <alignment horizontal="left" vertical="center"/>
    </xf>
    <xf numFmtId="0" fontId="90" fillId="0" borderId="7" pivotButton="0" quotePrefix="0" xfId="0"/>
    <xf numFmtId="9" fontId="89" fillId="23" borderId="29" applyAlignment="1" pivotButton="0" quotePrefix="0" xfId="0">
      <alignment horizontal="right" vertical="center"/>
    </xf>
    <xf numFmtId="0" fontId="90" fillId="0" borderId="0" pivotButton="0" quotePrefix="0" xfId="0"/>
    <xf numFmtId="0" fontId="87" fillId="0" borderId="0" pivotButton="0" quotePrefix="0" xfId="0"/>
    <xf numFmtId="0" fontId="82" fillId="0" borderId="0" pivotButton="0" quotePrefix="0" xfId="0"/>
    <xf numFmtId="169" fontId="86" fillId="0" borderId="0" applyAlignment="1" pivotButton="0" quotePrefix="0" xfId="0">
      <alignment horizontal="center"/>
    </xf>
    <xf numFmtId="169" fontId="86" fillId="0" borderId="5" applyAlignment="1" pivotButton="0" quotePrefix="0" xfId="0">
      <alignment horizontal="center"/>
    </xf>
    <xf numFmtId="199" fontId="6" fillId="0" borderId="0" pivotButton="0" quotePrefix="0" xfId="0"/>
    <xf numFmtId="0" fontId="6" fillId="0" borderId="7" pivotButton="0" quotePrefix="0" xfId="0"/>
    <xf numFmtId="169" fontId="86" fillId="0" borderId="7" applyAlignment="1" pivotButton="0" quotePrefix="0" xfId="0">
      <alignment horizontal="center"/>
    </xf>
    <xf numFmtId="169" fontId="86" fillId="0" borderId="8" applyAlignment="1" pivotButton="0" quotePrefix="0" xfId="0">
      <alignment horizontal="center"/>
    </xf>
    <xf numFmtId="199" fontId="6" fillId="0" borderId="7" pivotButton="0" quotePrefix="0" xfId="0"/>
    <xf numFmtId="169" fontId="82" fillId="0" borderId="0" applyAlignment="1" pivotButton="0" quotePrefix="0" xfId="0">
      <alignment horizontal="center"/>
    </xf>
    <xf numFmtId="169" fontId="82" fillId="0" borderId="5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169" fontId="6" fillId="0" borderId="5" applyAlignment="1" pivotButton="0" quotePrefix="0" xfId="0">
      <alignment horizontal="center"/>
    </xf>
    <xf numFmtId="169" fontId="86" fillId="0" borderId="7" pivotButton="0" quotePrefix="0" xfId="0"/>
    <xf numFmtId="169" fontId="86" fillId="0" borderId="8" pivotButton="0" quotePrefix="0" xfId="0"/>
    <xf numFmtId="169" fontId="6" fillId="0" borderId="7" pivotButton="0" quotePrefix="0" xfId="0"/>
    <xf numFmtId="169" fontId="6" fillId="0" borderId="7" applyAlignment="1" pivotButton="0" quotePrefix="0" xfId="0">
      <alignment horizontal="center"/>
    </xf>
    <xf numFmtId="0" fontId="63" fillId="0" borderId="0" applyAlignment="1" pivotButton="0" quotePrefix="0" xfId="0">
      <alignment horizontal="left" vertical="center" wrapText="1"/>
    </xf>
    <xf numFmtId="169" fontId="86" fillId="0" borderId="0" applyAlignment="1" pivotButton="0" quotePrefix="0" xfId="0">
      <alignment horizontal="center" vertical="center" wrapText="1"/>
    </xf>
    <xf numFmtId="169" fontId="86" fillId="0" borderId="5" applyAlignment="1" pivotButton="0" quotePrefix="0" xfId="0">
      <alignment horizontal="center" vertical="center" wrapText="1"/>
    </xf>
    <xf numFmtId="3" fontId="6" fillId="0" borderId="0" pivotButton="0" quotePrefix="0" xfId="0"/>
    <xf numFmtId="0" fontId="81" fillId="0" borderId="7" applyAlignment="1" applyProtection="1" pivotButton="0" quotePrefix="0" xfId="0">
      <alignment horizontal="left"/>
      <protection locked="0" hidden="0"/>
    </xf>
    <xf numFmtId="0" fontId="63" fillId="0" borderId="7" applyAlignment="1" pivotButton="0" quotePrefix="0" xfId="0">
      <alignment horizontal="left" vertical="center" wrapText="1"/>
    </xf>
    <xf numFmtId="169" fontId="86" fillId="0" borderId="7" applyAlignment="1" pivotButton="0" quotePrefix="0" xfId="0">
      <alignment horizontal="center" vertical="center" wrapText="1"/>
    </xf>
    <xf numFmtId="169" fontId="86" fillId="0" borderId="8" applyAlignment="1" pivotButton="0" quotePrefix="0" xfId="0">
      <alignment horizontal="center" vertical="center" wrapText="1"/>
    </xf>
    <xf numFmtId="169" fontId="6" fillId="0" borderId="6" pivotButton="0" quotePrefix="0" xfId="0"/>
    <xf numFmtId="3" fontId="6" fillId="0" borderId="7" pivotButton="0" quotePrefix="0" xfId="0"/>
    <xf numFmtId="0" fontId="60" fillId="0" borderId="0" applyAlignment="1" pivotButton="0" quotePrefix="0" xfId="0">
      <alignment horizontal="left" vertical="center" wrapText="1"/>
    </xf>
    <xf numFmtId="169" fontId="91" fillId="0" borderId="0" applyAlignment="1" pivotButton="0" quotePrefix="0" xfId="0">
      <alignment horizontal="center" vertical="center" wrapText="1"/>
    </xf>
    <xf numFmtId="169" fontId="91" fillId="0" borderId="4" applyAlignment="1" pivotButton="0" quotePrefix="0" xfId="0">
      <alignment horizontal="center" vertical="center" wrapText="1"/>
    </xf>
    <xf numFmtId="9" fontId="92" fillId="0" borderId="0" applyAlignment="1" pivotButton="0" quotePrefix="0" xfId="0">
      <alignment horizontal="center" vertical="center" wrapText="1"/>
    </xf>
    <xf numFmtId="0" fontId="6" fillId="0" borderId="4" pivotButton="0" quotePrefix="0" xfId="0"/>
    <xf numFmtId="199" fontId="6" fillId="0" borderId="4" pivotButton="0" quotePrefix="0" xfId="0"/>
    <xf numFmtId="0" fontId="82" fillId="0" borderId="30" pivotButton="0" quotePrefix="0" xfId="0"/>
    <xf numFmtId="0" fontId="6" fillId="0" borderId="30" pivotButton="0" quotePrefix="0" xfId="0"/>
    <xf numFmtId="169" fontId="82" fillId="0" borderId="30" applyAlignment="1" pivotButton="0" quotePrefix="0" xfId="0">
      <alignment horizontal="center"/>
    </xf>
    <xf numFmtId="3" fontId="82" fillId="0" borderId="31" pivotButton="0" quotePrefix="0" xfId="0"/>
    <xf numFmtId="3" fontId="82" fillId="0" borderId="32" pivotButton="0" quotePrefix="0" xfId="0"/>
    <xf numFmtId="3" fontId="82" fillId="0" borderId="4" pivotButton="0" quotePrefix="0" xfId="0"/>
    <xf numFmtId="3" fontId="82" fillId="0" borderId="0" pivotButton="0" quotePrefix="0" xfId="0"/>
    <xf numFmtId="0" fontId="6" fillId="21" borderId="0" pivotButton="0" quotePrefix="0" xfId="0"/>
    <xf numFmtId="169" fontId="6" fillId="21" borderId="0" applyAlignment="1" pivotButton="0" quotePrefix="0" xfId="0">
      <alignment horizontal="center"/>
    </xf>
    <xf numFmtId="0" fontId="93" fillId="15" borderId="0" pivotButton="0" quotePrefix="0" xfId="0"/>
    <xf numFmtId="0" fontId="94" fillId="15" borderId="0" pivotButton="0" quotePrefix="0" xfId="0"/>
    <xf numFmtId="169" fontId="86" fillId="0" borderId="0" pivotButton="0" quotePrefix="0" xfId="0"/>
    <xf numFmtId="169" fontId="6" fillId="21" borderId="4" pivotButton="0" quotePrefix="0" xfId="0"/>
    <xf numFmtId="169" fontId="6" fillId="21" borderId="0" pivotButton="0" quotePrefix="0" xfId="0"/>
    <xf numFmtId="169" fontId="6" fillId="0" borderId="4" pivotButton="0" quotePrefix="0" xfId="0"/>
    <xf numFmtId="169" fontId="6" fillId="0" borderId="7" applyAlignment="1" pivotButton="0" quotePrefix="0" xfId="0">
      <alignment horizontal="left" vertical="center"/>
    </xf>
    <xf numFmtId="169" fontId="82" fillId="19" borderId="0" pivotButton="0" quotePrefix="0" xfId="0"/>
    <xf numFmtId="169" fontId="82" fillId="19" borderId="4" pivotButton="0" quotePrefix="0" xfId="0"/>
    <xf numFmtId="169" fontId="82" fillId="0" borderId="4" pivotButton="0" quotePrefix="0" xfId="0"/>
    <xf numFmtId="169" fontId="82" fillId="0" borderId="0" pivotButton="0" quotePrefix="0" xfId="0"/>
    <xf numFmtId="169" fontId="82" fillId="0" borderId="30" pivotButton="0" quotePrefix="0" xfId="0"/>
    <xf numFmtId="169" fontId="82" fillId="0" borderId="31" pivotButton="0" quotePrefix="0" xfId="0"/>
    <xf numFmtId="169" fontId="6" fillId="0" borderId="5" pivotButton="0" quotePrefix="0" xfId="0"/>
    <xf numFmtId="0" fontId="82" fillId="0" borderId="7" pivotButton="0" quotePrefix="0" xfId="0"/>
    <xf numFmtId="169" fontId="82" fillId="0" borderId="7" pivotButton="0" quotePrefix="0" xfId="0"/>
    <xf numFmtId="169" fontId="82" fillId="0" borderId="6" pivotButton="0" quotePrefix="0" xfId="0"/>
    <xf numFmtId="0" fontId="6" fillId="0" borderId="1" pivotButton="0" quotePrefix="0" xfId="0"/>
    <xf numFmtId="0" fontId="95" fillId="0" borderId="0" pivotButton="0" quotePrefix="0" xfId="0"/>
    <xf numFmtId="4" fontId="95" fillId="0" borderId="0" pivotButton="0" quotePrefix="0" xfId="0"/>
    <xf numFmtId="4" fontId="95" fillId="0" borderId="4" pivotButton="0" quotePrefix="0" xfId="0"/>
    <xf numFmtId="169" fontId="6" fillId="0" borderId="0" applyAlignment="1" pivotButton="0" quotePrefix="0" xfId="0">
      <alignment horizontal="left"/>
    </xf>
    <xf numFmtId="169" fontId="6" fillId="0" borderId="0" applyAlignment="1" pivotButton="0" quotePrefix="0" xfId="0">
      <alignment wrapText="1"/>
    </xf>
    <xf numFmtId="169" fontId="6" fillId="0" borderId="4" applyAlignment="1" pivotButton="0" quotePrefix="0" xfId="0">
      <alignment wrapText="1"/>
    </xf>
    <xf numFmtId="198" fontId="81" fillId="0" borderId="0" applyAlignment="1" applyProtection="1" pivotButton="0" quotePrefix="0" xfId="0">
      <alignment wrapText="1"/>
      <protection locked="0" hidden="0"/>
    </xf>
    <xf numFmtId="37" fontId="96" fillId="0" borderId="0" applyAlignment="1" applyProtection="1" pivotButton="0" quotePrefix="0" xfId="0">
      <alignment wrapText="1"/>
      <protection locked="0" hidden="0"/>
    </xf>
    <xf numFmtId="198" fontId="96" fillId="0" borderId="0" applyProtection="1" pivotButton="0" quotePrefix="0" xfId="0">
      <protection locked="0" hidden="0"/>
    </xf>
    <xf numFmtId="169" fontId="6" fillId="0" borderId="6" applyAlignment="1" pivotButton="0" quotePrefix="0" xfId="0">
      <alignment wrapText="1"/>
    </xf>
    <xf numFmtId="169" fontId="6" fillId="0" borderId="7" applyAlignment="1" pivotButton="0" quotePrefix="0" xfId="0">
      <alignment wrapText="1"/>
    </xf>
    <xf numFmtId="169" fontId="82" fillId="0" borderId="2" applyAlignment="1" pivotButton="0" quotePrefix="0" xfId="0">
      <alignment horizontal="left"/>
    </xf>
    <xf numFmtId="169" fontId="82" fillId="0" borderId="2" pivotButton="0" quotePrefix="0" xfId="0"/>
    <xf numFmtId="169" fontId="82" fillId="0" borderId="2" applyAlignment="1" pivotButton="0" quotePrefix="0" xfId="0">
      <alignment horizontal="center"/>
    </xf>
    <xf numFmtId="169" fontId="82" fillId="0" borderId="2" applyAlignment="1" pivotButton="0" quotePrefix="0" xfId="0">
      <alignment wrapText="1"/>
    </xf>
    <xf numFmtId="169" fontId="82" fillId="0" borderId="4" applyAlignment="1" pivotButton="0" quotePrefix="0" xfId="0">
      <alignment wrapText="1"/>
    </xf>
    <xf numFmtId="169" fontId="82" fillId="0" borderId="0" applyAlignment="1" pivotButton="0" quotePrefix="0" xfId="0">
      <alignment wrapText="1"/>
    </xf>
    <xf numFmtId="37" fontId="97" fillId="0" borderId="0" applyAlignment="1" applyProtection="1" pivotButton="0" quotePrefix="0" xfId="0">
      <alignment wrapText="1"/>
      <protection locked="0" hidden="0"/>
    </xf>
    <xf numFmtId="198" fontId="97" fillId="0" borderId="0" applyProtection="1" pivotButton="0" quotePrefix="0" xfId="0">
      <protection locked="0" hidden="0"/>
    </xf>
    <xf numFmtId="0" fontId="98" fillId="0" borderId="0" applyAlignment="1" applyProtection="1" pivotButton="0" quotePrefix="0" xfId="0">
      <alignment horizontal="left"/>
      <protection locked="0" hidden="0"/>
    </xf>
    <xf numFmtId="198" fontId="98" fillId="0" borderId="0" applyProtection="1" pivotButton="0" quotePrefix="0" xfId="0">
      <protection locked="0" hidden="0"/>
    </xf>
    <xf numFmtId="37" fontId="98" fillId="0" borderId="0" applyAlignment="1" applyProtection="1" pivotButton="0" quotePrefix="0" xfId="0">
      <alignment wrapText="1"/>
      <protection locked="0" hidden="0"/>
    </xf>
    <xf numFmtId="37" fontId="81" fillId="0" borderId="0" applyAlignment="1" applyProtection="1" pivotButton="0" quotePrefix="0" xfId="0">
      <alignment wrapText="1"/>
      <protection locked="0" hidden="0"/>
    </xf>
    <xf numFmtId="169" fontId="82" fillId="0" borderId="0" applyAlignment="1" pivotButton="0" quotePrefix="0" xfId="0">
      <alignment horizontal="left"/>
    </xf>
    <xf numFmtId="169" fontId="6" fillId="0" borderId="8" applyAlignment="1" pivotButton="0" quotePrefix="0" xfId="0">
      <alignment wrapText="1"/>
    </xf>
    <xf numFmtId="169" fontId="6" fillId="0" borderId="2" applyAlignment="1" pivotButton="0" quotePrefix="0" xfId="0">
      <alignment horizontal="left"/>
    </xf>
    <xf numFmtId="169" fontId="6" fillId="0" borderId="2" pivotButton="0" quotePrefix="0" xfId="0"/>
    <xf numFmtId="169" fontId="6" fillId="0" borderId="2" applyAlignment="1" pivotButton="0" quotePrefix="0" xfId="0">
      <alignment horizontal="center"/>
    </xf>
    <xf numFmtId="0" fontId="93" fillId="22" borderId="0" pivotButton="0" quotePrefix="0" xfId="0"/>
    <xf numFmtId="0" fontId="94" fillId="22" borderId="0" pivotButton="0" quotePrefix="0" xfId="0"/>
    <xf numFmtId="0" fontId="79" fillId="22" borderId="0" pivotButton="0" quotePrefix="0" xfId="0"/>
    <xf numFmtId="3" fontId="6" fillId="22" borderId="0" pivotButton="0" quotePrefix="0" xfId="0"/>
    <xf numFmtId="0" fontId="6" fillId="22" borderId="0" pivotButton="0" quotePrefix="0" xfId="0"/>
    <xf numFmtId="0" fontId="92" fillId="0" borderId="0" pivotButton="0" quotePrefix="0" xfId="0"/>
    <xf numFmtId="169" fontId="99" fillId="0" borderId="0" pivotButton="0" quotePrefix="0" xfId="0"/>
    <xf numFmtId="169" fontId="89" fillId="0" borderId="0" applyAlignment="1" pivotButton="0" quotePrefix="0" xfId="0">
      <alignment horizontal="right" vertical="center"/>
    </xf>
    <xf numFmtId="169" fontId="82" fillId="0" borderId="4" applyAlignment="1" pivotButton="0" quotePrefix="0" xfId="0">
      <alignment horizontal="right" vertical="center"/>
    </xf>
    <xf numFmtId="169" fontId="82" fillId="0" borderId="0" applyAlignment="1" pivotButton="0" quotePrefix="0" xfId="0">
      <alignment horizontal="right" vertical="center"/>
    </xf>
    <xf numFmtId="169" fontId="100" fillId="0" borderId="0" applyAlignment="1" pivotButton="0" quotePrefix="0" xfId="0">
      <alignment horizontal="left" vertical="center"/>
    </xf>
    <xf numFmtId="169" fontId="101" fillId="0" borderId="0" pivotButton="0" quotePrefix="0" xfId="0"/>
    <xf numFmtId="169" fontId="86" fillId="0" borderId="0" applyAlignment="1" pivotButton="0" quotePrefix="0" xfId="0">
      <alignment horizontal="right" vertical="center"/>
    </xf>
    <xf numFmtId="165" fontId="100" fillId="0" borderId="0" applyAlignment="1" pivotButton="0" quotePrefix="0" xfId="0">
      <alignment horizontal="right" vertical="center"/>
    </xf>
    <xf numFmtId="165" fontId="100" fillId="0" borderId="4" applyAlignment="1" pivotButton="0" quotePrefix="0" xfId="0">
      <alignment horizontal="right" vertical="center"/>
    </xf>
    <xf numFmtId="169" fontId="82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right" vertical="center"/>
    </xf>
    <xf numFmtId="169" fontId="6" fillId="0" borderId="4" applyAlignment="1" pivotButton="0" quotePrefix="0" xfId="0">
      <alignment horizontal="right" vertical="center"/>
    </xf>
    <xf numFmtId="169" fontId="6" fillId="2" borderId="0" pivotButton="0" quotePrefix="0" xfId="0"/>
    <xf numFmtId="169" fontId="86" fillId="2" borderId="0" pivotButton="0" quotePrefix="0" xfId="0"/>
    <xf numFmtId="9" fontId="6" fillId="0" borderId="0" applyAlignment="1" pivotButton="0" quotePrefix="0" xfId="0">
      <alignment horizontal="right" vertical="center"/>
    </xf>
    <xf numFmtId="9" fontId="86" fillId="0" borderId="4" applyAlignment="1" pivotButton="0" quotePrefix="0" xfId="0">
      <alignment horizontal="right" vertical="center"/>
    </xf>
    <xf numFmtId="169" fontId="82" fillId="0" borderId="30" applyAlignment="1" pivotButton="0" quotePrefix="0" xfId="0">
      <alignment horizontal="left" vertical="center"/>
    </xf>
    <xf numFmtId="169" fontId="82" fillId="2" borderId="30" pivotButton="0" quotePrefix="0" xfId="0"/>
    <xf numFmtId="169" fontId="102" fillId="0" borderId="31" applyAlignment="1" pivotButton="0" quotePrefix="0" xfId="0">
      <alignment horizontal="right" vertical="center"/>
    </xf>
    <xf numFmtId="169" fontId="102" fillId="0" borderId="30" applyAlignment="1" pivotButton="0" quotePrefix="0" xfId="0">
      <alignment horizontal="right" vertical="center"/>
    </xf>
    <xf numFmtId="169" fontId="82" fillId="0" borderId="32" applyAlignment="1" pivotButton="0" quotePrefix="0" xfId="0">
      <alignment horizontal="left" vertical="center"/>
    </xf>
    <xf numFmtId="169" fontId="99" fillId="0" borderId="32" pivotButton="0" quotePrefix="0" xfId="0"/>
    <xf numFmtId="200" fontId="103" fillId="0" borderId="32" applyAlignment="1" pivotButton="0" quotePrefix="0" xfId="0">
      <alignment horizontal="right" vertical="center"/>
    </xf>
    <xf numFmtId="200" fontId="103" fillId="0" borderId="33" applyAlignment="1" pivotButton="0" quotePrefix="0" xfId="0">
      <alignment horizontal="right" vertical="center"/>
    </xf>
    <xf numFmtId="201" fontId="6" fillId="0" borderId="4" pivotButton="0" quotePrefix="0" xfId="0"/>
    <xf numFmtId="201" fontId="6" fillId="0" borderId="0" pivotButton="0" quotePrefix="0" xfId="0"/>
    <xf numFmtId="165" fontId="100" fillId="0" borderId="5" applyAlignment="1" pivotButton="0" quotePrefix="0" xfId="0">
      <alignment horizontal="right" vertical="center"/>
    </xf>
    <xf numFmtId="3" fontId="82" fillId="0" borderId="30" pivotButton="0" quotePrefix="0" xfId="0"/>
    <xf numFmtId="3" fontId="82" fillId="0" borderId="34" pivotButton="0" quotePrefix="0" xfId="0"/>
    <xf numFmtId="199" fontId="82" fillId="0" borderId="30" pivotButton="0" quotePrefix="0" xfId="0"/>
    <xf numFmtId="0" fontId="6" fillId="0" borderId="5" pivotButton="0" quotePrefix="0" xfId="0"/>
    <xf numFmtId="0" fontId="6" fillId="22" borderId="5" pivotButton="0" quotePrefix="0" xfId="0"/>
    <xf numFmtId="169" fontId="86" fillId="0" borderId="5" pivotButton="0" quotePrefix="0" xfId="0"/>
    <xf numFmtId="4" fontId="6" fillId="0" borderId="0" pivotButton="0" quotePrefix="0" xfId="0"/>
    <xf numFmtId="3" fontId="6" fillId="0" borderId="5" pivotButton="0" quotePrefix="0" xfId="0"/>
    <xf numFmtId="3" fontId="6" fillId="0" borderId="30" pivotButton="0" quotePrefix="0" xfId="0"/>
    <xf numFmtId="3" fontId="82" fillId="0" borderId="5" pivotButton="0" quotePrefix="0" xfId="0"/>
    <xf numFmtId="169" fontId="89" fillId="0" borderId="0" pivotButton="0" quotePrefix="0" xfId="0"/>
    <xf numFmtId="169" fontId="89" fillId="0" borderId="5" pivotButton="0" quotePrefix="0" xfId="0"/>
    <xf numFmtId="169" fontId="103" fillId="0" borderId="0" pivotButton="0" quotePrefix="0" xfId="0"/>
    <xf numFmtId="0" fontId="91" fillId="0" borderId="0" pivotButton="0" quotePrefix="0" xfId="0"/>
    <xf numFmtId="198" fontId="86" fillId="0" borderId="0" pivotButton="0" quotePrefix="0" xfId="0"/>
    <xf numFmtId="198" fontId="86" fillId="0" borderId="5" pivotButton="0" quotePrefix="0" xfId="0"/>
    <xf numFmtId="198" fontId="90" fillId="0" borderId="0" pivotButton="0" quotePrefix="0" xfId="0"/>
    <xf numFmtId="198" fontId="6" fillId="0" borderId="0" pivotButton="0" quotePrefix="0" xfId="0"/>
    <xf numFmtId="198" fontId="6" fillId="0" borderId="5" pivotButton="0" quotePrefix="0" xfId="0"/>
    <xf numFmtId="0" fontId="6" fillId="2" borderId="0" pivotButton="0" quotePrefix="0" xfId="0"/>
    <xf numFmtId="169" fontId="90" fillId="0" borderId="0" pivotButton="0" quotePrefix="0" xfId="0"/>
    <xf numFmtId="0" fontId="6" fillId="2" borderId="7" pivotButton="0" quotePrefix="0" xfId="0"/>
    <xf numFmtId="3" fontId="6" fillId="0" borderId="6" pivotButton="0" quotePrefix="0" xfId="0"/>
    <xf numFmtId="169" fontId="6" fillId="2" borderId="7" pivotButton="0" quotePrefix="0" xfId="0"/>
    <xf numFmtId="169" fontId="6" fillId="2" borderId="8" pivotButton="0" quotePrefix="0" xfId="0"/>
    <xf numFmtId="199" fontId="6" fillId="0" borderId="6" pivotButton="0" quotePrefix="0" xfId="0"/>
    <xf numFmtId="169" fontId="82" fillId="0" borderId="1" pivotButton="0" quotePrefix="0" xfId="0"/>
    <xf numFmtId="199" fontId="86" fillId="2" borderId="0" pivotButton="0" quotePrefix="0" xfId="0"/>
    <xf numFmtId="199" fontId="86" fillId="0" borderId="0" pivotButton="0" quotePrefix="0" xfId="0"/>
    <xf numFmtId="199" fontId="82" fillId="0" borderId="4" pivotButton="0" quotePrefix="0" xfId="0"/>
    <xf numFmtId="199" fontId="82" fillId="0" borderId="0" pivotButton="0" quotePrefix="0" xfId="0"/>
    <xf numFmtId="3" fontId="86" fillId="0" borderId="0" pivotButton="0" quotePrefix="0" xfId="0"/>
    <xf numFmtId="3" fontId="86" fillId="0" borderId="4" pivotButton="0" quotePrefix="0" xfId="0"/>
    <xf numFmtId="165" fontId="100" fillId="2" borderId="0" applyAlignment="1" pivotButton="0" quotePrefix="0" xfId="0">
      <alignment horizontal="right" vertical="center"/>
    </xf>
    <xf numFmtId="0" fontId="86" fillId="0" borderId="0" pivotButton="0" quotePrefix="0" xfId="0"/>
    <xf numFmtId="202" fontId="6" fillId="0" borderId="4" pivotButton="0" quotePrefix="0" xfId="0"/>
    <xf numFmtId="202" fontId="6" fillId="0" borderId="0" pivotButton="0" quotePrefix="0" xfId="0"/>
    <xf numFmtId="10" fontId="100" fillId="0" borderId="0" pivotButton="0" quotePrefix="0" xfId="0"/>
    <xf numFmtId="10" fontId="100" fillId="0" borderId="4" pivotButton="0" quotePrefix="0" xfId="0"/>
    <xf numFmtId="0" fontId="104" fillId="0" borderId="0" pivotButton="0" quotePrefix="0" xfId="0"/>
    <xf numFmtId="169" fontId="6" fillId="0" borderId="8" pivotButton="0" quotePrefix="0" xfId="0"/>
    <xf numFmtId="0" fontId="105" fillId="13" borderId="0" pivotButton="0" quotePrefix="0" xfId="0"/>
    <xf numFmtId="0" fontId="106" fillId="6" borderId="0" pivotButton="0" quotePrefix="0" xfId="0"/>
    <xf numFmtId="0" fontId="106" fillId="6" borderId="0" applyAlignment="1" pivotButton="0" quotePrefix="0" xfId="0">
      <alignment horizontal="center"/>
    </xf>
    <xf numFmtId="0" fontId="107" fillId="14" borderId="0" pivotButton="0" quotePrefix="0" xfId="0"/>
    <xf numFmtId="0" fontId="29" fillId="14" borderId="0" pivotButton="0" quotePrefix="0" xfId="0"/>
    <xf numFmtId="203" fontId="107" fillId="14" borderId="0" pivotButton="0" quotePrefix="0" xfId="0"/>
    <xf numFmtId="0" fontId="108" fillId="0" borderId="0" pivotButton="0" quotePrefix="0" xfId="0"/>
    <xf numFmtId="1" fontId="109" fillId="3" borderId="0" applyAlignment="1" pivotButton="0" quotePrefix="0" xfId="0">
      <alignment horizontal="center"/>
    </xf>
    <xf numFmtId="0" fontId="109" fillId="0" borderId="0" pivotButton="0" quotePrefix="0" xfId="0"/>
    <xf numFmtId="0" fontId="110" fillId="0" borderId="0" pivotButton="0" quotePrefix="0" xfId="0"/>
    <xf numFmtId="165" fontId="111" fillId="0" borderId="0" pivotButton="0" quotePrefix="0" xfId="0"/>
    <xf numFmtId="165" fontId="111" fillId="0" borderId="5" pivotButton="0" quotePrefix="0" xfId="0"/>
    <xf numFmtId="165" fontId="112" fillId="0" borderId="0" pivotButton="0" quotePrefix="0" xfId="0"/>
    <xf numFmtId="9" fontId="29" fillId="0" borderId="0" pivotButton="0" quotePrefix="0" xfId="0"/>
    <xf numFmtId="9" fontId="29" fillId="0" borderId="5" pivotButton="0" quotePrefix="0" xfId="0"/>
    <xf numFmtId="194" fontId="111" fillId="0" borderId="0" pivotButton="0" quotePrefix="0" xfId="0"/>
    <xf numFmtId="194" fontId="111" fillId="0" borderId="5" pivotButton="0" quotePrefix="0" xfId="0"/>
    <xf numFmtId="194" fontId="112" fillId="0" borderId="0" pivotButton="0" quotePrefix="0" xfId="0"/>
    <xf numFmtId="203" fontId="111" fillId="0" borderId="0" pivotButton="0" quotePrefix="0" xfId="0"/>
    <xf numFmtId="203" fontId="111" fillId="0" borderId="5" pivotButton="0" quotePrefix="0" xfId="0"/>
    <xf numFmtId="203" fontId="112" fillId="0" borderId="0" pivotButton="0" quotePrefix="0" xfId="0"/>
    <xf numFmtId="203" fontId="113" fillId="0" borderId="0" pivotButton="0" quotePrefix="0" xfId="0"/>
    <xf numFmtId="0" fontId="107" fillId="24" borderId="0" pivotButton="0" quotePrefix="0" xfId="0"/>
    <xf numFmtId="0" fontId="29" fillId="24" borderId="0" pivotButton="0" quotePrefix="0" xfId="0"/>
    <xf numFmtId="203" fontId="107" fillId="24" borderId="0" pivotButton="0" quotePrefix="0" xfId="0"/>
    <xf numFmtId="0" fontId="107" fillId="7" borderId="0" pivotButton="0" quotePrefix="0" xfId="0"/>
    <xf numFmtId="203" fontId="107" fillId="7" borderId="0" pivotButton="0" quotePrefix="0" xfId="0"/>
    <xf numFmtId="203" fontId="110" fillId="0" borderId="0" pivotButton="0" quotePrefix="0" xfId="0"/>
    <xf numFmtId="0" fontId="107" fillId="0" borderId="0" pivotButton="0" quotePrefix="0" xfId="0"/>
    <xf numFmtId="203" fontId="107" fillId="0" borderId="0" pivotButton="0" quotePrefix="0" xfId="0"/>
    <xf numFmtId="203" fontId="41" fillId="14" borderId="0" pivotButton="0" quotePrefix="0" xfId="0"/>
    <xf numFmtId="3" fontId="111" fillId="0" borderId="35" applyAlignment="1" pivotButton="0" quotePrefix="0" xfId="0">
      <alignment horizontal="right" vertical="center" wrapText="1"/>
    </xf>
    <xf numFmtId="9" fontId="29" fillId="24" borderId="0" pivotButton="0" quotePrefix="0" xfId="0"/>
    <xf numFmtId="203" fontId="41" fillId="0" borderId="0" pivotButton="0" quotePrefix="0" xfId="0"/>
    <xf numFmtId="176" fontId="111" fillId="0" borderId="0" pivotButton="0" quotePrefix="0" xfId="0"/>
    <xf numFmtId="0" fontId="108" fillId="24" borderId="0" pivotButton="0" quotePrefix="0" xfId="0"/>
    <xf numFmtId="165" fontId="114" fillId="24" borderId="0" pivotButton="0" quotePrefix="0" xfId="0"/>
    <xf numFmtId="3" fontId="111" fillId="0" borderId="0" pivotButton="0" quotePrefix="0" xfId="0"/>
    <xf numFmtId="3" fontId="112" fillId="0" borderId="0" pivotButton="0" quotePrefix="0" xfId="0"/>
    <xf numFmtId="3" fontId="114" fillId="0" borderId="0" pivotButton="0" quotePrefix="0" xfId="0"/>
    <xf numFmtId="0" fontId="115" fillId="0" borderId="0" applyAlignment="1" pivotButton="0" quotePrefix="0" xfId="0">
      <alignment horizontal="left" indent="2"/>
    </xf>
    <xf numFmtId="0" fontId="116" fillId="0" borderId="0" pivotButton="0" quotePrefix="0" xfId="0"/>
    <xf numFmtId="3" fontId="117" fillId="0" borderId="0" pivotButton="0" quotePrefix="0" xfId="0"/>
    <xf numFmtId="9" fontId="118" fillId="0" borderId="0" pivotButton="0" quotePrefix="0" xfId="0"/>
    <xf numFmtId="3" fontId="34" fillId="0" borderId="0" pivotButton="0" quotePrefix="0" xfId="0"/>
    <xf numFmtId="203" fontId="119" fillId="0" borderId="0" pivotButton="0" quotePrefix="0" xfId="0"/>
    <xf numFmtId="3" fontId="114" fillId="3" borderId="0" pivotButton="0" quotePrefix="0" xfId="0"/>
    <xf numFmtId="0" fontId="110" fillId="0" borderId="0" applyAlignment="1" pivotButton="0" quotePrefix="0" xfId="0">
      <alignment horizontal="left" indent="1"/>
    </xf>
    <xf numFmtId="4" fontId="112" fillId="0" borderId="0" pivotButton="0" quotePrefix="0" xfId="0"/>
    <xf numFmtId="0" fontId="110" fillId="0" borderId="7" pivotButton="0" quotePrefix="0" xfId="0"/>
    <xf numFmtId="203" fontId="112" fillId="0" borderId="7" pivotButton="0" quotePrefix="0" xfId="0"/>
    <xf numFmtId="0" fontId="120" fillId="0" borderId="0" pivotButton="0" quotePrefix="0" xfId="0"/>
    <xf numFmtId="10" fontId="92" fillId="0" borderId="0" pivotButton="0" quotePrefix="0" xfId="0"/>
    <xf numFmtId="165" fontId="92" fillId="0" borderId="0" pivotButton="0" quotePrefix="0" xfId="0"/>
    <xf numFmtId="191" fontId="92" fillId="0" borderId="0" pivotButton="0" quotePrefix="0" xfId="0"/>
    <xf numFmtId="9" fontId="92" fillId="0" borderId="0" pivotButton="0" quotePrefix="0" xfId="0"/>
    <xf numFmtId="0" fontId="79" fillId="15" borderId="0" applyAlignment="1" pivotButton="0" quotePrefix="0" xfId="0">
      <alignment horizontal="center" wrapText="1"/>
    </xf>
    <xf numFmtId="0" fontId="121" fillId="15" borderId="0" pivotButton="0" quotePrefix="0" xfId="0"/>
    <xf numFmtId="0" fontId="0" fillId="2" borderId="0" pivotButton="0" quotePrefix="0" xfId="0"/>
    <xf numFmtId="9" fontId="6" fillId="0" borderId="7" pivotButton="0" quotePrefix="0" xfId="0"/>
    <xf numFmtId="0" fontId="0" fillId="2" borderId="7" pivotButton="0" quotePrefix="0" xfId="0"/>
    <xf numFmtId="202" fontId="91" fillId="0" borderId="0" pivotButton="0" quotePrefix="0" xfId="0"/>
    <xf numFmtId="169" fontId="82" fillId="25" borderId="0" pivotButton="0" quotePrefix="0" xfId="0"/>
    <xf numFmtId="0" fontId="10" fillId="25" borderId="0" pivotButton="0" quotePrefix="0" xfId="0"/>
    <xf numFmtId="165" fontId="82" fillId="0" borderId="0" pivotButton="0" quotePrefix="0" xfId="0"/>
    <xf numFmtId="169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 wrapText="1"/>
    </xf>
    <xf numFmtId="169" fontId="82" fillId="0" borderId="7" applyAlignment="1" pivotButton="0" quotePrefix="0" xfId="0">
      <alignment horizontal="left" wrapText="1"/>
    </xf>
    <xf numFmtId="169" fontId="6" fillId="0" borderId="7" applyAlignment="1" pivotButton="0" quotePrefix="0" xfId="0">
      <alignment horizontal="right"/>
    </xf>
    <xf numFmtId="169" fontId="6" fillId="0" borderId="0" applyAlignment="1" pivotButton="0" quotePrefix="0" xfId="0">
      <alignment horizontal="left" wrapText="1"/>
    </xf>
    <xf numFmtId="196" fontId="6" fillId="0" borderId="0" pivotButton="0" quotePrefix="0" xfId="0"/>
    <xf numFmtId="169" fontId="6" fillId="0" borderId="7" applyAlignment="1" pivotButton="0" quotePrefix="0" xfId="0">
      <alignment horizontal="left" wrapText="1"/>
    </xf>
    <xf numFmtId="196" fontId="6" fillId="0" borderId="7" pivotButton="0" quotePrefix="0" xfId="0"/>
    <xf numFmtId="169" fontId="82" fillId="0" borderId="0" applyAlignment="1" pivotButton="0" quotePrefix="0" xfId="0">
      <alignment horizontal="left" wrapText="1"/>
    </xf>
    <xf numFmtId="169" fontId="82" fillId="0" borderId="0" applyAlignment="1" pivotButton="0" quotePrefix="0" xfId="0">
      <alignment horizontal="right"/>
    </xf>
    <xf numFmtId="200" fontId="82" fillId="0" borderId="0" pivotButton="0" quotePrefix="0" xfId="0"/>
    <xf numFmtId="200" fontId="6" fillId="0" borderId="0" pivotButton="0" quotePrefix="0" xfId="0"/>
    <xf numFmtId="169" fontId="6" fillId="0" borderId="2" applyAlignment="1" pivotButton="0" quotePrefix="0" xfId="0">
      <alignment horizontal="left" wrapText="1"/>
    </xf>
    <xf numFmtId="169" fontId="6" fillId="0" borderId="2" applyAlignment="1" pivotButton="0" quotePrefix="0" xfId="0">
      <alignment horizontal="right"/>
    </xf>
    <xf numFmtId="169" fontId="6" fillId="0" borderId="2" applyAlignment="1" pivotButton="0" quotePrefix="0" xfId="0">
      <alignment horizontal="right" wrapText="1"/>
    </xf>
    <xf numFmtId="169" fontId="82" fillId="25" borderId="0" applyAlignment="1" pivotButton="0" quotePrefix="0" xfId="0">
      <alignment horizontal="left" wrapText="1"/>
    </xf>
    <xf numFmtId="169" fontId="82" fillId="25" borderId="0" applyAlignment="1" pivotButton="0" quotePrefix="0" xfId="0">
      <alignment horizontal="right"/>
    </xf>
    <xf numFmtId="169" fontId="82" fillId="25" borderId="0" applyAlignment="1" pivotButton="0" quotePrefix="0" xfId="0">
      <alignment horizontal="right" wrapText="1"/>
    </xf>
    <xf numFmtId="9" fontId="82" fillId="0" borderId="0" applyAlignment="1" pivotButton="0" quotePrefix="0" xfId="0">
      <alignment horizontal="right" wrapText="1"/>
    </xf>
    <xf numFmtId="169" fontId="82" fillId="0" borderId="0" applyAlignment="1" pivotButton="0" quotePrefix="0" xfId="0">
      <alignment horizontal="right" wrapText="1"/>
    </xf>
    <xf numFmtId="169" fontId="82" fillId="0" borderId="7" applyAlignment="1" pivotButton="0" quotePrefix="0" xfId="0">
      <alignment horizontal="right"/>
    </xf>
    <xf numFmtId="169" fontId="82" fillId="0" borderId="7" applyAlignment="1" pivotButton="0" quotePrefix="0" xfId="0">
      <alignment horizontal="left"/>
    </xf>
    <xf numFmtId="9" fontId="6" fillId="0" borderId="0" applyAlignment="1" pivotButton="0" quotePrefix="0" xfId="0">
      <alignment horizontal="right"/>
    </xf>
    <xf numFmtId="9" fontId="6" fillId="0" borderId="7" applyAlignment="1" pivotButton="0" quotePrefix="0" xfId="0">
      <alignment horizontal="right"/>
    </xf>
    <xf numFmtId="169" fontId="91" fillId="0" borderId="0" pivotButton="0" quotePrefix="0" xfId="0"/>
    <xf numFmtId="169" fontId="92" fillId="0" borderId="0" pivotButton="0" quotePrefix="0" xfId="0"/>
    <xf numFmtId="9" fontId="91" fillId="0" borderId="0" pivotButton="0" quotePrefix="0" xfId="0"/>
    <xf numFmtId="10" fontId="6" fillId="0" borderId="7" pivotButton="0" quotePrefix="0" xfId="0"/>
    <xf numFmtId="10" fontId="82" fillId="0" borderId="0" pivotButton="0" quotePrefix="0" xfId="0"/>
    <xf numFmtId="200" fontId="6" fillId="0" borderId="7" pivotButton="0" quotePrefix="0" xfId="0"/>
    <xf numFmtId="0" fontId="123" fillId="26" borderId="36" pivotButton="0" quotePrefix="0" xfId="0"/>
    <xf numFmtId="0" fontId="124" fillId="26" borderId="36" pivotButton="0" quotePrefix="0" xfId="0"/>
    <xf numFmtId="0" fontId="63" fillId="0" borderId="0" pivotButton="0" quotePrefix="0" xfId="0"/>
    <xf numFmtId="0" fontId="125" fillId="0" borderId="0" pivotButton="0" quotePrefix="0" xfId="0"/>
    <xf numFmtId="204" fontId="63" fillId="0" borderId="0" applyAlignment="1" pivotButton="0" quotePrefix="0" xfId="0">
      <alignment horizontal="left"/>
    </xf>
    <xf numFmtId="0" fontId="124" fillId="26" borderId="37" pivotButton="0" quotePrefix="0" xfId="0"/>
    <xf numFmtId="0" fontId="124" fillId="26" borderId="37" applyAlignment="1" pivotButton="0" quotePrefix="0" xfId="0">
      <alignment horizontal="center" vertical="center" wrapText="1"/>
    </xf>
    <xf numFmtId="0" fontId="63" fillId="0" borderId="35" applyAlignment="1" pivotButton="0" quotePrefix="0" xfId="0">
      <alignment horizontal="left" vertical="center"/>
    </xf>
    <xf numFmtId="204" fontId="63" fillId="0" borderId="35" applyAlignment="1" pivotButton="0" quotePrefix="0" xfId="0">
      <alignment horizontal="center" vertical="center" wrapText="1"/>
    </xf>
    <xf numFmtId="0" fontId="63" fillId="0" borderId="35" applyAlignment="1" pivotButton="0" quotePrefix="0" xfId="0">
      <alignment horizontal="center" vertical="center" wrapText="1"/>
    </xf>
    <xf numFmtId="0" fontId="124" fillId="26" borderId="37" applyAlignment="1" pivotButton="0" quotePrefix="0" xfId="0">
      <alignment wrapText="1"/>
    </xf>
    <xf numFmtId="0" fontId="124" fillId="26" borderId="37" applyAlignment="1" pivotButton="0" quotePrefix="0" xfId="0">
      <alignment horizontal="left" vertical="center" wrapText="1"/>
    </xf>
    <xf numFmtId="0" fontId="63" fillId="27" borderId="35" applyAlignment="1" pivotButton="0" quotePrefix="0" xfId="0">
      <alignment vertical="center" wrapText="1"/>
    </xf>
    <xf numFmtId="0" fontId="63" fillId="27" borderId="35" applyAlignment="1" pivotButton="0" quotePrefix="0" xfId="0">
      <alignment horizontal="left" vertical="center" wrapText="1"/>
    </xf>
    <xf numFmtId="3" fontId="63" fillId="27" borderId="35" applyAlignment="1" pivotButton="0" quotePrefix="0" xfId="0">
      <alignment horizontal="right" vertical="center" wrapText="1"/>
    </xf>
    <xf numFmtId="0" fontId="63" fillId="0" borderId="35" applyAlignment="1" pivotButton="0" quotePrefix="0" xfId="0">
      <alignment horizontal="left" vertical="center" wrapText="1" indent="2"/>
    </xf>
    <xf numFmtId="0" fontId="63" fillId="0" borderId="35" applyAlignment="1" pivotButton="0" quotePrefix="0" xfId="0">
      <alignment horizontal="left" vertical="center" wrapText="1"/>
    </xf>
    <xf numFmtId="3" fontId="63" fillId="0" borderId="35" applyAlignment="1" pivotButton="0" quotePrefix="0" xfId="0">
      <alignment horizontal="right" vertical="center" wrapText="1"/>
    </xf>
    <xf numFmtId="3" fontId="126" fillId="0" borderId="35" applyAlignment="1" pivotButton="0" quotePrefix="0" xfId="0">
      <alignment horizontal="right" vertical="center" wrapText="1"/>
    </xf>
    <xf numFmtId="0" fontId="60" fillId="27" borderId="35" applyAlignment="1" pivotButton="0" quotePrefix="0" xfId="0">
      <alignment horizontal="left" vertical="center" wrapText="1"/>
    </xf>
    <xf numFmtId="0" fontId="0" fillId="27" borderId="35" applyAlignment="1" pivotButton="0" quotePrefix="0" xfId="0">
      <alignment wrapText="1"/>
    </xf>
    <xf numFmtId="0" fontId="63" fillId="0" borderId="35" applyAlignment="1" pivotButton="0" quotePrefix="0" xfId="0">
      <alignment vertical="center" wrapText="1"/>
    </xf>
    <xf numFmtId="0" fontId="63" fillId="0" borderId="35" applyAlignment="1" pivotButton="0" quotePrefix="0" xfId="0">
      <alignment horizontal="left" vertical="center" wrapText="1" indent="4"/>
    </xf>
    <xf numFmtId="0" fontId="60" fillId="0" borderId="35" applyAlignment="1" pivotButton="0" quotePrefix="0" xfId="0">
      <alignment vertical="center" wrapText="1"/>
    </xf>
    <xf numFmtId="3" fontId="60" fillId="0" borderId="35" applyAlignment="1" pivotButton="0" quotePrefix="0" xfId="0">
      <alignment horizontal="right" vertical="center" wrapText="1"/>
    </xf>
    <xf numFmtId="0" fontId="63" fillId="0" borderId="35" applyAlignment="1" pivotButton="0" quotePrefix="0" xfId="0">
      <alignment horizontal="left" vertical="center" wrapText="1" indent="6"/>
    </xf>
    <xf numFmtId="0" fontId="63" fillId="0" borderId="35" applyAlignment="1" pivotButton="0" quotePrefix="0" xfId="0">
      <alignment horizontal="left" vertical="center" wrapText="1" indent="8"/>
    </xf>
    <xf numFmtId="4" fontId="63" fillId="0" borderId="35" applyAlignment="1" pivotButton="0" quotePrefix="0" xfId="0">
      <alignment horizontal="right" vertical="center" wrapText="1"/>
    </xf>
    <xf numFmtId="178" fontId="63" fillId="0" borderId="35" applyAlignment="1" pivotButton="0" quotePrefix="0" xfId="0">
      <alignment horizontal="right" vertical="center" wrapText="1"/>
    </xf>
    <xf numFmtId="0" fontId="127" fillId="0" borderId="0" pivotButton="0" quotePrefix="0" xfId="0"/>
    <xf numFmtId="0" fontId="128" fillId="28" borderId="0" applyAlignment="1" pivotButton="0" quotePrefix="0" xfId="0">
      <alignment horizontal="right"/>
    </xf>
    <xf numFmtId="0" fontId="129" fillId="20" borderId="0" pivotButton="0" quotePrefix="0" xfId="0"/>
    <xf numFmtId="0" fontId="130" fillId="20" borderId="0" pivotButton="0" quotePrefix="0" xfId="0"/>
    <xf numFmtId="0" fontId="131" fillId="0" borderId="0" pivotButton="0" quotePrefix="0" xfId="0"/>
    <xf numFmtId="0" fontId="132" fillId="0" borderId="0" pivotButton="0" quotePrefix="0" xfId="0"/>
    <xf numFmtId="165" fontId="133" fillId="0" borderId="0" pivotButton="0" quotePrefix="0" xfId="0"/>
    <xf numFmtId="0" fontId="128" fillId="0" borderId="0" pivotButton="0" quotePrefix="0" xfId="0"/>
    <xf numFmtId="0" fontId="134" fillId="0" borderId="0" pivotButton="0" quotePrefix="0" xfId="0"/>
    <xf numFmtId="203" fontId="135" fillId="0" borderId="0" pivotButton="0" quotePrefix="0" xfId="0"/>
    <xf numFmtId="203" fontId="134" fillId="0" borderId="0" pivotButton="0" quotePrefix="0" xfId="0"/>
    <xf numFmtId="203" fontId="136" fillId="0" borderId="0" pivotButton="0" quotePrefix="0" xfId="0"/>
    <xf numFmtId="3" fontId="0" fillId="0" borderId="0" pivotButton="0" quotePrefix="0" xfId="0"/>
    <xf numFmtId="203" fontId="128" fillId="0" borderId="0" pivotButton="0" quotePrefix="0" xfId="0"/>
    <xf numFmtId="0" fontId="128" fillId="21" borderId="0" pivotButton="0" quotePrefix="0" xfId="0"/>
    <xf numFmtId="0" fontId="0" fillId="21" borderId="0" pivotButton="0" quotePrefix="0" xfId="0"/>
    <xf numFmtId="203" fontId="128" fillId="21" borderId="0" pivotButton="0" quotePrefix="0" xfId="0"/>
    <xf numFmtId="203" fontId="128" fillId="21" borderId="2" pivotButton="0" quotePrefix="0" xfId="0"/>
    <xf numFmtId="0" fontId="129" fillId="29" borderId="0" pivotButton="0" quotePrefix="0" xfId="0"/>
    <xf numFmtId="0" fontId="130" fillId="29" borderId="0" pivotButton="0" quotePrefix="0" xfId="0"/>
    <xf numFmtId="0" fontId="137" fillId="0" borderId="0" pivotButton="0" quotePrefix="0" xfId="0"/>
    <xf numFmtId="165" fontId="137" fillId="0" borderId="0" pivotButton="0" quotePrefix="0" xfId="0"/>
    <xf numFmtId="165" fontId="127" fillId="0" borderId="0" pivotButton="0" quotePrefix="0" xfId="0"/>
    <xf numFmtId="0" fontId="71" fillId="15" borderId="0" pivotButton="0" quotePrefix="0" xfId="0"/>
    <xf numFmtId="0" fontId="139" fillId="15" borderId="0" pivotButton="0" quotePrefix="0" xfId="0"/>
    <xf numFmtId="169" fontId="140" fillId="0" borderId="0" pivotButton="0" quotePrefix="0" xfId="0"/>
    <xf numFmtId="0" fontId="141" fillId="0" borderId="0" pivotButton="0" quotePrefix="0" xfId="0"/>
    <xf numFmtId="10" fontId="141" fillId="0" borderId="0" pivotButton="0" quotePrefix="0" xfId="0"/>
    <xf numFmtId="165" fontId="141" fillId="0" borderId="0" pivotButton="0" quotePrefix="0" xfId="0"/>
    <xf numFmtId="191" fontId="141" fillId="0" borderId="0" pivotButton="0" quotePrefix="0" xfId="0"/>
    <xf numFmtId="0" fontId="71" fillId="15" borderId="0" applyAlignment="1" pivotButton="0" quotePrefix="0" xfId="0">
      <alignment horizontal="center" wrapText="1"/>
    </xf>
    <xf numFmtId="0" fontId="142" fillId="15" borderId="0" pivotButton="0" quotePrefix="0" xfId="0"/>
    <xf numFmtId="0" fontId="29" fillId="2" borderId="0" pivotButton="0" quotePrefix="0" xfId="0"/>
    <xf numFmtId="169" fontId="140" fillId="0" borderId="7" pivotButton="0" quotePrefix="0" xfId="0"/>
    <xf numFmtId="9" fontId="140" fillId="0" borderId="7" pivotButton="0" quotePrefix="0" xfId="0"/>
    <xf numFmtId="0" fontId="29" fillId="2" borderId="7" pivotButton="0" quotePrefix="0" xfId="0"/>
    <xf numFmtId="169" fontId="143" fillId="0" borderId="0" pivotButton="0" quotePrefix="0" xfId="0"/>
    <xf numFmtId="202" fontId="144" fillId="0" borderId="0" pivotButton="0" quotePrefix="0" xfId="0"/>
    <xf numFmtId="169" fontId="143" fillId="0" borderId="30" pivotButton="0" quotePrefix="0" xfId="0"/>
    <xf numFmtId="0" fontId="75" fillId="0" borderId="30" pivotButton="0" quotePrefix="0" xfId="0"/>
    <xf numFmtId="9" fontId="110" fillId="0" borderId="0" pivotButton="0" quotePrefix="0" xfId="0"/>
    <xf numFmtId="176" fontId="112" fillId="0" borderId="0" pivotButton="0" quotePrefix="0" xfId="0"/>
    <xf numFmtId="3" fontId="113" fillId="0" borderId="0" pivotButton="0" quotePrefix="0" xfId="0"/>
    <xf numFmtId="165" fontId="114" fillId="0" borderId="0" pivotButton="0" quotePrefix="0" xfId="0"/>
    <xf numFmtId="3" fontId="110" fillId="0" borderId="0" pivotButton="0" quotePrefix="0" xfId="0"/>
    <xf numFmtId="0" fontId="107" fillId="21" borderId="0" pivotButton="0" quotePrefix="0" xfId="0"/>
    <xf numFmtId="0" fontId="29" fillId="21" borderId="0" pivotButton="0" quotePrefix="0" xfId="0"/>
    <xf numFmtId="165" fontId="107" fillId="21" borderId="0" pivotButton="0" quotePrefix="0" xfId="0"/>
    <xf numFmtId="3" fontId="145" fillId="21" borderId="0" pivotButton="0" quotePrefix="0" xfId="0"/>
    <xf numFmtId="0" fontId="41" fillId="21" borderId="0" pivotButton="0" quotePrefix="0" xfId="0"/>
    <xf numFmtId="3" fontId="107" fillId="21" borderId="0" pivotButton="0" quotePrefix="0" xfId="0"/>
    <xf numFmtId="0" fontId="107" fillId="0" borderId="0" applyAlignment="1" pivotButton="0" quotePrefix="0" xfId="0">
      <alignment horizontal="center"/>
    </xf>
    <xf numFmtId="3" fontId="107" fillId="0" borderId="0" pivotButton="0" quotePrefix="0" xfId="0"/>
    <xf numFmtId="0" fontId="0" fillId="19" borderId="0" pivotButton="0" quotePrefix="0" xfId="0"/>
    <xf numFmtId="0" fontId="0" fillId="19" borderId="0" applyAlignment="1" pivotButton="0" quotePrefix="0" xfId="0">
      <alignment horizontal="center"/>
    </xf>
    <xf numFmtId="0" fontId="146" fillId="19" borderId="0" pivotButton="0" quotePrefix="0" xfId="0"/>
    <xf numFmtId="10" fontId="0" fillId="0" borderId="0" pivotButton="0" quotePrefix="0" xfId="0"/>
    <xf numFmtId="0" fontId="5" fillId="19" borderId="0" applyAlignment="1" pivotButton="0" quotePrefix="0" xfId="0">
      <alignment horizontal="right"/>
    </xf>
    <xf numFmtId="4" fontId="0" fillId="19" borderId="0" pivotButton="0" quotePrefix="0" xfId="0"/>
    <xf numFmtId="10" fontId="5" fillId="19" borderId="0" pivotButton="0" quotePrefix="0" xfId="0"/>
    <xf numFmtId="10" fontId="0" fillId="19" borderId="0" pivotButton="0" quotePrefix="0" xfId="0"/>
    <xf numFmtId="0" fontId="0" fillId="25" borderId="0" pivotButton="0" quotePrefix="0" xfId="0"/>
    <xf numFmtId="0" fontId="147" fillId="0" borderId="38" applyAlignment="1" pivotButton="0" quotePrefix="0" xfId="0">
      <alignment horizontal="center"/>
    </xf>
    <xf numFmtId="0" fontId="0" fillId="0" borderId="22" pivotButton="0" quotePrefix="0" xfId="0"/>
    <xf numFmtId="9" fontId="63" fillId="0" borderId="35" applyAlignment="1" pivotButton="0" quotePrefix="0" xfId="0">
      <alignment horizontal="right" vertical="center" wrapText="1"/>
    </xf>
    <xf numFmtId="178" fontId="126" fillId="0" borderId="35" applyAlignment="1" pivotButton="0" quotePrefix="0" xfId="0">
      <alignment horizontal="right" vertical="center" wrapText="1"/>
    </xf>
    <xf numFmtId="0" fontId="63" fillId="30" borderId="35" applyAlignment="1" pivotButton="0" quotePrefix="0" xfId="0">
      <alignment vertical="center" wrapText="1"/>
    </xf>
    <xf numFmtId="3" fontId="63" fillId="30" borderId="35" applyAlignment="1" pivotButton="0" quotePrefix="0" xfId="0">
      <alignment horizontal="right" vertical="center" wrapText="1"/>
    </xf>
    <xf numFmtId="0" fontId="0" fillId="30" borderId="0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18" borderId="0" pivotButton="0" quotePrefix="0" xfId="0"/>
    <xf numFmtId="0" fontId="0" fillId="31" borderId="39" pivotButton="0" quotePrefix="0" xfId="0"/>
    <xf numFmtId="0" fontId="0" fillId="31" borderId="40" pivotButton="0" quotePrefix="0" xfId="0"/>
    <xf numFmtId="200" fontId="112" fillId="0" borderId="0" pivotButton="0" quotePrefix="0" xfId="0"/>
    <xf numFmtId="10" fontId="112" fillId="0" borderId="0" pivotButton="0" quotePrefix="0" xfId="0"/>
    <xf numFmtId="10" fontId="112" fillId="0" borderId="7" pivotButton="0" quotePrefix="0" xfId="0"/>
    <xf numFmtId="10" fontId="150" fillId="0" borderId="0" pivotButton="0" quotePrefix="0" xfId="0"/>
    <xf numFmtId="10" fontId="140" fillId="0" borderId="0" pivotButton="0" quotePrefix="0" xfId="0"/>
    <xf numFmtId="10" fontId="143" fillId="0" borderId="0" pivotButton="0" quotePrefix="0" xfId="0"/>
    <xf numFmtId="200" fontId="140" fillId="0" borderId="7" pivotButton="0" quotePrefix="0" xfId="0"/>
    <xf numFmtId="1" fontId="114" fillId="3" borderId="0" applyAlignment="1" pivotButton="0" quotePrefix="0" xfId="0">
      <alignment horizontal="center"/>
    </xf>
    <xf numFmtId="0" fontId="107" fillId="6" borderId="0" applyAlignment="1" pivotButton="0" quotePrefix="0" xfId="0">
      <alignment horizontal="center"/>
    </xf>
    <xf numFmtId="0" fontId="111" fillId="0" borderId="0" pivotButton="0" quotePrefix="0" xfId="0"/>
    <xf numFmtId="165" fontId="113" fillId="0" borderId="0" pivotButton="0" quotePrefix="0" xfId="0"/>
    <xf numFmtId="176" fontId="114" fillId="0" borderId="0" pivotButton="0" quotePrefix="0" xfId="0"/>
    <xf numFmtId="165" fontId="110" fillId="0" borderId="0" pivotButton="0" quotePrefix="0" xfId="0"/>
    <xf numFmtId="176" fontId="114" fillId="3" borderId="0" pivotButton="0" quotePrefix="0" xfId="0"/>
    <xf numFmtId="165" fontId="114" fillId="3" borderId="0" pivotButton="0" quotePrefix="0" xfId="0"/>
    <xf numFmtId="203" fontId="107" fillId="21" borderId="0" pivotButton="0" quotePrefix="0" xfId="0"/>
    <xf numFmtId="165" fontId="107" fillId="7" borderId="0" pivotButton="0" quotePrefix="0" xfId="0"/>
    <xf numFmtId="3" fontId="107" fillId="14" borderId="0" pivotButton="0" quotePrefix="0" xfId="0"/>
    <xf numFmtId="194" fontId="110" fillId="0" borderId="0" pivotButton="0" quotePrefix="0" xfId="0"/>
    <xf numFmtId="165" fontId="107" fillId="14" borderId="0" pivotButton="0" quotePrefix="0" xfId="0"/>
    <xf numFmtId="3" fontId="41" fillId="0" borderId="0" pivotButton="0" quotePrefix="0" xfId="0"/>
    <xf numFmtId="165" fontId="41" fillId="0" borderId="0" pivotButton="0" quotePrefix="0" xfId="0"/>
    <xf numFmtId="176" fontId="110" fillId="0" borderId="0" pivotButton="0" quotePrefix="0" xfId="0"/>
    <xf numFmtId="178" fontId="110" fillId="0" borderId="0" pivotButton="0" quotePrefix="0" xfId="0"/>
    <xf numFmtId="176" fontId="113" fillId="0" borderId="0" pivotButton="0" quotePrefix="0" xfId="0"/>
    <xf numFmtId="165" fontId="107" fillId="0" borderId="0" pivotButton="0" quotePrefix="0" xfId="0"/>
    <xf numFmtId="205" fontId="6" fillId="0" borderId="0" applyAlignment="1" pivotButton="0" quotePrefix="0" xfId="0">
      <alignment horizontal="right" vertical="center"/>
    </xf>
    <xf numFmtId="0" fontId="6" fillId="0" borderId="41" pivotButton="0" quotePrefix="0" xfId="0"/>
    <xf numFmtId="169" fontId="6" fillId="0" borderId="41" pivotButton="0" quotePrefix="0" xfId="0"/>
    <xf numFmtId="165" fontId="100" fillId="0" borderId="41" applyAlignment="1" pivotButton="0" quotePrefix="0" xfId="0">
      <alignment horizontal="right" vertical="center"/>
    </xf>
    <xf numFmtId="205" fontId="6" fillId="0" borderId="41" applyAlignment="1" pivotButton="0" quotePrefix="0" xfId="0">
      <alignment horizontal="right" vertical="center"/>
    </xf>
    <xf numFmtId="199" fontId="6" fillId="0" borderId="42" pivotButton="0" quotePrefix="0" xfId="0"/>
    <xf numFmtId="0" fontId="1" fillId="0" borderId="0" pivotButton="0" quotePrefix="0" xfId="0"/>
    <xf numFmtId="169" fontId="6" fillId="0" borderId="42" pivotButton="0" quotePrefix="0" xfId="0"/>
    <xf numFmtId="169" fontId="6" fillId="0" borderId="42" applyAlignment="1" pivotButton="0" quotePrefix="0" xfId="0">
      <alignment horizontal="right"/>
    </xf>
    <xf numFmtId="0" fontId="42" fillId="8" borderId="0" applyAlignment="1" pivotButton="0" quotePrefix="0" xfId="0">
      <alignment horizontal="left" vertical="center"/>
    </xf>
    <xf numFmtId="0" fontId="43" fillId="9" borderId="0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8" fontId="15" fillId="0" borderId="4" applyAlignment="1" pivotButton="0" quotePrefix="0" xfId="0">
      <alignment horizontal="center"/>
    </xf>
    <xf numFmtId="0" fontId="40" fillId="0" borderId="0" applyAlignment="1" pivotButton="0" quotePrefix="0" xfId="0">
      <alignment vertical="center" wrapText="1"/>
    </xf>
    <xf numFmtId="0" fontId="52" fillId="8" borderId="0" applyAlignment="1" pivotButton="0" quotePrefix="0" xfId="0">
      <alignment horizontal="left" vertical="center"/>
    </xf>
    <xf numFmtId="0" fontId="40" fillId="0" borderId="0" applyAlignment="1" pivotButton="0" quotePrefix="0" xfId="0">
      <alignment vertical="top" wrapText="1"/>
    </xf>
    <xf numFmtId="0" fontId="55" fillId="0" borderId="0" applyAlignment="1" pivotButton="0" quotePrefix="0" xfId="0">
      <alignment vertical="center" wrapText="1"/>
    </xf>
    <xf numFmtId="0" fontId="54" fillId="0" borderId="0" applyAlignment="1" pivotButton="0" quotePrefix="0" xfId="0">
      <alignment vertical="top" wrapText="1"/>
    </xf>
    <xf numFmtId="0" fontId="59" fillId="2" borderId="0" applyAlignment="1" pivotButton="0" quotePrefix="0" xfId="0">
      <alignment vertical="top"/>
    </xf>
    <xf numFmtId="0" fontId="58" fillId="5" borderId="0" applyAlignment="1" pivotButton="0" quotePrefix="0" xfId="0">
      <alignment horizontal="left"/>
    </xf>
    <xf numFmtId="0" fontId="59" fillId="12" borderId="0" applyAlignment="1" pivotButton="0" quotePrefix="0" xfId="0">
      <alignment vertical="top"/>
    </xf>
    <xf numFmtId="0" fontId="68" fillId="16" borderId="15" applyAlignment="1" pivotButton="0" quotePrefix="0" xfId="0">
      <alignment horizontal="center"/>
    </xf>
    <xf numFmtId="0" fontId="68" fillId="16" borderId="24" applyAlignment="1" pivotButton="0" quotePrefix="0" xfId="0">
      <alignment horizontal="center" vertical="center" wrapText="1"/>
    </xf>
    <xf numFmtId="0" fontId="68" fillId="16" borderId="15" applyAlignment="1" pivotButton="0" quotePrefix="0" xfId="0">
      <alignment horizontal="center" vertical="center" wrapText="1"/>
    </xf>
    <xf numFmtId="0" fontId="67" fillId="15" borderId="15" applyAlignment="1" pivotButton="0" quotePrefix="0" xfId="0">
      <alignment horizontal="center"/>
    </xf>
    <xf numFmtId="0" fontId="67" fillId="15" borderId="15" applyAlignment="1" pivotButton="0" quotePrefix="0" xfId="0">
      <alignment horizontal="center" vertical="center" wrapText="1"/>
    </xf>
    <xf numFmtId="0" fontId="72" fillId="21" borderId="25" applyAlignment="1" pivotButton="0" quotePrefix="0" xfId="0">
      <alignment horizontal="left"/>
    </xf>
    <xf numFmtId="0" fontId="72" fillId="0" borderId="24" applyAlignment="1" pivotButton="0" quotePrefix="0" xfId="0">
      <alignment horizontal="center"/>
    </xf>
    <xf numFmtId="0" fontId="72" fillId="18" borderId="19" applyAlignment="1" pivotButton="0" quotePrefix="0" xfId="0">
      <alignment horizontal="center"/>
    </xf>
    <xf numFmtId="0" fontId="72" fillId="0" borderId="19" applyAlignment="1" pivotButton="0" quotePrefix="0" xfId="0">
      <alignment horizontal="center"/>
    </xf>
    <xf numFmtId="0" fontId="70" fillId="20" borderId="25" applyAlignment="1" pivotButton="0" quotePrefix="0" xfId="0">
      <alignment horizontal="center" vertical="center"/>
    </xf>
    <xf numFmtId="0" fontId="72" fillId="0" borderId="21" applyAlignment="1" pivotButton="0" quotePrefix="0" xfId="0">
      <alignment horizontal="center"/>
    </xf>
    <xf numFmtId="0" fontId="71" fillId="20" borderId="25" applyAlignment="1" pivotButton="0" quotePrefix="0" xfId="0">
      <alignment horizontal="center" vertical="center"/>
    </xf>
    <xf numFmtId="0" fontId="70" fillId="17" borderId="25" applyAlignment="1" pivotButton="0" quotePrefix="0" xfId="0">
      <alignment horizontal="center" vertical="center"/>
    </xf>
    <xf numFmtId="0" fontId="71" fillId="17" borderId="25" applyAlignment="1" pivotButton="0" quotePrefix="0" xfId="0">
      <alignment horizontal="center" vertical="center"/>
    </xf>
    <xf numFmtId="0" fontId="72" fillId="18" borderId="25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8" fillId="15" borderId="0" applyAlignment="1" pivotButton="0" quotePrefix="0" xfId="0">
      <alignment horizontal="left" vertical="center"/>
    </xf>
    <xf numFmtId="0" fontId="79" fillId="15" borderId="0" applyAlignment="1" pivotButton="0" quotePrefix="0" xfId="0">
      <alignment horizontal="center"/>
    </xf>
    <xf numFmtId="0" fontId="79" fillId="22" borderId="0" applyAlignment="1" pivotButton="0" quotePrefix="0" xfId="0">
      <alignment horizontal="center"/>
    </xf>
    <xf numFmtId="0" fontId="82" fillId="0" borderId="0" applyAlignment="1" pivotButton="0" quotePrefix="0" xfId="0">
      <alignment horizontal="center"/>
    </xf>
    <xf numFmtId="169" fontId="122" fillId="15" borderId="0" applyAlignment="1" pivotButton="0" quotePrefix="0" xfId="0">
      <alignment horizontal="center"/>
    </xf>
    <xf numFmtId="169" fontId="85" fillId="15" borderId="0" applyAlignment="1" pivotButton="0" quotePrefix="0" xfId="0">
      <alignment horizontal="center"/>
    </xf>
    <xf numFmtId="0" fontId="138" fillId="15" borderId="0" applyAlignment="1" pivotButton="0" quotePrefix="0" xfId="0">
      <alignment horizontal="left" vertical="center"/>
    </xf>
    <xf numFmtId="0" fontId="71" fillId="15" borderId="0" applyAlignment="1" pivotButton="0" quotePrefix="0" xfId="0">
      <alignment horizontal="center"/>
    </xf>
    <xf numFmtId="0" fontId="22" fillId="19" borderId="0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  <xf numFmtId="0" fontId="147" fillId="0" borderId="38" applyAlignment="1" pivotButton="0" quotePrefix="0" xfId="0">
      <alignment horizontal="center"/>
    </xf>
    <xf numFmtId="169" fontId="148" fillId="15" borderId="0" applyAlignment="1" pivotButton="0" quotePrefix="0" xfId="0">
      <alignment horizontal="center"/>
    </xf>
    <xf numFmtId="169" fontId="149" fillId="15" borderId="0" applyAlignment="1" pivotButton="0" quotePrefix="0" xfId="0">
      <alignment horizontal="center"/>
    </xf>
    <xf numFmtId="0" fontId="30" fillId="5" borderId="0" pivotButton="0" quotePrefix="0" xfId="0"/>
    <xf numFmtId="0" fontId="30" fillId="0" borderId="0" pivotButton="0" quotePrefix="0" xfId="0"/>
    <xf numFmtId="0" fontId="59" fillId="2" borderId="0" pivotButton="0" quotePrefix="0" xfId="0"/>
    <xf numFmtId="0" fontId="152" fillId="32" borderId="0" applyAlignment="1" pivotButton="0" quotePrefix="0" xfId="0">
      <alignment horizontal="left"/>
    </xf>
    <xf numFmtId="0" fontId="0" fillId="32" borderId="0" pivotButton="0" quotePrefix="0" xfId="0"/>
    <xf numFmtId="0" fontId="153" fillId="32" borderId="0" applyAlignment="1" pivotButton="0" quotePrefix="0" xfId="0">
      <alignment horizontal="left"/>
    </xf>
    <xf numFmtId="0" fontId="154" fillId="33" borderId="0" pivotButton="0" quotePrefix="0" xfId="0"/>
    <xf numFmtId="0" fontId="0" fillId="33" borderId="0" pivotButton="0" quotePrefix="0" xfId="0"/>
    <xf numFmtId="0" fontId="155" fillId="0" borderId="43" applyAlignment="1" pivotButton="0" quotePrefix="0" xfId="0">
      <alignment horizontal="left"/>
    </xf>
    <xf numFmtId="49" fontId="156" fillId="0" borderId="43" applyAlignment="1" pivotButton="0" quotePrefix="0" xfId="0">
      <alignment horizontal="right"/>
    </xf>
    <xf numFmtId="3" fontId="156" fillId="0" borderId="43" applyAlignment="1" pivotButton="0" quotePrefix="0" xfId="0">
      <alignment horizontal="right"/>
    </xf>
    <xf numFmtId="165" fontId="156" fillId="0" borderId="43" applyAlignment="1" pivotButton="0" quotePrefix="0" xfId="0">
      <alignment horizontal="right"/>
    </xf>
    <xf numFmtId="206" fontId="156" fillId="0" borderId="43" applyAlignment="1" pivotButton="0" quotePrefix="0" xfId="0">
      <alignment horizontal="right"/>
    </xf>
    <xf numFmtId="0" fontId="156" fillId="0" borderId="43" applyAlignment="1" pivotButton="0" quotePrefix="0" xfId="0">
      <alignment horizontal="right"/>
    </xf>
    <xf numFmtId="207" fontId="156" fillId="0" borderId="43" applyAlignment="1" pivotButton="0" quotePrefix="0" xfId="0">
      <alignment horizontal="right"/>
    </xf>
    <xf numFmtId="0" fontId="157" fillId="33" borderId="0" pivotButton="0" quotePrefix="0" xfId="0"/>
    <xf numFmtId="0" fontId="155" fillId="0" borderId="0" applyAlignment="1" pivotButton="0" quotePrefix="0" xfId="0">
      <alignment horizontal="left"/>
    </xf>
    <xf numFmtId="0" fontId="158" fillId="0" borderId="0" applyAlignment="1" pivotButton="0" quotePrefix="0" xfId="0">
      <alignment horizontal="left"/>
    </xf>
    <xf numFmtId="0" fontId="159" fillId="32" borderId="0" applyAlignment="1" pivotButton="0" quotePrefix="0" xfId="0">
      <alignment horizontal="left"/>
    </xf>
    <xf numFmtId="0" fontId="158" fillId="0" borderId="0" pivotButton="0" quotePrefix="0" xfId="0"/>
    <xf numFmtId="0" fontId="153" fillId="33" borderId="0" applyAlignment="1" pivotButton="0" quotePrefix="0" xfId="0">
      <alignment horizontal="left"/>
    </xf>
    <xf numFmtId="49" fontId="160" fillId="0" borderId="0" applyAlignment="1" pivotButton="0" quotePrefix="0" xfId="0">
      <alignment horizontal="right"/>
    </xf>
    <xf numFmtId="165" fontId="160" fillId="0" borderId="0" applyAlignment="1" pivotButton="0" quotePrefix="0" xfId="0">
      <alignment horizontal="right"/>
    </xf>
    <xf numFmtId="3" fontId="160" fillId="0" borderId="0" applyAlignment="1" pivotButton="0" quotePrefix="0" xfId="0">
      <alignment horizontal="right"/>
    </xf>
    <xf numFmtId="10" fontId="160" fillId="0" borderId="0" applyAlignment="1" pivotButton="0" quotePrefix="0" xfId="0">
      <alignment horizontal="right"/>
    </xf>
    <xf numFmtId="208" fontId="161" fillId="0" borderId="0" applyAlignment="1" pivotButton="0" quotePrefix="0" xfId="0">
      <alignment horizontal="right"/>
    </xf>
    <xf numFmtId="0" fontId="161" fillId="0" borderId="0" applyAlignment="1" pivotButton="0" quotePrefix="0" xfId="0">
      <alignment horizontal="right"/>
    </xf>
    <xf numFmtId="206" fontId="160" fillId="0" borderId="0" applyAlignment="1" pivotButton="0" quotePrefix="0" xfId="0">
      <alignment horizontal="right"/>
    </xf>
    <xf numFmtId="178" fontId="160" fillId="0" borderId="0" applyAlignment="1" pivotButton="0" quotePrefix="0" xfId="0">
      <alignment horizontal="right"/>
    </xf>
    <xf numFmtId="0" fontId="162" fillId="0" borderId="0" pivotButton="0" quotePrefix="0" xfId="0"/>
    <xf numFmtId="0" fontId="162" fillId="0" borderId="0" applyAlignment="1" pivotButton="0" quotePrefix="0" xfId="0">
      <alignment horizontal="left"/>
    </xf>
    <xf numFmtId="3" fontId="156" fillId="0" borderId="0" applyAlignment="1" pivotButton="0" quotePrefix="0" xfId="0">
      <alignment horizontal="right"/>
    </xf>
    <xf numFmtId="0" fontId="162" fillId="0" borderId="44" applyAlignment="1" pivotButton="0" quotePrefix="0" xfId="0">
      <alignment horizontal="left"/>
    </xf>
    <xf numFmtId="206" fontId="156" fillId="0" borderId="44" applyAlignment="1" pivotButton="0" quotePrefix="0" xfId="0">
      <alignment horizontal="right"/>
    </xf>
    <xf numFmtId="206" fontId="162" fillId="0" borderId="44" applyAlignment="1" pivotButton="0" quotePrefix="0" xfId="0">
      <alignment horizontal="right"/>
    </xf>
    <xf numFmtId="165" fontId="162" fillId="0" borderId="44" applyAlignment="1" pivotButton="0" quotePrefix="0" xfId="0">
      <alignment horizontal="right"/>
    </xf>
    <xf numFmtId="207" fontId="162" fillId="0" borderId="44" applyAlignment="1" pivotButton="0" quotePrefix="0" xfId="0">
      <alignment horizontal="right"/>
    </xf>
    <xf numFmtId="0" fontId="163" fillId="0" borderId="0" pivotButton="0" quotePrefix="0" xfId="0"/>
    <xf numFmtId="0" fontId="164" fillId="0" borderId="0" pivotButton="0" quotePrefix="0" xfId="0"/>
    <xf numFmtId="0" fontId="165" fillId="0" borderId="0" pivotButton="0" quotePrefix="0" xfId="0"/>
    <xf numFmtId="0" fontId="166" fillId="0" borderId="0" pivotButton="0" quotePrefix="0" xfId="0"/>
    <xf numFmtId="164" fontId="8" fillId="3" borderId="0" pivotButton="0" quotePrefix="0" xfId="0"/>
    <xf numFmtId="164" fontId="0" fillId="0" borderId="0" pivotButton="0" quotePrefix="0" xfId="0"/>
    <xf numFmtId="164" fontId="9" fillId="0" borderId="0" pivotButton="0" quotePrefix="0" xfId="0"/>
    <xf numFmtId="165" fontId="8" fillId="3" borderId="0" pivotButton="0" quotePrefix="0" xfId="0"/>
    <xf numFmtId="165" fontId="9" fillId="0" borderId="0" pivotButton="0" quotePrefix="0" xfId="0"/>
    <xf numFmtId="166" fontId="12" fillId="0" borderId="0" applyAlignment="1" pivotButton="0" quotePrefix="0" xfId="0">
      <alignment horizontal="right"/>
    </xf>
    <xf numFmtId="167" fontId="9" fillId="0" borderId="5" pivotButton="0" quotePrefix="0" xfId="0"/>
    <xf numFmtId="167" fontId="0" fillId="0" borderId="0" pivotButton="0" quotePrefix="0" xfId="0"/>
    <xf numFmtId="165" fontId="12" fillId="0" borderId="0" pivotButton="0" quotePrefix="0" xfId="0"/>
    <xf numFmtId="167" fontId="13" fillId="0" borderId="5" pivotButton="0" quotePrefix="0" xfId="0"/>
    <xf numFmtId="165" fontId="9" fillId="0" borderId="5" pivotButton="0" quotePrefix="0" xfId="0"/>
    <xf numFmtId="165" fontId="12" fillId="0" borderId="5" pivotButton="0" quotePrefix="0" xfId="0"/>
    <xf numFmtId="165" fontId="12" fillId="0" borderId="7" pivotButton="0" quotePrefix="0" xfId="0"/>
    <xf numFmtId="167" fontId="13" fillId="0" borderId="0" pivotButton="0" quotePrefix="0" xfId="0"/>
    <xf numFmtId="168" fontId="12" fillId="0" borderId="5" pivotButton="0" quotePrefix="0" xfId="0"/>
    <xf numFmtId="167" fontId="9" fillId="0" borderId="0" pivotButton="0" quotePrefix="0" xfId="0"/>
    <xf numFmtId="169" fontId="12" fillId="0" borderId="5" pivotButton="0" quotePrefix="0" xfId="0"/>
    <xf numFmtId="167" fontId="15" fillId="0" borderId="2" pivotButton="0" quotePrefix="0" xfId="0"/>
    <xf numFmtId="167" fontId="13" fillId="0" borderId="8" pivotButton="0" quotePrefix="0" xfId="0"/>
    <xf numFmtId="170" fontId="13" fillId="0" borderId="0" pivotButton="0" quotePrefix="0" xfId="0"/>
    <xf numFmtId="166" fontId="9" fillId="0" borderId="5" applyAlignment="1" pivotButton="0" quotePrefix="0" xfId="0">
      <alignment horizontal="right"/>
    </xf>
    <xf numFmtId="167" fontId="9" fillId="0" borderId="5" applyAlignment="1" pivotButton="0" quotePrefix="0" xfId="0">
      <alignment horizontal="right"/>
    </xf>
    <xf numFmtId="165" fontId="9" fillId="0" borderId="8" pivotButton="0" quotePrefix="0" xfId="0"/>
    <xf numFmtId="166" fontId="0" fillId="0" borderId="0" pivotButton="0" quotePrefix="0" xfId="0"/>
    <xf numFmtId="167" fontId="16" fillId="0" borderId="0" pivotButton="0" quotePrefix="0" xfId="0"/>
    <xf numFmtId="167" fontId="16" fillId="0" borderId="3" pivotButton="0" quotePrefix="0" xfId="0"/>
    <xf numFmtId="167" fontId="17" fillId="0" borderId="0" pivotButton="0" quotePrefix="0" xfId="0"/>
    <xf numFmtId="167" fontId="17" fillId="0" borderId="3" pivotButton="0" quotePrefix="0" xfId="0"/>
    <xf numFmtId="167" fontId="12" fillId="0" borderId="0" pivotButton="0" quotePrefix="0" xfId="0"/>
    <xf numFmtId="167" fontId="12" fillId="0" borderId="5" pivotButton="0" quotePrefix="0" xfId="0"/>
    <xf numFmtId="167" fontId="10" fillId="0" borderId="0" pivotButton="0" quotePrefix="0" xfId="0"/>
    <xf numFmtId="167" fontId="10" fillId="0" borderId="5" pivotButton="0" quotePrefix="0" xfId="0"/>
    <xf numFmtId="167" fontId="16" fillId="0" borderId="5" pivotButton="0" quotePrefix="0" xfId="0"/>
    <xf numFmtId="167" fontId="17" fillId="0" borderId="5" pivotButton="0" quotePrefix="0" xfId="0"/>
    <xf numFmtId="167" fontId="0" fillId="0" borderId="5" pivotButton="0" quotePrefix="0" xfId="0"/>
    <xf numFmtId="166" fontId="10" fillId="0" borderId="0" pivotButton="0" quotePrefix="0" xfId="0"/>
    <xf numFmtId="166" fontId="10" fillId="0" borderId="5" pivotButton="0" quotePrefix="0" xfId="0"/>
    <xf numFmtId="167" fontId="15" fillId="0" borderId="0" pivotButton="0" quotePrefix="0" xfId="0"/>
    <xf numFmtId="167" fontId="15" fillId="0" borderId="3" pivotButton="0" quotePrefix="0" xfId="0"/>
    <xf numFmtId="167" fontId="13" fillId="0" borderId="10" pivotButton="0" quotePrefix="0" xfId="0"/>
    <xf numFmtId="167" fontId="13" fillId="0" borderId="11" pivotButton="0" quotePrefix="0" xfId="0"/>
    <xf numFmtId="167" fontId="15" fillId="0" borderId="5" pivotButton="0" quotePrefix="0" xfId="0"/>
    <xf numFmtId="167" fontId="0" fillId="0" borderId="2" pivotButton="0" quotePrefix="0" xfId="0"/>
    <xf numFmtId="167" fontId="0" fillId="0" borderId="3" pivotButton="0" quotePrefix="0" xfId="0"/>
    <xf numFmtId="167" fontId="0" fillId="0" borderId="7" pivotButton="0" quotePrefix="0" xfId="0"/>
    <xf numFmtId="167" fontId="0" fillId="0" borderId="8" pivotButton="0" quotePrefix="0" xfId="0"/>
    <xf numFmtId="168" fontId="10" fillId="0" borderId="7" pivotButton="0" quotePrefix="0" xfId="0"/>
    <xf numFmtId="168" fontId="10" fillId="0" borderId="8" pivotButton="0" quotePrefix="0" xfId="0"/>
    <xf numFmtId="171" fontId="5" fillId="0" borderId="0" pivotButton="0" quotePrefix="0" xfId="0"/>
    <xf numFmtId="171" fontId="22" fillId="0" borderId="0" applyAlignment="1" pivotButton="0" quotePrefix="0" xfId="0">
      <alignment horizontal="center"/>
    </xf>
    <xf numFmtId="172" fontId="11" fillId="0" borderId="0" pivotButton="0" quotePrefix="0" xfId="0"/>
    <xf numFmtId="168" fontId="0" fillId="0" borderId="0" pivotButton="0" quotePrefix="0" xfId="0"/>
    <xf numFmtId="168" fontId="15" fillId="0" borderId="0" pivotButton="0" quotePrefix="0" xfId="0"/>
    <xf numFmtId="166" fontId="9" fillId="0" borderId="0" applyAlignment="1" pivotButton="0" quotePrefix="0" xfId="0">
      <alignment horizontal="right"/>
    </xf>
    <xf numFmtId="167" fontId="10" fillId="0" borderId="10" pivotButton="0" quotePrefix="0" xfId="0"/>
    <xf numFmtId="173" fontId="15" fillId="0" borderId="2" pivotButton="0" quotePrefix="0" xfId="0"/>
    <xf numFmtId="173" fontId="16" fillId="0" borderId="2" pivotButton="0" quotePrefix="0" xfId="0"/>
    <xf numFmtId="167" fontId="25" fillId="0" borderId="0" pivotButton="0" quotePrefix="0" xfId="0"/>
    <xf numFmtId="174" fontId="25" fillId="0" borderId="0" pivotButton="0" quotePrefix="0" xfId="0"/>
    <xf numFmtId="174" fontId="13" fillId="0" borderId="0" pivotButton="0" quotePrefix="0" xfId="0"/>
    <xf numFmtId="168" fontId="13" fillId="0" borderId="4" applyAlignment="1" pivotButton="0" quotePrefix="0" xfId="0">
      <alignment horizontal="left" indent="1"/>
    </xf>
    <xf numFmtId="168" fontId="26" fillId="0" borderId="0" pivotButton="0" quotePrefix="0" xfId="0"/>
    <xf numFmtId="168" fontId="27" fillId="0" borderId="0" pivotButton="0" quotePrefix="0" xfId="0"/>
    <xf numFmtId="168" fontId="26" fillId="0" borderId="4" pivotButton="0" quotePrefix="0" xfId="0"/>
    <xf numFmtId="168" fontId="27" fillId="0" borderId="5" pivotButton="0" quotePrefix="0" xfId="0"/>
    <xf numFmtId="168" fontId="15" fillId="0" borderId="4" applyAlignment="1" pivotButton="0" quotePrefix="0" xfId="0">
      <alignment horizontal="center"/>
    </xf>
    <xf numFmtId="168" fontId="28" fillId="0" borderId="0" applyAlignment="1" pivotButton="0" quotePrefix="0" xfId="0">
      <alignment horizontal="left"/>
    </xf>
    <xf numFmtId="168" fontId="28" fillId="0" borderId="5" applyAlignment="1" pivotButton="0" quotePrefix="0" xfId="0">
      <alignment horizontal="left"/>
    </xf>
    <xf numFmtId="167" fontId="15" fillId="0" borderId="7" pivotButton="0" quotePrefix="0" xfId="0"/>
    <xf numFmtId="167" fontId="15" fillId="0" borderId="8" pivotButton="0" quotePrefix="0" xfId="0"/>
    <xf numFmtId="175" fontId="10" fillId="0" borderId="0" pivotButton="0" quotePrefix="0" xfId="0"/>
    <xf numFmtId="165" fontId="29" fillId="0" borderId="0" pivotButton="0" quotePrefix="0" xfId="0"/>
    <xf numFmtId="165" fontId="33" fillId="0" borderId="0" pivotButton="0" quotePrefix="0" xfId="0"/>
    <xf numFmtId="165" fontId="34" fillId="0" borderId="0" pivotButton="0" quotePrefix="0" xfId="0"/>
    <xf numFmtId="176" fontId="33" fillId="0" borderId="0" pivotButton="0" quotePrefix="0" xfId="0"/>
    <xf numFmtId="177" fontId="29" fillId="0" borderId="0" pivotButton="0" quotePrefix="0" xfId="0"/>
    <xf numFmtId="177" fontId="37" fillId="0" borderId="0" applyAlignment="1" pivotButton="0" quotePrefix="0" xfId="0">
      <alignment vertical="center"/>
    </xf>
    <xf numFmtId="178" fontId="29" fillId="0" borderId="0" pivotButton="0" quotePrefix="0" xfId="0"/>
    <xf numFmtId="178" fontId="34" fillId="3" borderId="0" pivotButton="0" quotePrefix="0" xfId="0"/>
    <xf numFmtId="178" fontId="32" fillId="7" borderId="0" pivotButton="0" quotePrefix="0" xfId="0"/>
    <xf numFmtId="179" fontId="33" fillId="10" borderId="13" applyAlignment="1" pivotButton="0" quotePrefix="0" xfId="0">
      <alignment horizontal="center" vertical="center"/>
    </xf>
    <xf numFmtId="181" fontId="33" fillId="0" borderId="13" applyAlignment="1" pivotButton="0" quotePrefix="0" xfId="0">
      <alignment horizontal="right" vertical="center"/>
    </xf>
    <xf numFmtId="181" fontId="19" fillId="0" borderId="13" applyAlignment="1" pivotButton="0" quotePrefix="0" xfId="0">
      <alignment horizontal="center" vertical="center"/>
    </xf>
    <xf numFmtId="185" fontId="33" fillId="0" borderId="13" applyAlignment="1" pivotButton="0" quotePrefix="0" xfId="0">
      <alignment horizontal="center" vertical="center"/>
    </xf>
    <xf numFmtId="181" fontId="38" fillId="0" borderId="13" applyAlignment="1" pivotButton="0" quotePrefix="0" xfId="0">
      <alignment vertical="center"/>
    </xf>
    <xf numFmtId="184" fontId="33" fillId="0" borderId="13" applyAlignment="1" pivotButton="0" quotePrefix="0" xfId="0">
      <alignment horizontal="center" vertical="center"/>
    </xf>
    <xf numFmtId="181" fontId="44" fillId="0" borderId="13" applyAlignment="1" pivotButton="0" quotePrefix="0" xfId="0">
      <alignment vertical="center"/>
    </xf>
    <xf numFmtId="181" fontId="33" fillId="0" borderId="13" applyAlignment="1" pivotButton="0" quotePrefix="0" xfId="0">
      <alignment horizontal="center" vertical="center"/>
    </xf>
    <xf numFmtId="179" fontId="33" fillId="0" borderId="13" applyAlignment="1" pivotButton="0" quotePrefix="0" xfId="0">
      <alignment horizontal="center" vertical="center"/>
    </xf>
    <xf numFmtId="181" fontId="47" fillId="8" borderId="13" applyAlignment="1" pivotButton="0" quotePrefix="0" xfId="0">
      <alignment vertical="center"/>
    </xf>
    <xf numFmtId="181" fontId="44" fillId="0" borderId="13" applyAlignment="1" pivotButton="0" quotePrefix="0" xfId="0">
      <alignment horizontal="right" vertical="center"/>
    </xf>
    <xf numFmtId="187" fontId="38" fillId="10" borderId="13" applyAlignment="1" pivotButton="0" quotePrefix="0" xfId="0">
      <alignment horizontal="right" vertical="center"/>
    </xf>
    <xf numFmtId="179" fontId="33" fillId="0" borderId="13" applyAlignment="1" pivotButton="0" quotePrefix="0" xfId="0">
      <alignment horizontal="right" vertical="center"/>
    </xf>
    <xf numFmtId="180" fontId="33" fillId="0" borderId="13" applyAlignment="1" pivotButton="0" quotePrefix="0" xfId="0">
      <alignment horizontal="right" vertical="center"/>
    </xf>
    <xf numFmtId="179" fontId="19" fillId="0" borderId="13" applyAlignment="1" pivotButton="0" quotePrefix="0" xfId="0">
      <alignment horizontal="center" vertical="center"/>
    </xf>
    <xf numFmtId="182" fontId="33" fillId="0" borderId="13" applyAlignment="1" pivotButton="0" quotePrefix="0" xfId="0">
      <alignment horizontal="center" vertical="center"/>
    </xf>
    <xf numFmtId="179" fontId="38" fillId="0" borderId="13" applyAlignment="1" pivotButton="0" quotePrefix="0" xfId="0">
      <alignment vertical="center"/>
    </xf>
    <xf numFmtId="180" fontId="19" fillId="0" borderId="13" applyAlignment="1" pivotButton="0" quotePrefix="0" xfId="0">
      <alignment horizontal="center" vertical="center"/>
    </xf>
    <xf numFmtId="183" fontId="50" fillId="0" borderId="13" applyAlignment="1" pivotButton="0" quotePrefix="0" xfId="0">
      <alignment horizontal="center" vertical="center"/>
    </xf>
    <xf numFmtId="181" fontId="37" fillId="0" borderId="13" applyAlignment="1" pivotButton="0" quotePrefix="0" xfId="0">
      <alignment vertical="center"/>
    </xf>
    <xf numFmtId="186" fontId="33" fillId="0" borderId="13" applyAlignment="1" pivotButton="0" quotePrefix="0" xfId="0">
      <alignment horizontal="center" vertical="center"/>
    </xf>
    <xf numFmtId="181" fontId="38" fillId="0" borderId="13" applyAlignment="1" pivotButton="0" quotePrefix="0" xfId="0">
      <alignment horizontal="right" vertical="center"/>
    </xf>
    <xf numFmtId="185" fontId="19" fillId="0" borderId="13" applyAlignment="1" pivotButton="0" quotePrefix="0" xfId="0">
      <alignment horizontal="center" vertical="center"/>
    </xf>
    <xf numFmtId="187" fontId="33" fillId="0" borderId="13" applyAlignment="1" pivotButton="0" quotePrefix="0" xfId="0">
      <alignment horizontal="right" vertical="center"/>
    </xf>
    <xf numFmtId="185" fontId="38" fillId="0" borderId="13" applyAlignment="1" pivotButton="0" quotePrefix="0" xfId="0">
      <alignment horizontal="center" vertical="center"/>
    </xf>
    <xf numFmtId="181" fontId="37" fillId="0" borderId="0" applyAlignment="1" pivotButton="0" quotePrefix="0" xfId="0">
      <alignment vertical="center"/>
    </xf>
    <xf numFmtId="188" fontId="29" fillId="0" borderId="0" pivotButton="0" quotePrefix="0" xfId="0"/>
    <xf numFmtId="165" fontId="32" fillId="0" borderId="0" applyAlignment="1" pivotButton="0" quotePrefix="0" xfId="0">
      <alignment horizontal="center"/>
    </xf>
    <xf numFmtId="177" fontId="32" fillId="0" borderId="0" pivotButton="0" quotePrefix="0" xfId="0"/>
    <xf numFmtId="189" fontId="29" fillId="0" borderId="0" pivotButton="0" quotePrefix="0" xfId="0"/>
    <xf numFmtId="187" fontId="56" fillId="0" borderId="13" applyAlignment="1" pivotButton="0" quotePrefix="0" xfId="0">
      <alignment horizontal="right" vertical="center"/>
    </xf>
    <xf numFmtId="183" fontId="37" fillId="0" borderId="13" applyAlignment="1" pivotButton="0" quotePrefix="0" xfId="0">
      <alignment horizontal="right" vertical="center"/>
    </xf>
    <xf numFmtId="187" fontId="37" fillId="0" borderId="13" applyAlignment="1" pivotButton="0" quotePrefix="0" xfId="0">
      <alignment horizontal="right" vertical="center"/>
    </xf>
    <xf numFmtId="187" fontId="44" fillId="0" borderId="13" applyAlignment="1" pivotButton="0" quotePrefix="0" xfId="0">
      <alignment horizontal="right" vertical="center"/>
    </xf>
    <xf numFmtId="164" fontId="29" fillId="0" borderId="0" pivotButton="0" quotePrefix="0" xfId="0"/>
    <xf numFmtId="183" fontId="36" fillId="0" borderId="0" pivotButton="0" quotePrefix="0" xfId="0"/>
    <xf numFmtId="165" fontId="32" fillId="0" borderId="0" pivotButton="0" quotePrefix="0" xfId="0"/>
    <xf numFmtId="165" fontId="61" fillId="3" borderId="14" applyAlignment="1" pivotButton="0" quotePrefix="0" xfId="0">
      <alignment horizontal="right" vertical="top"/>
    </xf>
    <xf numFmtId="176" fontId="63" fillId="0" borderId="14" applyAlignment="1" pivotButton="0" quotePrefix="0" xfId="0">
      <alignment vertical="top"/>
    </xf>
    <xf numFmtId="165" fontId="63" fillId="0" borderId="14" applyAlignment="1" pivotButton="0" quotePrefix="0" xfId="0">
      <alignment vertical="top"/>
    </xf>
    <xf numFmtId="178" fontId="0" fillId="0" borderId="14" applyAlignment="1" pivotButton="0" quotePrefix="0" xfId="0">
      <alignment vertical="top"/>
    </xf>
    <xf numFmtId="178" fontId="61" fillId="0" borderId="14" applyAlignment="1" pivotButton="0" quotePrefix="0" xfId="0">
      <alignment horizontal="right" vertical="top"/>
    </xf>
    <xf numFmtId="176" fontId="63" fillId="0" borderId="14" applyAlignment="1" pivotButton="0" quotePrefix="0" xfId="0">
      <alignment horizontal="right" vertical="top"/>
    </xf>
    <xf numFmtId="178" fontId="65" fillId="0" borderId="0" pivotButton="0" quotePrefix="0" xfId="0"/>
    <xf numFmtId="165" fontId="66" fillId="0" borderId="0" pivotButton="0" quotePrefix="0" xfId="0"/>
    <xf numFmtId="165" fontId="65" fillId="0" borderId="0" pivotButton="0" quotePrefix="0" xfId="0"/>
    <xf numFmtId="165" fontId="36" fillId="0" borderId="0" pivotButton="0" quotePrefix="0" xfId="0"/>
    <xf numFmtId="165" fontId="32" fillId="14" borderId="0" pivotButton="0" quotePrefix="0" xfId="0"/>
    <xf numFmtId="165" fontId="34" fillId="3" borderId="0" pivotButton="0" quotePrefix="0" xfId="0"/>
    <xf numFmtId="165" fontId="19" fillId="3" borderId="0" pivotButton="0" quotePrefix="0" xfId="0"/>
    <xf numFmtId="165" fontId="34" fillId="3" borderId="0" applyAlignment="1" pivotButton="0" quotePrefix="0" xfId="0">
      <alignment horizontal="center"/>
    </xf>
    <xf numFmtId="176" fontId="34" fillId="3" borderId="0" pivotButton="0" quotePrefix="0" xfId="0"/>
    <xf numFmtId="0" fontId="0" fillId="0" borderId="16" pivotButton="0" quotePrefix="0" xfId="0"/>
    <xf numFmtId="165" fontId="0" fillId="0" borderId="0" pivotButton="0" quotePrefix="0" xfId="0"/>
    <xf numFmtId="165" fontId="0" fillId="0" borderId="20" pivotButton="0" quotePrefix="0" xfId="0"/>
    <xf numFmtId="165" fontId="0" fillId="0" borderId="0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76" fontId="0" fillId="0" borderId="0" pivotButton="0" quotePrefix="0" xfId="0"/>
    <xf numFmtId="176" fontId="0" fillId="0" borderId="20" pivotButton="0" quotePrefix="0" xfId="0"/>
    <xf numFmtId="165" fontId="0" fillId="0" borderId="22" pivotButton="0" quotePrefix="0" xfId="0"/>
    <xf numFmtId="165" fontId="0" fillId="0" borderId="23" pivotButton="0" quotePrefix="0" xfId="0"/>
    <xf numFmtId="176" fontId="0" fillId="0" borderId="0" applyAlignment="1" pivotButton="0" quotePrefix="0" xfId="0">
      <alignment horizontal="center"/>
    </xf>
    <xf numFmtId="176" fontId="0" fillId="0" borderId="20" applyAlignment="1" pivotButton="0" quotePrefix="0" xfId="0">
      <alignment horizontal="center"/>
    </xf>
    <xf numFmtId="178" fontId="0" fillId="0" borderId="0" pivotButton="0" quotePrefix="0" xfId="0"/>
    <xf numFmtId="178" fontId="0" fillId="0" borderId="20" pivotButton="0" quotePrefix="0" xfId="0"/>
    <xf numFmtId="0" fontId="0" fillId="0" borderId="17" pivotButton="0" quotePrefix="0" xfId="0"/>
    <xf numFmtId="0" fontId="0" fillId="0" borderId="12" pivotButton="0" quotePrefix="0" xfId="0"/>
    <xf numFmtId="189" fontId="29" fillId="0" borderId="2" pivotButton="0" quotePrefix="0" xfId="0"/>
    <xf numFmtId="189" fontId="29" fillId="0" borderId="3" applyAlignment="1" pivotButton="0" quotePrefix="0" xfId="0">
      <alignment horizontal="center"/>
    </xf>
    <xf numFmtId="189" fontId="29" fillId="0" borderId="5" applyAlignment="1" pivotButton="0" quotePrefix="0" xfId="0">
      <alignment horizontal="center"/>
    </xf>
    <xf numFmtId="189" fontId="29" fillId="0" borderId="8" applyAlignment="1" pivotButton="0" quotePrefix="0" xfId="0">
      <alignment horizontal="center"/>
    </xf>
    <xf numFmtId="165" fontId="6" fillId="0" borderId="0" pivotButton="0" quotePrefix="0" xfId="0"/>
    <xf numFmtId="169" fontId="6" fillId="0" borderId="0" pivotButton="0" quotePrefix="0" xfId="0"/>
    <xf numFmtId="169" fontId="85" fillId="15" borderId="0" applyAlignment="1" pivotButton="0" quotePrefix="0" xfId="0">
      <alignment horizontal="left" vertical="center"/>
    </xf>
    <xf numFmtId="169" fontId="6" fillId="0" borderId="26" applyAlignment="1" pivotButton="0" quotePrefix="0" xfId="0">
      <alignment horizontal="center" vertical="center"/>
    </xf>
    <xf numFmtId="169" fontId="6" fillId="0" borderId="0" applyAlignment="1" pivotButton="0" quotePrefix="0" xfId="0">
      <alignment horizontal="left" vertical="center"/>
    </xf>
    <xf numFmtId="169" fontId="85" fillId="15" borderId="1" applyAlignment="1" pivotButton="0" quotePrefix="0" xfId="0">
      <alignment horizontal="left" vertical="center"/>
    </xf>
    <xf numFmtId="169" fontId="85" fillId="15" borderId="27" applyAlignment="1" pivotButton="0" quotePrefix="0" xfId="0">
      <alignment horizontal="left" vertical="center"/>
    </xf>
    <xf numFmtId="169" fontId="85" fillId="15" borderId="2" applyAlignment="1" pivotButton="0" quotePrefix="0" xfId="0">
      <alignment horizontal="center" vertical="center"/>
    </xf>
    <xf numFmtId="169" fontId="85" fillId="15" borderId="27" applyAlignment="1" pivotButton="0" quotePrefix="0" xfId="0">
      <alignment horizontal="center" vertical="center"/>
    </xf>
    <xf numFmtId="169" fontId="6" fillId="0" borderId="4" applyAlignment="1" pivotButton="0" quotePrefix="0" xfId="0">
      <alignment horizontal="left" vertical="center"/>
    </xf>
    <xf numFmtId="169" fontId="7" fillId="0" borderId="28" applyAlignment="1" pivotButton="0" quotePrefix="0" xfId="0">
      <alignment horizontal="left" vertical="center"/>
    </xf>
    <xf numFmtId="165" fontId="82" fillId="23" borderId="28" applyAlignment="1" pivotButton="0" quotePrefix="0" xfId="0">
      <alignment horizontal="right" vertical="center"/>
    </xf>
    <xf numFmtId="165" fontId="86" fillId="0" borderId="0" applyAlignment="1" pivotButton="0" quotePrefix="0" xfId="0">
      <alignment horizontal="right" vertical="center"/>
    </xf>
    <xf numFmtId="169" fontId="7" fillId="0" borderId="29" applyAlignment="1" pivotButton="0" quotePrefix="0" xfId="0">
      <alignment horizontal="left" vertical="center"/>
    </xf>
    <xf numFmtId="165" fontId="86" fillId="0" borderId="7" applyAlignment="1" pivotButton="0" quotePrefix="0" xfId="0">
      <alignment horizontal="right" vertical="center"/>
    </xf>
    <xf numFmtId="169" fontId="7" fillId="0" borderId="0" pivotButton="0" quotePrefix="0" xfId="0"/>
    <xf numFmtId="169" fontId="79" fillId="15" borderId="1" applyAlignment="1" pivotButton="0" quotePrefix="0" xfId="0">
      <alignment horizontal="left" vertical="center"/>
    </xf>
    <xf numFmtId="169" fontId="88" fillId="15" borderId="1" pivotButton="0" quotePrefix="0" xfId="0"/>
    <xf numFmtId="169" fontId="7" fillId="0" borderId="4" applyAlignment="1" pivotButton="0" quotePrefix="0" xfId="0">
      <alignment horizontal="left" vertical="center"/>
    </xf>
    <xf numFmtId="165" fontId="89" fillId="23" borderId="28" applyAlignment="1" pivotButton="0" quotePrefix="0" xfId="0">
      <alignment horizontal="right" vertical="center"/>
    </xf>
    <xf numFmtId="169" fontId="6" fillId="0" borderId="6" applyAlignment="1" pivotButton="0" quotePrefix="0" xfId="0">
      <alignment horizontal="left" vertical="center"/>
    </xf>
    <xf numFmtId="169" fontId="86" fillId="0" borderId="0" applyAlignment="1" pivotButton="0" quotePrefix="0" xfId="0">
      <alignment horizontal="center"/>
    </xf>
    <xf numFmtId="169" fontId="86" fillId="0" borderId="5" applyAlignment="1" pivotButton="0" quotePrefix="0" xfId="0">
      <alignment horizontal="center"/>
    </xf>
    <xf numFmtId="169" fontId="86" fillId="0" borderId="7" applyAlignment="1" pivotButton="0" quotePrefix="0" xfId="0">
      <alignment horizontal="center"/>
    </xf>
    <xf numFmtId="169" fontId="86" fillId="0" borderId="8" applyAlignment="1" pivotButton="0" quotePrefix="0" xfId="0">
      <alignment horizontal="center"/>
    </xf>
    <xf numFmtId="169" fontId="82" fillId="0" borderId="0" applyAlignment="1" pivotButton="0" quotePrefix="0" xfId="0">
      <alignment horizontal="center"/>
    </xf>
    <xf numFmtId="169" fontId="82" fillId="0" borderId="5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169" fontId="6" fillId="0" borderId="5" applyAlignment="1" pivotButton="0" quotePrefix="0" xfId="0">
      <alignment horizontal="center"/>
    </xf>
    <xf numFmtId="169" fontId="86" fillId="0" borderId="7" pivotButton="0" quotePrefix="0" xfId="0"/>
    <xf numFmtId="169" fontId="86" fillId="0" borderId="8" pivotButton="0" quotePrefix="0" xfId="0"/>
    <xf numFmtId="169" fontId="6" fillId="0" borderId="7" pivotButton="0" quotePrefix="0" xfId="0"/>
    <xf numFmtId="169" fontId="6" fillId="0" borderId="7" applyAlignment="1" pivotButton="0" quotePrefix="0" xfId="0">
      <alignment horizontal="center"/>
    </xf>
    <xf numFmtId="169" fontId="86" fillId="0" borderId="0" applyAlignment="1" pivotButton="0" quotePrefix="0" xfId="0">
      <alignment horizontal="center" vertical="center" wrapText="1"/>
    </xf>
    <xf numFmtId="169" fontId="86" fillId="0" borderId="5" applyAlignment="1" pivotButton="0" quotePrefix="0" xfId="0">
      <alignment horizontal="center" vertical="center" wrapText="1"/>
    </xf>
    <xf numFmtId="169" fontId="86" fillId="0" borderId="7" applyAlignment="1" pivotButton="0" quotePrefix="0" xfId="0">
      <alignment horizontal="center" vertical="center" wrapText="1"/>
    </xf>
    <xf numFmtId="169" fontId="86" fillId="0" borderId="8" applyAlignment="1" pivotButton="0" quotePrefix="0" xfId="0">
      <alignment horizontal="center" vertical="center" wrapText="1"/>
    </xf>
    <xf numFmtId="169" fontId="6" fillId="0" borderId="6" pivotButton="0" quotePrefix="0" xfId="0"/>
    <xf numFmtId="169" fontId="91" fillId="0" borderId="0" applyAlignment="1" pivotButton="0" quotePrefix="0" xfId="0">
      <alignment horizontal="center" vertical="center" wrapText="1"/>
    </xf>
    <xf numFmtId="169" fontId="91" fillId="0" borderId="4" applyAlignment="1" pivotButton="0" quotePrefix="0" xfId="0">
      <alignment horizontal="center" vertical="center" wrapText="1"/>
    </xf>
    <xf numFmtId="169" fontId="82" fillId="0" borderId="30" applyAlignment="1" pivotButton="0" quotePrefix="0" xfId="0">
      <alignment horizontal="center"/>
    </xf>
    <xf numFmtId="169" fontId="6" fillId="21" borderId="0" applyAlignment="1" pivotButton="0" quotePrefix="0" xfId="0">
      <alignment horizontal="center"/>
    </xf>
    <xf numFmtId="169" fontId="86" fillId="0" borderId="0" pivotButton="0" quotePrefix="0" xfId="0"/>
    <xf numFmtId="169" fontId="6" fillId="21" borderId="4" pivotButton="0" quotePrefix="0" xfId="0"/>
    <xf numFmtId="169" fontId="6" fillId="21" borderId="0" pivotButton="0" quotePrefix="0" xfId="0"/>
    <xf numFmtId="169" fontId="6" fillId="0" borderId="4" pivotButton="0" quotePrefix="0" xfId="0"/>
    <xf numFmtId="169" fontId="6" fillId="0" borderId="7" applyAlignment="1" pivotButton="0" quotePrefix="0" xfId="0">
      <alignment horizontal="left" vertical="center"/>
    </xf>
    <xf numFmtId="169" fontId="82" fillId="19" borderId="0" pivotButton="0" quotePrefix="0" xfId="0"/>
    <xf numFmtId="169" fontId="82" fillId="19" borderId="4" pivotButton="0" quotePrefix="0" xfId="0"/>
    <xf numFmtId="169" fontId="82" fillId="0" borderId="4" pivotButton="0" quotePrefix="0" xfId="0"/>
    <xf numFmtId="169" fontId="82" fillId="0" borderId="0" pivotButton="0" quotePrefix="0" xfId="0"/>
    <xf numFmtId="169" fontId="82" fillId="0" borderId="30" pivotButton="0" quotePrefix="0" xfId="0"/>
    <xf numFmtId="169" fontId="82" fillId="0" borderId="31" pivotButton="0" quotePrefix="0" xfId="0"/>
    <xf numFmtId="169" fontId="6" fillId="0" borderId="5" pivotButton="0" quotePrefix="0" xfId="0"/>
    <xf numFmtId="169" fontId="82" fillId="0" borderId="7" pivotButton="0" quotePrefix="0" xfId="0"/>
    <xf numFmtId="169" fontId="82" fillId="0" borderId="6" pivotButton="0" quotePrefix="0" xfId="0"/>
    <xf numFmtId="169" fontId="6" fillId="0" borderId="0" applyAlignment="1" pivotButton="0" quotePrefix="0" xfId="0">
      <alignment horizontal="left"/>
    </xf>
    <xf numFmtId="169" fontId="6" fillId="0" borderId="0" applyAlignment="1" pivotButton="0" quotePrefix="0" xfId="0">
      <alignment wrapText="1"/>
    </xf>
    <xf numFmtId="169" fontId="6" fillId="0" borderId="4" applyAlignment="1" pivotButton="0" quotePrefix="0" xfId="0">
      <alignment wrapText="1"/>
    </xf>
    <xf numFmtId="169" fontId="6" fillId="0" borderId="6" applyAlignment="1" pivotButton="0" quotePrefix="0" xfId="0">
      <alignment wrapText="1"/>
    </xf>
    <xf numFmtId="169" fontId="6" fillId="0" borderId="7" applyAlignment="1" pivotButton="0" quotePrefix="0" xfId="0">
      <alignment wrapText="1"/>
    </xf>
    <xf numFmtId="169" fontId="82" fillId="0" borderId="2" applyAlignment="1" pivotButton="0" quotePrefix="0" xfId="0">
      <alignment horizontal="left"/>
    </xf>
    <xf numFmtId="169" fontId="82" fillId="0" borderId="2" pivotButton="0" quotePrefix="0" xfId="0"/>
    <xf numFmtId="169" fontId="82" fillId="0" borderId="2" applyAlignment="1" pivotButton="0" quotePrefix="0" xfId="0">
      <alignment horizontal="center"/>
    </xf>
    <xf numFmtId="169" fontId="82" fillId="0" borderId="2" applyAlignment="1" pivotButton="0" quotePrefix="0" xfId="0">
      <alignment wrapText="1"/>
    </xf>
    <xf numFmtId="169" fontId="82" fillId="0" borderId="4" applyAlignment="1" pivotButton="0" quotePrefix="0" xfId="0">
      <alignment wrapText="1"/>
    </xf>
    <xf numFmtId="169" fontId="82" fillId="0" borderId="0" applyAlignment="1" pivotButton="0" quotePrefix="0" xfId="0">
      <alignment wrapText="1"/>
    </xf>
    <xf numFmtId="169" fontId="82" fillId="0" borderId="0" applyAlignment="1" pivotButton="0" quotePrefix="0" xfId="0">
      <alignment horizontal="left"/>
    </xf>
    <xf numFmtId="169" fontId="6" fillId="0" borderId="8" applyAlignment="1" pivotButton="0" quotePrefix="0" xfId="0">
      <alignment wrapText="1"/>
    </xf>
    <xf numFmtId="169" fontId="6" fillId="0" borderId="2" applyAlignment="1" pivotButton="0" quotePrefix="0" xfId="0">
      <alignment horizontal="left"/>
    </xf>
    <xf numFmtId="169" fontId="6" fillId="0" borderId="2" pivotButton="0" quotePrefix="0" xfId="0"/>
    <xf numFmtId="169" fontId="6" fillId="0" borderId="2" applyAlignment="1" pivotButton="0" quotePrefix="0" xfId="0">
      <alignment horizontal="center"/>
    </xf>
    <xf numFmtId="169" fontId="99" fillId="0" borderId="0" pivotButton="0" quotePrefix="0" xfId="0"/>
    <xf numFmtId="169" fontId="89" fillId="0" borderId="0" applyAlignment="1" pivotButton="0" quotePrefix="0" xfId="0">
      <alignment horizontal="right" vertical="center"/>
    </xf>
    <xf numFmtId="169" fontId="82" fillId="0" borderId="4" applyAlignment="1" pivotButton="0" quotePrefix="0" xfId="0">
      <alignment horizontal="right" vertical="center"/>
    </xf>
    <xf numFmtId="169" fontId="82" fillId="0" borderId="0" applyAlignment="1" pivotButton="0" quotePrefix="0" xfId="0">
      <alignment horizontal="right" vertical="center"/>
    </xf>
    <xf numFmtId="169" fontId="100" fillId="0" borderId="0" applyAlignment="1" pivotButton="0" quotePrefix="0" xfId="0">
      <alignment horizontal="left" vertical="center"/>
    </xf>
    <xf numFmtId="169" fontId="101" fillId="0" borderId="0" pivotButton="0" quotePrefix="0" xfId="0"/>
    <xf numFmtId="169" fontId="86" fillId="0" borderId="0" applyAlignment="1" pivotButton="0" quotePrefix="0" xfId="0">
      <alignment horizontal="right" vertical="center"/>
    </xf>
    <xf numFmtId="165" fontId="100" fillId="0" borderId="0" applyAlignment="1" pivotButton="0" quotePrefix="0" xfId="0">
      <alignment horizontal="right" vertical="center"/>
    </xf>
    <xf numFmtId="165" fontId="100" fillId="0" borderId="4" applyAlignment="1" pivotButton="0" quotePrefix="0" xfId="0">
      <alignment horizontal="right" vertical="center"/>
    </xf>
    <xf numFmtId="169" fontId="82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right" vertical="center"/>
    </xf>
    <xf numFmtId="169" fontId="6" fillId="0" borderId="4" applyAlignment="1" pivotButton="0" quotePrefix="0" xfId="0">
      <alignment horizontal="right" vertical="center"/>
    </xf>
    <xf numFmtId="169" fontId="6" fillId="2" borderId="0" pivotButton="0" quotePrefix="0" xfId="0"/>
    <xf numFmtId="169" fontId="86" fillId="2" borderId="0" pivotButton="0" quotePrefix="0" xfId="0"/>
    <xf numFmtId="169" fontId="82" fillId="0" borderId="30" applyAlignment="1" pivotButton="0" quotePrefix="0" xfId="0">
      <alignment horizontal="left" vertical="center"/>
    </xf>
    <xf numFmtId="169" fontId="82" fillId="2" borderId="30" pivotButton="0" quotePrefix="0" xfId="0"/>
    <xf numFmtId="169" fontId="102" fillId="0" borderId="31" applyAlignment="1" pivotButton="0" quotePrefix="0" xfId="0">
      <alignment horizontal="right" vertical="center"/>
    </xf>
    <xf numFmtId="169" fontId="102" fillId="0" borderId="30" applyAlignment="1" pivotButton="0" quotePrefix="0" xfId="0">
      <alignment horizontal="right" vertical="center"/>
    </xf>
    <xf numFmtId="169" fontId="82" fillId="0" borderId="32" applyAlignment="1" pivotButton="0" quotePrefix="0" xfId="0">
      <alignment horizontal="left" vertical="center"/>
    </xf>
    <xf numFmtId="169" fontId="99" fillId="0" borderId="32" pivotButton="0" quotePrefix="0" xfId="0"/>
    <xf numFmtId="165" fontId="100" fillId="0" borderId="5" applyAlignment="1" pivotButton="0" quotePrefix="0" xfId="0">
      <alignment horizontal="right" vertical="center"/>
    </xf>
    <xf numFmtId="169" fontId="86" fillId="0" borderId="5" pivotButton="0" quotePrefix="0" xfId="0"/>
    <xf numFmtId="169" fontId="6" fillId="0" borderId="41" pivotButton="0" quotePrefix="0" xfId="0"/>
    <xf numFmtId="165" fontId="100" fillId="0" borderId="41" applyAlignment="1" pivotButton="0" quotePrefix="0" xfId="0">
      <alignment horizontal="right" vertical="center"/>
    </xf>
    <xf numFmtId="169" fontId="89" fillId="0" borderId="0" pivotButton="0" quotePrefix="0" xfId="0"/>
    <xf numFmtId="169" fontId="89" fillId="0" borderId="5" pivotButton="0" quotePrefix="0" xfId="0"/>
    <xf numFmtId="169" fontId="103" fillId="0" borderId="0" pivotButton="0" quotePrefix="0" xfId="0"/>
    <xf numFmtId="169" fontId="90" fillId="0" borderId="0" pivotButton="0" quotePrefix="0" xfId="0"/>
    <xf numFmtId="169" fontId="6" fillId="2" borderId="7" pivotButton="0" quotePrefix="0" xfId="0"/>
    <xf numFmtId="169" fontId="6" fillId="2" borderId="8" pivotButton="0" quotePrefix="0" xfId="0"/>
    <xf numFmtId="169" fontId="82" fillId="0" borderId="1" pivotButton="0" quotePrefix="0" xfId="0"/>
    <xf numFmtId="165" fontId="100" fillId="2" borderId="0" applyAlignment="1" pivotButton="0" quotePrefix="0" xfId="0">
      <alignment horizontal="right" vertical="center"/>
    </xf>
    <xf numFmtId="169" fontId="6" fillId="0" borderId="8" pivotButton="0" quotePrefix="0" xfId="0"/>
    <xf numFmtId="165" fontId="111" fillId="0" borderId="0" pivotButton="0" quotePrefix="0" xfId="0"/>
    <xf numFmtId="165" fontId="111" fillId="0" borderId="5" pivotButton="0" quotePrefix="0" xfId="0"/>
    <xf numFmtId="165" fontId="112" fillId="0" borderId="0" pivotButton="0" quotePrefix="0" xfId="0"/>
    <xf numFmtId="176" fontId="111" fillId="0" borderId="0" pivotButton="0" quotePrefix="0" xfId="0"/>
    <xf numFmtId="165" fontId="114" fillId="24" borderId="0" pivotButton="0" quotePrefix="0" xfId="0"/>
    <xf numFmtId="165" fontId="92" fillId="0" borderId="0" pivotButton="0" quotePrefix="0" xfId="0"/>
    <xf numFmtId="169" fontId="82" fillId="25" borderId="0" pivotButton="0" quotePrefix="0" xfId="0"/>
    <xf numFmtId="165" fontId="82" fillId="0" borderId="0" pivotButton="0" quotePrefix="0" xfId="0"/>
    <xf numFmtId="169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 wrapText="1"/>
    </xf>
    <xf numFmtId="169" fontId="82" fillId="0" borderId="7" applyAlignment="1" pivotButton="0" quotePrefix="0" xfId="0">
      <alignment horizontal="left" wrapText="1"/>
    </xf>
    <xf numFmtId="169" fontId="6" fillId="0" borderId="7" applyAlignment="1" pivotButton="0" quotePrefix="0" xfId="0">
      <alignment horizontal="right"/>
    </xf>
    <xf numFmtId="169" fontId="6" fillId="0" borderId="0" applyAlignment="1" pivotButton="0" quotePrefix="0" xfId="0">
      <alignment horizontal="left" wrapText="1"/>
    </xf>
    <xf numFmtId="169" fontId="6" fillId="0" borderId="7" applyAlignment="1" pivotButton="0" quotePrefix="0" xfId="0">
      <alignment horizontal="left" wrapText="1"/>
    </xf>
    <xf numFmtId="169" fontId="82" fillId="0" borderId="0" applyAlignment="1" pivotButton="0" quotePrefix="0" xfId="0">
      <alignment horizontal="left" wrapText="1"/>
    </xf>
    <xf numFmtId="169" fontId="82" fillId="0" borderId="0" applyAlignment="1" pivotButton="0" quotePrefix="0" xfId="0">
      <alignment horizontal="right"/>
    </xf>
    <xf numFmtId="169" fontId="6" fillId="0" borderId="2" applyAlignment="1" pivotButton="0" quotePrefix="0" xfId="0">
      <alignment horizontal="left" wrapText="1"/>
    </xf>
    <xf numFmtId="169" fontId="6" fillId="0" borderId="2" applyAlignment="1" pivotButton="0" quotePrefix="0" xfId="0">
      <alignment horizontal="right"/>
    </xf>
    <xf numFmtId="169" fontId="6" fillId="0" borderId="2" applyAlignment="1" pivotButton="0" quotePrefix="0" xfId="0">
      <alignment horizontal="right" wrapText="1"/>
    </xf>
    <xf numFmtId="169" fontId="82" fillId="25" borderId="0" applyAlignment="1" pivotButton="0" quotePrefix="0" xfId="0">
      <alignment horizontal="left" wrapText="1"/>
    </xf>
    <xf numFmtId="169" fontId="82" fillId="25" borderId="0" applyAlignment="1" pivotButton="0" quotePrefix="0" xfId="0">
      <alignment horizontal="right"/>
    </xf>
    <xf numFmtId="169" fontId="82" fillId="25" borderId="0" applyAlignment="1" pivotButton="0" quotePrefix="0" xfId="0">
      <alignment horizontal="right" wrapText="1"/>
    </xf>
    <xf numFmtId="169" fontId="82" fillId="0" borderId="0" applyAlignment="1" pivotButton="0" quotePrefix="0" xfId="0">
      <alignment horizontal="right" wrapText="1"/>
    </xf>
    <xf numFmtId="169" fontId="82" fillId="0" borderId="7" applyAlignment="1" pivotButton="0" quotePrefix="0" xfId="0">
      <alignment horizontal="right"/>
    </xf>
    <xf numFmtId="169" fontId="6" fillId="0" borderId="42" pivotButton="0" quotePrefix="0" xfId="0"/>
    <xf numFmtId="169" fontId="6" fillId="0" borderId="42" applyAlignment="1" pivotButton="0" quotePrefix="0" xfId="0">
      <alignment horizontal="right"/>
    </xf>
    <xf numFmtId="169" fontId="82" fillId="0" borderId="7" applyAlignment="1" pivotButton="0" quotePrefix="0" xfId="0">
      <alignment horizontal="left"/>
    </xf>
    <xf numFmtId="169" fontId="91" fillId="0" borderId="0" pivotButton="0" quotePrefix="0" xfId="0"/>
    <xf numFmtId="169" fontId="92" fillId="0" borderId="0" pivotButton="0" quotePrefix="0" xfId="0"/>
    <xf numFmtId="169" fontId="122" fillId="15" borderId="0" applyAlignment="1" pivotButton="0" quotePrefix="0" xfId="0">
      <alignment horizontal="center"/>
    </xf>
    <xf numFmtId="169" fontId="85" fillId="15" borderId="0" applyAlignment="1" pivotButton="0" quotePrefix="0" xfId="0">
      <alignment horizontal="center"/>
    </xf>
    <xf numFmtId="178" fontId="63" fillId="0" borderId="35" applyAlignment="1" pivotButton="0" quotePrefix="0" xfId="0">
      <alignment horizontal="right" vertical="center" wrapText="1"/>
    </xf>
    <xf numFmtId="165" fontId="133" fillId="0" borderId="0" pivotButton="0" quotePrefix="0" xfId="0"/>
    <xf numFmtId="165" fontId="137" fillId="0" borderId="0" pivotButton="0" quotePrefix="0" xfId="0"/>
    <xf numFmtId="165" fontId="127" fillId="0" borderId="0" pivotButton="0" quotePrefix="0" xfId="0"/>
    <xf numFmtId="169" fontId="140" fillId="0" borderId="0" pivotButton="0" quotePrefix="0" xfId="0"/>
    <xf numFmtId="165" fontId="141" fillId="0" borderId="0" pivotButton="0" quotePrefix="0" xfId="0"/>
    <xf numFmtId="169" fontId="140" fillId="0" borderId="7" pivotButton="0" quotePrefix="0" xfId="0"/>
    <xf numFmtId="169" fontId="143" fillId="0" borderId="0" pivotButton="0" quotePrefix="0" xfId="0"/>
    <xf numFmtId="169" fontId="143" fillId="0" borderId="30" pivotButton="0" quotePrefix="0" xfId="0"/>
    <xf numFmtId="176" fontId="112" fillId="0" borderId="0" pivotButton="0" quotePrefix="0" xfId="0"/>
    <xf numFmtId="165" fontId="114" fillId="0" borderId="0" pivotButton="0" quotePrefix="0" xfId="0"/>
    <xf numFmtId="165" fontId="107" fillId="21" borderId="0" pivotButton="0" quotePrefix="0" xfId="0"/>
    <xf numFmtId="0" fontId="0" fillId="0" borderId="38" pivotButton="0" quotePrefix="0" xfId="0"/>
    <xf numFmtId="178" fontId="126" fillId="0" borderId="35" applyAlignment="1" pivotButton="0" quotePrefix="0" xfId="0">
      <alignment horizontal="right" vertical="center" wrapText="1"/>
    </xf>
    <xf numFmtId="169" fontId="148" fillId="15" borderId="0" applyAlignment="1" pivotButton="0" quotePrefix="0" xfId="0">
      <alignment horizontal="center"/>
    </xf>
    <xf numFmtId="169" fontId="149" fillId="15" borderId="0" applyAlignment="1" pivotButton="0" quotePrefix="0" xfId="0">
      <alignment horizontal="center"/>
    </xf>
    <xf numFmtId="165" fontId="113" fillId="0" borderId="0" pivotButton="0" quotePrefix="0" xfId="0"/>
    <xf numFmtId="176" fontId="114" fillId="0" borderId="0" pivotButton="0" quotePrefix="0" xfId="0"/>
    <xf numFmtId="165" fontId="110" fillId="0" borderId="0" pivotButton="0" quotePrefix="0" xfId="0"/>
    <xf numFmtId="176" fontId="114" fillId="3" borderId="0" pivotButton="0" quotePrefix="0" xfId="0"/>
    <xf numFmtId="165" fontId="114" fillId="3" borderId="0" pivotButton="0" quotePrefix="0" xfId="0"/>
    <xf numFmtId="165" fontId="107" fillId="7" borderId="0" pivotButton="0" quotePrefix="0" xfId="0"/>
    <xf numFmtId="165" fontId="107" fillId="14" borderId="0" pivotButton="0" quotePrefix="0" xfId="0"/>
    <xf numFmtId="165" fontId="41" fillId="0" borderId="0" pivotButton="0" quotePrefix="0" xfId="0"/>
    <xf numFmtId="176" fontId="110" fillId="0" borderId="0" pivotButton="0" quotePrefix="0" xfId="0"/>
    <xf numFmtId="178" fontId="110" fillId="0" borderId="0" pivotButton="0" quotePrefix="0" xfId="0"/>
    <xf numFmtId="176" fontId="113" fillId="0" borderId="0" pivotButton="0" quotePrefix="0" xfId="0"/>
    <xf numFmtId="165" fontId="107" fillId="0" borderId="0" pivotButton="0" quotePrefix="0" xfId="0"/>
    <xf numFmtId="0" fontId="0" fillId="0" borderId="45" pivotButton="0" quotePrefix="0" xfId="0"/>
    <xf numFmtId="208" fontId="161" fillId="0" borderId="0" applyAlignment="1" pivotButton="0" quotePrefix="0" xfId="0">
      <alignment horizontal="right"/>
    </xf>
    <xf numFmtId="0" fontId="155" fillId="0" borderId="0" pivotButton="0" quotePrefix="0" xfId="0"/>
    <xf numFmtId="0" fontId="155" fillId="3" borderId="0" pivotButton="0" quotePrefix="0" xfId="0"/>
    <xf numFmtId="164" fontId="161" fillId="3" borderId="0" pivotButton="0" quotePrefix="0" xfId="0"/>
    <xf numFmtId="164" fontId="155" fillId="0" borderId="0" pivotButton="0" quotePrefix="0" xfId="0"/>
    <xf numFmtId="164" fontId="160" fillId="0" borderId="0" pivotButton="0" quotePrefix="0" xfId="0"/>
    <xf numFmtId="0" fontId="161" fillId="3" borderId="0" pivotButton="0" quotePrefix="0" xfId="0"/>
    <xf numFmtId="165" fontId="160" fillId="3" borderId="0" pivotButton="0" quotePrefix="0" xfId="0"/>
    <xf numFmtId="165" fontId="160" fillId="0" borderId="0" pivotButton="0" quotePrefix="0" xfId="0"/>
    <xf numFmtId="165" fontId="161" fillId="3" borderId="0" pivotButton="0" quotePrefix="0" xfId="0"/>
    <xf numFmtId="0" fontId="167" fillId="32" borderId="1" applyAlignment="1" pivotButton="0" quotePrefix="0" xfId="0">
      <alignment horizontal="left"/>
    </xf>
    <xf numFmtId="0" fontId="11" fillId="32" borderId="2" applyAlignment="1" pivotButton="0" quotePrefix="0" xfId="0">
      <alignment horizontal="left"/>
    </xf>
    <xf numFmtId="0" fontId="11" fillId="32" borderId="3" applyAlignment="1" pivotButton="0" quotePrefix="0" xfId="0">
      <alignment horizontal="left"/>
    </xf>
    <xf numFmtId="0" fontId="155" fillId="0" borderId="4" applyAlignment="1" pivotButton="0" quotePrefix="0" xfId="0">
      <alignment horizontal="left"/>
    </xf>
    <xf numFmtId="166" fontId="160" fillId="0" borderId="0" applyAlignment="1" pivotButton="0" quotePrefix="0" xfId="0">
      <alignment horizontal="right"/>
    </xf>
    <xf numFmtId="167" fontId="160" fillId="0" borderId="5" pivotButton="0" quotePrefix="0" xfId="0"/>
    <xf numFmtId="0" fontId="155" fillId="0" borderId="4" pivotButton="0" quotePrefix="0" xfId="0"/>
    <xf numFmtId="165" fontId="161" fillId="0" borderId="0" pivotButton="0" quotePrefix="0" xfId="0"/>
    <xf numFmtId="167" fontId="155" fillId="0" borderId="5" pivotButton="0" quotePrefix="0" xfId="0"/>
    <xf numFmtId="165" fontId="155" fillId="0" borderId="0" pivotButton="0" quotePrefix="0" xfId="0"/>
    <xf numFmtId="3" fontId="155" fillId="0" borderId="5" applyAlignment="1" pivotButton="0" quotePrefix="0" xfId="0">
      <alignment horizontal="right"/>
    </xf>
    <xf numFmtId="165" fontId="160" fillId="0" borderId="5" pivotButton="0" quotePrefix="0" xfId="0"/>
    <xf numFmtId="165" fontId="161" fillId="0" borderId="5" pivotButton="0" quotePrefix="0" xfId="0"/>
    <xf numFmtId="0" fontId="162" fillId="0" borderId="4" pivotButton="0" quotePrefix="0" xfId="0"/>
    <xf numFmtId="0" fontId="155" fillId="0" borderId="4" applyAlignment="1" pivotButton="0" quotePrefix="0" xfId="0">
      <alignment horizontal="left" indent="1"/>
    </xf>
    <xf numFmtId="167" fontId="155" fillId="0" borderId="0" pivotButton="0" quotePrefix="0" xfId="0"/>
    <xf numFmtId="168" fontId="161" fillId="0" borderId="5" pivotButton="0" quotePrefix="0" xfId="0"/>
    <xf numFmtId="167" fontId="160" fillId="0" borderId="0" pivotButton="0" quotePrefix="0" xfId="0"/>
    <xf numFmtId="169" fontId="161" fillId="0" borderId="5" pivotButton="0" quotePrefix="0" xfId="0"/>
    <xf numFmtId="0" fontId="162" fillId="0" borderId="4" applyAlignment="1" pivotButton="0" quotePrefix="0" xfId="0">
      <alignment horizontal="left"/>
    </xf>
    <xf numFmtId="167" fontId="162" fillId="0" borderId="2" pivotButton="0" quotePrefix="0" xfId="0"/>
    <xf numFmtId="167" fontId="156" fillId="0" borderId="2" pivotButton="0" quotePrefix="0" xfId="0"/>
    <xf numFmtId="0" fontId="155" fillId="0" borderId="7" pivotButton="0" quotePrefix="0" xfId="0"/>
    <xf numFmtId="167" fontId="161" fillId="0" borderId="8" pivotButton="0" quotePrefix="0" xfId="0"/>
    <xf numFmtId="0" fontId="160" fillId="0" borderId="0" pivotButton="0" quotePrefix="0" xfId="0"/>
    <xf numFmtId="0" fontId="155" fillId="0" borderId="5" applyAlignment="1" pivotButton="0" quotePrefix="0" xfId="0">
      <alignment horizontal="right"/>
    </xf>
    <xf numFmtId="166" fontId="155" fillId="0" borderId="5" applyAlignment="1" pivotButton="0" quotePrefix="0" xfId="0">
      <alignment horizontal="right"/>
    </xf>
    <xf numFmtId="3" fontId="160" fillId="0" borderId="5" pivotButton="0" quotePrefix="0" xfId="0"/>
    <xf numFmtId="167" fontId="155" fillId="0" borderId="5" applyAlignment="1" pivotButton="0" quotePrefix="0" xfId="0">
      <alignment horizontal="right"/>
    </xf>
    <xf numFmtId="0" fontId="155" fillId="0" borderId="6" pivotButton="0" quotePrefix="0" xfId="0"/>
    <xf numFmtId="9" fontId="160" fillId="0" borderId="8" applyAlignment="1" pivotButton="0" quotePrefix="0" xfId="0">
      <alignment horizontal="right"/>
    </xf>
    <xf numFmtId="165" fontId="160" fillId="0" borderId="8" pivotButton="0" quotePrefix="0" xfId="0"/>
    <xf numFmtId="0" fontId="168" fillId="0" borderId="7" applyAlignment="1" pivotButton="0" quotePrefix="0" xfId="0">
      <alignment horizontal="center"/>
    </xf>
    <xf numFmtId="0" fontId="168" fillId="0" borderId="8" applyAlignment="1" pivotButton="0" quotePrefix="0" xfId="0">
      <alignment horizontal="center"/>
    </xf>
    <xf numFmtId="167" fontId="156" fillId="0" borderId="0" pivotButton="0" quotePrefix="0" xfId="0"/>
    <xf numFmtId="167" fontId="156" fillId="0" borderId="3" pivotButton="0" quotePrefix="0" xfId="0"/>
    <xf numFmtId="0" fontId="162" fillId="0" borderId="4" applyAlignment="1" pivotButton="0" quotePrefix="0" xfId="0">
      <alignment horizontal="left" indent="1"/>
    </xf>
    <xf numFmtId="167" fontId="162" fillId="0" borderId="0" pivotButton="0" quotePrefix="0" xfId="0"/>
    <xf numFmtId="167" fontId="162" fillId="0" borderId="5" pivotButton="0" quotePrefix="0" xfId="0"/>
    <xf numFmtId="167" fontId="161" fillId="0" borderId="0" pivotButton="0" quotePrefix="0" xfId="0"/>
    <xf numFmtId="167" fontId="161" fillId="0" borderId="5" pivotButton="0" quotePrefix="0" xfId="0"/>
    <xf numFmtId="167" fontId="156" fillId="0" borderId="5" pivotButton="0" quotePrefix="0" xfId="0"/>
    <xf numFmtId="166" fontId="162" fillId="0" borderId="0" pivotButton="0" quotePrefix="0" xfId="0"/>
    <xf numFmtId="166" fontId="162" fillId="0" borderId="5" pivotButton="0" quotePrefix="0" xfId="0"/>
    <xf numFmtId="0" fontId="155" fillId="0" borderId="6" applyAlignment="1" pivotButton="0" quotePrefix="0" xfId="0">
      <alignment horizontal="left"/>
    </xf>
    <xf numFmtId="3" fontId="155" fillId="0" borderId="7" pivotButton="0" quotePrefix="0" xfId="0"/>
    <xf numFmtId="3" fontId="155" fillId="0" borderId="8" pivotButton="0" quotePrefix="0" xfId="0"/>
    <xf numFmtId="3" fontId="160" fillId="0" borderId="7" pivotButton="0" quotePrefix="0" xfId="0"/>
    <xf numFmtId="3" fontId="160" fillId="0" borderId="8" pivotButton="0" quotePrefix="0" xfId="0"/>
    <xf numFmtId="0" fontId="162" fillId="0" borderId="7" applyAlignment="1" pivotButton="0" quotePrefix="0" xfId="0">
      <alignment horizontal="center"/>
    </xf>
    <xf numFmtId="0" fontId="162" fillId="0" borderId="8" applyAlignment="1" pivotButton="0" quotePrefix="0" xfId="0">
      <alignment horizontal="center"/>
    </xf>
    <xf numFmtId="167" fontId="162" fillId="0" borderId="3" pivotButton="0" quotePrefix="0" xfId="0"/>
    <xf numFmtId="0" fontId="169" fillId="0" borderId="9" applyAlignment="1" pivotButton="0" quotePrefix="0" xfId="0">
      <alignment horizontal="left" indent="1"/>
    </xf>
    <xf numFmtId="167" fontId="160" fillId="0" borderId="10" pivotButton="0" quotePrefix="0" xfId="0"/>
    <xf numFmtId="167" fontId="160" fillId="0" borderId="11" pivotButton="0" quotePrefix="0" xfId="0"/>
    <xf numFmtId="0" fontId="155" fillId="0" borderId="9" applyAlignment="1" pivotButton="0" quotePrefix="0" xfId="0">
      <alignment horizontal="left" indent="1"/>
    </xf>
    <xf numFmtId="0" fontId="155" fillId="0" borderId="9" applyAlignment="1" pivotButton="0" quotePrefix="0" xfId="0">
      <alignment horizontal="left" indent="3"/>
    </xf>
    <xf numFmtId="167" fontId="155" fillId="0" borderId="10" pivotButton="0" quotePrefix="0" xfId="0"/>
    <xf numFmtId="167" fontId="155" fillId="0" borderId="11" pivotButton="0" quotePrefix="0" xfId="0"/>
    <xf numFmtId="0" fontId="166" fillId="0" borderId="4" applyAlignment="1" pivotButton="0" quotePrefix="0" xfId="0">
      <alignment horizontal="left" indent="1"/>
    </xf>
    <xf numFmtId="0" fontId="155" fillId="0" borderId="1" applyAlignment="1" pivotButton="0" quotePrefix="0" xfId="0">
      <alignment horizontal="left" indent="1"/>
    </xf>
    <xf numFmtId="167" fontId="155" fillId="0" borderId="2" pivotButton="0" quotePrefix="0" xfId="0"/>
    <xf numFmtId="167" fontId="155" fillId="0" borderId="3" pivotButton="0" quotePrefix="0" xfId="0"/>
    <xf numFmtId="0" fontId="155" fillId="0" borderId="6" applyAlignment="1" pivotButton="0" quotePrefix="0" xfId="0">
      <alignment horizontal="left" indent="1"/>
    </xf>
    <xf numFmtId="167" fontId="155" fillId="0" borderId="7" pivotButton="0" quotePrefix="0" xfId="0"/>
    <xf numFmtId="167" fontId="155" fillId="0" borderId="8" pivotButton="0" quotePrefix="0" xfId="0"/>
    <xf numFmtId="0" fontId="160" fillId="0" borderId="5" pivotButton="0" quotePrefix="0" xfId="0"/>
    <xf numFmtId="0" fontId="155" fillId="0" borderId="9" applyAlignment="1" pivotButton="0" quotePrefix="0" xfId="0">
      <alignment horizontal="left"/>
    </xf>
    <xf numFmtId="3" fontId="155" fillId="0" borderId="10" pivotButton="0" quotePrefix="0" xfId="0"/>
    <xf numFmtId="3" fontId="155" fillId="0" borderId="11" pivotButton="0" quotePrefix="0" xfId="0"/>
    <xf numFmtId="0" fontId="162" fillId="0" borderId="6" applyAlignment="1" pivotButton="0" quotePrefix="0" xfId="0">
      <alignment horizontal="left"/>
    </xf>
    <xf numFmtId="168" fontId="162" fillId="0" borderId="7" pivotButton="0" quotePrefix="0" xfId="0"/>
    <xf numFmtId="168" fontId="162" fillId="0" borderId="8" pivotButton="0" quotePrefix="0" xfId="0"/>
    <xf numFmtId="0" fontId="167" fillId="0" borderId="0" pivotButton="0" quotePrefix="0" xfId="0"/>
    <xf numFmtId="0" fontId="169" fillId="0" borderId="0" pivotButton="0" quotePrefix="0" xfId="0"/>
    <xf numFmtId="0" fontId="168" fillId="0" borderId="0" applyAlignment="1" pivotButton="0" quotePrefix="0" xfId="0">
      <alignment horizontal="center"/>
    </xf>
    <xf numFmtId="0" fontId="170" fillId="32" borderId="1" pivotButton="0" quotePrefix="0" xfId="0"/>
    <xf numFmtId="0" fontId="21" fillId="32" borderId="2" pivotButton="0" quotePrefix="0" xfId="0"/>
    <xf numFmtId="0" fontId="11" fillId="32" borderId="3" applyAlignment="1" pivotButton="0" quotePrefix="0" xfId="0">
      <alignment horizontal="center"/>
    </xf>
    <xf numFmtId="2" fontId="160" fillId="0" borderId="0" pivotButton="0" quotePrefix="0" xfId="0"/>
    <xf numFmtId="2" fontId="156" fillId="0" borderId="0" applyAlignment="1" pivotButton="0" quotePrefix="0" xfId="0">
      <alignment horizontal="center"/>
    </xf>
    <xf numFmtId="2" fontId="155" fillId="0" borderId="0" pivotButton="0" quotePrefix="0" xfId="0"/>
    <xf numFmtId="2" fontId="162" fillId="0" borderId="0" pivotButton="0" quotePrefix="0" xfId="0"/>
    <xf numFmtId="2" fontId="156" fillId="0" borderId="0" pivotButton="0" quotePrefix="0" xfId="0"/>
    <xf numFmtId="168" fontId="162" fillId="0" borderId="0" pivotButton="0" quotePrefix="0" xfId="0"/>
    <xf numFmtId="0" fontId="23" fillId="32" borderId="2" applyAlignment="1" pivotButton="0" quotePrefix="0" xfId="0">
      <alignment horizontal="left"/>
    </xf>
    <xf numFmtId="0" fontId="24" fillId="32" borderId="2" applyAlignment="1" pivotButton="0" quotePrefix="0" xfId="0">
      <alignment horizontal="left"/>
    </xf>
    <xf numFmtId="0" fontId="24" fillId="32" borderId="3" applyAlignment="1" pivotButton="0" quotePrefix="0" xfId="0">
      <alignment horizontal="left"/>
    </xf>
    <xf numFmtId="166" fontId="155" fillId="0" borderId="0" applyAlignment="1" pivotButton="0" quotePrefix="0" xfId="0">
      <alignment horizontal="right"/>
    </xf>
    <xf numFmtId="9" fontId="160" fillId="0" borderId="0" pivotButton="0" quotePrefix="0" xfId="0"/>
    <xf numFmtId="0" fontId="162" fillId="0" borderId="0" applyAlignment="1" pivotButton="0" quotePrefix="0" xfId="0">
      <alignment horizontal="center"/>
    </xf>
    <xf numFmtId="0" fontId="162" fillId="0" borderId="4" applyAlignment="1" pivotButton="0" quotePrefix="0" xfId="0">
      <alignment horizontal="center"/>
    </xf>
    <xf numFmtId="0" fontId="155" fillId="0" borderId="0" applyAlignment="1" pivotButton="0" quotePrefix="0" xfId="0">
      <alignment horizontal="center"/>
    </xf>
    <xf numFmtId="3" fontId="161" fillId="0" borderId="0" pivotButton="0" quotePrefix="0" xfId="0"/>
    <xf numFmtId="166" fontId="161" fillId="0" borderId="0" applyAlignment="1" pivotButton="0" quotePrefix="0" xfId="0">
      <alignment horizontal="right"/>
    </xf>
    <xf numFmtId="3" fontId="155" fillId="0" borderId="5" pivotButton="0" quotePrefix="0" xfId="0"/>
    <xf numFmtId="3" fontId="160" fillId="0" borderId="0" pivotButton="0" quotePrefix="0" xfId="0"/>
    <xf numFmtId="3" fontId="155" fillId="0" borderId="0" pivotButton="0" quotePrefix="0" xfId="0"/>
    <xf numFmtId="0" fontId="162" fillId="0" borderId="2" pivotButton="0" quotePrefix="0" xfId="0"/>
    <xf numFmtId="3" fontId="168" fillId="0" borderId="3" pivotButton="0" quotePrefix="0" xfId="0"/>
    <xf numFmtId="0" fontId="155" fillId="0" borderId="0" applyAlignment="1" pivotButton="0" quotePrefix="0" xfId="0">
      <alignment horizontal="left" indent="1"/>
    </xf>
    <xf numFmtId="0" fontId="162" fillId="0" borderId="6" pivotButton="0" quotePrefix="0" xfId="0"/>
    <xf numFmtId="167" fontId="162" fillId="0" borderId="10" pivotButton="0" quotePrefix="0" xfId="0"/>
    <xf numFmtId="0" fontId="162" fillId="0" borderId="7" pivotButton="0" quotePrefix="0" xfId="0"/>
    <xf numFmtId="0" fontId="162" fillId="0" borderId="10" pivotButton="0" quotePrefix="0" xfId="0"/>
    <xf numFmtId="3" fontId="168" fillId="0" borderId="11" pivotButton="0" quotePrefix="0" xfId="0"/>
    <xf numFmtId="0" fontId="162" fillId="0" borderId="1" pivotButton="0" quotePrefix="0" xfId="0"/>
    <xf numFmtId="168" fontId="155" fillId="0" borderId="4" applyAlignment="1" pivotButton="0" quotePrefix="0" xfId="0">
      <alignment horizontal="left" indent="1"/>
    </xf>
    <xf numFmtId="168" fontId="162" fillId="0" borderId="4" applyAlignment="1" pivotButton="0" quotePrefix="0" xfId="0">
      <alignment horizontal="center"/>
    </xf>
    <xf numFmtId="167" fontId="162" fillId="0" borderId="7" pivotButton="0" quotePrefix="0" xfId="0"/>
    <xf numFmtId="0" fontId="167" fillId="32" borderId="0" pivotButton="0" quotePrefix="0" xfId="0"/>
    <xf numFmtId="0" fontId="171" fillId="0" borderId="0" pivotButton="0" quotePrefix="0" xfId="0"/>
    <xf numFmtId="0" fontId="162" fillId="3" borderId="0" pivotButton="0" quotePrefix="0" xfId="0"/>
    <xf numFmtId="165" fontId="164" fillId="0" borderId="0" pivotButton="0" quotePrefix="0" xfId="0"/>
    <xf numFmtId="176" fontId="164" fillId="0" borderId="0" pivotButton="0" quotePrefix="0" xfId="0"/>
    <xf numFmtId="0" fontId="200" fillId="34" borderId="0" pivotButton="0" quotePrefix="0" xfId="0"/>
    <xf numFmtId="0" fontId="201" fillId="34" borderId="0" applyAlignment="1" pivotButton="0" quotePrefix="0" xfId="0">
      <alignment vertical="center"/>
    </xf>
    <xf numFmtId="165" fontId="200" fillId="34" borderId="0" pivotButton="0" quotePrefix="0" xfId="0"/>
    <xf numFmtId="0" fontId="156" fillId="0" borderId="0" applyAlignment="1" pivotButton="0" quotePrefix="0" xfId="0">
      <alignment horizontal="center"/>
    </xf>
    <xf numFmtId="177" fontId="160" fillId="0" borderId="0" pivotButton="0" quotePrefix="0" xfId="0"/>
    <xf numFmtId="0" fontId="163" fillId="0" borderId="12" applyAlignment="1" pivotButton="0" quotePrefix="0" xfId="0">
      <alignment vertical="center"/>
    </xf>
    <xf numFmtId="177" fontId="165" fillId="0" borderId="0" applyAlignment="1" pivotButton="0" quotePrefix="0" xfId="0">
      <alignment vertical="center"/>
    </xf>
    <xf numFmtId="0" fontId="166" fillId="0" borderId="0" applyAlignment="1" pivotButton="0" quotePrefix="0" xfId="0">
      <alignment vertical="center"/>
    </xf>
    <xf numFmtId="177" fontId="155" fillId="0" borderId="0" pivotButton="0" quotePrefix="0" xfId="0"/>
    <xf numFmtId="0" fontId="163" fillId="0" borderId="0" applyAlignment="1" pivotButton="0" quotePrefix="0" xfId="0">
      <alignment vertical="center"/>
    </xf>
    <xf numFmtId="0" fontId="162" fillId="0" borderId="12" pivotButton="0" quotePrefix="0" xfId="0"/>
    <xf numFmtId="0" fontId="172" fillId="0" borderId="0" applyAlignment="1" pivotButton="0" quotePrefix="0" xfId="0">
      <alignment vertical="center"/>
    </xf>
    <xf numFmtId="0" fontId="173" fillId="0" borderId="0" applyAlignment="1" pivotButton="0" quotePrefix="0" xfId="0">
      <alignment vertical="center" wrapText="1"/>
    </xf>
    <xf numFmtId="178" fontId="155" fillId="0" borderId="0" pivotButton="0" quotePrefix="0" xfId="0"/>
    <xf numFmtId="178" fontId="160" fillId="0" borderId="0" pivotButton="0" quotePrefix="0" xfId="0"/>
    <xf numFmtId="178" fontId="161" fillId="3" borderId="0" pivotButton="0" quotePrefix="0" xfId="0"/>
    <xf numFmtId="0" fontId="162" fillId="7" borderId="0" pivotButton="0" quotePrefix="0" xfId="0"/>
    <xf numFmtId="178" fontId="162" fillId="7" borderId="0" pivotButton="0" quotePrefix="0" xfId="0"/>
    <xf numFmtId="0" fontId="172" fillId="0" borderId="0" pivotButton="0" quotePrefix="0" xfId="0"/>
    <xf numFmtId="0" fontId="154" fillId="32" borderId="0" applyAlignment="1" pivotButton="0" quotePrefix="0" xfId="0">
      <alignment horizontal="left" vertical="center"/>
    </xf>
    <xf numFmtId="0" fontId="174" fillId="9" borderId="0" applyAlignment="1" pivotButton="0" quotePrefix="0" xfId="0">
      <alignment horizontal="left" vertical="center"/>
    </xf>
    <xf numFmtId="179" fontId="164" fillId="10" borderId="13" applyAlignment="1" pivotButton="0" quotePrefix="0" xfId="0">
      <alignment horizontal="center" vertical="center"/>
    </xf>
    <xf numFmtId="0" fontId="175" fillId="0" borderId="0" applyAlignment="1" pivotButton="0" quotePrefix="0" xfId="0">
      <alignment vertical="center"/>
    </xf>
    <xf numFmtId="181" fontId="164" fillId="0" borderId="13" applyAlignment="1" pivotButton="0" quotePrefix="0" xfId="0">
      <alignment horizontal="right" vertical="center"/>
    </xf>
    <xf numFmtId="0" fontId="176" fillId="0" borderId="0" applyAlignment="1" pivotButton="0" quotePrefix="0" xfId="0">
      <alignment vertical="center"/>
    </xf>
    <xf numFmtId="0" fontId="177" fillId="32" borderId="13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vertical="top" wrapText="1"/>
    </xf>
    <xf numFmtId="0" fontId="176" fillId="0" borderId="13" applyAlignment="1" pivotButton="0" quotePrefix="0" xfId="0">
      <alignment vertical="top" wrapText="1"/>
    </xf>
    <xf numFmtId="181" fontId="166" fillId="0" borderId="13" applyAlignment="1" pivotButton="0" quotePrefix="0" xfId="0">
      <alignment horizontal="center" vertical="center"/>
    </xf>
    <xf numFmtId="185" fontId="164" fillId="0" borderId="13" applyAlignment="1" pivotButton="0" quotePrefix="0" xfId="0">
      <alignment horizontal="center" vertical="center"/>
    </xf>
    <xf numFmtId="181" fontId="163" fillId="0" borderId="13" applyAlignment="1" pivotButton="0" quotePrefix="0" xfId="0">
      <alignment vertical="center"/>
    </xf>
    <xf numFmtId="0" fontId="175" fillId="0" borderId="13" applyAlignment="1" pivotButton="0" quotePrefix="0" xfId="0">
      <alignment horizontal="center" vertical="center"/>
    </xf>
    <xf numFmtId="184" fontId="164" fillId="0" borderId="13" applyAlignment="1" pivotButton="0" quotePrefix="0" xfId="0">
      <alignment horizontal="center" vertical="center"/>
    </xf>
    <xf numFmtId="181" fontId="164" fillId="0" borderId="13" applyAlignment="1" pivotButton="0" quotePrefix="0" xfId="0">
      <alignment horizontal="center" vertical="center"/>
    </xf>
    <xf numFmtId="179" fontId="164" fillId="0" borderId="13" applyAlignment="1" pivotButton="0" quotePrefix="0" xfId="0">
      <alignment horizontal="center" vertical="center"/>
    </xf>
    <xf numFmtId="0" fontId="177" fillId="32" borderId="13" applyAlignment="1" pivotButton="0" quotePrefix="0" xfId="0">
      <alignment vertical="center"/>
    </xf>
    <xf numFmtId="0" fontId="37" fillId="32" borderId="13" applyAlignment="1" pivotButton="0" quotePrefix="0" xfId="0">
      <alignment vertical="center"/>
    </xf>
    <xf numFmtId="181" fontId="177" fillId="32" borderId="13" applyAlignment="1" pivotButton="0" quotePrefix="0" xfId="0">
      <alignment vertical="center"/>
    </xf>
    <xf numFmtId="181" fontId="163" fillId="0" borderId="13" applyAlignment="1" pivotButton="0" quotePrefix="0" xfId="0">
      <alignment horizontal="right" vertical="center"/>
    </xf>
    <xf numFmtId="187" fontId="163" fillId="10" borderId="13" applyAlignment="1" pivotButton="0" quotePrefix="0" xfId="0">
      <alignment horizontal="right" vertical="center"/>
    </xf>
    <xf numFmtId="179" fontId="164" fillId="0" borderId="13" applyAlignment="1" pivotButton="0" quotePrefix="0" xfId="0">
      <alignment horizontal="right" vertical="center"/>
    </xf>
    <xf numFmtId="180" fontId="164" fillId="0" borderId="13" applyAlignment="1" pivotButton="0" quotePrefix="0" xfId="0">
      <alignment horizontal="right" vertical="center"/>
    </xf>
    <xf numFmtId="179" fontId="166" fillId="0" borderId="13" applyAlignment="1" pivotButton="0" quotePrefix="0" xfId="0">
      <alignment horizontal="center" vertical="center"/>
    </xf>
    <xf numFmtId="182" fontId="164" fillId="0" borderId="13" applyAlignment="1" pivotButton="0" quotePrefix="0" xfId="0">
      <alignment horizontal="center" vertical="center"/>
    </xf>
    <xf numFmtId="179" fontId="163" fillId="0" borderId="13" applyAlignment="1" pivotButton="0" quotePrefix="0" xfId="0">
      <alignment vertical="center"/>
    </xf>
    <xf numFmtId="180" fontId="166" fillId="0" borderId="13" applyAlignment="1" pivotButton="0" quotePrefix="0" xfId="0">
      <alignment horizontal="center" vertical="center"/>
    </xf>
    <xf numFmtId="183" fontId="179" fillId="0" borderId="13" applyAlignment="1" pivotButton="0" quotePrefix="0" xfId="0">
      <alignment horizontal="center" vertical="center"/>
    </xf>
    <xf numFmtId="181" fontId="166" fillId="0" borderId="13" applyAlignment="1" pivotButton="0" quotePrefix="0" xfId="0">
      <alignment vertical="center"/>
    </xf>
    <xf numFmtId="0" fontId="180" fillId="0" borderId="13" applyAlignment="1" pivotButton="0" quotePrefix="0" xfId="0">
      <alignment horizontal="center" vertical="center"/>
    </xf>
    <xf numFmtId="186" fontId="164" fillId="0" borderId="13" applyAlignment="1" pivotButton="0" quotePrefix="0" xfId="0">
      <alignment horizontal="center" vertical="center"/>
    </xf>
    <xf numFmtId="0" fontId="153" fillId="32" borderId="0" applyAlignment="1" pivotButton="0" quotePrefix="0" xfId="0">
      <alignment horizontal="left" vertical="center"/>
    </xf>
    <xf numFmtId="185" fontId="165" fillId="0" borderId="13" applyAlignment="1" pivotButton="0" quotePrefix="0" xfId="0">
      <alignment horizontal="center" vertical="center"/>
    </xf>
    <xf numFmtId="187" fontId="164" fillId="0" borderId="13" applyAlignment="1" pivotButton="0" quotePrefix="0" xfId="0">
      <alignment horizontal="right" vertical="center"/>
    </xf>
    <xf numFmtId="185" fontId="166" fillId="0" borderId="13" applyAlignment="1" pivotButton="0" quotePrefix="0" xfId="0">
      <alignment horizontal="center" vertical="center"/>
    </xf>
    <xf numFmtId="185" fontId="163" fillId="0" borderId="13" applyAlignment="1" pivotButton="0" quotePrefix="0" xfId="0">
      <alignment horizontal="center" vertical="center"/>
    </xf>
    <xf numFmtId="181" fontId="166" fillId="0" borderId="0" applyAlignment="1" pivotButton="0" quotePrefix="0" xfId="0">
      <alignment vertical="center"/>
    </xf>
    <xf numFmtId="0" fontId="173" fillId="0" borderId="0" applyAlignment="1" pivotButton="0" quotePrefix="0" xfId="0">
      <alignment vertical="top" wrapText="1"/>
    </xf>
    <xf numFmtId="188" fontId="160" fillId="0" borderId="0" pivotButton="0" quotePrefix="0" xfId="0"/>
    <xf numFmtId="165" fontId="156" fillId="0" borderId="0" applyAlignment="1" pivotButton="0" quotePrefix="0" xfId="0">
      <alignment horizontal="center"/>
    </xf>
    <xf numFmtId="177" fontId="162" fillId="0" borderId="0" pivotButton="0" quotePrefix="0" xfId="0"/>
    <xf numFmtId="189" fontId="160" fillId="0" borderId="0" pivotButton="0" quotePrefix="0" xfId="0"/>
    <xf numFmtId="188" fontId="155" fillId="0" borderId="0" pivotButton="0" quotePrefix="0" xfId="0"/>
    <xf numFmtId="0" fontId="177" fillId="32" borderId="13" applyAlignment="1" pivotButton="0" quotePrefix="0" xfId="0">
      <alignment horizontal="center" vertical="center"/>
    </xf>
    <xf numFmtId="0" fontId="180" fillId="0" borderId="13" applyAlignment="1" pivotButton="0" quotePrefix="0" xfId="0">
      <alignment vertical="top" wrapText="1"/>
    </xf>
    <xf numFmtId="0" fontId="181" fillId="0" borderId="0" applyAlignment="1" pivotButton="0" quotePrefix="0" xfId="0">
      <alignment vertical="top" wrapText="1"/>
    </xf>
    <xf numFmtId="0" fontId="180" fillId="0" borderId="0" applyAlignment="1" pivotButton="0" quotePrefix="0" xfId="0">
      <alignment vertical="center" wrapText="1"/>
    </xf>
    <xf numFmtId="0" fontId="175" fillId="0" borderId="13" applyAlignment="1" pivotButton="0" quotePrefix="0" xfId="0">
      <alignment vertical="center"/>
    </xf>
    <xf numFmtId="187" fontId="182" fillId="0" borderId="13" applyAlignment="1" pivotButton="0" quotePrefix="0" xfId="0">
      <alignment horizontal="right" vertical="center"/>
    </xf>
    <xf numFmtId="183" fontId="166" fillId="0" borderId="13" applyAlignment="1" pivotButton="0" quotePrefix="0" xfId="0">
      <alignment horizontal="right" vertical="center"/>
    </xf>
    <xf numFmtId="0" fontId="176" fillId="0" borderId="13" applyAlignment="1" pivotButton="0" quotePrefix="0" xfId="0">
      <alignment vertical="center" wrapText="1"/>
    </xf>
    <xf numFmtId="0" fontId="162" fillId="0" borderId="0" applyAlignment="1" pivotButton="0" quotePrefix="0" xfId="0">
      <alignment vertical="center"/>
    </xf>
    <xf numFmtId="0" fontId="178" fillId="0" borderId="13" applyAlignment="1" pivotButton="0" quotePrefix="0" xfId="0">
      <alignment vertical="center"/>
    </xf>
    <xf numFmtId="183" fontId="183" fillId="0" borderId="0" pivotButton="0" quotePrefix="0" xfId="0"/>
    <xf numFmtId="0" fontId="173" fillId="0" borderId="0" pivotButton="0" quotePrefix="0" xfId="0"/>
    <xf numFmtId="165" fontId="168" fillId="0" borderId="0" pivotButton="0" quotePrefix="0" xfId="0"/>
    <xf numFmtId="0" fontId="154" fillId="32" borderId="0" applyAlignment="1" pivotButton="0" quotePrefix="0" xfId="0">
      <alignment horizontal="left"/>
    </xf>
    <xf numFmtId="0" fontId="157" fillId="32" borderId="0" pivotButton="0" quotePrefix="0" xfId="0"/>
    <xf numFmtId="0" fontId="163" fillId="0" borderId="14" applyAlignment="1" pivotButton="0" quotePrefix="0" xfId="0">
      <alignment vertical="top"/>
    </xf>
    <xf numFmtId="3" fontId="165" fillId="3" borderId="14" applyAlignment="1" pivotButton="0" quotePrefix="0" xfId="0">
      <alignment horizontal="right" vertical="top"/>
    </xf>
    <xf numFmtId="0" fontId="172" fillId="0" borderId="14" applyAlignment="1" pivotButton="0" quotePrefix="0" xfId="0">
      <alignment vertical="top"/>
    </xf>
    <xf numFmtId="0" fontId="157" fillId="12" borderId="0" applyAlignment="1" pivotButton="0" quotePrefix="0" xfId="0">
      <alignment vertical="top"/>
    </xf>
    <xf numFmtId="165" fontId="165" fillId="3" borderId="14" applyAlignment="1" pivotButton="0" quotePrefix="0" xfId="0">
      <alignment horizontal="right" vertical="top"/>
    </xf>
    <xf numFmtId="176" fontId="166" fillId="0" borderId="14" applyAlignment="1" pivotButton="0" quotePrefix="0" xfId="0">
      <alignment vertical="top"/>
    </xf>
    <xf numFmtId="165" fontId="166" fillId="0" borderId="14" applyAlignment="1" pivotButton="0" quotePrefix="0" xfId="0">
      <alignment vertical="top"/>
    </xf>
    <xf numFmtId="0" fontId="157" fillId="32" borderId="0" applyAlignment="1" pivotButton="0" quotePrefix="0" xfId="0">
      <alignment vertical="top"/>
    </xf>
    <xf numFmtId="0" fontId="157" fillId="12" borderId="14" applyAlignment="1" pivotButton="0" quotePrefix="0" xfId="0">
      <alignment vertical="top"/>
    </xf>
    <xf numFmtId="190" fontId="165" fillId="0" borderId="14" applyAlignment="1" pivotButton="0" quotePrefix="0" xfId="0">
      <alignment horizontal="right" vertical="top"/>
    </xf>
    <xf numFmtId="0" fontId="155" fillId="0" borderId="14" applyAlignment="1" pivotButton="0" quotePrefix="0" xfId="0">
      <alignment vertical="top"/>
    </xf>
    <xf numFmtId="178" fontId="155" fillId="0" borderId="14" applyAlignment="1" pivotButton="0" quotePrefix="0" xfId="0">
      <alignment vertical="top"/>
    </xf>
    <xf numFmtId="3" fontId="165" fillId="0" borderId="14" applyAlignment="1" pivotButton="0" quotePrefix="0" xfId="0">
      <alignment horizontal="right" vertical="top"/>
    </xf>
    <xf numFmtId="178" fontId="165" fillId="0" borderId="14" applyAlignment="1" pivotButton="0" quotePrefix="0" xfId="0">
      <alignment horizontal="right" vertical="top"/>
    </xf>
    <xf numFmtId="190" fontId="166" fillId="0" borderId="14" applyAlignment="1" pivotButton="0" quotePrefix="0" xfId="0">
      <alignment horizontal="right" vertical="top"/>
    </xf>
    <xf numFmtId="176" fontId="166" fillId="0" borderId="14" applyAlignment="1" pivotButton="0" quotePrefix="0" xfId="0">
      <alignment horizontal="right" vertical="top"/>
    </xf>
    <xf numFmtId="3" fontId="166" fillId="0" borderId="14" applyAlignment="1" pivotButton="0" quotePrefix="0" xfId="0">
      <alignment horizontal="right" vertical="top"/>
    </xf>
    <xf numFmtId="0" fontId="154" fillId="32" borderId="0" pivotButton="0" quotePrefix="0" xfId="0"/>
    <xf numFmtId="0" fontId="29" fillId="32" borderId="0" pivotButton="0" quotePrefix="0" xfId="0"/>
    <xf numFmtId="191" fontId="161" fillId="3" borderId="0" pivotButton="0" quotePrefix="0" xfId="0"/>
    <xf numFmtId="0" fontId="167" fillId="32" borderId="0" applyAlignment="1" pivotButton="0" quotePrefix="0" xfId="0">
      <alignment horizontal="center"/>
    </xf>
    <xf numFmtId="191" fontId="162" fillId="7" borderId="0" pivotButton="0" quotePrefix="0" xfId="0"/>
    <xf numFmtId="0" fontId="162" fillId="14" borderId="0" pivotButton="0" quotePrefix="0" xfId="0"/>
    <xf numFmtId="191" fontId="162" fillId="14" borderId="0" pivotButton="0" quotePrefix="0" xfId="0"/>
    <xf numFmtId="9" fontId="155" fillId="0" borderId="0" pivotButton="0" quotePrefix="0" xfId="0"/>
    <xf numFmtId="191" fontId="155" fillId="0" borderId="0" pivotButton="0" quotePrefix="0" xfId="0"/>
    <xf numFmtId="191" fontId="162" fillId="0" borderId="0" pivotButton="0" quotePrefix="0" xfId="0"/>
    <xf numFmtId="9" fontId="162" fillId="14" borderId="0" pivotButton="0" quotePrefix="0" xfId="0"/>
    <xf numFmtId="191" fontId="161" fillId="0" borderId="0" pivotButton="0" quotePrefix="0" xfId="0"/>
    <xf numFmtId="192" fontId="183" fillId="0" borderId="0" pivotButton="0" quotePrefix="0" xfId="0"/>
    <xf numFmtId="165" fontId="183" fillId="0" borderId="0" pivotButton="0" quotePrefix="0" xfId="0"/>
    <xf numFmtId="192" fontId="161" fillId="0" borderId="0" pivotButton="0" quotePrefix="0" xfId="0"/>
    <xf numFmtId="192" fontId="160" fillId="0" borderId="0" pivotButton="0" quotePrefix="0" xfId="0"/>
    <xf numFmtId="192" fontId="155" fillId="0" borderId="0" pivotButton="0" quotePrefix="0" xfId="0"/>
    <xf numFmtId="192" fontId="162" fillId="7" borderId="0" pivotButton="0" quotePrefix="0" xfId="0"/>
    <xf numFmtId="193" fontId="155" fillId="0" borderId="0" pivotButton="0" quotePrefix="0" xfId="0"/>
    <xf numFmtId="192" fontId="162" fillId="14" borderId="0" pivotButton="0" quotePrefix="0" xfId="0"/>
    <xf numFmtId="165" fontId="162" fillId="14" borderId="0" pivotButton="0" quotePrefix="0" xfId="0"/>
    <xf numFmtId="194" fontId="162" fillId="14" borderId="0" pivotButton="0" quotePrefix="0" xfId="0"/>
    <xf numFmtId="165" fontId="162" fillId="0" borderId="0" pivotButton="0" quotePrefix="0" xfId="0"/>
    <xf numFmtId="165" fontId="166" fillId="3" borderId="0" pivotButton="0" quotePrefix="0" xfId="0"/>
    <xf numFmtId="2" fontId="161" fillId="3" borderId="0" pivotButton="0" quotePrefix="0" xfId="0"/>
    <xf numFmtId="0" fontId="172" fillId="0" borderId="0" applyAlignment="1" pivotButton="0" quotePrefix="0" xfId="0">
      <alignment horizontal="center"/>
    </xf>
    <xf numFmtId="165" fontId="161" fillId="3" borderId="0" applyAlignment="1" pivotButton="0" quotePrefix="0" xfId="0">
      <alignment horizontal="center"/>
    </xf>
    <xf numFmtId="176" fontId="161" fillId="3" borderId="0" pivotButton="0" quotePrefix="0" xfId="0"/>
    <xf numFmtId="3" fontId="162" fillId="14" borderId="0" pivotButton="0" quotePrefix="0" xfId="0"/>
    <xf numFmtId="191" fontId="161" fillId="3" borderId="0" applyAlignment="1" pivotButton="0" quotePrefix="0" xfId="0">
      <alignment horizontal="center"/>
    </xf>
    <xf numFmtId="0" fontId="167" fillId="32" borderId="15" applyAlignment="1" pivotButton="0" quotePrefix="0" xfId="0">
      <alignment horizontal="center"/>
    </xf>
    <xf numFmtId="0" fontId="167" fillId="32" borderId="16" applyAlignment="1" pivotButton="0" quotePrefix="0" xfId="0">
      <alignment horizontal="center"/>
    </xf>
    <xf numFmtId="0" fontId="167" fillId="32" borderId="17" applyAlignment="1" pivotButton="0" quotePrefix="0" xfId="0">
      <alignment horizontal="center"/>
    </xf>
    <xf numFmtId="0" fontId="167" fillId="32" borderId="15" pivotButton="0" quotePrefix="0" xfId="0"/>
    <xf numFmtId="0" fontId="167" fillId="32" borderId="15" applyAlignment="1" pivotButton="0" quotePrefix="0" xfId="0">
      <alignment horizontal="center" vertical="center" wrapText="1"/>
    </xf>
    <xf numFmtId="0" fontId="155" fillId="0" borderId="12" applyAlignment="1" pivotButton="0" quotePrefix="0" xfId="0">
      <alignment wrapText="1"/>
    </xf>
    <xf numFmtId="190" fontId="160" fillId="0" borderId="12" applyAlignment="1" pivotButton="0" quotePrefix="0" xfId="0">
      <alignment horizontal="center"/>
    </xf>
    <xf numFmtId="190" fontId="160" fillId="0" borderId="18" applyAlignment="1" pivotButton="0" quotePrefix="0" xfId="0">
      <alignment horizontal="center"/>
    </xf>
    <xf numFmtId="0" fontId="155" fillId="0" borderId="19" pivotButton="0" quotePrefix="0" xfId="0"/>
    <xf numFmtId="165" fontId="160" fillId="0" borderId="20" pivotButton="0" quotePrefix="0" xfId="0"/>
    <xf numFmtId="0" fontId="155" fillId="0" borderId="0" applyAlignment="1" pivotButton="0" quotePrefix="0" xfId="0">
      <alignment wrapText="1"/>
    </xf>
    <xf numFmtId="165" fontId="155" fillId="0" borderId="0" applyAlignment="1" pivotButton="0" quotePrefix="0" xfId="0">
      <alignment horizontal="center"/>
    </xf>
    <xf numFmtId="165" fontId="155" fillId="0" borderId="20" applyAlignment="1" pivotButton="0" quotePrefix="0" xfId="0">
      <alignment horizontal="center"/>
    </xf>
    <xf numFmtId="176" fontId="160" fillId="0" borderId="0" pivotButton="0" quotePrefix="0" xfId="0"/>
    <xf numFmtId="176" fontId="160" fillId="0" borderId="20" pivotButton="0" quotePrefix="0" xfId="0"/>
    <xf numFmtId="190" fontId="160" fillId="0" borderId="0" applyAlignment="1" pivotButton="0" quotePrefix="0" xfId="0">
      <alignment horizontal="center"/>
    </xf>
    <xf numFmtId="190" fontId="160" fillId="0" borderId="20" applyAlignment="1" pivotButton="0" quotePrefix="0" xfId="0">
      <alignment horizontal="center"/>
    </xf>
    <xf numFmtId="0" fontId="155" fillId="0" borderId="21" pivotButton="0" quotePrefix="0" xfId="0"/>
    <xf numFmtId="165" fontId="155" fillId="0" borderId="22" pivotButton="0" quotePrefix="0" xfId="0"/>
    <xf numFmtId="165" fontId="155" fillId="0" borderId="23" pivotButton="0" quotePrefix="0" xfId="0"/>
    <xf numFmtId="165" fontId="160" fillId="0" borderId="0" applyAlignment="1" pivotButton="0" quotePrefix="0" xfId="0">
      <alignment horizontal="center"/>
    </xf>
    <xf numFmtId="165" fontId="160" fillId="0" borderId="20" applyAlignment="1" pivotButton="0" quotePrefix="0" xfId="0">
      <alignment horizontal="center"/>
    </xf>
    <xf numFmtId="190" fontId="155" fillId="0" borderId="0" applyAlignment="1" pivotButton="0" quotePrefix="0" xfId="0">
      <alignment horizontal="center"/>
    </xf>
    <xf numFmtId="190" fontId="155" fillId="0" borderId="20" applyAlignment="1" pivotButton="0" quotePrefix="0" xfId="0">
      <alignment horizontal="center"/>
    </xf>
    <xf numFmtId="176" fontId="160" fillId="0" borderId="0" applyAlignment="1" pivotButton="0" quotePrefix="0" xfId="0">
      <alignment horizontal="center"/>
    </xf>
    <xf numFmtId="176" fontId="160" fillId="0" borderId="20" applyAlignment="1" pivotButton="0" quotePrefix="0" xfId="0">
      <alignment horizontal="center"/>
    </xf>
    <xf numFmtId="176" fontId="155" fillId="0" borderId="0" applyAlignment="1" pivotButton="0" quotePrefix="0" xfId="0">
      <alignment horizontal="center"/>
    </xf>
    <xf numFmtId="176" fontId="155" fillId="0" borderId="20" applyAlignment="1" pivotButton="0" quotePrefix="0" xfId="0">
      <alignment horizontal="center"/>
    </xf>
    <xf numFmtId="190" fontId="161" fillId="0" borderId="12" applyAlignment="1" pivotButton="0" quotePrefix="0" xfId="0">
      <alignment horizontal="center"/>
    </xf>
    <xf numFmtId="190" fontId="161" fillId="0" borderId="18" applyAlignment="1" pivotButton="0" quotePrefix="0" xfId="0">
      <alignment horizontal="center"/>
    </xf>
    <xf numFmtId="190" fontId="161" fillId="0" borderId="0" applyAlignment="1" pivotButton="0" quotePrefix="0" xfId="0">
      <alignment horizontal="center"/>
    </xf>
    <xf numFmtId="190" fontId="161" fillId="0" borderId="20" applyAlignment="1" pivotButton="0" quotePrefix="0" xfId="0">
      <alignment horizontal="center"/>
    </xf>
    <xf numFmtId="195" fontId="161" fillId="0" borderId="0" applyAlignment="1" pivotButton="0" quotePrefix="0" xfId="0">
      <alignment horizontal="center"/>
    </xf>
    <xf numFmtId="195" fontId="161" fillId="0" borderId="20" applyAlignment="1" pivotButton="0" quotePrefix="0" xfId="0">
      <alignment horizontal="center"/>
    </xf>
    <xf numFmtId="195" fontId="155" fillId="0" borderId="0" pivotButton="0" quotePrefix="0" xfId="0"/>
    <xf numFmtId="195" fontId="155" fillId="0" borderId="20" pivotButton="0" quotePrefix="0" xfId="0"/>
    <xf numFmtId="178" fontId="155" fillId="0" borderId="20" pivotButton="0" quotePrefix="0" xfId="0"/>
    <xf numFmtId="0" fontId="155" fillId="0" borderId="22" applyAlignment="1" pivotButton="0" quotePrefix="0" xfId="0">
      <alignment wrapText="1"/>
    </xf>
    <xf numFmtId="190" fontId="161" fillId="0" borderId="22" pivotButton="0" quotePrefix="0" xfId="0"/>
    <xf numFmtId="190" fontId="161" fillId="0" borderId="23" pivotButton="0" quotePrefix="0" xfId="0"/>
    <xf numFmtId="0" fontId="162" fillId="16" borderId="15" applyAlignment="1" pivotButton="0" quotePrefix="0" xfId="0">
      <alignment horizontal="center"/>
    </xf>
    <xf numFmtId="0" fontId="168" fillId="16" borderId="16" applyAlignment="1" pivotButton="0" quotePrefix="0" xfId="0">
      <alignment horizontal="center"/>
    </xf>
    <xf numFmtId="0" fontId="168" fillId="16" borderId="17" applyAlignment="1" pivotButton="0" quotePrefix="0" xfId="0">
      <alignment horizontal="center"/>
    </xf>
    <xf numFmtId="0" fontId="162" fillId="16" borderId="15" pivotButton="0" quotePrefix="0" xfId="0"/>
    <xf numFmtId="0" fontId="162" fillId="16" borderId="24" applyAlignment="1" pivotButton="0" quotePrefix="0" xfId="0">
      <alignment horizontal="center" vertical="center" wrapText="1"/>
    </xf>
    <xf numFmtId="0" fontId="162" fillId="16" borderId="15" applyAlignment="1" pivotButton="0" quotePrefix="0" xfId="0">
      <alignment horizontal="center" vertical="center" wrapText="1"/>
    </xf>
    <xf numFmtId="196" fontId="160" fillId="0" borderId="0" applyAlignment="1" pivotButton="0" quotePrefix="0" xfId="0">
      <alignment horizontal="center"/>
    </xf>
    <xf numFmtId="196" fontId="160" fillId="0" borderId="20" applyAlignment="1" pivotButton="0" quotePrefix="0" xfId="0">
      <alignment horizontal="center"/>
    </xf>
    <xf numFmtId="190" fontId="155" fillId="0" borderId="12" applyAlignment="1" pivotButton="0" quotePrefix="0" xfId="0">
      <alignment horizontal="center"/>
    </xf>
    <xf numFmtId="195" fontId="155" fillId="0" borderId="0" applyAlignment="1" pivotButton="0" quotePrefix="0" xfId="0">
      <alignment horizontal="center"/>
    </xf>
    <xf numFmtId="190" fontId="155" fillId="0" borderId="0" pivotButton="0" quotePrefix="0" xfId="0"/>
    <xf numFmtId="190" fontId="161" fillId="0" borderId="20" pivotButton="0" quotePrefix="0" xfId="0"/>
    <xf numFmtId="195" fontId="161" fillId="0" borderId="20" pivotButton="0" quotePrefix="0" xfId="0"/>
    <xf numFmtId="190" fontId="155" fillId="0" borderId="22" pivotButton="0" quotePrefix="0" xfId="0"/>
    <xf numFmtId="0" fontId="167" fillId="33" borderId="25" applyAlignment="1" pivotButton="0" quotePrefix="0" xfId="0">
      <alignment horizontal="center" vertical="center"/>
    </xf>
    <xf numFmtId="0" fontId="157" fillId="33" borderId="25" applyAlignment="1" pivotButton="0" quotePrefix="0" xfId="0">
      <alignment horizontal="center" vertical="center"/>
    </xf>
    <xf numFmtId="0" fontId="167" fillId="33" borderId="24" applyAlignment="1" pivotButton="0" quotePrefix="0" xfId="0">
      <alignment horizontal="center" vertical="center"/>
    </xf>
    <xf numFmtId="0" fontId="167" fillId="33" borderId="12" applyAlignment="1" pivotButton="0" quotePrefix="0" xfId="0">
      <alignment horizontal="center" vertical="center"/>
    </xf>
    <xf numFmtId="0" fontId="167" fillId="33" borderId="18" applyAlignment="1" pivotButton="0" quotePrefix="0" xfId="0">
      <alignment horizontal="center" vertical="center"/>
    </xf>
    <xf numFmtId="0" fontId="162" fillId="18" borderId="25" applyAlignment="1" pivotButton="0" quotePrefix="0" xfId="0">
      <alignment horizontal="left"/>
    </xf>
    <xf numFmtId="0" fontId="155" fillId="0" borderId="19" applyAlignment="1" pivotButton="0" quotePrefix="0" xfId="0">
      <alignment horizontal="center"/>
    </xf>
    <xf numFmtId="196" fontId="161" fillId="0" borderId="0" applyAlignment="1" pivotButton="0" quotePrefix="0" xfId="0">
      <alignment horizontal="center"/>
    </xf>
    <xf numFmtId="196" fontId="161" fillId="0" borderId="20" applyAlignment="1" pivotButton="0" quotePrefix="0" xfId="0">
      <alignment horizontal="center"/>
    </xf>
    <xf numFmtId="0" fontId="161" fillId="0" borderId="0" pivotButton="0" quotePrefix="0" xfId="0"/>
    <xf numFmtId="0" fontId="161" fillId="0" borderId="19" applyAlignment="1" pivotButton="0" quotePrefix="0" xfId="0">
      <alignment horizontal="center"/>
    </xf>
    <xf numFmtId="196" fontId="155" fillId="0" borderId="0" applyAlignment="1" pivotButton="0" quotePrefix="0" xfId="0">
      <alignment horizontal="center"/>
    </xf>
    <xf numFmtId="2" fontId="155" fillId="0" borderId="20" applyAlignment="1" pivotButton="0" quotePrefix="0" xfId="0">
      <alignment horizontal="center"/>
    </xf>
    <xf numFmtId="196" fontId="155" fillId="0" borderId="20" applyAlignment="1" pivotButton="0" quotePrefix="0" xfId="0">
      <alignment horizontal="center"/>
    </xf>
    <xf numFmtId="2" fontId="161" fillId="0" borderId="20" applyAlignment="1" pivotButton="0" quotePrefix="0" xfId="0">
      <alignment horizontal="center"/>
    </xf>
    <xf numFmtId="0" fontId="162" fillId="0" borderId="24" applyAlignment="1" pivotButton="0" quotePrefix="0" xfId="0">
      <alignment horizontal="center"/>
    </xf>
    <xf numFmtId="196" fontId="155" fillId="0" borderId="12" applyAlignment="1" pivotButton="0" quotePrefix="0" xfId="0">
      <alignment horizontal="center"/>
    </xf>
    <xf numFmtId="2" fontId="155" fillId="0" borderId="18" applyAlignment="1" pivotButton="0" quotePrefix="0" xfId="0">
      <alignment horizontal="center"/>
    </xf>
    <xf numFmtId="0" fontId="162" fillId="0" borderId="24" applyAlignment="1" pivotButton="0" quotePrefix="0" xfId="0">
      <alignment horizontal="left"/>
    </xf>
    <xf numFmtId="196" fontId="155" fillId="0" borderId="18" applyAlignment="1" pivotButton="0" quotePrefix="0" xfId="0">
      <alignment horizontal="center"/>
    </xf>
    <xf numFmtId="0" fontId="162" fillId="18" borderId="19" applyAlignment="1" pivotButton="0" quotePrefix="0" xfId="0">
      <alignment horizontal="center"/>
    </xf>
    <xf numFmtId="196" fontId="155" fillId="18" borderId="0" applyAlignment="1" pivotButton="0" quotePrefix="0" xfId="0">
      <alignment horizontal="center"/>
    </xf>
    <xf numFmtId="2" fontId="155" fillId="18" borderId="20" applyAlignment="1" pivotButton="0" quotePrefix="0" xfId="0">
      <alignment horizontal="center"/>
    </xf>
    <xf numFmtId="0" fontId="162" fillId="19" borderId="19" applyAlignment="1" pivotButton="0" quotePrefix="0" xfId="0">
      <alignment horizontal="left"/>
    </xf>
    <xf numFmtId="196" fontId="155" fillId="19" borderId="0" applyAlignment="1" pivotButton="0" quotePrefix="0" xfId="0">
      <alignment horizontal="center"/>
    </xf>
    <xf numFmtId="196" fontId="155" fillId="19" borderId="20" applyAlignment="1" pivotButton="0" quotePrefix="0" xfId="0">
      <alignment horizontal="center"/>
    </xf>
    <xf numFmtId="0" fontId="162" fillId="0" borderId="21" applyAlignment="1" pivotButton="0" quotePrefix="0" xfId="0">
      <alignment horizontal="center"/>
    </xf>
    <xf numFmtId="196" fontId="155" fillId="0" borderId="22" applyAlignment="1" pivotButton="0" quotePrefix="0" xfId="0">
      <alignment horizontal="center"/>
    </xf>
    <xf numFmtId="2" fontId="155" fillId="0" borderId="23" applyAlignment="1" pivotButton="0" quotePrefix="0" xfId="0">
      <alignment horizontal="center"/>
    </xf>
    <xf numFmtId="0" fontId="162" fillId="0" borderId="19" applyAlignment="1" pivotButton="0" quotePrefix="0" xfId="0">
      <alignment horizontal="left"/>
    </xf>
    <xf numFmtId="0" fontId="162" fillId="0" borderId="21" applyAlignment="1" pivotButton="0" quotePrefix="0" xfId="0">
      <alignment horizontal="left"/>
    </xf>
    <xf numFmtId="196" fontId="155" fillId="0" borderId="23" applyAlignment="1" pivotButton="0" quotePrefix="0" xfId="0">
      <alignment horizontal="center"/>
    </xf>
    <xf numFmtId="0" fontId="162" fillId="0" borderId="19" pivotButton="0" quotePrefix="0" xfId="0"/>
    <xf numFmtId="0" fontId="162" fillId="0" borderId="24" pivotButton="0" quotePrefix="0" xfId="0"/>
    <xf numFmtId="2" fontId="155" fillId="18" borderId="12" applyAlignment="1" pivotButton="0" quotePrefix="0" xfId="0">
      <alignment horizontal="center"/>
    </xf>
    <xf numFmtId="2" fontId="155" fillId="18" borderId="18" applyAlignment="1" pivotButton="0" quotePrefix="0" xfId="0">
      <alignment horizontal="center"/>
    </xf>
    <xf numFmtId="2" fontId="155" fillId="18" borderId="0" applyAlignment="1" pivotButton="0" quotePrefix="0" xfId="0">
      <alignment horizontal="center"/>
    </xf>
    <xf numFmtId="0" fontId="162" fillId="0" borderId="21" pivotButton="0" quotePrefix="0" xfId="0"/>
    <xf numFmtId="2" fontId="155" fillId="18" borderId="22" applyAlignment="1" pivotButton="0" quotePrefix="0" xfId="0">
      <alignment horizontal="center"/>
    </xf>
    <xf numFmtId="2" fontId="155" fillId="18" borderId="23" applyAlignment="1" pivotButton="0" quotePrefix="0" xfId="0">
      <alignment horizontal="center"/>
    </xf>
    <xf numFmtId="0" fontId="161" fillId="0" borderId="18" applyAlignment="1" pivotButton="0" quotePrefix="0" xfId="0">
      <alignment horizontal="center"/>
    </xf>
    <xf numFmtId="0" fontId="157" fillId="32" borderId="25" applyAlignment="1" pivotButton="0" quotePrefix="0" xfId="0">
      <alignment horizontal="center" vertical="center"/>
    </xf>
    <xf numFmtId="3" fontId="161" fillId="0" borderId="20" pivotButton="0" quotePrefix="0" xfId="0"/>
    <xf numFmtId="0" fontId="167" fillId="32" borderId="24" applyAlignment="1" pivotButton="0" quotePrefix="0" xfId="0">
      <alignment horizontal="center" vertical="center"/>
    </xf>
    <xf numFmtId="0" fontId="167" fillId="32" borderId="12" applyAlignment="1" pivotButton="0" quotePrefix="0" xfId="0">
      <alignment horizontal="center" vertical="center"/>
    </xf>
    <xf numFmtId="0" fontId="70" fillId="32" borderId="18" applyAlignment="1" pivotButton="0" quotePrefix="0" xfId="0">
      <alignment horizontal="center" vertical="center"/>
    </xf>
    <xf numFmtId="0" fontId="162" fillId="21" borderId="25" applyAlignment="1" pivotButton="0" quotePrefix="0" xfId="0">
      <alignment horizontal="left"/>
    </xf>
    <xf numFmtId="2" fontId="155" fillId="0" borderId="20" pivotButton="0" quotePrefix="0" xfId="0"/>
    <xf numFmtId="0" fontId="155" fillId="0" borderId="20" pivotButton="0" quotePrefix="0" xfId="0"/>
    <xf numFmtId="0" fontId="162" fillId="0" borderId="19" applyAlignment="1" pivotButton="0" quotePrefix="0" xfId="0">
      <alignment horizontal="center"/>
    </xf>
    <xf numFmtId="0" fontId="155" fillId="0" borderId="2" pivotButton="0" quotePrefix="0" xfId="0"/>
    <xf numFmtId="189" fontId="155" fillId="0" borderId="2" pivotButton="0" quotePrefix="0" xfId="0"/>
    <xf numFmtId="0" fontId="155" fillId="0" borderId="23" pivotButton="0" quotePrefix="0" xfId="0"/>
    <xf numFmtId="189" fontId="155" fillId="0" borderId="0" pivotButton="0" quotePrefix="0" xfId="0"/>
    <xf numFmtId="0" fontId="167" fillId="32" borderId="25" applyAlignment="1" pivotButton="0" quotePrefix="0" xfId="0">
      <alignment horizontal="center" vertical="center"/>
    </xf>
    <xf numFmtId="0" fontId="167" fillId="32" borderId="18" applyAlignment="1" pivotButton="0" quotePrefix="0" xfId="0">
      <alignment horizontal="center" vertical="center"/>
    </xf>
    <xf numFmtId="0" fontId="162" fillId="21" borderId="15" pivotButton="0" quotePrefix="0" xfId="0"/>
    <xf numFmtId="189" fontId="155" fillId="0" borderId="3" applyAlignment="1" pivotButton="0" quotePrefix="0" xfId="0">
      <alignment horizontal="center"/>
    </xf>
    <xf numFmtId="189" fontId="155" fillId="0" borderId="5" applyAlignment="1" pivotButton="0" quotePrefix="0" xfId="0">
      <alignment horizontal="center"/>
    </xf>
    <xf numFmtId="2" fontId="155" fillId="21" borderId="12" applyAlignment="1" pivotButton="0" quotePrefix="0" xfId="0">
      <alignment horizontal="center"/>
    </xf>
    <xf numFmtId="2" fontId="155" fillId="21" borderId="18" applyAlignment="1" pivotButton="0" quotePrefix="0" xfId="0">
      <alignment horizontal="center"/>
    </xf>
    <xf numFmtId="2" fontId="155" fillId="21" borderId="0" applyAlignment="1" pivotButton="0" quotePrefix="0" xfId="0">
      <alignment horizontal="center"/>
    </xf>
    <xf numFmtId="2" fontId="155" fillId="21" borderId="20" applyAlignment="1" pivotButton="0" quotePrefix="0" xfId="0">
      <alignment horizontal="center"/>
    </xf>
    <xf numFmtId="189" fontId="161" fillId="0" borderId="5" applyAlignment="1" pivotButton="0" quotePrefix="0" xfId="0">
      <alignment horizontal="center"/>
    </xf>
    <xf numFmtId="2" fontId="155" fillId="21" borderId="22" applyAlignment="1" pivotButton="0" quotePrefix="0" xfId="0">
      <alignment horizontal="center"/>
    </xf>
    <xf numFmtId="2" fontId="155" fillId="21" borderId="23" applyAlignment="1" pivotButton="0" quotePrefix="0" xfId="0">
      <alignment horizontal="center"/>
    </xf>
    <xf numFmtId="189" fontId="155" fillId="0" borderId="8" applyAlignment="1" pivotButton="0" quotePrefix="0" xfId="0">
      <alignment horizontal="center"/>
    </xf>
    <xf numFmtId="3" fontId="155" fillId="0" borderId="20" pivotButton="0" quotePrefix="0" xfId="0"/>
    <xf numFmtId="0" fontId="184" fillId="32" borderId="0" applyAlignment="1" pivotButton="0" quotePrefix="0" xfId="0">
      <alignment horizontal="left" vertical="center"/>
    </xf>
    <xf numFmtId="0" fontId="157" fillId="32" borderId="0" applyAlignment="1" pivotButton="0" quotePrefix="0" xfId="0">
      <alignment horizontal="center"/>
    </xf>
    <xf numFmtId="0" fontId="157" fillId="33" borderId="0" applyAlignment="1" pivotButton="0" quotePrefix="0" xfId="0">
      <alignment horizontal="center"/>
    </xf>
    <xf numFmtId="197" fontId="157" fillId="33" borderId="0" pivotButton="0" quotePrefix="0" xfId="0"/>
    <xf numFmtId="0" fontId="185" fillId="0" borderId="0" applyAlignment="1" applyProtection="1" pivotButton="0" quotePrefix="0" xfId="0">
      <alignment horizontal="left"/>
      <protection locked="0" hidden="0"/>
    </xf>
    <xf numFmtId="14" fontId="186" fillId="0" borderId="0" applyAlignment="1" applyProtection="1" pivotButton="0" quotePrefix="0" xfId="0">
      <alignment horizontal="right" wrapText="1"/>
      <protection locked="0" hidden="0"/>
    </xf>
    <xf numFmtId="14" fontId="185" fillId="0" borderId="0" applyAlignment="1" applyProtection="1" pivotButton="0" quotePrefix="0" xfId="0">
      <alignment horizontal="right" wrapText="1"/>
      <protection locked="0" hidden="0"/>
    </xf>
    <xf numFmtId="198" fontId="186" fillId="0" borderId="0" applyAlignment="1" applyProtection="1" pivotButton="0" quotePrefix="0" xfId="0">
      <alignment horizontal="right" wrapText="1"/>
      <protection locked="0" hidden="0"/>
    </xf>
    <xf numFmtId="198" fontId="185" fillId="0" borderId="0" applyAlignment="1" applyProtection="1" pivotButton="0" quotePrefix="0" xfId="0">
      <alignment horizontal="right" wrapText="1"/>
      <protection locked="0" hidden="0"/>
    </xf>
    <xf numFmtId="0" fontId="187" fillId="32" borderId="0" pivotButton="0" quotePrefix="0" xfId="0"/>
    <xf numFmtId="0" fontId="83" fillId="32" borderId="0" pivotButton="0" quotePrefix="0" xfId="0"/>
    <xf numFmtId="169" fontId="157" fillId="32" borderId="0" applyAlignment="1" pivotButton="0" quotePrefix="0" xfId="0">
      <alignment horizontal="left" vertical="center"/>
    </xf>
    <xf numFmtId="169" fontId="188" fillId="0" borderId="26" applyAlignment="1" pivotButton="0" quotePrefix="0" xfId="0">
      <alignment horizontal="center" vertical="center"/>
    </xf>
    <xf numFmtId="169" fontId="189" fillId="0" borderId="0" applyAlignment="1" pivotButton="0" quotePrefix="0" xfId="0">
      <alignment horizontal="left" vertical="center"/>
    </xf>
    <xf numFmtId="169" fontId="157" fillId="32" borderId="1" applyAlignment="1" pivotButton="0" quotePrefix="0" xfId="0">
      <alignment horizontal="left" vertical="center"/>
    </xf>
    <xf numFmtId="169" fontId="157" fillId="32" borderId="27" applyAlignment="1" pivotButton="0" quotePrefix="0" xfId="0">
      <alignment horizontal="left" vertical="center"/>
    </xf>
    <xf numFmtId="169" fontId="157" fillId="32" borderId="2" applyAlignment="1" pivotButton="0" quotePrefix="0" xfId="0">
      <alignment horizontal="center" vertical="center"/>
    </xf>
    <xf numFmtId="169" fontId="157" fillId="32" borderId="27" applyAlignment="1" pivotButton="0" quotePrefix="0" xfId="0">
      <alignment horizontal="center" vertical="center"/>
    </xf>
    <xf numFmtId="169" fontId="189" fillId="0" borderId="4" applyAlignment="1" pivotButton="0" quotePrefix="0" xfId="0">
      <alignment horizontal="left" vertical="center"/>
    </xf>
    <xf numFmtId="169" fontId="166" fillId="0" borderId="28" applyAlignment="1" pivotButton="0" quotePrefix="0" xfId="0">
      <alignment horizontal="left" vertical="center"/>
    </xf>
    <xf numFmtId="9" fontId="188" fillId="0" borderId="0" applyAlignment="1" pivotButton="0" quotePrefix="0" xfId="0">
      <alignment horizontal="right" vertical="center"/>
    </xf>
    <xf numFmtId="165" fontId="190" fillId="23" borderId="28" applyAlignment="1" pivotButton="0" quotePrefix="0" xfId="0">
      <alignment horizontal="right" vertical="center"/>
    </xf>
    <xf numFmtId="165" fontId="188" fillId="0" borderId="0" applyAlignment="1" pivotButton="0" quotePrefix="0" xfId="0">
      <alignment horizontal="right" vertical="center"/>
    </xf>
    <xf numFmtId="0" fontId="189" fillId="0" borderId="4" applyAlignment="1" pivotButton="0" quotePrefix="0" xfId="0">
      <alignment horizontal="left"/>
    </xf>
    <xf numFmtId="0" fontId="189" fillId="0" borderId="6" applyAlignment="1" pivotButton="0" quotePrefix="0" xfId="0">
      <alignment horizontal="left"/>
    </xf>
    <xf numFmtId="169" fontId="166" fillId="0" borderId="29" applyAlignment="1" pivotButton="0" quotePrefix="0" xfId="0">
      <alignment horizontal="left" vertical="center"/>
    </xf>
    <xf numFmtId="165" fontId="188" fillId="0" borderId="7" applyAlignment="1" pivotButton="0" quotePrefix="0" xfId="0">
      <alignment horizontal="right" vertical="center"/>
    </xf>
    <xf numFmtId="169" fontId="88" fillId="32" borderId="1" pivotButton="0" quotePrefix="0" xfId="0"/>
    <xf numFmtId="9" fontId="79" fillId="32" borderId="27" pivotButton="0" quotePrefix="0" xfId="0"/>
    <xf numFmtId="169" fontId="166" fillId="0" borderId="4" applyAlignment="1" pivotButton="0" quotePrefix="0" xfId="0">
      <alignment horizontal="left" vertical="center"/>
    </xf>
    <xf numFmtId="165" fontId="191" fillId="23" borderId="28" applyAlignment="1" pivotButton="0" quotePrefix="0" xfId="0">
      <alignment horizontal="right" vertical="center"/>
    </xf>
    <xf numFmtId="199" fontId="191" fillId="23" borderId="28" applyAlignment="1" pivotButton="0" quotePrefix="0" xfId="0">
      <alignment horizontal="right" vertical="center"/>
    </xf>
    <xf numFmtId="9" fontId="191" fillId="23" borderId="28" applyAlignment="1" pivotButton="0" quotePrefix="0" xfId="0">
      <alignment horizontal="right" vertical="center"/>
    </xf>
    <xf numFmtId="169" fontId="189" fillId="0" borderId="6" applyAlignment="1" pivotButton="0" quotePrefix="0" xfId="0">
      <alignment horizontal="left" vertical="center"/>
    </xf>
    <xf numFmtId="9" fontId="191" fillId="23" borderId="29" applyAlignment="1" pivotButton="0" quotePrefix="0" xfId="0">
      <alignment horizontal="right" vertical="center"/>
    </xf>
    <xf numFmtId="0" fontId="190" fillId="0" borderId="0" pivotButton="0" quotePrefix="0" xfId="0"/>
    <xf numFmtId="169" fontId="192" fillId="0" borderId="0" applyAlignment="1" pivotButton="0" quotePrefix="0" xfId="0">
      <alignment horizontal="center"/>
    </xf>
    <xf numFmtId="169" fontId="192" fillId="0" borderId="5" applyAlignment="1" pivotButton="0" quotePrefix="0" xfId="0">
      <alignment horizontal="center"/>
    </xf>
    <xf numFmtId="199" fontId="189" fillId="0" borderId="0" pivotButton="0" quotePrefix="0" xfId="0"/>
    <xf numFmtId="0" fontId="189" fillId="0" borderId="0" pivotButton="0" quotePrefix="0" xfId="0"/>
    <xf numFmtId="169" fontId="189" fillId="0" borderId="0" applyAlignment="1" pivotButton="0" quotePrefix="0" xfId="0">
      <alignment horizontal="center"/>
    </xf>
    <xf numFmtId="169" fontId="189" fillId="0" borderId="5" applyAlignment="1" pivotButton="0" quotePrefix="0" xfId="0">
      <alignment horizontal="center"/>
    </xf>
    <xf numFmtId="0" fontId="189" fillId="0" borderId="7" pivotButton="0" quotePrefix="0" xfId="0"/>
    <xf numFmtId="169" fontId="192" fillId="0" borderId="7" applyAlignment="1" pivotButton="0" quotePrefix="0" xfId="0">
      <alignment horizontal="center"/>
    </xf>
    <xf numFmtId="169" fontId="192" fillId="0" borderId="8" applyAlignment="1" pivotButton="0" quotePrefix="0" xfId="0">
      <alignment horizontal="center"/>
    </xf>
    <xf numFmtId="199" fontId="189" fillId="0" borderId="7" pivotButton="0" quotePrefix="0" xfId="0"/>
    <xf numFmtId="169" fontId="190" fillId="0" borderId="0" applyAlignment="1" pivotButton="0" quotePrefix="0" xfId="0">
      <alignment horizontal="center"/>
    </xf>
    <xf numFmtId="169" fontId="190" fillId="0" borderId="5" applyAlignment="1" pivotButton="0" quotePrefix="0" xfId="0">
      <alignment horizontal="center"/>
    </xf>
    <xf numFmtId="169" fontId="189" fillId="0" borderId="0" pivotButton="0" quotePrefix="0" xfId="0"/>
    <xf numFmtId="169" fontId="192" fillId="0" borderId="7" pivotButton="0" quotePrefix="0" xfId="0"/>
    <xf numFmtId="169" fontId="192" fillId="0" borderId="8" pivotButton="0" quotePrefix="0" xfId="0"/>
    <xf numFmtId="169" fontId="189" fillId="0" borderId="7" pivotButton="0" quotePrefix="0" xfId="0"/>
    <xf numFmtId="169" fontId="189" fillId="0" borderId="7" applyAlignment="1" pivotButton="0" quotePrefix="0" xfId="0">
      <alignment horizontal="center"/>
    </xf>
    <xf numFmtId="0" fontId="189" fillId="0" borderId="0" applyAlignment="1" applyProtection="1" pivotButton="0" quotePrefix="0" xfId="0">
      <alignment horizontal="left"/>
      <protection locked="0" hidden="0"/>
    </xf>
    <xf numFmtId="169" fontId="192" fillId="0" borderId="0" applyAlignment="1" pivotButton="0" quotePrefix="0" xfId="0">
      <alignment horizontal="center" vertical="center" wrapText="1"/>
    </xf>
    <xf numFmtId="169" fontId="192" fillId="0" borderId="5" applyAlignment="1" pivotButton="0" quotePrefix="0" xfId="0">
      <alignment horizontal="center" vertical="center" wrapText="1"/>
    </xf>
    <xf numFmtId="3" fontId="189" fillId="0" borderId="0" pivotButton="0" quotePrefix="0" xfId="0"/>
    <xf numFmtId="0" fontId="189" fillId="0" borderId="7" applyAlignment="1" applyProtection="1" pivotButton="0" quotePrefix="0" xfId="0">
      <alignment horizontal="left"/>
      <protection locked="0" hidden="0"/>
    </xf>
    <xf numFmtId="169" fontId="192" fillId="0" borderId="7" applyAlignment="1" pivotButton="0" quotePrefix="0" xfId="0">
      <alignment horizontal="center" vertical="center" wrapText="1"/>
    </xf>
    <xf numFmtId="169" fontId="192" fillId="0" borderId="8" applyAlignment="1" pivotButton="0" quotePrefix="0" xfId="0">
      <alignment horizontal="center" vertical="center" wrapText="1"/>
    </xf>
    <xf numFmtId="169" fontId="189" fillId="0" borderId="6" pivotButton="0" quotePrefix="0" xfId="0"/>
    <xf numFmtId="3" fontId="189" fillId="0" borderId="7" pivotButton="0" quotePrefix="0" xfId="0"/>
    <xf numFmtId="169" fontId="190" fillId="0" borderId="0" applyAlignment="1" pivotButton="0" quotePrefix="0" xfId="0">
      <alignment horizontal="center" vertical="center" wrapText="1"/>
    </xf>
    <xf numFmtId="169" fontId="190" fillId="0" borderId="4" applyAlignment="1" pivotButton="0" quotePrefix="0" xfId="0">
      <alignment horizontal="center" vertical="center" wrapText="1"/>
    </xf>
    <xf numFmtId="199" fontId="189" fillId="0" borderId="4" pivotButton="0" quotePrefix="0" xfId="0"/>
    <xf numFmtId="199" fontId="189" fillId="0" borderId="42" pivotButton="0" quotePrefix="0" xfId="0"/>
    <xf numFmtId="0" fontId="190" fillId="0" borderId="30" pivotButton="0" quotePrefix="0" xfId="0"/>
    <xf numFmtId="169" fontId="190" fillId="0" borderId="30" applyAlignment="1" pivotButton="0" quotePrefix="0" xfId="0">
      <alignment horizontal="center"/>
    </xf>
    <xf numFmtId="3" fontId="190" fillId="0" borderId="31" pivotButton="0" quotePrefix="0" xfId="0"/>
    <xf numFmtId="3" fontId="190" fillId="0" borderId="32" pivotButton="0" quotePrefix="0" xfId="0"/>
    <xf numFmtId="0" fontId="189" fillId="21" borderId="0" pivotButton="0" quotePrefix="0" xfId="0"/>
    <xf numFmtId="169" fontId="188" fillId="21" borderId="0" applyAlignment="1" pivotButton="0" quotePrefix="0" xfId="0">
      <alignment horizontal="center"/>
    </xf>
    <xf numFmtId="0" fontId="94" fillId="32" borderId="0" pivotButton="0" quotePrefix="0" xfId="0"/>
    <xf numFmtId="0" fontId="93" fillId="32" borderId="0" pivotButton="0" quotePrefix="0" xfId="0"/>
    <xf numFmtId="169" fontId="192" fillId="0" borderId="0" pivotButton="0" quotePrefix="0" xfId="0"/>
    <xf numFmtId="169" fontId="189" fillId="21" borderId="4" pivotButton="0" quotePrefix="0" xfId="0"/>
    <xf numFmtId="169" fontId="189" fillId="21" borderId="0" pivotButton="0" quotePrefix="0" xfId="0"/>
    <xf numFmtId="169" fontId="189" fillId="0" borderId="4" pivotButton="0" quotePrefix="0" xfId="0"/>
    <xf numFmtId="169" fontId="189" fillId="0" borderId="7" applyAlignment="1" pivotButton="0" quotePrefix="0" xfId="0">
      <alignment horizontal="left" vertical="center"/>
    </xf>
    <xf numFmtId="169" fontId="190" fillId="19" borderId="0" pivotButton="0" quotePrefix="0" xfId="0"/>
    <xf numFmtId="169" fontId="190" fillId="19" borderId="4" pivotButton="0" quotePrefix="0" xfId="0"/>
    <xf numFmtId="169" fontId="190" fillId="0" borderId="0" pivotButton="0" quotePrefix="0" xfId="0"/>
    <xf numFmtId="169" fontId="190" fillId="0" borderId="4" pivotButton="0" quotePrefix="0" xfId="0"/>
    <xf numFmtId="169" fontId="190" fillId="0" borderId="30" pivotButton="0" quotePrefix="0" xfId="0"/>
    <xf numFmtId="169" fontId="190" fillId="0" borderId="31" pivotButton="0" quotePrefix="0" xfId="0"/>
    <xf numFmtId="0" fontId="190" fillId="0" borderId="7" pivotButton="0" quotePrefix="0" xfId="0"/>
    <xf numFmtId="169" fontId="190" fillId="0" borderId="7" pivotButton="0" quotePrefix="0" xfId="0"/>
    <xf numFmtId="169" fontId="190" fillId="0" borderId="6" pivotButton="0" quotePrefix="0" xfId="0"/>
    <xf numFmtId="0" fontId="193" fillId="0" borderId="0" pivotButton="0" quotePrefix="0" xfId="0"/>
    <xf numFmtId="4" fontId="193" fillId="0" borderId="0" pivotButton="0" quotePrefix="0" xfId="0"/>
    <xf numFmtId="4" fontId="193" fillId="0" borderId="4" pivotButton="0" quotePrefix="0" xfId="0"/>
    <xf numFmtId="169" fontId="189" fillId="0" borderId="0" applyAlignment="1" pivotButton="0" quotePrefix="0" xfId="0">
      <alignment horizontal="left"/>
    </xf>
    <xf numFmtId="169" fontId="189" fillId="0" borderId="4" applyAlignment="1" pivotButton="0" quotePrefix="0" xfId="0">
      <alignment wrapText="1"/>
    </xf>
    <xf numFmtId="169" fontId="189" fillId="0" borderId="0" applyAlignment="1" pivotButton="0" quotePrefix="0" xfId="0">
      <alignment wrapText="1"/>
    </xf>
    <xf numFmtId="169" fontId="189" fillId="0" borderId="6" applyAlignment="1" pivotButton="0" quotePrefix="0" xfId="0">
      <alignment wrapText="1"/>
    </xf>
    <xf numFmtId="169" fontId="189" fillId="0" borderId="7" applyAlignment="1" pivotButton="0" quotePrefix="0" xfId="0">
      <alignment wrapText="1"/>
    </xf>
    <xf numFmtId="169" fontId="190" fillId="0" borderId="2" applyAlignment="1" pivotButton="0" quotePrefix="0" xfId="0">
      <alignment horizontal="left"/>
    </xf>
    <xf numFmtId="169" fontId="190" fillId="0" borderId="4" applyAlignment="1" pivotButton="0" quotePrefix="0" xfId="0">
      <alignment wrapText="1"/>
    </xf>
    <xf numFmtId="169" fontId="190" fillId="0" borderId="0" applyAlignment="1" pivotButton="0" quotePrefix="0" xfId="0">
      <alignment wrapText="1"/>
    </xf>
    <xf numFmtId="169" fontId="188" fillId="0" borderId="6" applyAlignment="1" pivotButton="0" quotePrefix="0" xfId="0">
      <alignment wrapText="1"/>
    </xf>
    <xf numFmtId="169" fontId="188" fillId="0" borderId="7" applyAlignment="1" pivotButton="0" quotePrefix="0" xfId="0">
      <alignment wrapText="1"/>
    </xf>
    <xf numFmtId="169" fontId="188" fillId="0" borderId="4" applyAlignment="1" pivotButton="0" quotePrefix="0" xfId="0">
      <alignment wrapText="1"/>
    </xf>
    <xf numFmtId="169" fontId="188" fillId="0" borderId="0" applyAlignment="1" pivotButton="0" quotePrefix="0" xfId="0">
      <alignment wrapText="1"/>
    </xf>
    <xf numFmtId="169" fontId="190" fillId="0" borderId="0" applyAlignment="1" pivotButton="0" quotePrefix="0" xfId="0">
      <alignment horizontal="left"/>
    </xf>
    <xf numFmtId="169" fontId="189" fillId="0" borderId="2" applyAlignment="1" pivotButton="0" quotePrefix="0" xfId="0">
      <alignment horizontal="left"/>
    </xf>
    <xf numFmtId="0" fontId="187" fillId="33" borderId="0" pivotButton="0" quotePrefix="0" xfId="0"/>
    <xf numFmtId="0" fontId="94" fillId="33" borderId="0" pivotButton="0" quotePrefix="0" xfId="0"/>
    <xf numFmtId="0" fontId="93" fillId="33" borderId="0" pivotButton="0" quotePrefix="0" xfId="0"/>
    <xf numFmtId="3" fontId="6" fillId="33" borderId="0" pivotButton="0" quotePrefix="0" xfId="0"/>
    <xf numFmtId="0" fontId="6" fillId="33" borderId="0" pivotButton="0" quotePrefix="0" xfId="0"/>
    <xf numFmtId="169" fontId="191" fillId="0" borderId="0" applyAlignment="1" pivotButton="0" quotePrefix="0" xfId="0">
      <alignment horizontal="right" vertical="center"/>
    </xf>
    <xf numFmtId="169" fontId="190" fillId="0" borderId="4" applyAlignment="1" pivotButton="0" quotePrefix="0" xfId="0">
      <alignment horizontal="right" vertical="center"/>
    </xf>
    <xf numFmtId="169" fontId="190" fillId="0" borderId="0" applyAlignment="1" pivotButton="0" quotePrefix="0" xfId="0">
      <alignment horizontal="right" vertical="center"/>
    </xf>
    <xf numFmtId="165" fontId="189" fillId="0" borderId="0" applyAlignment="1" pivotButton="0" quotePrefix="0" xfId="0">
      <alignment horizontal="right" vertical="center"/>
    </xf>
    <xf numFmtId="165" fontId="189" fillId="0" borderId="4" applyAlignment="1" pivotButton="0" quotePrefix="0" xfId="0">
      <alignment horizontal="right" vertical="center"/>
    </xf>
    <xf numFmtId="169" fontId="190" fillId="0" borderId="0" applyAlignment="1" pivotButton="0" quotePrefix="0" xfId="0">
      <alignment horizontal="left" vertical="center"/>
    </xf>
    <xf numFmtId="169" fontId="189" fillId="0" borderId="0" applyAlignment="1" pivotButton="0" quotePrefix="0" xfId="0">
      <alignment horizontal="right" vertical="center"/>
    </xf>
    <xf numFmtId="169" fontId="189" fillId="0" borderId="4" applyAlignment="1" pivotButton="0" quotePrefix="0" xfId="0">
      <alignment horizontal="right" vertical="center"/>
    </xf>
    <xf numFmtId="9" fontId="189" fillId="0" borderId="0" applyAlignment="1" pivotButton="0" quotePrefix="0" xfId="0">
      <alignment horizontal="right" vertical="center"/>
    </xf>
    <xf numFmtId="9" fontId="188" fillId="0" borderId="4" applyAlignment="1" pivotButton="0" quotePrefix="0" xfId="0">
      <alignment horizontal="right" vertical="center"/>
    </xf>
    <xf numFmtId="169" fontId="190" fillId="0" borderId="30" applyAlignment="1" pivotButton="0" quotePrefix="0" xfId="0">
      <alignment horizontal="left" vertical="center"/>
    </xf>
    <xf numFmtId="169" fontId="194" fillId="0" borderId="31" applyAlignment="1" pivotButton="0" quotePrefix="0" xfId="0">
      <alignment horizontal="right" vertical="center"/>
    </xf>
    <xf numFmtId="169" fontId="194" fillId="0" borderId="30" applyAlignment="1" pivotButton="0" quotePrefix="0" xfId="0">
      <alignment horizontal="right" vertical="center"/>
    </xf>
    <xf numFmtId="169" fontId="190" fillId="0" borderId="32" applyAlignment="1" pivotButton="0" quotePrefix="0" xfId="0">
      <alignment horizontal="left" vertical="center"/>
    </xf>
    <xf numFmtId="200" fontId="190" fillId="0" borderId="32" applyAlignment="1" pivotButton="0" quotePrefix="0" xfId="0">
      <alignment horizontal="right" vertical="center"/>
    </xf>
    <xf numFmtId="200" fontId="190" fillId="0" borderId="33" applyAlignment="1" pivotButton="0" quotePrefix="0" xfId="0">
      <alignment horizontal="right" vertical="center"/>
    </xf>
    <xf numFmtId="201" fontId="189" fillId="0" borderId="4" pivotButton="0" quotePrefix="0" xfId="0"/>
    <xf numFmtId="201" fontId="189" fillId="0" borderId="0" pivotButton="0" quotePrefix="0" xfId="0"/>
    <xf numFmtId="165" fontId="189" fillId="0" borderId="5" applyAlignment="1" pivotButton="0" quotePrefix="0" xfId="0">
      <alignment horizontal="right" vertical="center"/>
    </xf>
    <xf numFmtId="3" fontId="191" fillId="0" borderId="30" pivotButton="0" quotePrefix="0" xfId="0"/>
    <xf numFmtId="3" fontId="191" fillId="0" borderId="34" pivotButton="0" quotePrefix="0" xfId="0"/>
    <xf numFmtId="199" fontId="190" fillId="0" borderId="30" pivotButton="0" quotePrefix="0" xfId="0"/>
    <xf numFmtId="0" fontId="6" fillId="33" borderId="5" pivotButton="0" quotePrefix="0" xfId="0"/>
    <xf numFmtId="169" fontId="188" fillId="0" borderId="0" pivotButton="0" quotePrefix="0" xfId="0"/>
    <xf numFmtId="169" fontId="188" fillId="0" borderId="5" pivotButton="0" quotePrefix="0" xfId="0"/>
    <xf numFmtId="4" fontId="189" fillId="0" borderId="0" pivotButton="0" quotePrefix="0" xfId="0"/>
    <xf numFmtId="169" fontId="189" fillId="0" borderId="5" pivotButton="0" quotePrefix="0" xfId="0"/>
    <xf numFmtId="3" fontId="190" fillId="0" borderId="30" pivotButton="0" quotePrefix="0" xfId="0"/>
    <xf numFmtId="3" fontId="190" fillId="0" borderId="34" pivotButton="0" quotePrefix="0" xfId="0"/>
    <xf numFmtId="169" fontId="189" fillId="0" borderId="41" pivotButton="0" quotePrefix="0" xfId="0"/>
    <xf numFmtId="165" fontId="189" fillId="0" borderId="41" applyAlignment="1" pivotButton="0" quotePrefix="0" xfId="0">
      <alignment horizontal="right" vertical="center"/>
    </xf>
    <xf numFmtId="205" fontId="189" fillId="0" borderId="0" applyAlignment="1" pivotButton="0" quotePrefix="0" xfId="0">
      <alignment horizontal="right" vertical="center"/>
    </xf>
    <xf numFmtId="205" fontId="189" fillId="0" borderId="41" applyAlignment="1" pivotButton="0" quotePrefix="0" xfId="0">
      <alignment horizontal="right" vertical="center"/>
    </xf>
    <xf numFmtId="169" fontId="190" fillId="0" borderId="5" pivotButton="0" quotePrefix="0" xfId="0"/>
    <xf numFmtId="198" fontId="189" fillId="0" borderId="0" pivotButton="0" quotePrefix="0" xfId="0"/>
    <xf numFmtId="198" fontId="189" fillId="0" borderId="5" pivotButton="0" quotePrefix="0" xfId="0"/>
    <xf numFmtId="3" fontId="189" fillId="0" borderId="6" pivotButton="0" quotePrefix="0" xfId="0"/>
    <xf numFmtId="169" fontId="191" fillId="0" borderId="0" pivotButton="0" quotePrefix="0" xfId="0"/>
    <xf numFmtId="199" fontId="189" fillId="0" borderId="6" pivotButton="0" quotePrefix="0" xfId="0"/>
    <xf numFmtId="169" fontId="190" fillId="0" borderId="1" pivotButton="0" quotePrefix="0" xfId="0"/>
    <xf numFmtId="199" fontId="190" fillId="0" borderId="4" pivotButton="0" quotePrefix="0" xfId="0"/>
    <xf numFmtId="199" fontId="190" fillId="0" borderId="0" pivotButton="0" quotePrefix="0" xfId="0"/>
    <xf numFmtId="3" fontId="188" fillId="0" borderId="0" pivotButton="0" quotePrefix="0" xfId="0"/>
    <xf numFmtId="3" fontId="188" fillId="0" borderId="4" pivotButton="0" quotePrefix="0" xfId="0"/>
    <xf numFmtId="202" fontId="188" fillId="0" borderId="4" pivotButton="0" quotePrefix="0" xfId="0"/>
    <xf numFmtId="202" fontId="188" fillId="0" borderId="0" pivotButton="0" quotePrefix="0" xfId="0"/>
    <xf numFmtId="10" fontId="188" fillId="0" borderId="0" pivotButton="0" quotePrefix="0" xfId="0"/>
    <xf numFmtId="10" fontId="189" fillId="0" borderId="4" pivotButton="0" quotePrefix="0" xfId="0"/>
    <xf numFmtId="10" fontId="189" fillId="0" borderId="0" pivotButton="0" quotePrefix="0" xfId="0"/>
    <xf numFmtId="10" fontId="188" fillId="0" borderId="4" pivotButton="0" quotePrefix="0" xfId="0"/>
    <xf numFmtId="169" fontId="188" fillId="0" borderId="7" pivotButton="0" quotePrefix="0" xfId="0"/>
    <xf numFmtId="169" fontId="188" fillId="0" borderId="8" pivotButton="0" quotePrefix="0" xfId="0"/>
    <xf numFmtId="169" fontId="189" fillId="0" borderId="8" pivotButton="0" quotePrefix="0" xfId="0"/>
    <xf numFmtId="0" fontId="153" fillId="32" borderId="0" pivotButton="0" quotePrefix="0" xfId="0"/>
    <xf numFmtId="0" fontId="177" fillId="32" borderId="0" pivotButton="0" quotePrefix="0" xfId="0"/>
    <xf numFmtId="0" fontId="177" fillId="32" borderId="0" applyAlignment="1" pivotButton="0" quotePrefix="0" xfId="0">
      <alignment horizontal="center"/>
    </xf>
    <xf numFmtId="0" fontId="163" fillId="14" borderId="0" pivotButton="0" quotePrefix="0" xfId="0"/>
    <xf numFmtId="203" fontId="163" fillId="14" borderId="0" pivotButton="0" quotePrefix="0" xfId="0"/>
    <xf numFmtId="1" fontId="168" fillId="3" borderId="0" applyAlignment="1" pivotButton="0" quotePrefix="0" xfId="0">
      <alignment horizontal="center"/>
    </xf>
    <xf numFmtId="165" fontId="166" fillId="0" borderId="0" pivotButton="0" quotePrefix="0" xfId="0"/>
    <xf numFmtId="165" fontId="166" fillId="0" borderId="5" pivotButton="0" quotePrefix="0" xfId="0"/>
    <xf numFmtId="9" fontId="155" fillId="0" borderId="5" pivotButton="0" quotePrefix="0" xfId="0"/>
    <xf numFmtId="194" fontId="166" fillId="0" borderId="0" pivotButton="0" quotePrefix="0" xfId="0"/>
    <xf numFmtId="194" fontId="166" fillId="0" borderId="5" pivotButton="0" quotePrefix="0" xfId="0"/>
    <xf numFmtId="194" fontId="164" fillId="0" borderId="0" pivotButton="0" quotePrefix="0" xfId="0"/>
    <xf numFmtId="203" fontId="166" fillId="0" borderId="0" pivotButton="0" quotePrefix="0" xfId="0"/>
    <xf numFmtId="203" fontId="166" fillId="0" borderId="5" pivotButton="0" quotePrefix="0" xfId="0"/>
    <xf numFmtId="203" fontId="164" fillId="0" borderId="0" pivotButton="0" quotePrefix="0" xfId="0"/>
    <xf numFmtId="203" fontId="165" fillId="0" borderId="0" pivotButton="0" quotePrefix="0" xfId="0"/>
    <xf numFmtId="0" fontId="163" fillId="24" borderId="0" pivotButton="0" quotePrefix="0" xfId="0"/>
    <xf numFmtId="203" fontId="163" fillId="24" borderId="0" pivotButton="0" quotePrefix="0" xfId="0"/>
    <xf numFmtId="0" fontId="163" fillId="7" borderId="0" pivotButton="0" quotePrefix="0" xfId="0"/>
    <xf numFmtId="203" fontId="163" fillId="7" borderId="0" pivotButton="0" quotePrefix="0" xfId="0"/>
    <xf numFmtId="203" fontId="163" fillId="0" borderId="0" pivotButton="0" quotePrefix="0" xfId="0"/>
    <xf numFmtId="203" fontId="172" fillId="14" borderId="0" pivotButton="0" quotePrefix="0" xfId="0"/>
    <xf numFmtId="3" fontId="164" fillId="0" borderId="35" applyAlignment="1" pivotButton="0" quotePrefix="0" xfId="0">
      <alignment horizontal="right" vertical="center" wrapText="1"/>
    </xf>
    <xf numFmtId="203" fontId="172" fillId="0" borderId="0" pivotButton="0" quotePrefix="0" xfId="0"/>
    <xf numFmtId="176" fontId="166" fillId="0" borderId="0" pivotButton="0" quotePrefix="0" xfId="0"/>
    <xf numFmtId="3" fontId="166" fillId="0" borderId="0" pivotButton="0" quotePrefix="0" xfId="0"/>
    <xf numFmtId="3" fontId="164" fillId="0" borderId="0" pivotButton="0" quotePrefix="0" xfId="0"/>
    <xf numFmtId="0" fontId="169" fillId="0" borderId="0" applyAlignment="1" pivotButton="0" quotePrefix="0" xfId="0">
      <alignment horizontal="left" indent="2"/>
    </xf>
    <xf numFmtId="9" fontId="171" fillId="0" borderId="0" pivotButton="0" quotePrefix="0" xfId="0"/>
    <xf numFmtId="203" fontId="160" fillId="0" borderId="0" pivotButton="0" quotePrefix="0" xfId="0"/>
    <xf numFmtId="3" fontId="166" fillId="3" borderId="0" pivotButton="0" quotePrefix="0" xfId="0"/>
    <xf numFmtId="3" fontId="164" fillId="3" borderId="0" pivotButton="0" quotePrefix="0" xfId="0"/>
    <xf numFmtId="0" fontId="166" fillId="0" borderId="0" applyAlignment="1" pivotButton="0" quotePrefix="0" xfId="0">
      <alignment horizontal="left" indent="1"/>
    </xf>
    <xf numFmtId="4" fontId="164" fillId="0" borderId="0" pivotButton="0" quotePrefix="0" xfId="0"/>
    <xf numFmtId="0" fontId="166" fillId="0" borderId="7" pivotButton="0" quotePrefix="0" xfId="0"/>
    <xf numFmtId="203" fontId="166" fillId="0" borderId="7" pivotButton="0" quotePrefix="0" xfId="0"/>
    <xf numFmtId="0" fontId="79" fillId="32" borderId="0" applyAlignment="1" pivotButton="0" quotePrefix="0" xfId="0">
      <alignment horizontal="center"/>
    </xf>
    <xf numFmtId="10" fontId="192" fillId="0" borderId="0" pivotButton="0" quotePrefix="0" xfId="0"/>
    <xf numFmtId="165" fontId="188" fillId="0" borderId="0" pivotButton="0" quotePrefix="0" xfId="0"/>
    <xf numFmtId="191" fontId="188" fillId="0" borderId="0" pivotButton="0" quotePrefix="0" xfId="0"/>
    <xf numFmtId="9" fontId="188" fillId="0" borderId="0" pivotButton="0" quotePrefix="0" xfId="0"/>
    <xf numFmtId="0" fontId="157" fillId="32" borderId="0" applyAlignment="1" pivotButton="0" quotePrefix="0" xfId="0">
      <alignment horizontal="center" wrapText="1"/>
    </xf>
    <xf numFmtId="0" fontId="195" fillId="32" borderId="0" pivotButton="0" quotePrefix="0" xfId="0"/>
    <xf numFmtId="9" fontId="188" fillId="0" borderId="7" pivotButton="0" quotePrefix="0" xfId="0"/>
    <xf numFmtId="202" fontId="190" fillId="0" borderId="0" pivotButton="0" quotePrefix="0" xfId="0"/>
    <xf numFmtId="169" fontId="190" fillId="25" borderId="0" pivotButton="0" quotePrefix="0" xfId="0"/>
    <xf numFmtId="165" fontId="190" fillId="0" borderId="0" pivotButton="0" quotePrefix="0" xfId="0"/>
    <xf numFmtId="0" fontId="79" fillId="32" borderId="0" pivotButton="0" quotePrefix="0" xfId="0"/>
    <xf numFmtId="0" fontId="121" fillId="0" borderId="0" pivotButton="0" quotePrefix="0" xfId="0"/>
    <xf numFmtId="169" fontId="188" fillId="0" borderId="0" applyAlignment="1" pivotButton="0" quotePrefix="0" xfId="0">
      <alignment horizontal="right"/>
    </xf>
    <xf numFmtId="169" fontId="189" fillId="0" borderId="0" applyAlignment="1" pivotButton="0" quotePrefix="0" xfId="0">
      <alignment horizontal="right" wrapText="1"/>
    </xf>
    <xf numFmtId="169" fontId="190" fillId="0" borderId="7" applyAlignment="1" pivotButton="0" quotePrefix="0" xfId="0">
      <alignment horizontal="left" wrapText="1"/>
    </xf>
    <xf numFmtId="169" fontId="189" fillId="0" borderId="0" applyAlignment="1" pivotButton="0" quotePrefix="0" xfId="0">
      <alignment horizontal="left" wrapText="1"/>
    </xf>
    <xf numFmtId="196" fontId="188" fillId="0" borderId="0" pivotButton="0" quotePrefix="0" xfId="0"/>
    <xf numFmtId="169" fontId="189" fillId="0" borderId="7" applyAlignment="1" pivotButton="0" quotePrefix="0" xfId="0">
      <alignment horizontal="left" wrapText="1"/>
    </xf>
    <xf numFmtId="196" fontId="188" fillId="0" borderId="7" pivotButton="0" quotePrefix="0" xfId="0"/>
    <xf numFmtId="169" fontId="190" fillId="0" borderId="0" applyAlignment="1" pivotButton="0" quotePrefix="0" xfId="0">
      <alignment horizontal="left" wrapText="1"/>
    </xf>
    <xf numFmtId="200" fontId="190" fillId="0" borderId="0" pivotButton="0" quotePrefix="0" xfId="0"/>
    <xf numFmtId="169" fontId="196" fillId="0" borderId="0" pivotButton="0" quotePrefix="0" xfId="0"/>
    <xf numFmtId="200" fontId="189" fillId="0" borderId="0" pivotButton="0" quotePrefix="0" xfId="0"/>
    <xf numFmtId="169" fontId="189" fillId="0" borderId="2" applyAlignment="1" pivotButton="0" quotePrefix="0" xfId="0">
      <alignment horizontal="left" wrapText="1"/>
    </xf>
    <xf numFmtId="169" fontId="189" fillId="0" borderId="2" applyAlignment="1" pivotButton="0" quotePrefix="0" xfId="0">
      <alignment horizontal="right" wrapText="1"/>
    </xf>
    <xf numFmtId="169" fontId="190" fillId="25" borderId="0" applyAlignment="1" pivotButton="0" quotePrefix="0" xfId="0">
      <alignment horizontal="left" wrapText="1"/>
    </xf>
    <xf numFmtId="169" fontId="190" fillId="25" borderId="0" applyAlignment="1" pivotButton="0" quotePrefix="0" xfId="0">
      <alignment horizontal="right" wrapText="1"/>
    </xf>
    <xf numFmtId="169" fontId="188" fillId="0" borderId="0" applyAlignment="1" pivotButton="0" quotePrefix="0" xfId="0">
      <alignment horizontal="right" wrapText="1"/>
    </xf>
    <xf numFmtId="9" fontId="190" fillId="0" borderId="0" applyAlignment="1" pivotButton="0" quotePrefix="0" xfId="0">
      <alignment horizontal="right" wrapText="1"/>
    </xf>
    <xf numFmtId="0" fontId="121" fillId="32" borderId="0" pivotButton="0" quotePrefix="0" xfId="0"/>
    <xf numFmtId="169" fontId="192" fillId="0" borderId="0" applyAlignment="1" pivotButton="0" quotePrefix="0" xfId="0">
      <alignment horizontal="left" wrapText="1"/>
    </xf>
    <xf numFmtId="196" fontId="192" fillId="0" borderId="0" pivotButton="0" quotePrefix="0" xfId="0"/>
    <xf numFmtId="196" fontId="192" fillId="0" borderId="7" pivotButton="0" quotePrefix="0" xfId="0"/>
    <xf numFmtId="169" fontId="190" fillId="0" borderId="0" applyAlignment="1" pivotButton="0" quotePrefix="0" xfId="0">
      <alignment horizontal="right" wrapText="1"/>
    </xf>
    <xf numFmtId="196" fontId="189" fillId="0" borderId="0" pivotButton="0" quotePrefix="0" xfId="0"/>
    <xf numFmtId="169" fontId="190" fillId="0" borderId="7" applyAlignment="1" pivotButton="0" quotePrefix="0" xfId="0">
      <alignment horizontal="right"/>
    </xf>
    <xf numFmtId="169" fontId="189" fillId="0" borderId="0" applyAlignment="1" pivotButton="0" quotePrefix="0" xfId="0">
      <alignment horizontal="right"/>
    </xf>
    <xf numFmtId="169" fontId="189" fillId="0" borderId="42" pivotButton="0" quotePrefix="0" xfId="0"/>
    <xf numFmtId="169" fontId="189" fillId="0" borderId="42" applyAlignment="1" pivotButton="0" quotePrefix="0" xfId="0">
      <alignment horizontal="right"/>
    </xf>
    <xf numFmtId="169" fontId="190" fillId="0" borderId="7" applyAlignment="1" pivotButton="0" quotePrefix="0" xfId="0">
      <alignment horizontal="left"/>
    </xf>
    <xf numFmtId="9" fontId="188" fillId="0" borderId="0" applyAlignment="1" pivotButton="0" quotePrefix="0" xfId="0">
      <alignment horizontal="right"/>
    </xf>
    <xf numFmtId="169" fontId="189" fillId="0" borderId="7" applyAlignment="1" pivotButton="0" quotePrefix="0" xfId="0">
      <alignment horizontal="right"/>
    </xf>
    <xf numFmtId="9" fontId="188" fillId="0" borderId="7" applyAlignment="1" pivotButton="0" quotePrefix="0" xfId="0">
      <alignment horizontal="right"/>
    </xf>
    <xf numFmtId="9" fontId="190" fillId="0" borderId="0" pivotButton="0" quotePrefix="0" xfId="0"/>
    <xf numFmtId="169" fontId="197" fillId="32" borderId="0" applyAlignment="1" pivotButton="0" quotePrefix="0" xfId="0">
      <alignment horizontal="center"/>
    </xf>
    <xf numFmtId="169" fontId="157" fillId="32" borderId="0" applyAlignment="1" pivotButton="0" quotePrefix="0" xfId="0">
      <alignment horizontal="center"/>
    </xf>
    <xf numFmtId="200" fontId="192" fillId="0" borderId="0" pivotButton="0" quotePrefix="0" xfId="0"/>
    <xf numFmtId="10" fontId="189" fillId="0" borderId="7" pivotButton="0" quotePrefix="0" xfId="0"/>
    <xf numFmtId="10" fontId="190" fillId="0" borderId="0" pivotButton="0" quotePrefix="0" xfId="0"/>
    <xf numFmtId="200" fontId="192" fillId="0" borderId="7" pivotButton="0" quotePrefix="0" xfId="0"/>
    <xf numFmtId="0" fontId="177" fillId="32" borderId="36" pivotButton="0" quotePrefix="0" xfId="0"/>
    <xf numFmtId="0" fontId="124" fillId="32" borderId="36" pivotButton="0" quotePrefix="0" xfId="0"/>
    <xf numFmtId="204" fontId="164" fillId="0" borderId="0" applyAlignment="1" pivotButton="0" quotePrefix="0" xfId="0">
      <alignment horizontal="left"/>
    </xf>
    <xf numFmtId="0" fontId="198" fillId="32" borderId="37" pivotButton="0" quotePrefix="0" xfId="0"/>
    <xf numFmtId="0" fontId="198" fillId="32" borderId="37" applyAlignment="1" pivotButton="0" quotePrefix="0" xfId="0">
      <alignment horizontal="center" vertical="center" wrapText="1"/>
    </xf>
    <xf numFmtId="0" fontId="166" fillId="0" borderId="35" applyAlignment="1" pivotButton="0" quotePrefix="0" xfId="0">
      <alignment horizontal="left" vertical="center"/>
    </xf>
    <xf numFmtId="204" fontId="164" fillId="0" borderId="35" applyAlignment="1" pivotButton="0" quotePrefix="0" xfId="0">
      <alignment horizontal="center" vertical="center" wrapText="1"/>
    </xf>
    <xf numFmtId="204" fontId="166" fillId="0" borderId="35" applyAlignment="1" pivotButton="0" quotePrefix="0" xfId="0">
      <alignment horizontal="center" vertical="center" wrapText="1"/>
    </xf>
    <xf numFmtId="0" fontId="166" fillId="0" borderId="35" applyAlignment="1" pivotButton="0" quotePrefix="0" xfId="0">
      <alignment horizontal="center" vertical="center" wrapText="1"/>
    </xf>
    <xf numFmtId="0" fontId="198" fillId="32" borderId="37" applyAlignment="1" pivotButton="0" quotePrefix="0" xfId="0">
      <alignment wrapText="1"/>
    </xf>
    <xf numFmtId="0" fontId="124" fillId="32" borderId="37" pivotButton="0" quotePrefix="0" xfId="0"/>
    <xf numFmtId="0" fontId="198" fillId="32" borderId="37" applyAlignment="1" pivotButton="0" quotePrefix="0" xfId="0">
      <alignment horizontal="left" vertical="center" wrapText="1"/>
    </xf>
    <xf numFmtId="0" fontId="163" fillId="27" borderId="35" applyAlignment="1" pivotButton="0" quotePrefix="0" xfId="0">
      <alignment horizontal="left" vertical="center" wrapText="1"/>
    </xf>
    <xf numFmtId="0" fontId="166" fillId="0" borderId="35" applyAlignment="1" pivotButton="0" quotePrefix="0" xfId="0">
      <alignment vertical="center" wrapText="1"/>
    </xf>
    <xf numFmtId="0" fontId="166" fillId="0" borderId="35" applyAlignment="1" pivotButton="0" quotePrefix="0" xfId="0">
      <alignment horizontal="left" vertical="center" wrapText="1" indent="2"/>
    </xf>
    <xf numFmtId="0" fontId="166" fillId="0" borderId="35" applyAlignment="1" pivotButton="0" quotePrefix="0" xfId="0">
      <alignment horizontal="left" vertical="center" wrapText="1" indent="4"/>
    </xf>
    <xf numFmtId="0" fontId="163" fillId="0" borderId="35" applyAlignment="1" pivotButton="0" quotePrefix="0" xfId="0">
      <alignment vertical="center" wrapText="1"/>
    </xf>
    <xf numFmtId="3" fontId="182" fillId="0" borderId="35" applyAlignment="1" pivotButton="0" quotePrefix="0" xfId="0">
      <alignment horizontal="right" vertical="center" wrapText="1"/>
    </xf>
    <xf numFmtId="0" fontId="166" fillId="0" borderId="35" applyAlignment="1" pivotButton="0" quotePrefix="0" xfId="0">
      <alignment horizontal="left" vertical="center" wrapText="1" indent="6"/>
    </xf>
    <xf numFmtId="0" fontId="166" fillId="0" borderId="35" applyAlignment="1" pivotButton="0" quotePrefix="0" xfId="0">
      <alignment horizontal="left" vertical="center" wrapText="1" indent="8"/>
    </xf>
    <xf numFmtId="4" fontId="164" fillId="0" borderId="35" applyAlignment="1" pivotButton="0" quotePrefix="0" xfId="0">
      <alignment horizontal="right" vertical="center" wrapText="1"/>
    </xf>
    <xf numFmtId="178" fontId="164" fillId="0" borderId="35" applyAlignment="1" pivotButton="0" quotePrefix="0" xfId="0">
      <alignment horizontal="right" vertical="center" wrapText="1"/>
    </xf>
    <xf numFmtId="0" fontId="163" fillId="28" borderId="0" applyAlignment="1" pivotButton="0" quotePrefix="0" xfId="0">
      <alignment horizontal="right"/>
    </xf>
    <xf numFmtId="0" fontId="130" fillId="32" borderId="0" pivotButton="0" quotePrefix="0" xfId="0"/>
    <xf numFmtId="0" fontId="175" fillId="0" borderId="0" pivotButton="0" quotePrefix="0" xfId="0"/>
    <xf numFmtId="165" fontId="199" fillId="0" borderId="0" pivotButton="0" quotePrefix="0" xfId="0"/>
    <xf numFmtId="0" fontId="163" fillId="21" borderId="0" pivotButton="0" quotePrefix="0" xfId="0"/>
    <xf numFmtId="203" fontId="163" fillId="21" borderId="0" pivotButton="0" quotePrefix="0" xfId="0"/>
    <xf numFmtId="203" fontId="163" fillId="21" borderId="2" pivotButton="0" quotePrefix="0" xfId="0"/>
    <xf numFmtId="165" fontId="175" fillId="0" borderId="0" pivotButton="0" quotePrefix="0" xfId="0"/>
    <xf numFmtId="165" fontId="169" fillId="0" borderId="0" pivotButton="0" quotePrefix="0" xfId="0"/>
    <xf numFmtId="165" fontId="172" fillId="0" borderId="0" pivotButton="0" quotePrefix="0" xfId="0"/>
    <xf numFmtId="0" fontId="71" fillId="32" borderId="0" applyAlignment="1" pivotButton="0" quotePrefix="0" xfId="0">
      <alignment horizontal="center"/>
    </xf>
    <xf numFmtId="0" fontId="139" fillId="32" borderId="0" pivotButton="0" quotePrefix="0" xfId="0"/>
    <xf numFmtId="0" fontId="139" fillId="0" borderId="0" pivotButton="0" quotePrefix="0" xfId="0"/>
    <xf numFmtId="9" fontId="166" fillId="0" borderId="0" pivotButton="0" quotePrefix="0" xfId="0"/>
    <xf numFmtId="3" fontId="165" fillId="0" borderId="0" pivotButton="0" quotePrefix="0" xfId="0"/>
    <xf numFmtId="165" fontId="163" fillId="21" borderId="0" pivotButton="0" quotePrefix="0" xfId="0"/>
    <xf numFmtId="3" fontId="190" fillId="21" borderId="0" pivotButton="0" quotePrefix="0" xfId="0"/>
    <xf numFmtId="3" fontId="163" fillId="21" borderId="0" pivotButton="0" quotePrefix="0" xfId="0"/>
    <xf numFmtId="0" fontId="163" fillId="0" borderId="0" applyAlignment="1" pivotButton="0" quotePrefix="0" xfId="0">
      <alignment horizontal="center"/>
    </xf>
    <xf numFmtId="3" fontId="163" fillId="0" borderId="0" pivotButton="0" quotePrefix="0" xfId="0"/>
    <xf numFmtId="0" fontId="155" fillId="19" borderId="0" applyAlignment="1" pivotButton="0" quotePrefix="0" xfId="0">
      <alignment horizontal="center"/>
    </xf>
    <xf numFmtId="0" fontId="167" fillId="19" borderId="0" pivotButton="0" quotePrefix="0" xfId="0"/>
    <xf numFmtId="0" fontId="162" fillId="19" borderId="0" applyAlignment="1" pivotButton="0" quotePrefix="0" xfId="0">
      <alignment horizontal="center"/>
    </xf>
    <xf numFmtId="0" fontId="155" fillId="19" borderId="0" pivotButton="0" quotePrefix="0" xfId="0"/>
    <xf numFmtId="10" fontId="161" fillId="0" borderId="0" pivotButton="0" quotePrefix="0" xfId="0"/>
    <xf numFmtId="0" fontId="155" fillId="19" borderId="0" applyAlignment="1" pivotButton="0" quotePrefix="0" xfId="0">
      <alignment horizontal="right"/>
    </xf>
    <xf numFmtId="4" fontId="161" fillId="19" borderId="0" pivotButton="0" quotePrefix="0" xfId="0"/>
    <xf numFmtId="10" fontId="155" fillId="19" borderId="0" pivotButton="0" quotePrefix="0" xfId="0"/>
    <xf numFmtId="0" fontId="155" fillId="25" borderId="0" pivotButton="0" quotePrefix="0" xfId="0"/>
    <xf numFmtId="0" fontId="171" fillId="0" borderId="38" applyAlignment="1" pivotButton="0" quotePrefix="0" xfId="0">
      <alignment horizontal="center"/>
    </xf>
    <xf numFmtId="0" fontId="155" fillId="0" borderId="22" pivotButton="0" quotePrefix="0" xfId="0"/>
    <xf numFmtId="0" fontId="161" fillId="0" borderId="22" pivotButton="0" quotePrefix="0" xfId="0"/>
    <xf numFmtId="0" fontId="161" fillId="19" borderId="0" applyAlignment="1" pivotButton="0" quotePrefix="0" xfId="0">
      <alignment horizontal="right"/>
    </xf>
    <xf numFmtId="0" fontId="166" fillId="27" borderId="35" applyAlignment="1" pivotButton="0" quotePrefix="0" xfId="0">
      <alignment vertical="center" wrapText="1"/>
    </xf>
    <xf numFmtId="0" fontId="164" fillId="27" borderId="35" applyAlignment="1" pivotButton="0" quotePrefix="0" xfId="0">
      <alignment horizontal="left" vertical="center" wrapText="1"/>
    </xf>
    <xf numFmtId="9" fontId="166" fillId="0" borderId="35" applyAlignment="1" pivotButton="0" quotePrefix="0" xfId="0">
      <alignment horizontal="right" vertical="center" wrapText="1"/>
    </xf>
    <xf numFmtId="0" fontId="166" fillId="27" borderId="35" applyAlignment="1" pivotButton="0" quotePrefix="0" xfId="0">
      <alignment horizontal="left" vertical="center" wrapText="1"/>
    </xf>
    <xf numFmtId="0" fontId="166" fillId="30" borderId="35" applyAlignment="1" pivotButton="0" quotePrefix="0" xfId="0">
      <alignment vertical="center" wrapText="1"/>
    </xf>
    <xf numFmtId="3" fontId="164" fillId="30" borderId="35" applyAlignment="1" pivotButton="0" quotePrefix="0" xfId="0">
      <alignment horizontal="right" vertical="center" wrapText="1"/>
    </xf>
    <xf numFmtId="0" fontId="155" fillId="0" borderId="39" pivotButton="0" quotePrefix="0" xfId="0"/>
    <xf numFmtId="0" fontId="161" fillId="0" borderId="40" pivotButton="0" quotePrefix="0" xfId="0"/>
    <xf numFmtId="0" fontId="155" fillId="18" borderId="0" pivotButton="0" quotePrefix="0" xfId="0"/>
    <xf numFmtId="0" fontId="155" fillId="31" borderId="39" pivotButton="0" quotePrefix="0" xfId="0"/>
    <xf numFmtId="0" fontId="161" fillId="31" borderId="40" pivotButton="0" quotePrefix="0" xfId="0"/>
    <xf numFmtId="0" fontId="155" fillId="31" borderId="40" pivotButton="0" quotePrefix="0" xfId="0"/>
    <xf numFmtId="0" fontId="155" fillId="0" borderId="40" pivotButton="0" quotePrefix="0" xfId="0"/>
    <xf numFmtId="165" fontId="165" fillId="0" borderId="0" pivotButton="0" quotePrefix="0" xfId="0"/>
    <xf numFmtId="200" fontId="166" fillId="0" borderId="0" pivotButton="0" quotePrefix="0" xfId="0"/>
    <xf numFmtId="10" fontId="166" fillId="0" borderId="0" pivotButton="0" quotePrefix="0" xfId="0"/>
    <xf numFmtId="10" fontId="166" fillId="0" borderId="7" pivotButton="0" quotePrefix="0" xfId="0"/>
    <xf numFmtId="10" fontId="163" fillId="0" borderId="0" pivotButton="0" quotePrefix="0" xfId="0"/>
    <xf numFmtId="0" fontId="105" fillId="32" borderId="0" pivotButton="0" quotePrefix="0" xfId="0"/>
    <xf numFmtId="1" fontId="164" fillId="3" borderId="0" applyAlignment="1" pivotButton="0" quotePrefix="0" xfId="0">
      <alignment horizontal="center"/>
    </xf>
    <xf numFmtId="0" fontId="30" fillId="32" borderId="0" pivotButton="0" quotePrefix="0" xfId="0"/>
    <xf numFmtId="0" fontId="106" fillId="32" borderId="0" pivotButton="0" quotePrefix="0" xfId="0"/>
    <xf numFmtId="0" fontId="106" fillId="32" borderId="0" applyAlignment="1" pivotButton="0" quotePrefix="0" xfId="0">
      <alignment horizontal="center"/>
    </xf>
    <xf numFmtId="0" fontId="107" fillId="32" borderId="0" applyAlignment="1" pivotButton="0" quotePrefix="0" xfId="0">
      <alignment horizontal="center"/>
    </xf>
    <xf numFmtId="176" fontId="165" fillId="0" borderId="0" pivotButton="0" quotePrefix="0" xfId="0"/>
    <xf numFmtId="165" fontId="163" fillId="0" borderId="0" pivotButton="0" quotePrefix="0" xfId="0"/>
    <xf numFmtId="49" fontId="156" fillId="0" borderId="46" applyAlignment="1" pivotButton="0" quotePrefix="0" xfId="0">
      <alignment horizontal="right"/>
    </xf>
    <xf numFmtId="3" fontId="156" fillId="0" borderId="46" applyAlignment="1" pivotButton="0" quotePrefix="0" xfId="0">
      <alignment horizontal="right"/>
    </xf>
    <xf numFmtId="165" fontId="156" fillId="0" borderId="46" applyAlignment="1" pivotButton="0" quotePrefix="0" xfId="0">
      <alignment horizontal="right"/>
    </xf>
    <xf numFmtId="206" fontId="156" fillId="0" borderId="46" applyAlignment="1" pivotButton="0" quotePrefix="0" xfId="0">
      <alignment horizontal="right"/>
    </xf>
    <xf numFmtId="0" fontId="156" fillId="0" borderId="46" applyAlignment="1" pivotButton="0" quotePrefix="0" xfId="0">
      <alignment horizontal="right"/>
    </xf>
    <xf numFmtId="207" fontId="156" fillId="0" borderId="46" applyAlignment="1" pivotButton="0" quotePrefix="0" xfId="0">
      <alignment horizontal="right"/>
    </xf>
    <xf numFmtId="0" fontId="157" fillId="33" borderId="0" applyAlignment="1" pivotButton="0" quotePrefix="0" xfId="0">
      <alignment horizontal="left"/>
    </xf>
    <xf numFmtId="209" fontId="161" fillId="0" borderId="0" applyAlignment="1" pivotButton="0" quotePrefix="0" xfId="0">
      <alignment horizontal="right"/>
    </xf>
    <xf numFmtId="3" fontId="161" fillId="0" borderId="0" applyAlignment="1" pivotButton="0" quotePrefix="0" xfId="0">
      <alignment horizontal="right"/>
    </xf>
    <xf numFmtId="0" fontId="162" fillId="34" borderId="0" applyAlignment="1" pivotButton="0" quotePrefix="0" xfId="0">
      <alignment horizontal="left"/>
    </xf>
    <xf numFmtId="0" fontId="162" fillId="34" borderId="0" applyAlignment="1" pivotButton="0" quotePrefix="0" xfId="0">
      <alignment horizontal="right"/>
    </xf>
    <xf numFmtId="0" fontId="202" fillId="0" borderId="0" applyAlignment="1" pivotButton="0" quotePrefix="0" xfId="0">
      <alignment horizontal="right"/>
    </xf>
    <xf numFmtId="206" fontId="161" fillId="0" borderId="0" applyAlignment="1" pivotButton="0" quotePrefix="0" xfId="0">
      <alignment horizontal="right"/>
    </xf>
    <xf numFmtId="0" fontId="203" fillId="0" borderId="0" pivotButton="0" quotePrefix="0" xfId="0"/>
    <xf numFmtId="206" fontId="155" fillId="0" borderId="0" applyAlignment="1" pivotButton="0" quotePrefix="0" xfId="0">
      <alignment horizontal="right"/>
    </xf>
    <xf numFmtId="0" fontId="162" fillId="0" borderId="47" applyAlignment="1" pivotButton="0" quotePrefix="0" xfId="0">
      <alignment horizontal="left"/>
    </xf>
    <xf numFmtId="206" fontId="162" fillId="0" borderId="47" applyAlignment="1" pivotButton="0" quotePrefix="0" xfId="0">
      <alignment horizontal="right"/>
    </xf>
    <xf numFmtId="0" fontId="178" fillId="0" borderId="0" pivotButton="0" quotePrefix="0" xfId="0"/>
    <xf numFmtId="0" fontId="199" fillId="0" borderId="0" pivotButton="0" quotePrefix="0" xfId="0"/>
    <xf numFmtId="0" fontId="179" fillId="0" borderId="0" pivotButton="0" quotePrefix="0" xfId="0"/>
    <xf numFmtId="0" fontId="204" fillId="0" borderId="47" applyAlignment="1" pivotButton="0" quotePrefix="0" xfId="0">
      <alignment horizontal="left"/>
    </xf>
    <xf numFmtId="210" fontId="161" fillId="0" borderId="0" applyAlignment="1" pivotButton="0" quotePrefix="0" xfId="0">
      <alignment horizontal="right"/>
    </xf>
    <xf numFmtId="165" fontId="161" fillId="0" borderId="0" applyAlignment="1" pivotButton="0" quotePrefix="0" xfId="0">
      <alignment horizontal="right"/>
    </xf>
    <xf numFmtId="178" fontId="161" fillId="0" borderId="0" applyAlignment="1" pivotButton="0" quotePrefix="0" xfId="0">
      <alignment horizontal="right"/>
    </xf>
    <xf numFmtId="0" fontId="205" fillId="0" borderId="0" pivotButton="0" quotePrefix="0" xfId="0"/>
    <xf numFmtId="209" fontId="160" fillId="0" borderId="0" applyAlignment="1" pivotButton="0" quotePrefix="0" xfId="0">
      <alignment horizontal="right"/>
    </xf>
    <xf numFmtId="3" fontId="168" fillId="35" borderId="48" applyAlignment="1" pivotButton="0" quotePrefix="0" xfId="0">
      <alignment horizontal="right"/>
    </xf>
    <xf numFmtId="0" fontId="162" fillId="34" borderId="0" applyAlignment="1" pivotButton="0" quotePrefix="0" xfId="0">
      <alignment horizontal="center"/>
    </xf>
    <xf numFmtId="178" fontId="155" fillId="0" borderId="0" applyAlignment="1" pivotButton="0" quotePrefix="0" xfId="0">
      <alignment horizontal="right"/>
    </xf>
    <xf numFmtId="178" fontId="162" fillId="0" borderId="0" applyAlignment="1" pivotButton="0" quotePrefix="0" xfId="0">
      <alignment horizontal="right"/>
    </xf>
    <xf numFmtId="0" fontId="162" fillId="0" borderId="0" applyAlignment="1" pivotButton="0" quotePrefix="0" xfId="0">
      <alignment horizontal="left" indent="1"/>
    </xf>
    <xf numFmtId="178" fontId="162" fillId="0" borderId="44" applyAlignment="1" pivotButton="0" quotePrefix="0" xfId="0">
      <alignment horizontal="right"/>
    </xf>
    <xf numFmtId="0" fontId="162" fillId="0" borderId="47" applyAlignment="1" pivotButton="0" quotePrefix="0" xfId="0">
      <alignment horizontal="left" indent="1"/>
    </xf>
    <xf numFmtId="206" fontId="206" fillId="0" borderId="0" applyAlignment="1" pivotButton="0" quotePrefix="0" xfId="0">
      <alignment horizontal="right"/>
    </xf>
    <xf numFmtId="0" fontId="204" fillId="0" borderId="47" applyAlignment="1" pivotButton="0" quotePrefix="0" xfId="0">
      <alignment horizontal="left" indent="1"/>
    </xf>
    <xf numFmtId="4" fontId="161" fillId="0" borderId="0" applyAlignment="1" pivotButton="0" quotePrefix="0" xfId="0">
      <alignment horizontal="right"/>
    </xf>
    <xf numFmtId="9" fontId="161" fillId="0" borderId="0" applyAlignment="1" pivotButton="0" quotePrefix="0" xfId="0">
      <alignment horizontal="right"/>
    </xf>
    <xf numFmtId="0" fontId="162" fillId="0" borderId="44" applyAlignment="1" pivotButton="0" quotePrefix="0" xfId="0">
      <alignment horizontal="left" indent="1"/>
    </xf>
    <xf numFmtId="0" fontId="163" fillId="0" borderId="0" applyAlignment="1" pivotButton="0" quotePrefix="0" xfId="0">
      <alignment horizontal="left"/>
    </xf>
    <xf numFmtId="0" fontId="163" fillId="34" borderId="0" applyAlignment="1" pivotButton="0" quotePrefix="0" xfId="0">
      <alignment horizontal="center"/>
    </xf>
    <xf numFmtId="3" fontId="166" fillId="0" borderId="0" applyAlignment="1" pivotButton="0" quotePrefix="0" xfId="0">
      <alignment horizontal="right"/>
    </xf>
    <xf numFmtId="178" fontId="166" fillId="0" borderId="0" applyAlignment="1" pivotButton="0" quotePrefix="0" xfId="0">
      <alignment horizontal="right"/>
    </xf>
    <xf numFmtId="193" fontId="166" fillId="0" borderId="0" applyAlignment="1" pivotButton="0" quotePrefix="0" xfId="0">
      <alignment horizontal="right"/>
    </xf>
    <xf numFmtId="0" fontId="162" fillId="34" borderId="0" pivotButton="0" quotePrefix="0" xfId="0"/>
    <xf numFmtId="178" fontId="202" fillId="0" borderId="0" applyAlignment="1" pivotButton="0" quotePrefix="0" xfId="0">
      <alignment horizontal="right"/>
    </xf>
    <xf numFmtId="0" fontId="207" fillId="0" borderId="0" pivotButton="0" quotePrefix="0" xfId="0"/>
    <xf numFmtId="0" fontId="208" fillId="33" borderId="0" applyAlignment="1" pivotButton="0" quotePrefix="0" xfId="0">
      <alignment horizontal="left"/>
    </xf>
    <xf numFmtId="0" fontId="209" fillId="0" borderId="0" pivotButton="0" quotePrefix="0" xfId="0"/>
    <xf numFmtId="0" fontId="210" fillId="0" borderId="0" pivotButton="0" quotePrefix="0" xfId="0"/>
    <xf numFmtId="178" fontId="214" fillId="0" borderId="0" applyAlignment="1" pivotButton="0" quotePrefix="0" xfId="0">
      <alignment horizontal="right"/>
    </xf>
    <xf numFmtId="0" fontId="213" fillId="0" borderId="0" pivotButton="0" quotePrefix="0" xfId="0"/>
    <xf numFmtId="0" fontId="213" fillId="32" borderId="13" applyAlignment="1" pivotButton="0" quotePrefix="0" xfId="0">
      <alignment vertical="center"/>
    </xf>
    <xf numFmtId="0" fontId="209" fillId="0" borderId="0" applyAlignment="1" pivotButton="0" quotePrefix="0" xfId="0">
      <alignment horizontal="left"/>
    </xf>
    <xf numFmtId="0" fontId="210" fillId="0" borderId="0" applyAlignment="1" pivotButton="0" quotePrefix="0" xfId="0">
      <alignment horizontal="left"/>
    </xf>
    <xf numFmtId="178" fontId="211" fillId="0" borderId="0" applyAlignment="1" pivotButton="0" quotePrefix="0" xfId="0">
      <alignment horizontal="right"/>
    </xf>
    <xf numFmtId="165" fontId="211" fillId="0" borderId="0" applyAlignment="1" pivotButton="0" quotePrefix="0" xfId="0">
      <alignment horizontal="right"/>
    </xf>
    <xf numFmtId="178" fontId="212" fillId="0" borderId="0" applyAlignment="1" pivotButton="0" quotePrefix="0" xfId="0">
      <alignment horizontal="right"/>
    </xf>
    <xf numFmtId="0" fontId="212" fillId="0" borderId="0" applyAlignment="1" pivotButton="0" quotePrefix="0" xfId="0">
      <alignment horizontal="right"/>
    </xf>
    <xf numFmtId="9" fontId="211" fillId="0" borderId="0" applyAlignment="1" pivotButton="0" quotePrefix="0" xfId="0">
      <alignment horizontal="right"/>
    </xf>
    <xf numFmtId="178" fontId="209" fillId="0" borderId="0" applyAlignment="1" pivotButton="0" quotePrefix="0" xfId="0">
      <alignment horizontal="right"/>
    </xf>
    <xf numFmtId="178" fontId="209" fillId="0" borderId="44" applyAlignment="1" pivotButton="0" quotePrefix="0" xfId="0">
      <alignment horizontal="right"/>
    </xf>
    <xf numFmtId="0" fontId="200" fillId="0" borderId="0" applyAlignment="1" pivotButton="0" quotePrefix="0" xfId="0">
      <alignment horizontal="left"/>
    </xf>
    <xf numFmtId="206" fontId="200" fillId="0" borderId="0" applyAlignment="1" pivotButton="0" quotePrefix="0" xfId="0">
      <alignment horizontal="right"/>
    </xf>
    <xf numFmtId="0" fontId="201" fillId="0" borderId="0" pivotButton="0" quotePrefix="0" xfId="0"/>
    <xf numFmtId="0" fontId="215" fillId="0" borderId="0" pivotButton="0" quotePrefix="0" xfId="0"/>
    <xf numFmtId="3" fontId="182" fillId="35" borderId="48" applyAlignment="1" pivotButton="0" quotePrefix="0" xfId="0">
      <alignment horizontal="right"/>
    </xf>
    <xf numFmtId="0" fontId="166" fillId="0" borderId="0" applyAlignment="1" pivotButton="0" quotePrefix="0" xfId="0">
      <alignment horizontal="left"/>
    </xf>
    <xf numFmtId="178" fontId="164" fillId="0" borderId="0" applyAlignment="1" pivotButton="0" quotePrefix="0" xfId="0">
      <alignment horizontal="right"/>
    </xf>
    <xf numFmtId="3" fontId="164" fillId="0" borderId="0" applyAlignment="1" pivotButton="0" quotePrefix="0" xfId="0">
      <alignment horizontal="right"/>
    </xf>
    <xf numFmtId="211" fontId="164" fillId="0" borderId="0" applyAlignment="1" pivotButton="0" quotePrefix="0" xfId="0">
      <alignment horizontal="right"/>
    </xf>
    <xf numFmtId="165" fontId="165" fillId="0" borderId="0" applyAlignment="1" pivotButton="0" quotePrefix="0" xfId="0">
      <alignment horizontal="right"/>
    </xf>
    <xf numFmtId="0" fontId="163" fillId="34" borderId="0" applyAlignment="1" pivotButton="0" quotePrefix="0" xfId="0">
      <alignment horizontal="left"/>
    </xf>
    <xf numFmtId="0" fontId="163" fillId="34" borderId="0" applyAlignment="1" pivotButton="0" quotePrefix="0" xfId="0">
      <alignment horizontal="right"/>
    </xf>
    <xf numFmtId="0" fontId="203" fillId="0" borderId="0" applyAlignment="1" pivotButton="0" quotePrefix="0" xfId="0">
      <alignment horizontal="left"/>
    </xf>
    <xf numFmtId="178" fontId="165" fillId="0" borderId="0" applyAlignment="1" pivotButton="0" quotePrefix="0" xfId="0">
      <alignment horizontal="right"/>
    </xf>
    <xf numFmtId="9" fontId="166" fillId="0" borderId="0" applyAlignment="1" pivotButton="0" quotePrefix="0" xfId="0">
      <alignment horizontal="right"/>
    </xf>
    <xf numFmtId="9" fontId="164" fillId="0" borderId="0" applyAlignment="1" pivotButton="0" quotePrefix="0" xfId="0">
      <alignment horizontal="right"/>
    </xf>
    <xf numFmtId="178" fontId="163" fillId="0" borderId="0" applyAlignment="1" pivotButton="0" quotePrefix="0" xfId="0">
      <alignment horizontal="right"/>
    </xf>
    <xf numFmtId="178" fontId="163" fillId="0" borderId="44" applyAlignment="1" pivotButton="0" quotePrefix="0" xfId="0">
      <alignment horizontal="right"/>
    </xf>
    <xf numFmtId="3" fontId="163" fillId="0" borderId="0" applyAlignment="1" pivotButton="0" quotePrefix="0" xfId="0">
      <alignment horizontal="right"/>
    </xf>
    <xf numFmtId="0" fontId="216" fillId="0" borderId="0" pivotButton="0" quotePrefix="0" xfId="0"/>
    <xf numFmtId="3" fontId="165" fillId="0" borderId="0" applyAlignment="1" pivotButton="0" quotePrefix="0" xfId="0">
      <alignment horizontal="right"/>
    </xf>
    <xf numFmtId="165" fontId="164" fillId="0" borderId="0" applyAlignment="1" pivotButton="0" quotePrefix="0" xfId="0">
      <alignment horizontal="right"/>
    </xf>
    <xf numFmtId="211" fontId="165" fillId="0" borderId="0" applyAlignment="1" pivotButton="0" quotePrefix="0" xfId="0">
      <alignment horizontal="right"/>
    </xf>
    <xf numFmtId="165" fontId="166" fillId="0" borderId="0" applyAlignment="1" pivotButton="0" quotePrefix="0" xfId="0">
      <alignment horizontal="right"/>
    </xf>
    <xf numFmtId="4" fontId="164" fillId="0" borderId="0" applyAlignment="1" pivotButton="0" quotePrefix="0" xfId="0">
      <alignment horizontal="right"/>
    </xf>
    <xf numFmtId="0" fontId="178" fillId="34" borderId="0" applyAlignment="1" pivotButton="0" quotePrefix="0" xfId="0">
      <alignment horizontal="center"/>
    </xf>
    <xf numFmtId="0" fontId="175" fillId="0" borderId="0" applyAlignment="1" pivotButton="0" quotePrefix="0" xfId="0">
      <alignment horizontal="left" indent="1"/>
    </xf>
    <xf numFmtId="3" fontId="175" fillId="0" borderId="0" applyAlignment="1" pivotButton="0" quotePrefix="0" xfId="0">
      <alignment horizontal="right"/>
    </xf>
    <xf numFmtId="178" fontId="175" fillId="0" borderId="0" applyAlignment="1" pivotButton="0" quotePrefix="0" xfId="0">
      <alignment horizontal="right"/>
    </xf>
    <xf numFmtId="193" fontId="175" fillId="0" borderId="0" applyAlignment="1" pivotButton="0" quotePrefix="0" xfId="0">
      <alignment horizontal="right"/>
    </xf>
    <xf numFmtId="0" fontId="163" fillId="0" borderId="47" applyAlignment="1" pivotButton="0" quotePrefix="0" xfId="0">
      <alignment horizontal="left"/>
    </xf>
    <xf numFmtId="178" fontId="163" fillId="0" borderId="47" applyAlignment="1" pivotButton="0" quotePrefix="0" xfId="0">
      <alignment horizontal="right"/>
    </xf>
    <xf numFmtId="0" fontId="166" fillId="0" borderId="49" pivotButton="0" quotePrefix="0" xfId="0"/>
    <xf numFmtId="0" fontId="216" fillId="0" borderId="49" applyAlignment="1" pivotButton="0" quotePrefix="0" xfId="0">
      <alignment horizontal="left"/>
    </xf>
    <xf numFmtId="0" fontId="166" fillId="0" borderId="49" applyAlignment="1" pivotButton="0" quotePrefix="0" xfId="0">
      <alignment horizontal="left" indent="1"/>
    </xf>
    <xf numFmtId="3" fontId="164" fillId="0" borderId="49" applyAlignment="1" pivotButton="0" quotePrefix="0" xfId="0">
      <alignment horizontal="right"/>
    </xf>
    <xf numFmtId="0" fontId="203" fillId="0" borderId="49" pivotButton="0" quotePrefix="0" xfId="0"/>
    <xf numFmtId="4" fontId="164" fillId="0" borderId="49" applyAlignment="1" pivotButton="0" quotePrefix="0" xfId="0">
      <alignment horizontal="right"/>
    </xf>
    <xf numFmtId="9" fontId="164" fillId="0" borderId="49" applyAlignment="1" pivotButton="0" quotePrefix="0" xfId="0">
      <alignment horizontal="right"/>
    </xf>
    <xf numFmtId="178" fontId="166" fillId="0" borderId="49" applyAlignment="1" pivotButton="0" quotePrefix="0" xfId="0">
      <alignment horizontal="right"/>
    </xf>
    <xf numFmtId="3" fontId="165" fillId="0" borderId="49" applyAlignment="1" pivotButton="0" quotePrefix="0" xfId="0">
      <alignment horizontal="right"/>
    </xf>
    <xf numFmtId="0" fontId="163" fillId="0" borderId="44" applyAlignment="1" pivotButton="0" quotePrefix="0" xfId="0">
      <alignment horizontal="left" indent="1"/>
    </xf>
    <xf numFmtId="0" fontId="166" fillId="0" borderId="49" applyAlignment="1" pivotButton="0" quotePrefix="0" xfId="0">
      <alignment horizontal="left"/>
    </xf>
    <xf numFmtId="3" fontId="166" fillId="0" borderId="49" applyAlignment="1" pivotButton="0" quotePrefix="0" xfId="0">
      <alignment horizontal="right"/>
    </xf>
    <xf numFmtId="165" fontId="165" fillId="0" borderId="49" applyAlignment="1" pivotButton="0" quotePrefix="0" xfId="0">
      <alignment horizontal="right"/>
    </xf>
    <xf numFmtId="0" fontId="166" fillId="0" borderId="49" applyAlignment="1" pivotButton="0" quotePrefix="0" xfId="0">
      <alignment horizontal="center"/>
    </xf>
    <xf numFmtId="0" fontId="178" fillId="0" borderId="49" applyAlignment="1" pivotButton="0" quotePrefix="0" xfId="0">
      <alignment horizontal="left"/>
    </xf>
    <xf numFmtId="3" fontId="178" fillId="34" borderId="49" applyAlignment="1" pivotButton="0" quotePrefix="0" xfId="0">
      <alignment horizontal="center"/>
    </xf>
    <xf numFmtId="0" fontId="175" fillId="0" borderId="49" applyAlignment="1" pivotButton="0" quotePrefix="0" xfId="0">
      <alignment horizontal="left" indent="2"/>
    </xf>
    <xf numFmtId="3" fontId="175" fillId="0" borderId="49" applyAlignment="1" pivotButton="0" quotePrefix="0" xfId="0">
      <alignment horizontal="right"/>
    </xf>
    <xf numFmtId="178" fontId="175" fillId="0" borderId="49" applyAlignment="1" pivotButton="0" quotePrefix="0" xfId="0">
      <alignment horizontal="right"/>
    </xf>
    <xf numFmtId="193" fontId="175" fillId="0" borderId="49" applyAlignment="1" pivotButton="0" quotePrefix="0" xfId="0">
      <alignment horizontal="right"/>
    </xf>
    <xf numFmtId="178" fontId="165" fillId="0" borderId="49" applyAlignment="1" pivotButton="0" quotePrefix="0" xfId="0">
      <alignment horizontal="right"/>
    </xf>
    <xf numFmtId="178" fontId="164" fillId="0" borderId="49" applyAlignment="1" pivotButton="0" quotePrefix="0" xfId="0">
      <alignment horizontal="right"/>
    </xf>
    <xf numFmtId="165" fontId="164" fillId="0" borderId="49" applyAlignment="1" pivotButton="0" quotePrefix="0" xfId="0">
      <alignment horizontal="right"/>
    </xf>
    <xf numFmtId="0" fontId="157" fillId="33" borderId="49" applyAlignment="1" pivotButton="0" quotePrefix="0" xfId="0">
      <alignment horizontal="left"/>
    </xf>
    <xf numFmtId="0" fontId="216" fillId="0" borderId="0" applyAlignment="1" pivotButton="0" quotePrefix="0" xfId="0">
      <alignment vertical="center"/>
    </xf>
    <xf numFmtId="0" fontId="163" fillId="0" borderId="47" pivotButton="0" quotePrefix="0" xfId="0"/>
    <xf numFmtId="192" fontId="163" fillId="14" borderId="47" pivotButton="0" quotePrefix="0" xfId="0"/>
    <xf numFmtId="0" fontId="157" fillId="33" borderId="50" applyAlignment="1" pivotButton="0" quotePrefix="0" xfId="0">
      <alignment horizontal="left"/>
    </xf>
    <xf numFmtId="0" fontId="158" fillId="0" borderId="0" applyAlignment="1" pivotButton="0" quotePrefix="0" xfId="0">
      <alignment horizontal="left" indent="1"/>
    </xf>
    <xf numFmtId="209" fontId="164" fillId="0" borderId="0" applyAlignment="1" pivotButton="0" quotePrefix="0" xfId="0">
      <alignment horizontal="right"/>
    </xf>
    <xf numFmtId="0" fontId="163" fillId="0" borderId="49" applyAlignment="1" pivotButton="0" quotePrefix="0" xfId="0">
      <alignment horizontal="left"/>
    </xf>
    <xf numFmtId="178" fontId="163" fillId="0" borderId="49" applyAlignment="1" pivotButton="0" quotePrefix="0" xfId="0">
      <alignment horizontal="right"/>
    </xf>
    <xf numFmtId="178" fontId="156" fillId="0" borderId="47" applyAlignment="1" pivotButton="0" quotePrefix="0" xfId="0">
      <alignment horizontal="right"/>
    </xf>
    <xf numFmtId="0" fontId="205" fillId="0" borderId="49" applyAlignment="1" pivotButton="0" quotePrefix="0" xfId="0">
      <alignment horizontal="left" indent="1"/>
    </xf>
    <xf numFmtId="206" fontId="166" fillId="0" borderId="49" applyAlignment="1" pivotButton="0" quotePrefix="0" xfId="0">
      <alignment horizontal="right"/>
    </xf>
    <xf numFmtId="178" fontId="215" fillId="0" borderId="49" applyAlignment="1" pivotButton="0" quotePrefix="0" xfId="0">
      <alignment horizontal="right"/>
    </xf>
    <xf numFmtId="0" fontId="216" fillId="0" borderId="0" applyAlignment="1" pivotButton="0" quotePrefix="0" xfId="0">
      <alignment horizontal="left"/>
    </xf>
  </cellXfs>
  <cellStyles count="14">
    <cellStyle name="Normal" xfId="0" builtinId="0"/>
    <cellStyle name="Comma 2" xfId="1"/>
    <cellStyle name="Comma 3" xfId="2"/>
    <cellStyle name="Comma 4" xfId="3"/>
    <cellStyle name="Normal 2" xfId="4"/>
    <cellStyle name="Normal 2 2" xfId="5"/>
    <cellStyle name="Normal 2 2 2" xfId="6"/>
    <cellStyle name="Normal 3" xfId="7"/>
    <cellStyle name="Normal 4" xfId="8"/>
    <cellStyle name="Normal 5" xfId="9"/>
    <cellStyle name="number biasa" xfId="10"/>
    <cellStyle name="Percent 2" xfId="11"/>
    <cellStyle name="shade" xfId="12"/>
    <cellStyle name="Unit" xfId="13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6100"/>
      <rgbColor rgb="FF0000FF"/>
      <rgbColor rgb="FFFFFF00"/>
      <rgbColor rgb="FFFF00FF"/>
      <rgbColor rgb="FF00FFFF"/>
      <rgbColor rgb="FF9C0006"/>
      <rgbColor rgb="FF008000"/>
      <rgbColor rgb="FF002060"/>
      <rgbColor rgb="FF7F7F7F"/>
      <rgbColor rgb="FF1F4E79"/>
      <rgbColor rgb="FF0369A3"/>
      <rgbColor rgb="FFBFB8AC"/>
      <rgbColor rgb="FF808080"/>
      <rgbColor rgb="FFD9D9D9"/>
      <rgbColor rgb="FF7A5230"/>
      <rgbColor rgb="FFFFF2CC"/>
      <rgbColor rgb="FFBBE6FE"/>
      <rgbColor rgb="FF555555"/>
      <rgbColor rgb="FFE96F6D"/>
      <rgbColor rgb="FF0066CC"/>
      <rgbColor rgb="FFD5D8DB"/>
      <rgbColor rgb="FF011D4B"/>
      <rgbColor rgb="FFFF00FF"/>
      <rgbColor rgb="FFFCE4D6"/>
      <rgbColor rgb="FF00FFFF"/>
      <rgbColor rgb="FF1F4E78"/>
      <rgbColor rgb="FF024F7A"/>
      <rgbColor rgb="FF0070C0"/>
      <rgbColor rgb="FF0000EE"/>
      <rgbColor rgb="FF00B0F0"/>
      <rgbColor rgb="FFD6E4F0"/>
      <rgbColor rgb="FFE2EFDA"/>
      <rgbColor rgb="FFFFF1C1"/>
      <rgbColor rgb="FF78CCFD"/>
      <rgbColor rgb="FFF5BBFE"/>
      <rgbColor rgb="FFC8A97E"/>
      <rgbColor rgb="FFFFC7CE"/>
      <rgbColor rgb="FF334BFF"/>
      <rgbColor rgb="FFF2F2F2"/>
      <rgbColor rgb="FFF2EFEA"/>
      <rgbColor rgb="FFF8CFCE"/>
      <rgbColor rgb="FFD9A321"/>
      <rgbColor rgb="FFF5475B"/>
      <rgbColor rgb="FF666666"/>
      <rgbColor rgb="FF999999"/>
      <rgbColor rgb="FF003366"/>
      <rgbColor rgb="FF2E75B6"/>
      <rgbColor rgb="FF191919"/>
      <rgbColor rgb="FF013451"/>
      <rgbColor rgb="FFC9211E"/>
      <rgbColor rgb="FF595959"/>
      <rgbColor rgb="FF333399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= market cap Rp34,572.4bn / Rp594. Post-deal becomes ~65,321.9mn.</t>
      </text>
    </comment>
    <comment ref="B11" authorId="0" shapeId="0">
      <text>
        <t>TOWR income tax / EBT ~17%</t>
      </text>
    </comment>
    <comment ref="B17" authorId="0" shapeId="0">
      <text>
        <t>WIFI shares outstanding.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7" authorId="0" shapeId="0">
      <text>
        <t>Manual WACC input for synergy valuation.</t>
      </text>
    </comment>
    <comment ref="C13" authorId="0" shapeId="0">
      <text>
        <t>One-time integration cost as a % of annual cost synergies.</t>
      </text>
    </comment>
    <comment ref="A50" authorId="0" shapeId="0">
      <text>
        <t>WIFI FWA sites migrate onto TOWR towers -&gt; captured in-group at high incremental margin; also lifts TOWR tenancy ratio.</t>
      </text>
    </comment>
    <comment ref="A51" authorId="0" shapeId="0">
      <text>
        <t>Eliminate duplicate corporate functions (finance, HR, admin, listing costs).</t>
      </text>
    </comment>
    <comment ref="A52" authorId="0" shapeId="0">
      <text>
        <t>Refinance WIFI debt at TOWR lower cost of debt; fund future capex at parent rate.</t>
      </text>
    </comment>
    <comment ref="A53" authorId="0" shapeId="0">
      <text>
        <t>Combined equipment/CPE purchasing power; integrate WIFI 10,000km backbone with TOWR fiber.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C29" authorId="0" shapeId="0">
      <text>
        <t>Standalone target implied value per share from DCF using 2026-2030 forecast years.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6" authorId="0" shapeId="0">
      <text>
        <t>Typical infra credit covenant floor.</t>
      </text>
    </comment>
    <comment ref="B8" authorId="0" shapeId="0">
      <text>
        <t>Proceeds from re-listing to restore public float, repays tender bridge.</t>
      </text>
    </comment>
    <comment ref="B25" authorId="0" shapeId="0">
      <text>
        <t>How far combined EBITDA can fall before coverage hits the covenant floor.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B9" authorId="0" shapeId="0">
      <text>
        <t>Base 70% (Bear 40 / Bull 100).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D27" authorId="0" shapeId="0">
      <text>
        <t>Sources: TOWR FY2022 annual report (29,794 towers); TOWR 2023 annual report (30,558); TOWR 2024 results (35,400); TOWR official company profile 3Q25 (~36,049). 2021 growth intentionally N/A because a clean FY2020/FY2021 comparable tower base is not used here. 2025 uses latest 3Q25 disclosure vs FY2024.
https://media.ptsmn.co.id/content/general/AR%20SMN%202022%20-%20FINAL_LR.pdf | https://media.ptsmn.co.id/content/general/Final%20Annual%20Report%20SMN%202023.pdf | https://www.ptsmn.co.id/news-articles/news/detail/towr-records-net-profit-of-idr-3-34-trillion-in-2024 | https://www.ptsmn.co.id/about-us/company-profile</t>
      </text>
    </comment>
    <comment ref="E27" authorId="0" shapeId="0">
      <text>
        <t>Sources: TOWR FY2022 annual report (29,794 towers); TOWR 2023 annual report (30,558); TOWR 2024 results (35,400); TOWR official company profile 3Q25 (~36,049). 2021 growth intentionally N/A because a clean FY2020/FY2021 comparable tower base is not used here. 2025 uses latest 3Q25 disclosure vs FY2024.
https://media.ptsmn.co.id/content/general/AR%20SMN%202022%20-%20FINAL_LR.pdf | https://media.ptsmn.co.id/content/general/Final%20Annual%20Report%20SMN%202023.pdf | https://www.ptsmn.co.id/news-articles/news/detail/towr-records-net-profit-of-idr-3-34-trillion-in-2024 | https://www.ptsmn.co.id/about-us/company-profile</t>
      </text>
    </comment>
    <comment ref="F27" authorId="0" shapeId="0">
      <text>
        <t>Sources: TOWR FY2022 annual report (29,794 towers); TOWR 2023 annual report (30,558); TOWR 2024 results (35,400); TOWR official company profile 3Q25 (~36,049). 2021 growth intentionally N/A because a clean FY2020/FY2021 comparable tower base is not used here. 2025 uses latest 3Q25 disclosure vs FY2024.
https://media.ptsmn.co.id/content/general/AR%20SMN%202022%20-%20FINAL_LR.pdf | https://media.ptsmn.co.id/content/general/Final%20Annual%20Report%20SMN%202023.pdf | https://www.ptsmn.co.id/news-articles/news/detail/towr-records-net-profit-of-idr-3-34-trillion-in-2024 | https://www.ptsmn.co.id/about-us/company-profile</t>
      </text>
    </comment>
    <comment ref="G27" authorId="0" shapeId="0">
      <text>
        <t>Sources: TOWR FY2022 annual report (29,794 towers); TOWR 2023 annual report (30,558); TOWR 2024 results (35,400); TOWR official company profile 3Q25 (~36,049). 2021 growth intentionally N/A because a clean FY2020/FY2021 comparable tower base is not used here. 2025 uses latest 3Q25 disclosure vs FY2024.
https://media.ptsmn.co.id/content/general/AR%20SMN%202022%20-%20FINAL_LR.pdf | https://media.ptsmn.co.id/content/general/Final%20Annual%20Report%20SMN%202023.pdf | https://www.ptsmn.co.id/news-articles/news/detail/towr-records-net-profit-of-idr-3-34-trillion-in-2024 | https://www.ptsmn.co.id/about-us/company-profile</t>
      </text>
    </comment>
    <comment ref="H27" authorId="0" shapeId="0">
      <text>
        <t>Sources: TOWR FY2022 annual report (29,794 towers); TOWR 2023 annual report (30,558); TOWR 2024 results (35,400); TOWR official company profile 3Q25 (~36,049). 2021 growth intentionally N/A because a clean FY2020/FY2021 comparable tower base is not used here. 2025 uses latest 3Q25 disclosure vs FY2024.
https://media.ptsmn.co.id/content/general/AR%20SMN%202022%20-%20FINAL_LR.pdf | https://media.ptsmn.co.id/content/general/Final%20Annual%20Report%20SMN%202023.pdf | https://www.ptsmn.co.id/news-articles/news/detail/towr-records-net-profit-of-idr-3-34-trillion-in-2024 | https://www.ptsmn.co.id/about-us/company-profile</t>
      </text>
    </comment>
    <comment ref="D28" authorId="0" shapeId="0">
      <text>
        <t>Calculated as TOWR tower revenue / tower tenants. Tower revenue: 2021 Rp7,101bn; 2022 Rp8,606bn; 2023 Rp8,402bn; 2024 Rp8,523bn; 2025 2Q25 annualised Rp8,463bn. Tenant base: 2021 ~54,000; 2022 53,975; 2023 54,284; 2024 58,035; 2025 58,158 (2Q25). Sources: TOWR FY2021/FY2022/FY2024 investor materials and 2Q25 results presentation.
https://media.ptsmn.co.id/content/general/IP%204Q2024_vF.pdf | https://media.ptsmn.co.id/content/general/IP_2Q25_vF.pdf | https://media.ptsmn.co.id/content/general/AR_SMN_2021___LK.pdf</t>
      </text>
    </comment>
    <comment ref="E28" authorId="0" shapeId="0">
      <text>
        <t>Calculated as TOWR tower revenue / tower tenants. Tower revenue: 2021 Rp7,101bn; 2022 Rp8,606bn; 2023 Rp8,402bn; 2024 Rp8,523bn; 2025 2Q25 annualised Rp8,463bn. Tenant base: 2021 ~54,000; 2022 53,975; 2023 54,284; 2024 58,035; 2025 58,158 (2Q25). Sources: TOWR FY2021/FY2022/FY2024 investor materials and 2Q25 results presentation.
https://media.ptsmn.co.id/content/general/IP%204Q2024_vF.pdf | https://media.ptsmn.co.id/content/general/IP_2Q25_vF.pdf | https://media.ptsmn.co.id/content/general/AR_SMN_2021___LK.pdf</t>
      </text>
    </comment>
    <comment ref="F28" authorId="0" shapeId="0">
      <text>
        <t>Calculated as TOWR tower revenue / tower tenants. Tower revenue: 2021 Rp7,101bn; 2022 Rp8,606bn; 2023 Rp8,402bn; 2024 Rp8,523bn; 2025 2Q25 annualised Rp8,463bn. Tenant base: 2021 ~54,000; 2022 53,975; 2023 54,284; 2024 58,035; 2025 58,158 (2Q25). Sources: TOWR FY2021/FY2022/FY2024 investor materials and 2Q25 results presentation.
https://media.ptsmn.co.id/content/general/IP%204Q2024_vF.pdf | https://media.ptsmn.co.id/content/general/IP_2Q25_vF.pdf | https://media.ptsmn.co.id/content/general/AR_SMN_2021___LK.pdf</t>
      </text>
    </comment>
    <comment ref="G28" authorId="0" shapeId="0">
      <text>
        <t>Calculated as TOWR tower revenue / tower tenants. Tower revenue: 2021 Rp7,101bn; 2022 Rp8,606bn; 2023 Rp8,402bn; 2024 Rp8,523bn; 2025 2Q25 annualised Rp8,463bn. Tenant base: 2021 ~54,000; 2022 53,975; 2023 54,284; 2024 58,035; 2025 58,158 (2Q25). Sources: TOWR FY2021/FY2022/FY2024 investor materials and 2Q25 results presentation.
https://media.ptsmn.co.id/content/general/IP%204Q2024_vF.pdf | https://media.ptsmn.co.id/content/general/IP_2Q25_vF.pdf | https://media.ptsmn.co.id/content/general/AR_SMN_2021___LK.pdf</t>
      </text>
    </comment>
    <comment ref="H28" authorId="0" shapeId="0">
      <text>
        <t>Calculated as TOWR tower revenue / tower tenants. Tower revenue: 2021 Rp7,101bn; 2022 Rp8,606bn; 2023 Rp8,402bn; 2024 Rp8,523bn; 2025 2Q25 annualised Rp8,463bn. Tenant base: 2021 ~54,000; 2022 53,975; 2023 54,284; 2024 58,035; 2025 58,158 (2Q25). Sources: TOWR FY2021/FY2022/FY2024 investor materials and 2Q25 results presentation.
https://media.ptsmn.co.id/content/general/IP%204Q2024_vF.pdf | https://media.ptsmn.co.id/content/general/IP_2Q25_vF.pdf | https://media.ptsmn.co.id/content/general/AR_SMN_2021___LK.pdf</t>
      </text>
    </comment>
    <comment ref="D29" authorId="0" shapeId="0">
      <text>
        <t>Fiber asset-network km: 2021 ~67,800 km after STP acquisition; 2022 88,208 km; 2023 97,994 km; 2024 118,265 km; 2025 ~170,500 km (3Q25). Sources: TOWR STP acquisition announcement, TOWR 2024 Sustainability Report, TOWR official company profile.
https://www.ptsmn.co.id/news-articles/news/detail/smn-completes-acquisition-of-9403-of-stp | https://media.ptsmn.co.id/content/general/SR%20SMN%202024.pdf | https://www.ptsmn.co.id/about-us/company-profile</t>
      </text>
    </comment>
    <comment ref="E29" authorId="0" shapeId="0">
      <text>
        <t>Fiber asset-network km: 2021 ~67,800 km after STP acquisition; 2022 88,208 km; 2023 97,994 km; 2024 118,265 km; 2025 ~170,500 km (3Q25). Sources: TOWR STP acquisition announcement, TOWR 2024 Sustainability Report, TOWR official company profile.
https://www.ptsmn.co.id/news-articles/news/detail/smn-completes-acquisition-of-9403-of-stp | https://media.ptsmn.co.id/content/general/SR%20SMN%202024.pdf | https://www.ptsmn.co.id/about-us/company-profile</t>
      </text>
    </comment>
    <comment ref="F29" authorId="0" shapeId="0">
      <text>
        <t>Fiber asset-network km: 2021 ~67,800 km after STP acquisition; 2022 88,208 km; 2023 97,994 km; 2024 118,265 km; 2025 ~170,500 km (3Q25). Sources: TOWR STP acquisition announcement, TOWR 2024 Sustainability Report, TOWR official company profile.
https://www.ptsmn.co.id/news-articles/news/detail/smn-completes-acquisition-of-9403-of-stp | https://media.ptsmn.co.id/content/general/SR%20SMN%202024.pdf | https://www.ptsmn.co.id/about-us/company-profile</t>
      </text>
    </comment>
    <comment ref="G29" authorId="0" shapeId="0">
      <text>
        <t>Fiber asset-network km: 2021 ~67,800 km after STP acquisition; 2022 88,208 km; 2023 97,994 km; 2024 118,265 km; 2025 ~170,500 km (3Q25). Sources: TOWR STP acquisition announcement, TOWR 2024 Sustainability Report, TOWR official company profile.
https://www.ptsmn.co.id/news-articles/news/detail/smn-completes-acquisition-of-9403-of-stp | https://media.ptsmn.co.id/content/general/SR%20SMN%202024.pdf | https://www.ptsmn.co.id/about-us/company-profile</t>
      </text>
    </comment>
    <comment ref="H29" authorId="0" shapeId="0">
      <text>
        <t>Fiber asset-network km: 2021 ~67,800 km after STP acquisition; 2022 88,208 km; 2023 97,994 km; 2024 118,265 km; 2025 ~170,500 km (3Q25). Sources: TOWR STP acquisition announcement, TOWR 2024 Sustainability Report, TOWR official company profile.
https://www.ptsmn.co.id/news-articles/news/detail/smn-completes-acquisition-of-9403-of-stp | https://media.ptsmn.co.id/content/general/SR%20SMN%202024.pdf | https://www.ptsmn.co.id/about-us/company-profile</t>
      </text>
    </comment>
    <comment ref="D58" authorId="0" shapeId="0">
      <text>
        <t>WIFI HomePass growth: official company disclosure states HomePass was ~220,000 at end-2024 and target/reported FY2025 was 2.5 million. Earlier years are left N/A rather than estimated.
https://surge.co.id/news/pt-solusi-sinergi-digital-tbk-achieves-milestone-9m-2025-results-strong-revenue-growth-expanding-homepass-and-homeconnect-footprint</t>
      </text>
    </comment>
    <comment ref="E58" authorId="0" shapeId="0">
      <text>
        <t>WIFI HomePass growth: official company disclosure states HomePass was ~220,000 at end-2024 and target/reported FY2025 was 2.5 million. Earlier years are left N/A rather than estimated.
https://surge.co.id/news/pt-solusi-sinergi-digital-tbk-achieves-milestone-9m-2025-results-strong-revenue-growth-expanding-homepass-and-homeconnect-footprint</t>
      </text>
    </comment>
    <comment ref="F58" authorId="0" shapeId="0">
      <text>
        <t>WIFI HomePass growth: official company disclosure states HomePass was ~220,000 at end-2024 and target/reported FY2025 was 2.5 million. Earlier years are left N/A rather than estimated.
https://surge.co.id/news/pt-solusi-sinergi-digital-tbk-achieves-milestone-9m-2025-results-strong-revenue-growth-expanding-homepass-and-homeconnect-footprint</t>
      </text>
    </comment>
    <comment ref="G58" authorId="0" shapeId="0">
      <text>
        <t>WIFI HomePass growth: official company disclosure states HomePass was ~220,000 at end-2024 and target/reported FY2025 was 2.5 million. Earlier years are left N/A rather than estimated.
https://surge.co.id/news/pt-solusi-sinergi-digital-tbk-achieves-milestone-9m-2025-results-strong-revenue-growth-expanding-homepass-and-homeconnect-footprint</t>
      </text>
    </comment>
    <comment ref="H58" authorId="0" shapeId="0">
      <text>
        <t>WIFI HomePass growth: official company disclosure states HomePass was ~220,000 at end-2024 and target/reported FY2025 was 2.5 million. Earlier years are left N/A rather than estimated.
https://surge.co.id/news/pt-solusi-sinergi-digital-tbk-achieves-milestone-9m-2025-results-strong-revenue-growth-expanding-homepass-and-homeconnect-footprint</t>
      </text>
    </comment>
    <comment ref="D59" authorId="0" shapeId="0">
      <text>
        <t>WIFI unit economics shown only for 2025 because FY2025 FTTH revenue (Rp541.06bn) and HomeConnect (1.5m) are both officially disclosed. Calculation = FTTH revenue / HomeConnect ≈ Rp0.361m per HomeConnect per year. Earlier years are left N/A rather than estimated.
https://www.surge.co.id/pdf/Investor%20Relations/Annual%20Report%202025/Annual_Report_2025_new.pdf</t>
      </text>
    </comment>
    <comment ref="E59" authorId="0" shapeId="0">
      <text>
        <t>WIFI unit economics shown only for 2025 because FY2025 FTTH revenue (Rp541.06bn) and HomeConnect (1.5m) are both officially disclosed. Calculation = FTTH revenue / HomeConnect ≈ Rp0.361m per HomeConnect per year. Earlier years are left N/A rather than estimated.
https://www.surge.co.id/pdf/Investor%20Relations/Annual%20Report%202025/Annual_Report_2025_new.pdf</t>
      </text>
    </comment>
    <comment ref="F59" authorId="0" shapeId="0">
      <text>
        <t>WIFI unit economics shown only for 2025 because FY2025 FTTH revenue (Rp541.06bn) and HomeConnect (1.5m) are both officially disclosed. Calculation = FTTH revenue / HomeConnect ≈ Rp0.361m per HomeConnect per year. Earlier years are left N/A rather than estimated.
https://www.surge.co.id/pdf/Investor%20Relations/Annual%20Report%202025/Annual_Report_2025_new.pdf</t>
      </text>
    </comment>
    <comment ref="G59" authorId="0" shapeId="0">
      <text>
        <t>WIFI unit economics shown only for 2025 because FY2025 FTTH revenue (Rp541.06bn) and HomeConnect (1.5m) are both officially disclosed. Calculation = FTTH revenue / HomeConnect ≈ Rp0.361m per HomeConnect per year. Earlier years are left N/A rather than estimated.
https://www.surge.co.id/pdf/Investor%20Relations/Annual%20Report%202025/Annual_Report_2025_new.pdf</t>
      </text>
    </comment>
    <comment ref="H59" authorId="0" shapeId="0">
      <text>
        <t>WIFI unit economics shown only for 2025 because FY2025 FTTH revenue (Rp541.06bn) and HomeConnect (1.5m) are both officially disclosed. Calculation = FTTH revenue / HomeConnect ≈ Rp0.361m per HomeConnect per year. Earlier years are left N/A rather than estimated.
https://www.surge.co.id/pdf/Investor%20Relations/Annual%20Report%202025/Annual_Report_2025_new.pdf</t>
      </text>
    </comment>
    <comment ref="D60" authorId="0" shapeId="0">
      <text>
        <t>WIFI backbone scale: FY2025 annual report discloses 7,357 km backbone fiber and 30,119 km total optical network. This row uses backbone km specifically. Earlier years are left N/A because comparable annual backbone figures were not found in the company disclosures used.
https://www.surge.co.id/pdf/Investor%20Relations/Annual%20Report%202025/Annual_Report_2025_new.pdf</t>
      </text>
    </comment>
    <comment ref="E60" authorId="0" shapeId="0">
      <text>
        <t>WIFI backbone scale: FY2025 annual report discloses 7,357 km backbone fiber and 30,119 km total optical network. This row uses backbone km specifically. Earlier years are left N/A because comparable annual backbone figures were not found in the company disclosures used.
https://www.surge.co.id/pdf/Investor%20Relations/Annual%20Report%202025/Annual_Report_2025_new.pdf</t>
      </text>
    </comment>
    <comment ref="F60" authorId="0" shapeId="0">
      <text>
        <t>WIFI backbone scale: FY2025 annual report discloses 7,357 km backbone fiber and 30,119 km total optical network. This row uses backbone km specifically. Earlier years are left N/A because comparable annual backbone figures were not found in the company disclosures used.
https://www.surge.co.id/pdf/Investor%20Relations/Annual%20Report%202025/Annual_Report_2025_new.pdf</t>
      </text>
    </comment>
    <comment ref="G60" authorId="0" shapeId="0">
      <text>
        <t>WIFI backbone scale: FY2025 annual report discloses 7,357 km backbone fiber and 30,119 km total optical network. This row uses backbone km specifically. Earlier years are left N/A because comparable annual backbone figures were not found in the company disclosures used.
https://www.surge.co.id/pdf/Investor%20Relations/Annual%20Report%202025/Annual_Report_2025_new.pdf</t>
      </text>
    </comment>
    <comment ref="H60" authorId="0" shapeId="0">
      <text>
        <t>WIFI backbone scale: FY2025 annual report discloses 7,357 km backbone fiber and 30,119 km total optical network. This row uses backbone km specifically. Earlier years are left N/A because comparable annual backbone figures were not found in the company disclosures used.
https://www.surge.co.id/pdf/Investor%20Relations/Annual%20Report%202025/Annual_Report_2025_new.pdf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N10" authorId="0" shapeId="0">
      <text>
        <t>Pengguna Tidak dikenal:
REPORTED</t>
      </text>
    </comment>
    <comment ref="P22" authorId="0" shapeId="0">
      <text>
        <t>mishell lorence:
EV/Megawatt (kapasitas diakuisisi)</t>
      </text>
    </comment>
    <comment ref="N27" authorId="0" shapeId="0">
      <text>
        <t>Pengguna Tidak dikenal:
REPORTED</t>
      </text>
    </comment>
    <comment ref="N28" authorId="0" shapeId="0">
      <text>
        <t>Pengguna Tidak dikenal:
REPORTED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N10" authorId="0" shapeId="0">
      <text>
        <t>Pengguna Tidak dikenal:
REPORTED</t>
      </text>
    </comment>
    <comment ref="P22" authorId="0" shapeId="0">
      <text>
        <t>mishell lorence:
EV/Megawatt (kapasitas diakuisisi)</t>
      </text>
    </comment>
    <comment ref="N27" authorId="0" shapeId="0">
      <text>
        <t>Pengguna Tidak dikenal:
REPORTED</t>
      </text>
    </comment>
    <comment ref="N28" authorId="0" shapeId="0">
      <text>
        <t>Pengguna Tidak dikenal:
REPORTED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C5" authorId="0" shapeId="0">
      <text>
        <t>1=Bear, 2=Base, 3=Bull. Drives FTTH &amp; FWA net subscriber adds in the Detailed Revenue Schedule, which builds Total Revenue (row 28).</t>
      </text>
    </comment>
    <comment ref="A7" authorId="0" shapeId="0">
      <text>
        <t>Base-case topline path off actual 2025 revenue. Informed by BRIDS FY26-30F revenue trend (Exhibit 12) and FTTH+FWA subscriber ramp (Exhibit 11), kept more conservative given higher 2025A base.</t>
      </text>
    </comment>
    <comment ref="A8" authorId="0" shapeId="0">
      <text>
        <t>2025A GPM ~67.9%. Dip in FY26F on FWA cost ramp (CPE/lease), recovering with scale toward BRIDS' 69-75% path.</t>
      </text>
    </comment>
    <comment ref="A9" authorId="0" shapeId="0">
      <text>
        <t>2025A ~12.8%. Operating leverage as revenue scales.</t>
      </text>
    </comment>
    <comment ref="A10" authorId="0" shapeId="0">
      <text>
        <t>Small residual net other operating cost.</t>
      </text>
    </comment>
    <comment ref="A11" authorId="0" shapeId="0">
      <text>
        <t>2025A D&amp;A/opening PPE ~8.5%; 10% reflects faster depreciation of growing network asset base.</t>
      </text>
    </comment>
    <comment ref="A12" authorId="0" shapeId="0">
      <text>
        <t>Heavy FTTH+FWA build front-loaded then normalising. Broadly ~Rp3.2-3.6tn/yr; comparable to BRIDS capex intensity (Exhibit 33).</t>
      </text>
    </comment>
    <comment ref="A13" authorId="0" shapeId="0">
      <text>
        <t>2025A ~50 days.</t>
      </text>
    </comment>
    <comment ref="A14" authorId="0" shapeId="0">
      <text>
        <t>2025A inventory abnormally high (CPE pre-stocking). Normalised to 90 days of COGS -&gt; releases working capital.</t>
      </text>
    </comment>
    <comment ref="A15" authorId="0" shapeId="0">
      <text>
        <t>2025A prepaid abnormally high (spectrum/lease prepayments ~80% of rev). Normalised to 20% of revenue.</t>
      </text>
    </comment>
    <comment ref="A16" authorId="0" shapeId="0">
      <text>
        <t>2025A ~303 days; normalised to 150 days.</t>
      </text>
    </comment>
    <comment ref="A17" authorId="0" shapeId="0">
      <text>
        <t>2025A ~4.6%.</t>
      </text>
    </comment>
    <comment ref="A18" authorId="0" shapeId="0">
      <text>
        <t>Portion of current-year tax expense unpaid at year-end.</t>
      </text>
    </comment>
    <comment ref="A19" authorId="0" shapeId="0">
      <text>
        <t>Indonesia statutory corporate tax rate 22%.</t>
      </text>
    </comment>
    <comment ref="A20" authorId="0" shapeId="0">
      <text>
        <t>On average total debt. BRIDS pre-tax cost of debt ~11% (report); 9% blended incl. cheaper facilities.</t>
      </text>
    </comment>
    <comment ref="A21" authorId="0" shapeId="0">
      <text>
        <t>On beginning cash balance (avoids circularity).</t>
      </text>
    </comment>
    <comment ref="A22" authorId="0" shapeId="0">
      <text>
        <t>New long-term debt drawn to part-fund capex; tapering as build completes.</t>
      </text>
    </comment>
    <comment ref="A23" authorId="0" shapeId="0">
      <text>
        <t>NTT owns 49% of FTTH sub (IJE). FWA accrues fully to WIFI; 30% blended NCI on group profit.</t>
      </text>
    </comment>
    <comment ref="A24" authorId="0" shapeId="0">
      <text>
        <t>Modest payout; WIFI began small dividends (DPS Rp2 in 2025).</t>
      </text>
    </comment>
    <comment ref="I28" authorId="0" shapeId="0">
      <text>
        <t>Forward revenue now driven by detailed segment schedule (WIFI Rev-COGS Detail). 2025A still audited source.</t>
      </text>
    </comment>
    <comment ref="I29" authorId="0" shapeId="0">
      <text>
        <t>Forward COGS now built up by segment (Advertising vs Telecom, cash cost + depreciation) in WIFI Rev-COGS Detail. Replaces single blended gross-margin assumption (row 8) which averaged in discontinued low-margin web-portal years.</t>
      </text>
    </comment>
    <comment ref="H138" authorId="0" shapeId="0">
      <text>
        <t>Recalibrated so FY2025 FTTH revenue ties to Audited FS Note 30 = Rp 541,055,906,006 at ARPU Rp100k/mo. Implied avg billing base ~451k. Prev assumption 1,500 (gave Rp900bn, overstated +66%). Replace with actual reported homeconnect count if available and adjust ARPU (H141).</t>
      </text>
    </comment>
    <comment ref="A150" authorId="0" shapeId="0">
      <text>
        <t>2025 = actual total revenue less implied FTTH &amp; FWA revenue (residual: legacy media, B2B/wholesale, installation). Grown modestly thereafter.</t>
      </text>
    </comment>
    <comment ref="H150" authorId="0" shapeId="0">
      <text>
        <t>Residual = Bandwidth 560.85 + Sewa core 96.42 + Colocation 2.56 + Lainnya 8.33 - Potongan harga 9.29 (Audited Note 30 FY2025) = Rp 658.87 bn. ~85% is Bandwidth, which grew +147% YoY (Rp227-&gt;561bn).</t>
      </text>
    </comment>
    <comment ref="H151" authorId="0" shapeId="0">
      <text>
        <t>Audited FY2025 Advertising (Iklan), FS Note 30 = Rp 459,466,094,623. Previously linked to data-vendor segment tab (Rp 445bn). Forward years (I152:M152) still grow at vendor rate 47.4%/yr - REVIEW: historical FY24-&gt;25 was +36%.</t>
      </text>
    </comment>
    <comment ref="I159" authorId="0" shapeId="0">
      <text>
        <t>mishell lorence:
target 5 juta pelanggan 2026</t>
      </text>
    </comment>
    <comment ref="J159" authorId="0" shapeId="0">
      <text>
        <t>mishell lorence:
5G FWA is expected to grow rapidly with a Compound Annual Growth Rate (CAGR) of 57% through 2030, while Fiber-to-the-Home (FTTH) is forecast to grow by around 10%. The total potential fixed broadband (FBB) customer base could reach nearly 40 million households by 2030.
https://surge.co.id/news/solusi-sinergi-digital-wifi-siap-guncang-pasar-fixed-broadband-indonesia-dengan-5g-fwa-dan-frekuensi-14-ghz</t>
      </text>
    </comment>
    <comment ref="A162" authorId="0" shapeId="0">
      <text>
        <t xml:space="preserve">Capex = FTTH net adds x capex/connect + FWA net adds x capex/sub + maintenance. Per-unit costs from BRIDS report (FTTH ~Rp1mn, FWA ~Rp1.4mn incl CPE). This decouples capex from revenue so it tapers as the network matures.
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I8" authorId="0" shapeId="0">
      <text>
        <t>Bandwidth grew +147% in FY2025 (Rp227-&gt;561bn) off a small base. Default = decelerating wholesale/enterprise growth. EDIT.</t>
      </text>
    </comment>
    <comment ref="I9" authorId="0" shapeId="0">
      <text>
        <t>Sewa core FY24-&gt;25 was -5.4%. Mature. Default flat. EDIT.</t>
      </text>
    </comment>
    <comment ref="I10" authorId="0" shapeId="0">
      <text>
        <t>Colocation FY24-&gt;25 +8.3%, tiny line. EDIT.</t>
      </text>
    </comment>
    <comment ref="I11" authorId="0" shapeId="0">
      <text>
        <t>Others FY24-&gt;25 -2.7%, tiny. Default flat. EDIT.</t>
      </text>
    </comment>
    <comment ref="I12" authorId="0" shapeId="0">
      <text>
        <t>Advertising 6-yr history: +94/66/37/29/36%. Recent ~35%, decelerating. Prev model used 47.4% (too high). Default = taper. EDIT.</t>
      </text>
    </comment>
    <comment ref="I13" authorId="0" shapeId="0">
      <text>
        <t>FY2025 discount = 0.56% of gross revenue (Rp9.29bn / Rp1,668bn). EDIT.</t>
      </text>
    </comment>
    <comment ref="G16" authorId="0" shapeId="0">
      <text>
        <t>Audited FS Note 30 FY2024 = Rp 227,195,231,783</t>
      </text>
    </comment>
    <comment ref="H16" authorId="0" shapeId="0">
      <text>
        <t>Audited FS Note 30 FY2025 = Rp 560,850,590,051</t>
      </text>
    </comment>
    <comment ref="G17" authorId="0" shapeId="0">
      <text>
        <t>Audited FS Note 30 FY2024 = nil (segment launched 2025)</t>
      </text>
    </comment>
    <comment ref="H17" authorId="0" shapeId="0">
      <text>
        <t>Audited FS Note 30 FY2025 = Rp 541,055,906,006</t>
      </text>
    </comment>
    <comment ref="I17" authorId="0" shapeId="0">
      <text>
        <t>Linked: subscriber-driven FTTH revenue in 3-Statement Model (row 142)</t>
      </text>
    </comment>
    <comment ref="H18" authorId="0" shapeId="0">
      <text>
        <t>No FWA in audited FS. Forward-only growth assumption (subscriber-driven in 3-Statement Model row 148). SPECULATIVE.</t>
      </text>
    </comment>
    <comment ref="G19" authorId="0" shapeId="0">
      <text>
        <t>Audited Note 30 FY2024</t>
      </text>
    </comment>
    <comment ref="H19" authorId="0" shapeId="0">
      <text>
        <t>Audited Note 30 FY2025</t>
      </text>
    </comment>
    <comment ref="H20" authorId="0" shapeId="0">
      <text>
        <t>Audited Note 30 FY2025</t>
      </text>
    </comment>
    <comment ref="H21" authorId="0" shapeId="0">
      <text>
        <t>Audited Note 30 FY2025</t>
      </text>
    </comment>
    <comment ref="G23" authorId="0" shapeId="0">
      <text>
        <t>Audited Note 30 FY2024</t>
      </text>
    </comment>
    <comment ref="H23" authorId="0" shapeId="0">
      <text>
        <t>Audited Note 30 FY2025</t>
      </text>
    </comment>
    <comment ref="H25" authorId="0" shapeId="0">
      <text>
        <t>Audited Note 30 FY2025</t>
      </text>
    </comment>
    <comment ref="I29" authorId="0" shapeId="0">
      <text>
        <t>FY2025 ad cash direct cost = 18.4% of ad rev (Note 31: 3rd-party services+salary+station power). FY2024 was 23.0%. EDIT.</t>
      </text>
    </comment>
    <comment ref="I30" authorId="0" shapeId="0">
      <text>
        <t>FY2025 telecom cash direct cost = 22.2% of telecom rev (Note 31: internet network, manage service, leasing, materials, levy, fiber maint). FY2024 was 15.0%. EDIT.</t>
      </text>
    </comment>
    <comment ref="I31" authorId="0" shapeId="0">
      <text>
        <t xml:space="preserve">FY2025 depreciation split: Advertising 67.5% / Telecom 32.5% of total COGS D&amp;A (Note 31). </t>
      </text>
    </comment>
    <comment ref="G34" authorId="0" shapeId="0">
      <text>
        <t>Audited Note 31 FY2024 ad COGS ex-deprec = 180,961 - 103,426</t>
      </text>
    </comment>
    <comment ref="H34" authorId="0" shapeId="0">
      <text>
        <t>Audited Note 31 FY2025 ad COGS ex-deprec = 205,581 - 121,233</t>
      </text>
    </comment>
    <comment ref="G35" authorId="0" shapeId="0">
      <text>
        <t>Audited Note 31 FY2024 advertising depreciation</t>
      </text>
    </comment>
    <comment ref="H35" authorId="0" shapeId="0">
      <text>
        <t>Audited Note 31 FY2025 advertising depreciation</t>
      </text>
    </comment>
    <comment ref="I35" authorId="0" shapeId="0">
      <text>
        <t>Total D&amp;A (3-Statement row 36) allocated to advertising</t>
      </text>
    </comment>
    <comment ref="G38" authorId="0" shapeId="0">
      <text>
        <t>Audited Note 31 FY2024 telecom COGS ex-deprec = 76,120 - 25,020</t>
      </text>
    </comment>
    <comment ref="H38" authorId="0" shapeId="0">
      <text>
        <t>Audited Note 31 FY2025 telecom COGS ex-deprec = 327,180 - 58,225</t>
      </text>
    </comment>
    <comment ref="H39" authorId="0" shapeId="0">
      <text>
        <t>Audited Note 31 FY2025 telecom depreciation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C7" authorId="0" shapeId="0">
      <text>
        <t>0% terminal growth, konservatif: untuk perusahaan pre-earnings-inflection dengan eksekusi belum terbukti di masa termina.</t>
      </text>
    </comment>
    <comment ref="H18" authorId="0" shapeId="0">
      <text>
        <t>Terminal value now built on NORMALIZED steady-state FCFF (row 37), not the 2030 growth-capex FCFF. Explicit years (C18:G18) still use actual FCFF.</t>
      </text>
    </comment>
    <comment ref="A35" authorId="0" shapeId="0">
      <text>
        <t xml:space="preserve">In perpetuity at low growth the firm only replaces depreciating assets, so terminal capex = D&amp;A (NOT the growth capex of the build-out phase). </t>
      </text>
    </comment>
    <comment ref="A43" authorId="0" shapeId="0">
      <text>
        <t>Segment EBITDA margin for the fibre business (mature FTTH ~50-55%). Editable.</t>
      </text>
    </comment>
    <comment ref="A45" authorId="0" shapeId="0">
      <text>
        <t>Indonesian fibre precedents ~7.7-8.5x.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A7" authorId="0" shapeId="0">
      <text>
        <t>EV/EBITDA peer-implied price (base) from your Comparable sheet. Uses current TTM EBITDA so it understates a high-growth company - hence a lower weight.</t>
      </text>
    </comment>
  </commentList>
</comments>
</file>

<file path=xl/comments/comment13.xml><?xml version="1.0" encoding="utf-8"?>
<comments xmlns="http://schemas.openxmlformats.org/spreadsheetml/2006/main">
  <authors>
    <author>Unknown Author</author>
  </authors>
  <commentList>
    <comment ref="C3" authorId="0" shapeId="0">
      <text>
        <t>Pick which forecast year to value the segments on. FY27F (=2) is the report's reference year; try 5 (FY30F) to value the fully-scaled business.</t>
      </text>
    </comment>
    <comment ref="AP3" authorId="0" shapeId="0">
      <text>
        <t>Pick which forecast year to value the segments on. FY27F (=2) is the report's reference year; try 5 (FY30F) to value the fully-scaled business.</t>
      </text>
    </comment>
    <comment ref="E6" authorId="0" shapeId="0">
      <text>
        <t>Telecom EV/EBITDA. Peer table below: retail fibre 3.8-4.9x, fibre-peer Q1 8.8x, median 12.9x. 7.0x = conservative blend for retail-heavy mix with nascent FWA.</t>
      </text>
    </comment>
    <comment ref="AN6" authorId="0" shapeId="0">
      <text>
        <t>Fibre-to-home. Margin ~50-55%; EV/EBITDA on Indonesian fibre precedents (7.7-8.5x).</t>
      </text>
    </comment>
    <comment ref="AP6" authorId="0" shapeId="0">
      <text>
        <t>Now LINKED to the actual FY2025 Telecommunication-segment EBITDA margin (~77%) from the source sheet. Note: this blends retail FTTH with higher-margin wholesale/backbone and benefits from KAI railway low-cost deployment; may compress as coverage expands. Haircut here if you want to be conservative.</t>
      </text>
    </comment>
    <comment ref="AR6" authorId="0" shapeId="0">
      <text>
        <t>Anchored to fibre peers/precedents: Link Net 4.9x, Converge 3.8x (retail fibre) vs NetLink 16.4x, TIME 12.7x (wholesale); precedents ~7.7-8.5x. 8x reflects WIFI's backbone ownership, above pure retail ISPs.</t>
      </text>
    </comment>
    <comment ref="E7" authorId="0" shapeId="0">
      <text>
        <t>Advertising EV/EBITDA. Media / digital-OOH peers ~6-8x. 6.0x conservative.</t>
      </text>
    </comment>
    <comment ref="AN7" authorId="0" shapeId="0">
      <text>
        <t>5G fixed-wireless, asset-light on leased towers but nascent (high CPE). Margin ramps.</t>
      </text>
    </comment>
    <comment ref="AP7" authorId="0" shapeId="0">
      <text>
        <t>ESTIMATE: FWA has no separate actual yet. Set at 80% of the fibre-segment margin to reflect tower-lease opex (~Rp7-10mn/site/mth) that FTTH avoids. Editable.</t>
      </text>
    </comment>
    <comment ref="AR7" authorId="0" shapeId="0">
      <text>
        <t>FWA is wireless/telco-like. MNO peers ~6x (report Exhibit 16); 7x = slight growth premium.</t>
      </text>
    </comment>
    <comment ref="AN8" authorId="0" shapeId="0">
      <text>
        <t>B2B/wholesale/installation.</t>
      </text>
    </comment>
    <comment ref="AP8" authorId="0" shapeId="0">
      <text>
        <t>ESTIMATE. Legacy 'Digital product' segment is being wound down; 30% placeholder.</t>
      </text>
    </comment>
    <comment ref="AR8" authorId="0" shapeId="0">
      <text>
        <t>Judgment - low-quality legacy earnings; 5x.</t>
      </text>
    </comment>
    <comment ref="AN9" authorId="0" shapeId="0">
      <text>
        <t>Legacy media/advertising; media-type multiple.</t>
      </text>
    </comment>
    <comment ref="AP9" authorId="0" shapeId="0">
      <text>
        <t>Now LINKED to the actual FY2025 Advertising-segment EBITDA margin (~49%) from the source sheet.</t>
      </text>
    </comment>
    <comment ref="AR9" authorId="0" shapeId="0">
      <text>
        <t>Judgment - media/advertising; 6x.</t>
      </text>
    </comment>
    <comment ref="AP16" authorId="0" shapeId="0">
      <text>
        <t>NTT owns 49% of the FTTH sub (IJE). Deducted as 49% of the FTTH enterprise value from row 6 - consistent with the DCF minority calc and NTT's ~Rp4,000bn purchase price.</t>
      </text>
    </comment>
    <comment ref="F32" authorId="0" shapeId="0">
      <text>
        <t>Segment margins are analyst estimates (company doesn't disclose segment EBITDA). Small gap is expected.</t>
      </text>
    </comment>
    <comment ref="AS32" authorId="0" shapeId="0">
      <text>
        <t>Segment margins are analyst estimates (company doesn't disclose segment EBITDA). Small gap is expected.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123825</colOff>
      <row>23</row>
      <rowOff>0</rowOff>
    </from>
    <to>
      <col>6</col>
      <colOff>1558140</colOff>
      <row>44</row>
      <rowOff>91800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3825" y="4819650"/>
          <a:ext cx="6930240" cy="3892275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14</col>
      <colOff>0</colOff>
      <row>136</row>
      <rowOff>0</rowOff>
    </from>
    <to>
      <col>22</col>
      <colOff>548640</colOff>
      <row>146</row>
      <rowOff>59040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773400" y="25660440"/>
          <a:ext cx="5364360" cy="1963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14</col>
      <colOff>7200</colOff>
      <row>149</row>
      <rowOff>0</rowOff>
    </from>
    <to>
      <col>24</col>
      <colOff>363240</colOff>
      <row>162</row>
      <rowOff>2880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780600" y="28136880"/>
          <a:ext cx="6375960" cy="2450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13</col>
      <colOff>541080</colOff>
      <row>163</row>
      <rowOff>20160</rowOff>
    </from>
    <to>
      <col>23</col>
      <colOff>486720</colOff>
      <row>181</row>
      <rowOff>98280</rowOff>
    </to>
    <pic>
      <nvPicPr>
        <cNvPr id="4" name="Picture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712560" y="30785760"/>
          <a:ext cx="5965560" cy="3335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" customWidth="1" min="7" max="7"/>
  </cols>
  <sheetData>
    <row r="2" ht="40" customHeight="1">
      <c r="B2" s="897" t="inlineStr">
        <is>
          <t>M&amp;A MERGER MODEL</t>
        </is>
      </c>
    </row>
    <row r="3" ht="24" customHeight="1">
      <c r="B3" s="899" t="inlineStr">
        <is>
          <t>Acquisition of PT Solusi Sinergi Digital Tbk. (WIFI) by PT Sarana Menara Nusantara Tbk. (TOWR)</t>
        </is>
      </c>
    </row>
    <row r="5" ht="22" customHeight="1">
      <c r="B5" s="900" t="inlineStr">
        <is>
          <t>Deal Summary</t>
        </is>
      </c>
    </row>
    <row r="7">
      <c r="B7" s="902" t="inlineStr">
        <is>
          <t>Acquirer</t>
        </is>
      </c>
      <c r="E7" s="1953">
        <f>'Merger-Model'!F33</f>
        <v/>
      </c>
      <c r="F7" s="1250" t="n"/>
    </row>
    <row r="8">
      <c r="B8" s="902" t="inlineStr">
        <is>
          <t>Target</t>
        </is>
      </c>
      <c r="E8" s="1953">
        <f>'Merger-Model'!L33</f>
        <v/>
      </c>
      <c r="F8" s="1250" t="n"/>
    </row>
    <row r="9">
      <c r="B9" s="902" t="inlineStr">
        <is>
          <t>Offer Price / Share (IDR)</t>
        </is>
      </c>
      <c r="E9" s="1954">
        <f>'Merger-Model'!F7</f>
        <v/>
      </c>
      <c r="F9" s="1250" t="n"/>
    </row>
    <row r="10">
      <c r="B10" s="902" t="inlineStr">
        <is>
          <t>Takeover Premium</t>
        </is>
      </c>
      <c r="E10" s="1955">
        <f>'Financing_Mix'!B4</f>
        <v/>
      </c>
      <c r="F10" s="1250" t="n"/>
    </row>
    <row r="11">
      <c r="B11" s="902" t="inlineStr">
        <is>
          <t>Equity Purchase Price (IDR mm)</t>
        </is>
      </c>
      <c r="E11" s="1956">
        <f>'Merger-Model'!L7</f>
        <v/>
      </c>
      <c r="F11" s="1250" t="n"/>
    </row>
    <row r="12">
      <c r="B12" s="902" t="inlineStr">
        <is>
          <t>Offer Enterprise Value (IDR mm)</t>
        </is>
      </c>
      <c r="E12" s="1956">
        <f>'M&amp;A_Valuation'!C33</f>
        <v/>
      </c>
      <c r="F12" s="1250" t="n"/>
    </row>
    <row r="13">
      <c r="B13" s="902" t="inlineStr">
        <is>
          <t>Consideration (Cash / Debt / Stock)</t>
        </is>
      </c>
      <c r="E13" s="1957">
        <f>TEXT('Merger-Model'!F8,"0%")&amp;" / "&amp;TEXT('Merger-Model'!F9,"0%")&amp;" / "&amp;TEXT('Merger-Model'!F10,"0%")</f>
        <v/>
      </c>
      <c r="F13" s="1250" t="n"/>
    </row>
    <row r="14">
      <c r="B14" s="902" t="inlineStr">
        <is>
          <t>Total Goodwill Created (IDR mm)</t>
        </is>
      </c>
      <c r="E14" s="1956">
        <f>'Merger-Model'!F28</f>
        <v/>
      </c>
      <c r="F14" s="1250" t="n"/>
    </row>
    <row r="15">
      <c r="B15" s="902" t="inlineStr">
        <is>
          <t>Synergy NPV — perpetuity (IDR mm)</t>
        </is>
      </c>
      <c r="E15" s="1956">
        <f>'M&amp;A_Valuation'!C35</f>
        <v/>
      </c>
      <c r="F15" s="1250" t="n"/>
    </row>
    <row r="16">
      <c r="B16" s="902" t="inlineStr">
        <is>
          <t>Pro Forma Net Debt / EBITDA</t>
        </is>
      </c>
      <c r="E16" s="1958">
        <f>'Financing_Mix'!B41</f>
        <v/>
      </c>
      <c r="F16" s="1250" t="n"/>
    </row>
    <row r="17">
      <c r="B17" s="902" t="inlineStr">
        <is>
          <t>EPS Accretion / (Dilution)</t>
        </is>
      </c>
      <c r="E17" s="1955">
        <f>'M&amp;A_Valuation'!J9</f>
        <v/>
      </c>
      <c r="F17" s="1250" t="n"/>
    </row>
    <row r="19">
      <c r="B19" s="909" t="inlineStr">
        <is>
          <t>Contents</t>
        </is>
      </c>
    </row>
    <row r="20">
      <c r="B20" s="910" t="inlineStr">
        <is>
          <t>•  Deal Assumptions &amp; Analysis</t>
        </is>
      </c>
    </row>
    <row r="21">
      <c r="B21" s="910" t="inlineStr">
        <is>
          <t>•  TOWR VALUATION  ·  WIFI VALUATION  (standalone DCF)</t>
        </is>
      </c>
    </row>
    <row r="22">
      <c r="B22" s="910" t="inlineStr">
        <is>
          <t>•  WIFI BLENDED  ·  Football Field</t>
        </is>
      </c>
    </row>
    <row r="23">
      <c r="B23" s="910" t="inlineStr">
        <is>
          <t>•  Merger-Model  ·  Synergy_Schedule  ·  Returns Analysis</t>
        </is>
      </c>
    </row>
    <row r="25">
      <c r="B25" s="911" t="inlineStr">
        <is>
          <t>Figures in IDR millions unless stated · Green = live link to model · Prepared for FFI Finals</t>
        </is>
      </c>
    </row>
  </sheetData>
  <mergeCells count="16">
    <mergeCell ref="E12:F12"/>
    <mergeCell ref="E16:F16"/>
    <mergeCell ref="B2:F2"/>
    <mergeCell ref="E10:F10"/>
    <mergeCell ref="E7:F7"/>
    <mergeCell ref="E15:F15"/>
    <mergeCell ref="B25:F25"/>
    <mergeCell ref="B3:F3"/>
    <mergeCell ref="B5:F5"/>
    <mergeCell ref="E11:F11"/>
    <mergeCell ref="B19:F19"/>
    <mergeCell ref="E13:F13"/>
    <mergeCell ref="E14:F14"/>
    <mergeCell ref="E17:F17"/>
    <mergeCell ref="E9:F9"/>
    <mergeCell ref="E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" customWidth="1" min="2" max="2"/>
    <col width="2" customWidth="1" min="3" max="3"/>
    <col width="17" customWidth="1" min="4" max="4"/>
    <col width="3" customWidth="1" min="5" max="5"/>
    <col width="30" customWidth="1" min="6" max="6"/>
    <col width="2" customWidth="1" min="7" max="7"/>
    <col width="16" customWidth="1" min="8" max="8"/>
    <col width="2" customWidth="1" min="9" max="9"/>
    <col width="2" customWidth="1" min="10" max="10"/>
    <col width="24" customWidth="1" min="11" max="11"/>
    <col width="2" customWidth="1" min="12" max="12"/>
    <col width="16" customWidth="1" min="13" max="13"/>
  </cols>
  <sheetData>
    <row r="1" ht="22" customHeight="1">
      <c r="A1" s="912" t="inlineStr">
        <is>
          <t>Merger Assumptions  —  TOWR (Acquirer)  &amp;  WIFI (Target)</t>
        </is>
      </c>
    </row>
    <row r="2">
      <c r="A2" s="913" t="inlineStr">
        <is>
          <t>PT Sarana Menara Nusantara Tbk.  acquires  PT Solusi Sinergi Digital Tbk.   ·   Figures in IDR millions, shares in ’000, prices in IDR/share</t>
        </is>
      </c>
    </row>
    <row r="4">
      <c r="A4" s="914" t="inlineStr">
        <is>
          <t>Transaction Inputs</t>
        </is>
      </c>
      <c r="F4" s="914" t="inlineStr">
        <is>
          <t>Financing &amp; Synergies</t>
        </is>
      </c>
    </row>
    <row r="5">
      <c r="A5" s="910" t="inlineStr">
        <is>
          <t>Acquirer Name</t>
        </is>
      </c>
      <c r="D5" s="915">
        <f>'Merger-Model'!F33</f>
        <v/>
      </c>
      <c r="F5" s="910" t="inlineStr">
        <is>
          <t>% Cash</t>
        </is>
      </c>
      <c r="H5" s="916">
        <f>'Merger-Model'!F8</f>
        <v/>
      </c>
    </row>
    <row r="6">
      <c r="A6" s="910" t="inlineStr">
        <is>
          <t>Target Name</t>
        </is>
      </c>
      <c r="D6" s="915">
        <f>'Merger-Model'!L33</f>
        <v/>
      </c>
      <c r="F6" s="910" t="inlineStr">
        <is>
          <t>% Debt</t>
        </is>
      </c>
      <c r="H6" s="916">
        <f>'Merger-Model'!F9</f>
        <v/>
      </c>
    </row>
    <row r="7">
      <c r="A7" s="910" t="inlineStr">
        <is>
          <t>Acquirer Share Price</t>
        </is>
      </c>
      <c r="D7" s="917">
        <f>'Merger-Model'!F34</f>
        <v/>
      </c>
      <c r="F7" s="910" t="inlineStr">
        <is>
          <t>% Stock</t>
        </is>
      </c>
      <c r="H7" s="916">
        <f>'Merger-Model'!F10</f>
        <v/>
      </c>
    </row>
    <row r="8">
      <c r="A8" s="910" t="inlineStr">
        <is>
          <t>Target Share Price</t>
        </is>
      </c>
      <c r="D8" s="917">
        <f>'Merger-Model'!L34</f>
        <v/>
      </c>
      <c r="F8" s="910" t="inlineStr">
        <is>
          <t>Debt Interest Rate</t>
        </is>
      </c>
      <c r="H8" s="918">
        <f>'Merger-Model'!L11</f>
        <v/>
      </c>
    </row>
    <row r="9">
      <c r="A9" s="910" t="inlineStr">
        <is>
          <t>Transaction Close Date</t>
        </is>
      </c>
      <c r="D9" s="1251" t="n">
        <v>46387</v>
      </c>
      <c r="F9" s="910" t="inlineStr">
        <is>
          <t>Foregone Cash Rate</t>
        </is>
      </c>
      <c r="H9" s="918">
        <f>'Merger-Model'!F11</f>
        <v/>
      </c>
    </row>
    <row r="10">
      <c r="A10" s="910" t="inlineStr">
        <is>
          <t>Financial Reporting Units</t>
        </is>
      </c>
      <c r="D10" s="920" t="inlineStr">
        <is>
          <t>IDR mm</t>
        </is>
      </c>
      <c r="F10" s="910" t="inlineStr">
        <is>
          <t>Purchase Premium</t>
        </is>
      </c>
      <c r="H10" s="916">
        <f>'Financing_Mix'!B4</f>
        <v/>
      </c>
    </row>
    <row r="11">
      <c r="A11" s="910" t="inlineStr">
        <is>
          <t>Currency</t>
        </is>
      </c>
      <c r="D11" s="920" t="inlineStr">
        <is>
          <t>IDR</t>
        </is>
      </c>
    </row>
    <row r="12">
      <c r="A12" s="910" t="inlineStr">
        <is>
          <t>Acquirer FD Shares (’000)</t>
        </is>
      </c>
      <c r="D12" s="921">
        <f>'Merger-Model'!F35</f>
        <v/>
      </c>
      <c r="F12" s="910" t="inlineStr">
        <is>
          <t>Synergy NPV — perpetuity</t>
        </is>
      </c>
      <c r="H12" s="921">
        <f>'M&amp;A_Valuation'!C35</f>
        <v/>
      </c>
    </row>
    <row r="13">
      <c r="A13" s="910" t="inlineStr">
        <is>
          <t>Target FD Shares (’000)</t>
        </is>
      </c>
      <c r="D13" s="921">
        <f>'Merger-Model'!L35</f>
        <v/>
      </c>
      <c r="F13" s="910" t="inlineStr">
        <is>
          <t>Synergy NPV — exit multiple</t>
        </is>
      </c>
      <c r="H13" s="921">
        <f>'M&amp;A_Valuation'!C36</f>
        <v/>
      </c>
    </row>
    <row r="14">
      <c r="A14" s="910" t="inlineStr">
        <is>
          <t>Acquirer Tax Rate</t>
        </is>
      </c>
      <c r="D14" s="916">
        <f>'Merger-Model'!F38</f>
        <v/>
      </c>
      <c r="F14" s="910" t="inlineStr">
        <is>
          <t>Buyer standalone EPS (IDR)</t>
        </is>
      </c>
      <c r="H14" s="922">
        <f>'M&amp;A_Valuation'!J7</f>
        <v/>
      </c>
    </row>
    <row r="15">
      <c r="A15" s="910" t="inlineStr">
        <is>
          <t>Target Tax Rate</t>
        </is>
      </c>
      <c r="D15" s="916">
        <f>'Merger-Model'!L38</f>
        <v/>
      </c>
      <c r="F15" s="910" t="inlineStr">
        <is>
          <t>Pro forma combined EPS (IDR)</t>
        </is>
      </c>
      <c r="H15" s="922">
        <f>'M&amp;A_Valuation'!J8</f>
        <v/>
      </c>
    </row>
    <row r="18">
      <c r="A18" s="914" t="inlineStr">
        <is>
          <t>Purchase Price</t>
        </is>
      </c>
      <c r="F18" s="914" t="inlineStr">
        <is>
          <t>Sources &amp; Uses of Cash</t>
        </is>
      </c>
    </row>
    <row r="19">
      <c r="A19" s="910" t="inlineStr">
        <is>
          <t>Target Share Price</t>
        </is>
      </c>
      <c r="D19" s="917">
        <f>'Merger-Model'!L34</f>
        <v/>
      </c>
      <c r="F19" s="923" t="inlineStr">
        <is>
          <t>Sources of Cash</t>
        </is>
      </c>
      <c r="K19" s="923" t="inlineStr">
        <is>
          <t>Uses of Cash</t>
        </is>
      </c>
    </row>
    <row r="20">
      <c r="A20" s="910" t="inlineStr">
        <is>
          <t>Takeover Premium</t>
        </is>
      </c>
      <c r="D20" s="916">
        <f>'Financing_Mix'!B4</f>
        <v/>
      </c>
      <c r="F20" s="910" t="inlineStr">
        <is>
          <t>Cash on Hand</t>
        </is>
      </c>
      <c r="H20" s="921">
        <f>'Merger-Model'!L8</f>
        <v/>
      </c>
      <c r="K20" s="910" t="inlineStr">
        <is>
          <t>Cash Consideration</t>
        </is>
      </c>
      <c r="M20" s="921">
        <f>'Merger-Model'!L8</f>
        <v/>
      </c>
    </row>
    <row r="21">
      <c r="A21" s="924" t="inlineStr">
        <is>
          <t>Offer Price / Share</t>
        </is>
      </c>
      <c r="D21" s="925">
        <f>'Merger-Model'!F7</f>
        <v/>
      </c>
      <c r="F21" s="910" t="inlineStr">
        <is>
          <t>New Debt Issued</t>
        </is>
      </c>
      <c r="H21" s="921">
        <f>'Merger-Model'!L9</f>
        <v/>
      </c>
      <c r="K21" s="910" t="inlineStr">
        <is>
          <t>Debt Consideration</t>
        </is>
      </c>
      <c r="M21" s="921">
        <f>'Merger-Model'!L9</f>
        <v/>
      </c>
    </row>
    <row r="22">
      <c r="A22" s="910" t="inlineStr">
        <is>
          <t>Target FD Shares (’000)</t>
        </is>
      </c>
      <c r="D22" s="921">
        <f>'Merger-Model'!L35</f>
        <v/>
      </c>
      <c r="F22" s="910" t="inlineStr">
        <is>
          <t>Stock Issued</t>
        </is>
      </c>
      <c r="H22" s="921">
        <f>'Financing_Mix'!B28</f>
        <v/>
      </c>
      <c r="K22" s="910" t="inlineStr">
        <is>
          <t>Stock Consideration</t>
        </is>
      </c>
      <c r="M22" s="921">
        <f>'Financing_Mix'!B28</f>
        <v/>
      </c>
    </row>
    <row r="23">
      <c r="A23" s="926" t="inlineStr">
        <is>
          <t>Equity Purchase Price</t>
        </is>
      </c>
      <c r="D23" s="927">
        <f>'Merger-Model'!L7</f>
        <v/>
      </c>
      <c r="F23" s="926" t="inlineStr">
        <is>
          <t>Total Sources</t>
        </is>
      </c>
      <c r="H23" s="928">
        <f>SUM(H20:H22)</f>
        <v/>
      </c>
      <c r="K23" s="926" t="inlineStr">
        <is>
          <t>Total Uses</t>
        </is>
      </c>
      <c r="M23" s="928">
        <f>SUM(M20:M22)</f>
        <v/>
      </c>
    </row>
    <row r="24">
      <c r="A24" s="910" t="inlineStr">
        <is>
          <t>Less: Target Cash</t>
        </is>
      </c>
      <c r="D24" s="921">
        <f>-'Merger-Shares-BS'!E16</f>
        <v/>
      </c>
    </row>
    <row r="25">
      <c r="A25" s="910" t="inlineStr">
        <is>
          <t>Plus: Target Debt</t>
        </is>
      </c>
      <c r="D25" s="921">
        <f>'Merger-Shares-BS'!E17</f>
        <v/>
      </c>
    </row>
    <row r="26">
      <c r="A26" s="910" t="inlineStr">
        <is>
          <t>Plus: Minority Interest</t>
        </is>
      </c>
      <c r="D26" s="921">
        <f>'Merger-Shares-BS'!E18</f>
        <v/>
      </c>
    </row>
    <row r="27">
      <c r="A27" s="926" t="inlineStr">
        <is>
          <t>Offer Enterprise Value</t>
        </is>
      </c>
      <c r="D27" s="927">
        <f>'M&amp;A_Valuation'!C33</f>
        <v/>
      </c>
    </row>
    <row r="30">
      <c r="A30" s="914" t="inlineStr">
        <is>
          <t>Goodwill &amp; Purchase Price Allocation</t>
        </is>
      </c>
      <c r="F30" s="914" t="inlineStr">
        <is>
          <t>Accretion / (Dilution) &amp; Leverage</t>
        </is>
      </c>
    </row>
    <row r="31">
      <c r="A31" s="910" t="inlineStr">
        <is>
          <t>Equity Purchase Price</t>
        </is>
      </c>
      <c r="D31" s="921">
        <f>'Merger-Model'!F19</f>
        <v/>
      </c>
      <c r="F31" s="910" t="inlineStr">
        <is>
          <t>Acquirer Standalone EPS (IDR)</t>
        </is>
      </c>
      <c r="H31" s="922">
        <f>'M&amp;A_Valuation'!J7</f>
        <v/>
      </c>
    </row>
    <row r="32">
      <c r="A32" s="910" t="inlineStr">
        <is>
          <t>Less: Target Book Value</t>
        </is>
      </c>
      <c r="D32" s="921">
        <f>'Merger-Model'!F20</f>
        <v/>
      </c>
      <c r="F32" s="910" t="inlineStr">
        <is>
          <t>Pro Forma Combined EPS (IDR)</t>
        </is>
      </c>
      <c r="H32" s="922">
        <f>'M&amp;A_Valuation'!J8</f>
        <v/>
      </c>
    </row>
    <row r="33">
      <c r="A33" s="910" t="inlineStr">
        <is>
          <t>Plus: Write-off Existing Goodwill</t>
        </is>
      </c>
      <c r="D33" s="921">
        <f>'Merger-Model'!F21</f>
        <v/>
      </c>
      <c r="F33" s="926" t="inlineStr">
        <is>
          <t>EPS Accretion / (Dilution) %</t>
        </is>
      </c>
      <c r="H33" s="929">
        <f>'M&amp;A_Valuation'!J9</f>
        <v/>
      </c>
    </row>
    <row r="34">
      <c r="A34" s="926" t="inlineStr">
        <is>
          <t>Total Allocable Premium</t>
        </is>
      </c>
      <c r="D34" s="928">
        <f>'Merger-Model'!F22</f>
        <v/>
      </c>
    </row>
    <row r="35">
      <c r="A35" s="910" t="inlineStr">
        <is>
          <t>Less: Write-up of Intangibles</t>
        </is>
      </c>
      <c r="D35" s="921">
        <f>'Merger-Model'!F25</f>
        <v/>
      </c>
      <c r="F35" s="910" t="inlineStr">
        <is>
          <t>Pro Forma Gross Debt (IDR mm)</t>
        </is>
      </c>
      <c r="H35" s="921">
        <f>'Financing_Mix'!B39</f>
        <v/>
      </c>
    </row>
    <row r="36">
      <c r="A36" s="910" t="inlineStr">
        <is>
          <t>Less: Write-down of DTL</t>
        </is>
      </c>
      <c r="D36" s="921">
        <f>'Merger-Model'!F26</f>
        <v/>
      </c>
      <c r="F36" s="926" t="inlineStr">
        <is>
          <t>Pro Forma Net Debt / EBITDA</t>
        </is>
      </c>
      <c r="H36" s="930">
        <f>'Financing_Mix'!B41</f>
        <v/>
      </c>
    </row>
    <row r="37">
      <c r="A37" s="910" t="inlineStr">
        <is>
          <t>Plus: New Deferred Tax Liability</t>
        </is>
      </c>
      <c r="D37" s="921">
        <f>'Merger-Model'!F27</f>
        <v/>
      </c>
      <c r="F37" s="910" t="inlineStr">
        <is>
          <t>Pro Forma Share Count (’000)</t>
        </is>
      </c>
      <c r="H37" s="921">
        <f>'Financing_Mix'!B42</f>
        <v/>
      </c>
    </row>
    <row r="38">
      <c r="A38" s="926" t="inlineStr">
        <is>
          <t>Total Goodwill Created</t>
        </is>
      </c>
      <c r="D38" s="928">
        <f>'Merger-Model'!F28</f>
        <v/>
      </c>
    </row>
    <row r="40">
      <c r="A40" s="931" t="inlineStr">
        <is>
          <t>Legend:</t>
        </is>
      </c>
      <c r="B40" s="932" t="inlineStr">
        <is>
          <t>Blue = input</t>
        </is>
      </c>
      <c r="D40" s="933" t="inlineStr">
        <is>
          <t>Green = link to another sheet</t>
        </is>
      </c>
      <c r="H40" s="934" t="inlineStr">
        <is>
          <t>Black = formula</t>
        </is>
      </c>
    </row>
  </sheetData>
  <mergeCells count="7">
    <mergeCell ref="A18:D18"/>
    <mergeCell ref="A1:M1"/>
    <mergeCell ref="A4:D4"/>
    <mergeCell ref="A30:D30"/>
    <mergeCell ref="F30:H30"/>
    <mergeCell ref="F4:H4"/>
    <mergeCell ref="F18:M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zoomScaleNormal="100" workbookViewId="0">
      <selection activeCell="B5" sqref="B5"/>
    </sheetView>
  </sheetViews>
  <sheetFormatPr baseColWidth="8" defaultColWidth="8.85546875" defaultRowHeight="14.25"/>
  <cols>
    <col width="34" customWidth="1" min="1" max="1"/>
    <col width="18" customWidth="1" min="2" max="2"/>
  </cols>
  <sheetData>
    <row r="1" ht="14.25" customHeight="1">
      <c r="A1" s="1252" t="inlineStr">
        <is>
          <t>TOWR + WIFI merger controls</t>
        </is>
      </c>
    </row>
    <row r="2" ht="14.25" customHeight="1">
      <c r="A2" s="1252" t="inlineStr">
        <is>
          <t>Model date</t>
        </is>
      </c>
      <c r="B2" s="1252" t="inlineStr">
        <is>
          <t>2026-04-02</t>
        </is>
      </c>
    </row>
    <row r="3" ht="14.25" customHeight="1">
      <c r="A3" s="1252" t="inlineStr">
        <is>
          <t>Buyer name</t>
        </is>
      </c>
      <c r="B3" s="1253" t="inlineStr">
        <is>
          <t>PT Sarana Menara Nusantara Tbk.</t>
        </is>
      </c>
    </row>
    <row r="4" ht="14.25" customHeight="1">
      <c r="A4" s="1252" t="inlineStr">
        <is>
          <t>Buyer share price (IDR)</t>
        </is>
      </c>
      <c r="B4" s="1254" t="n">
        <v>434</v>
      </c>
    </row>
    <row r="5" ht="14.25" customHeight="1">
      <c r="A5" s="1252" t="inlineStr">
        <is>
          <t>Buyer diluted shares (000)</t>
        </is>
      </c>
      <c r="B5" s="1254" t="n">
        <v>58202694</v>
      </c>
    </row>
    <row r="6" ht="14.25" customHeight="1">
      <c r="A6" s="1252" t="inlineStr">
        <is>
          <t>Buyer equity value (IDR mm)</t>
        </is>
      </c>
      <c r="B6" s="1255">
        <f>B4*B5/1000</f>
        <v/>
      </c>
    </row>
    <row r="7" ht="14.25" customHeight="1">
      <c r="A7" s="1252" t="inlineStr">
        <is>
          <t>Buyer enterprise value (IDR mm)</t>
        </is>
      </c>
      <c r="B7" s="1256">
        <f>B6+('TOWR-3-Statements'!G80+'TOWR-3-Statements'!G87-'TOWR-3-Statements'!G59+'TOWR-3-Statements'!G98)/1000</f>
        <v/>
      </c>
    </row>
    <row r="8" ht="14.25" customHeight="1">
      <c r="A8" s="1252" t="inlineStr">
        <is>
          <t>Last historical year</t>
        </is>
      </c>
      <c r="B8" s="1257" t="n">
        <v>2025</v>
      </c>
    </row>
    <row r="9" ht="14.25" customHeight="1">
      <c r="A9" s="1252" t="inlineStr">
        <is>
          <t>Units (share count basis)</t>
        </is>
      </c>
      <c r="B9" s="1257" t="n">
        <v>1000</v>
      </c>
    </row>
    <row r="10" ht="14.25" customHeight="1">
      <c r="A10" s="1252" t="inlineStr">
        <is>
          <t>Premium to seller price</t>
        </is>
      </c>
      <c r="B10" s="1258">
        <f>'Merger-Shares-BS'!E9/'Merger-Shares-BS'!E8-1</f>
        <v/>
      </c>
    </row>
    <row r="11" ht="14.25" customHeight="1">
      <c r="A11" s="1252" t="inlineStr">
        <is>
          <t>Buyer tax rate</t>
        </is>
      </c>
      <c r="B11" s="1259">
        <f>-'TOWR-3-Statements'!G50/'TOWR-3-Statements'!G48</f>
        <v/>
      </c>
    </row>
    <row r="12" ht="14.25" customHeight="1">
      <c r="A12" s="1252" t="inlineStr">
        <is>
          <t>Foregone cash interest rate</t>
        </is>
      </c>
      <c r="B12" s="1260" t="n">
        <v>0.02</v>
      </c>
    </row>
    <row r="13" ht="14.25" customHeight="1">
      <c r="A13" s="1252" t="inlineStr">
        <is>
          <t>Debt interest rate</t>
        </is>
      </c>
      <c r="B13" s="1260" t="n">
        <v>0.07000000000000001</v>
      </c>
    </row>
    <row r="14" ht="14.25" customHeight="1">
      <c r="A14" s="1252" t="inlineStr">
        <is>
          <t>% of seller acquired</t>
        </is>
      </c>
      <c r="B14" s="1257" t="n">
        <v>0.51</v>
      </c>
    </row>
    <row r="15" ht="14.25" customHeight="1">
      <c r="A15" s="1252" t="inlineStr">
        <is>
          <t>Seller name</t>
        </is>
      </c>
      <c r="B15" s="1253" t="inlineStr">
        <is>
          <t>PT Solusi Sinergi Digital Tbk.</t>
        </is>
      </c>
    </row>
    <row r="16" ht="14.25" customHeight="1">
      <c r="A16" s="1252" t="inlineStr">
        <is>
          <t>Seller share price (IDR)</t>
        </is>
      </c>
      <c r="B16" s="1254" t="n">
        <v>2090</v>
      </c>
    </row>
    <row r="17" ht="14.25" customHeight="1">
      <c r="A17" s="1252" t="inlineStr">
        <is>
          <t>Seller diluted shares (000)</t>
        </is>
      </c>
      <c r="B17" s="1254" t="n">
        <v>5308549</v>
      </c>
    </row>
    <row r="18" ht="14.25" customHeight="1">
      <c r="A18" s="1252" t="inlineStr">
        <is>
          <t>Seller equity value (IDR mm)</t>
        </is>
      </c>
      <c r="B18" s="1255">
        <f>B16*B17/1000</f>
        <v/>
      </c>
    </row>
    <row r="19" ht="14.25" customHeight="1">
      <c r="A19" s="1252" t="inlineStr">
        <is>
          <t>Seller enterprise value (IDR mm)</t>
        </is>
      </c>
      <c r="B19" s="1256">
        <f>B18+('WIFI 3-Statement Model'!H66+'WIFI 3-Statement Model'!H71-'WIFI 3-Statement Model'!H51+'WIFI 3-Statement Model'!H78)/1000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111"/>
  <sheetViews>
    <sheetView tabSelected="1" topLeftCell="A8" zoomScaleNormal="100" workbookViewId="0">
      <selection activeCell="L34" sqref="L34"/>
    </sheetView>
  </sheetViews>
  <sheetFormatPr baseColWidth="8" defaultColWidth="9" defaultRowHeight="14.25"/>
  <cols>
    <col width="2.7109375" customWidth="1" min="1" max="1"/>
    <col width="12.42578125" customWidth="1" min="2" max="12"/>
  </cols>
  <sheetData>
    <row r="2" ht="14.25" customHeight="1">
      <c r="B2" s="923">
        <f>"Merger Model - "&amp;TEXT(Company_Name,"")&amp;" and "&amp;Seller_Name</f>
        <v/>
      </c>
    </row>
    <row r="3" ht="14.25" customHeight="1">
      <c r="B3" s="910" t="inlineStr">
        <is>
          <t>($ in IDR mm, except per share amounts in IDR and share counts in thousands)</t>
        </is>
      </c>
    </row>
    <row r="5" ht="14.25" customHeight="1">
      <c r="B5" s="1261" t="inlineStr">
        <is>
          <t>Transaction Assumptions</t>
        </is>
      </c>
      <c r="C5" s="1262" t="n"/>
      <c r="D5" s="1262" t="n"/>
      <c r="E5" s="1262" t="n"/>
      <c r="F5" s="1262" t="n"/>
      <c r="G5" s="1262" t="n"/>
      <c r="H5" s="1262" t="n"/>
      <c r="I5" s="1262" t="n"/>
      <c r="J5" s="1262" t="n"/>
      <c r="K5" s="1262" t="n"/>
      <c r="L5" s="1263" t="n"/>
    </row>
    <row r="6" ht="14.25" customHeight="1">
      <c r="B6" s="15" t="n"/>
      <c r="L6" s="16" t="n"/>
    </row>
    <row r="7" ht="14.25" customHeight="1">
      <c r="B7" s="1264" t="inlineStr">
        <is>
          <t>Per Share Purchase Price:</t>
        </is>
      </c>
      <c r="F7" s="1265">
        <f>'WIFI BLENDED'!D9</f>
        <v/>
      </c>
      <c r="H7" s="1252" t="inlineStr">
        <is>
          <t>Equity Purchase Price:</t>
        </is>
      </c>
      <c r="L7" s="1266">
        <f>'Merger-Shares-BS'!J15*Control!$B$14</f>
        <v/>
      </c>
      <c r="R7" s="942" t="n"/>
    </row>
    <row r="8" ht="14.25" customHeight="1">
      <c r="B8" s="1267" t="inlineStr">
        <is>
          <t>% Cash:</t>
        </is>
      </c>
      <c r="F8" s="1268" t="n">
        <v>0</v>
      </c>
      <c r="H8" s="1252" t="inlineStr">
        <is>
          <t>Cash Used:</t>
        </is>
      </c>
      <c r="L8" s="1269">
        <f>F8*L7</f>
        <v/>
      </c>
    </row>
    <row r="9" ht="14.25" customHeight="1">
      <c r="B9" s="1267" t="inlineStr">
        <is>
          <t>% Debt:</t>
        </is>
      </c>
      <c r="F9" s="1268" t="n">
        <v>0.6</v>
      </c>
      <c r="H9" s="1252" t="inlineStr">
        <is>
          <t>Debt Issued:</t>
        </is>
      </c>
      <c r="L9" s="1269">
        <f>F9*L7</f>
        <v/>
      </c>
      <c r="R9" s="942" t="n"/>
    </row>
    <row r="10" ht="14.25" customHeight="1">
      <c r="B10" s="1267" t="inlineStr">
        <is>
          <t>% Stock:</t>
        </is>
      </c>
      <c r="F10" s="1270">
        <f>1-F8-F9</f>
        <v/>
      </c>
      <c r="H10" s="1252" t="inlineStr">
        <is>
          <t>New Shares Issued:</t>
        </is>
      </c>
      <c r="L10" s="1271">
        <f>F10*L7/F34*Units</f>
        <v/>
      </c>
      <c r="N10" s="24" t="n"/>
    </row>
    <row r="11" ht="14.25" customHeight="1">
      <c r="B11" s="1267" t="inlineStr">
        <is>
          <t>Foregone Cash Interest Rate:</t>
        </is>
      </c>
      <c r="F11" s="1259">
        <f>Control!$B$12</f>
        <v/>
      </c>
      <c r="H11" s="1252" t="inlineStr">
        <is>
          <t>Debt Interest Rate:</t>
        </is>
      </c>
      <c r="L11" s="1272">
        <f>Control!$B$13</f>
        <v/>
      </c>
      <c r="N11" s="24" t="n"/>
    </row>
    <row r="12" ht="14.25" customHeight="1">
      <c r="B12" s="15" t="n"/>
      <c r="L12" s="16" t="n"/>
    </row>
    <row r="13" ht="14.25" customHeight="1">
      <c r="B13" s="26" t="n"/>
      <c r="F13" s="943" t="n"/>
      <c r="H13" s="1252" t="inlineStr">
        <is>
          <t>Revenue Synergy COGS %:</t>
        </is>
      </c>
      <c r="L13" s="1273" t="n">
        <v>0.6</v>
      </c>
    </row>
    <row r="14" ht="14.25" customHeight="1">
      <c r="B14" s="28" t="n"/>
      <c r="C14" s="29" t="n"/>
      <c r="D14" s="29" t="n"/>
      <c r="E14" s="29" t="n"/>
      <c r="F14" s="947" t="n"/>
      <c r="G14" s="29" t="n"/>
      <c r="H14" s="29" t="n"/>
      <c r="I14" s="29" t="n"/>
      <c r="J14" s="29" t="n"/>
      <c r="K14" s="29" t="n"/>
      <c r="L14" s="31" t="n"/>
    </row>
    <row r="16" ht="14.25" customHeight="1">
      <c r="B16" s="1261" t="inlineStr">
        <is>
          <t>Goodwill Creation &amp; Balance Sheet Adjustments</t>
        </is>
      </c>
      <c r="C16" s="1262" t="n"/>
      <c r="D16" s="1262" t="n"/>
      <c r="E16" s="1262" t="n"/>
      <c r="F16" s="1262" t="n"/>
      <c r="G16" s="1262" t="n"/>
      <c r="H16" s="1262" t="n"/>
      <c r="I16" s="1262" t="n"/>
      <c r="J16" s="1262" t="n"/>
      <c r="K16" s="1262" t="n"/>
      <c r="L16" s="1263" t="n"/>
    </row>
    <row r="17" ht="14.25" customHeight="1">
      <c r="B17" s="15" t="n"/>
      <c r="L17" s="16" t="n"/>
    </row>
    <row r="18" ht="14.25" customHeight="1">
      <c r="B18" s="1274" t="inlineStr">
        <is>
          <t>Goodwill Calculation:</t>
        </is>
      </c>
      <c r="H18" s="923" t="inlineStr">
        <is>
          <t>Fixed Asset Write-Up:</t>
        </is>
      </c>
      <c r="L18" s="16" t="n"/>
    </row>
    <row r="19" ht="14.25" customHeight="1">
      <c r="B19" s="1275" t="inlineStr">
        <is>
          <t>Equity Purchase Price:</t>
        </is>
      </c>
      <c r="F19" s="1276">
        <f>L7</f>
        <v/>
      </c>
      <c r="H19" s="1252" t="inlineStr">
        <is>
          <t>PP&amp;E Write-Up %:</t>
        </is>
      </c>
      <c r="L19" s="1277" t="n">
        <v>0</v>
      </c>
    </row>
    <row r="20" ht="14.25" customHeight="1">
      <c r="B20" s="1275" t="inlineStr">
        <is>
          <t>Less: Seller Book Value:</t>
        </is>
      </c>
      <c r="F20" s="1278">
        <f>-'Merger-Shares-BS'!J62</f>
        <v/>
      </c>
      <c r="H20" s="1252" t="inlineStr">
        <is>
          <t>PP&amp;E Write-Up Amount:</t>
        </is>
      </c>
      <c r="L20" s="1266">
        <f>L19*'Merger-Shares-BS'!J36</f>
        <v/>
      </c>
    </row>
    <row r="21" ht="14.25" customHeight="1">
      <c r="B21" s="1275" t="inlineStr">
        <is>
          <t>Plus: Write-Off of Existing Goodwill:</t>
        </is>
      </c>
      <c r="F21" s="1278">
        <f>'Merger-Shares-BS'!J37</f>
        <v/>
      </c>
      <c r="H21" s="1252" t="inlineStr">
        <is>
          <t>Depreciation Period (Years):</t>
        </is>
      </c>
      <c r="L21" s="1279" t="n">
        <v>8</v>
      </c>
    </row>
    <row r="22" ht="14.25" customHeight="1">
      <c r="B22" s="1280" t="inlineStr">
        <is>
          <t>Total Allocable Purchase Premium:</t>
        </is>
      </c>
      <c r="F22" s="1281">
        <f>F19+F20+F21</f>
        <v/>
      </c>
      <c r="L22" s="951" t="n"/>
    </row>
    <row r="23" ht="14.25" customHeight="1">
      <c r="B23" s="15" t="n"/>
      <c r="H23" s="923" t="inlineStr">
        <is>
          <t>Intangible Asset Write-Up:</t>
        </is>
      </c>
      <c r="L23" s="16" t="n"/>
    </row>
    <row r="24" ht="14.25" customHeight="1">
      <c r="B24" s="1275" t="inlineStr">
        <is>
          <t>Less: Write-Up of PP&amp;E:</t>
        </is>
      </c>
      <c r="F24" s="1276">
        <f>-L20</f>
        <v/>
      </c>
      <c r="H24" s="1252" t="inlineStr">
        <is>
          <t>Purchase Price to Allocate:</t>
        </is>
      </c>
      <c r="L24" s="1269">
        <f>F22</f>
        <v/>
      </c>
    </row>
    <row r="25" ht="14.25" customHeight="1">
      <c r="B25" s="1275" t="inlineStr">
        <is>
          <t>Less: Write-Up of Intangibles:</t>
        </is>
      </c>
      <c r="F25" s="1276">
        <f>-L26</f>
        <v/>
      </c>
      <c r="H25" s="910" t="inlineStr">
        <is>
          <t>% Allocated to Intangibles:</t>
        </is>
      </c>
      <c r="L25" s="1277" t="n">
        <v>0.2</v>
      </c>
    </row>
    <row r="26" ht="14.25" customHeight="1">
      <c r="B26" s="1275" t="inlineStr">
        <is>
          <t>Less: Write-Down of DTL:</t>
        </is>
      </c>
      <c r="F26" s="1278">
        <f>-'Merger-Shares-BS'!J52</f>
        <v/>
      </c>
      <c r="H26" s="1252" t="inlineStr">
        <is>
          <t>Intangibles Write-Up Amount:</t>
        </is>
      </c>
      <c r="L26" s="1266">
        <f>0.3*(L7-Control!$B$14*'Merger-Shares-BS'!J62)</f>
        <v/>
      </c>
    </row>
    <row r="27" ht="14.25" customHeight="1">
      <c r="B27" s="1275" t="inlineStr">
        <is>
          <t>Plus: New Deferred Tax Liability:</t>
        </is>
      </c>
      <c r="F27" s="1276">
        <f>L29</f>
        <v/>
      </c>
      <c r="H27" s="1252" t="inlineStr">
        <is>
          <t>Amortization Period (Years):</t>
        </is>
      </c>
      <c r="L27" s="1279" t="n">
        <v>15</v>
      </c>
    </row>
    <row r="28" ht="14.25" customHeight="1">
      <c r="B28" s="1280" t="inlineStr">
        <is>
          <t>Total Goodwill Created:</t>
        </is>
      </c>
      <c r="F28" s="1282">
        <f>0.7*(L7-Control!$B$14*'Merger-Shares-BS'!J62)</f>
        <v/>
      </c>
      <c r="L28" s="951" t="n"/>
    </row>
    <row r="29" ht="14.25" customHeight="1">
      <c r="B29" s="40" t="n"/>
      <c r="C29" s="29" t="n"/>
      <c r="D29" s="29" t="n"/>
      <c r="E29" s="29" t="n"/>
      <c r="F29" s="29" t="n"/>
      <c r="G29" s="29" t="n"/>
      <c r="H29" s="1283" t="inlineStr">
        <is>
          <t>New Deferred Tax Liability:</t>
        </is>
      </c>
      <c r="I29" s="29" t="n"/>
      <c r="J29" s="29" t="n"/>
      <c r="K29" s="29" t="n"/>
      <c r="L29" s="1284" t="n">
        <v>0</v>
      </c>
    </row>
    <row r="30" ht="14.25" customHeight="1">
      <c r="B30" s="29" t="n"/>
      <c r="F30" s="954" t="n"/>
      <c r="H30" s="1252" t="inlineStr">
        <is>
          <t>Non-Controlling Interest (new):</t>
        </is>
      </c>
      <c r="L30" s="1285">
        <f>(1-Control!$B$14)*'Merger-Shares-BS'!J62</f>
        <v/>
      </c>
    </row>
    <row r="31" ht="14.25" customHeight="1">
      <c r="B31" s="1261" t="inlineStr">
        <is>
          <t>Buyer - Financial Profile</t>
        </is>
      </c>
      <c r="C31" s="1262" t="n"/>
      <c r="D31" s="1262" t="n"/>
      <c r="E31" s="1262" t="n"/>
      <c r="F31" s="1263" t="n"/>
      <c r="H31" s="1261" t="inlineStr">
        <is>
          <t>Seller - Financial Profile</t>
        </is>
      </c>
      <c r="I31" s="1262" t="n"/>
      <c r="J31" s="1262" t="n"/>
      <c r="K31" s="1262" t="n"/>
      <c r="L31" s="1263" t="n"/>
    </row>
    <row r="32" ht="14.25" customHeight="1">
      <c r="B32" s="15" t="n"/>
      <c r="F32" s="43" t="n"/>
      <c r="H32" s="15" t="n"/>
      <c r="L32" s="43" t="n"/>
    </row>
    <row r="33" ht="14.25" customHeight="1">
      <c r="B33" s="1267" t="inlineStr">
        <is>
          <t>Buyer Name:</t>
        </is>
      </c>
      <c r="F33" s="1286">
        <f>Company_Name</f>
        <v/>
      </c>
      <c r="H33" s="1267" t="inlineStr">
        <is>
          <t>Seller Name:</t>
        </is>
      </c>
      <c r="L33" s="1286">
        <f>Seller_Name</f>
        <v/>
      </c>
    </row>
    <row r="34" ht="14.25" customHeight="1">
      <c r="B34" s="1267" t="inlineStr">
        <is>
          <t>Share Price:</t>
        </is>
      </c>
      <c r="F34" s="1287">
        <f>Share_Price</f>
        <v/>
      </c>
      <c r="H34" s="1267" t="inlineStr">
        <is>
          <t>Share Price:</t>
        </is>
      </c>
      <c r="L34" s="1287">
        <f>Seller_Share_Price</f>
        <v/>
      </c>
      <c r="N34" s="24" t="n"/>
    </row>
    <row r="35" ht="14.25" customHeight="1">
      <c r="B35" s="1267" t="inlineStr">
        <is>
          <t>Diluted Shares Outstanding:</t>
        </is>
      </c>
      <c r="F35" s="1271">
        <f>Diluted_Shares</f>
        <v/>
      </c>
      <c r="H35" s="1267" t="inlineStr">
        <is>
          <t>Diluted Shares Outstanding:</t>
        </is>
      </c>
      <c r="L35" s="1288">
        <f>Control!$B$17</f>
        <v/>
      </c>
    </row>
    <row r="36" ht="14.25" customHeight="1">
      <c r="B36" s="1267" t="inlineStr">
        <is>
          <t>Diluted Equity Value:</t>
        </is>
      </c>
      <c r="F36" s="1289">
        <f>Equity_Value</f>
        <v/>
      </c>
      <c r="H36" s="1267" t="inlineStr">
        <is>
          <t>Diluted Equity Value:</t>
        </is>
      </c>
      <c r="L36" s="1266">
        <f>Control!$B$18</f>
        <v/>
      </c>
    </row>
    <row r="37" ht="14.25" customHeight="1">
      <c r="B37" s="1267" t="inlineStr">
        <is>
          <t>Enterprise Value:</t>
        </is>
      </c>
      <c r="F37" s="1289">
        <f>Enterprise_Value</f>
        <v/>
      </c>
      <c r="H37" s="1267" t="inlineStr">
        <is>
          <t>Enterprise Value:</t>
        </is>
      </c>
      <c r="L37" s="1266">
        <f>Control!$B$19</f>
        <v/>
      </c>
    </row>
    <row r="38" ht="14.25" customHeight="1">
      <c r="B38" s="1290" t="inlineStr">
        <is>
          <t>Tax Rate:</t>
        </is>
      </c>
      <c r="C38" s="29" t="n"/>
      <c r="D38" s="29" t="n"/>
      <c r="E38" s="29" t="n"/>
      <c r="F38" s="1291">
        <f>Control!$B$11</f>
        <v/>
      </c>
      <c r="H38" s="1290" t="inlineStr">
        <is>
          <t>Tax Rate:</t>
        </is>
      </c>
      <c r="I38" s="29" t="n"/>
      <c r="J38" s="29" t="n"/>
      <c r="K38" s="29" t="n"/>
      <c r="L38" s="1292">
        <f>-'WIFI 3-Statement Model'!H43/'WIFI 3-Statement Model'!H42</f>
        <v/>
      </c>
      <c r="O38" s="958" t="n"/>
    </row>
    <row r="40" ht="14.25" customHeight="1">
      <c r="B40" s="1261" t="inlineStr">
        <is>
          <t>Buyer - Income Statement</t>
        </is>
      </c>
      <c r="C40" s="1262" t="n"/>
      <c r="D40" s="1262" t="n"/>
      <c r="E40" s="1262" t="n"/>
      <c r="F40" s="1263" t="n"/>
      <c r="H40" s="1261" t="inlineStr">
        <is>
          <t>Seller - Income Statement</t>
        </is>
      </c>
      <c r="I40" s="1262" t="n"/>
      <c r="J40" s="1262" t="n"/>
      <c r="K40" s="1262" t="n"/>
      <c r="L40" s="1263" t="n"/>
    </row>
    <row r="41" ht="14.25" customHeight="1">
      <c r="B41" s="15" t="n"/>
      <c r="F41" s="16" t="n"/>
      <c r="H41" s="15" t="n"/>
      <c r="L41" s="16" t="n"/>
    </row>
    <row r="42" ht="14.25" customHeight="1">
      <c r="B42" s="15" t="n"/>
      <c r="E42" s="1293" t="n">
        <v>2025</v>
      </c>
      <c r="F42" s="1294" t="n">
        <v>2026</v>
      </c>
      <c r="H42" s="15" t="n"/>
      <c r="K42" s="1293" t="n">
        <v>2025</v>
      </c>
      <c r="L42" s="1294" t="n">
        <v>2026</v>
      </c>
    </row>
    <row r="43" ht="14.25" customHeight="1">
      <c r="B43" s="1274" t="inlineStr">
        <is>
          <t>Revenue:</t>
        </is>
      </c>
      <c r="E43" s="1295">
        <f>'TOWR-3-Statements'!G30/1000</f>
        <v/>
      </c>
      <c r="F43" s="1296">
        <f>'TOWR-3-Statements'!H30/1000</f>
        <v/>
      </c>
      <c r="H43" s="1274" t="inlineStr">
        <is>
          <t>Revenue:</t>
        </is>
      </c>
      <c r="K43" s="1295">
        <f>'WIFI 3-Statement Model'!H28/1000</f>
        <v/>
      </c>
      <c r="L43" s="1296">
        <f>'WIFI 3-Statement Model'!I28/1000</f>
        <v/>
      </c>
    </row>
    <row r="44" ht="14.25" customHeight="1">
      <c r="B44" s="1267" t="inlineStr">
        <is>
          <t>Cost of Goods Sold:</t>
        </is>
      </c>
      <c r="E44" s="1278">
        <f>-('TOWR-3-Statements'!G31+'TOWR-3-Statements'!G32)/1000</f>
        <v/>
      </c>
      <c r="F44" s="1266">
        <f>-('TOWR-3-Statements'!H31+'TOWR-3-Statements'!H32)/1000</f>
        <v/>
      </c>
      <c r="H44" s="1267" t="inlineStr">
        <is>
          <t>Cost of Goods Sold:</t>
        </is>
      </c>
      <c r="K44" s="1278">
        <f>-'WIFI 3-Statement Model'!H29/1000</f>
        <v/>
      </c>
      <c r="L44" s="1266">
        <f>-'WIFI 3-Statement Model'!I29/1000</f>
        <v/>
      </c>
    </row>
    <row r="45" ht="14.25" customHeight="1">
      <c r="B45" s="1297" t="inlineStr">
        <is>
          <t>Gross Profit:</t>
        </is>
      </c>
      <c r="E45" s="1298">
        <f>E43-E44</f>
        <v/>
      </c>
      <c r="F45" s="1299">
        <f>F43-F44</f>
        <v/>
      </c>
      <c r="H45" s="1297" t="inlineStr">
        <is>
          <t>Gross Profit:</t>
        </is>
      </c>
      <c r="K45" s="1298">
        <f>K43-K44</f>
        <v/>
      </c>
      <c r="L45" s="1299">
        <f>L43-L44</f>
        <v/>
      </c>
    </row>
    <row r="46" ht="14.25" customHeight="1">
      <c r="B46" s="15" t="n"/>
      <c r="F46" s="16" t="n"/>
      <c r="H46" s="15" t="n"/>
      <c r="L46" s="16" t="n"/>
    </row>
    <row r="47" ht="14.25" customHeight="1">
      <c r="B47" s="1280" t="inlineStr">
        <is>
          <t>Operating Expenses:</t>
        </is>
      </c>
      <c r="E47" s="1298">
        <f>E45-E53-E49-E50-E51</f>
        <v/>
      </c>
      <c r="F47" s="1299">
        <f>F45-F53-F49-F50-F51</f>
        <v/>
      </c>
      <c r="H47" s="1280" t="inlineStr">
        <is>
          <t>Operating Expenses:</t>
        </is>
      </c>
      <c r="K47" s="1298">
        <f>K45-K53-K49-K50-K51</f>
        <v/>
      </c>
      <c r="L47" s="1299">
        <f>L45-L53-L49-L50-L51</f>
        <v/>
      </c>
    </row>
    <row r="48" ht="14.25" customHeight="1">
      <c r="B48" s="38" t="n"/>
      <c r="F48" s="16" t="n"/>
      <c r="H48" s="38" t="n"/>
      <c r="L48" s="16" t="n"/>
    </row>
    <row r="49" ht="14.25" customHeight="1">
      <c r="B49" s="1275" t="inlineStr">
        <is>
          <t>Depreciation of PP&amp;E:</t>
        </is>
      </c>
      <c r="E49" s="1278">
        <f>-'TOWR-3-Statements'!G31/1000</f>
        <v/>
      </c>
      <c r="F49" s="1266">
        <f>-'TOWR-3-Statements'!H31/1000</f>
        <v/>
      </c>
      <c r="H49" s="1275" t="inlineStr">
        <is>
          <t>Depreciation of PP&amp;E:</t>
        </is>
      </c>
      <c r="K49" s="1278">
        <f>'WIFI 3-Statement Model'!H36/1000</f>
        <v/>
      </c>
      <c r="L49" s="1266">
        <f>'WIFI 3-Statement Model'!I36/1000</f>
        <v/>
      </c>
    </row>
    <row r="50" ht="14.25" customHeight="1">
      <c r="B50" s="1275" t="inlineStr">
        <is>
          <t>Amortization of Intangibles:</t>
        </is>
      </c>
      <c r="E50" s="1300" t="n">
        <v>0</v>
      </c>
      <c r="F50" s="1301" t="n">
        <v>0</v>
      </c>
      <c r="H50" s="1275" t="inlineStr">
        <is>
          <t>Amortization of Intangibles:</t>
        </is>
      </c>
      <c r="K50" s="1300" t="n">
        <v>0</v>
      </c>
      <c r="L50" s="1301" t="n">
        <v>0</v>
      </c>
    </row>
    <row r="51" ht="14.25" customHeight="1">
      <c r="B51" s="1275" t="inlineStr">
        <is>
          <t>Stock-Based Compensation:</t>
        </is>
      </c>
      <c r="E51" s="1300" t="n">
        <v>0</v>
      </c>
      <c r="F51" s="1301" t="n">
        <v>0</v>
      </c>
      <c r="H51" s="1275" t="inlineStr">
        <is>
          <t>Stock-Based Compensation:</t>
        </is>
      </c>
      <c r="K51" s="1300" t="n">
        <v>0</v>
      </c>
      <c r="L51" s="1301" t="n">
        <v>0</v>
      </c>
    </row>
    <row r="52" ht="14.25" customHeight="1">
      <c r="B52" s="15" t="n"/>
      <c r="F52" s="16" t="n"/>
      <c r="H52" s="15" t="n"/>
      <c r="L52" s="16" t="n"/>
    </row>
    <row r="53" ht="14.25" customHeight="1">
      <c r="B53" s="1280" t="inlineStr">
        <is>
          <t>Operating Income:</t>
        </is>
      </c>
      <c r="E53" s="1295">
        <f>'TOWR-3-Statements'!G38/1000</f>
        <v/>
      </c>
      <c r="F53" s="1302">
        <f>'TOWR-3-Statements'!H38/1000</f>
        <v/>
      </c>
      <c r="H53" s="1280" t="inlineStr">
        <is>
          <t>Operating Income:</t>
        </is>
      </c>
      <c r="K53" s="1295">
        <f>'WIFI 3-Statement Model'!H34/1000</f>
        <v/>
      </c>
      <c r="L53" s="1302">
        <f>'WIFI 3-Statement Model'!I34/1000</f>
        <v/>
      </c>
    </row>
    <row r="54" ht="14.25" customHeight="1">
      <c r="B54" s="1275" t="inlineStr">
        <is>
          <t>Interest Income / (Expense):</t>
        </is>
      </c>
      <c r="E54" s="1276">
        <f>E55-E53</f>
        <v/>
      </c>
      <c r="F54" s="1269">
        <f>F55-F53</f>
        <v/>
      </c>
      <c r="H54" s="1275" t="inlineStr">
        <is>
          <t>Interest Income / (Expense):</t>
        </is>
      </c>
      <c r="K54" s="1276">
        <f>K55-K53</f>
        <v/>
      </c>
      <c r="L54" s="1269">
        <f>L55-L53</f>
        <v/>
      </c>
    </row>
    <row r="55" ht="14.25" customHeight="1">
      <c r="B55" s="1280" t="inlineStr">
        <is>
          <t>Pre-Tax Income:</t>
        </is>
      </c>
      <c r="E55" s="1295">
        <f>'TOWR-3-Statements'!G48/1000</f>
        <v/>
      </c>
      <c r="F55" s="1302">
        <f>'TOWR-3-Statements'!H48/1000</f>
        <v/>
      </c>
      <c r="H55" s="1280" t="inlineStr">
        <is>
          <t>Pre-Tax Income:</t>
        </is>
      </c>
      <c r="K55" s="1295">
        <f>'WIFI 3-Statement Model'!H42/1000</f>
        <v/>
      </c>
      <c r="L55" s="1302">
        <f>'WIFI 3-Statement Model'!I42/1000</f>
        <v/>
      </c>
    </row>
    <row r="56" ht="14.25" customHeight="1">
      <c r="B56" s="1264" t="inlineStr">
        <is>
          <t>Income Tax Provision:</t>
        </is>
      </c>
      <c r="E56" s="1278">
        <f>-'TOWR-3-Statements'!G50/1000</f>
        <v/>
      </c>
      <c r="F56" s="1266">
        <f>-'TOWR-3-Statements'!H50/1000</f>
        <v/>
      </c>
      <c r="H56" s="1264" t="inlineStr">
        <is>
          <t>Income Tax Provision:</t>
        </is>
      </c>
      <c r="K56" s="1278">
        <f>-'WIFI 3-Statement Model'!H43/1000</f>
        <v/>
      </c>
      <c r="L56" s="1266">
        <f>-'WIFI 3-Statement Model'!I43/1000</f>
        <v/>
      </c>
    </row>
    <row r="57" ht="14.25" customHeight="1">
      <c r="B57" s="15" t="n"/>
      <c r="F57" s="16" t="n"/>
      <c r="H57" s="15" t="n"/>
      <c r="L57" s="16" t="n"/>
    </row>
    <row r="58" ht="14.25" customHeight="1">
      <c r="B58" s="1280" t="inlineStr">
        <is>
          <t>Net Income:</t>
        </is>
      </c>
      <c r="E58" s="1298">
        <f>E55-E56</f>
        <v/>
      </c>
      <c r="F58" s="1299">
        <f>F55-F56</f>
        <v/>
      </c>
      <c r="H58" s="1280" t="inlineStr">
        <is>
          <t>Net Income:</t>
        </is>
      </c>
      <c r="K58" s="1295">
        <f>'WIFI 3-Statement Model'!H46/1000</f>
        <v/>
      </c>
      <c r="L58" s="1302">
        <f>'WIFI 3-Statement Model'!I46/1000</f>
        <v/>
      </c>
    </row>
    <row r="59" ht="14.25" customHeight="1">
      <c r="B59" s="33" t="n"/>
      <c r="F59" s="16" t="n"/>
      <c r="H59" s="33" t="n"/>
      <c r="L59" s="16" t="n"/>
    </row>
    <row r="60" ht="14.25" customHeight="1">
      <c r="B60" s="1280" t="inlineStr">
        <is>
          <t>Earnings Per Share (EPS):</t>
        </is>
      </c>
      <c r="E60" s="1303">
        <f>E58*Units/E61</f>
        <v/>
      </c>
      <c r="F60" s="1304">
        <f>F58*Units/F61</f>
        <v/>
      </c>
      <c r="H60" s="1280" t="inlineStr">
        <is>
          <t>Earnings Per Share (EPS):</t>
        </is>
      </c>
      <c r="K60" s="1303">
        <f>K58*Units/K61</f>
        <v/>
      </c>
      <c r="L60" s="1304">
        <f>L58*Units/L61</f>
        <v/>
      </c>
    </row>
    <row r="61" ht="14.25" customHeight="1">
      <c r="B61" s="1305" t="inlineStr">
        <is>
          <t>Diluted Shares Outstanding:</t>
        </is>
      </c>
      <c r="C61" s="29" t="n"/>
      <c r="D61" s="29" t="n"/>
      <c r="E61" s="1306">
        <f>Diluted_Shares</f>
        <v/>
      </c>
      <c r="F61" s="1307">
        <f>Diluted_Shares</f>
        <v/>
      </c>
      <c r="H61" s="1305" t="inlineStr">
        <is>
          <t>Diluted Shares Outstanding:</t>
        </is>
      </c>
      <c r="I61" s="29" t="n"/>
      <c r="J61" s="29" t="n"/>
      <c r="K61" s="1308">
        <f>Control!$B$17</f>
        <v/>
      </c>
      <c r="L61" s="1309">
        <f>Control!$B$17</f>
        <v/>
      </c>
    </row>
    <row r="63" ht="14.25" customHeight="1">
      <c r="B63" s="1261" t="inlineStr">
        <is>
          <t>Combined Income Statement</t>
        </is>
      </c>
      <c r="C63" s="1262" t="n"/>
      <c r="D63" s="1262" t="n"/>
      <c r="E63" s="1262" t="n"/>
      <c r="F63" s="1263" t="n"/>
    </row>
    <row r="64" ht="14.25" customHeight="1">
      <c r="B64" s="15" t="n"/>
      <c r="F64" s="16" t="n"/>
    </row>
    <row r="65" ht="14.25" customHeight="1">
      <c r="B65" s="15" t="n"/>
      <c r="E65" s="1310">
        <f>E42</f>
        <v/>
      </c>
      <c r="F65" s="1311">
        <f>F42</f>
        <v/>
      </c>
    </row>
    <row r="66" ht="14.25" customHeight="1">
      <c r="B66" s="1274" t="inlineStr">
        <is>
          <t>Combined Revenue:</t>
        </is>
      </c>
      <c r="E66" s="1298">
        <f>E43+K43</f>
        <v/>
      </c>
      <c r="F66" s="1312">
        <f>F43+L43</f>
        <v/>
      </c>
    </row>
    <row r="67" ht="14.25" customHeight="1">
      <c r="B67" s="1313" t="inlineStr">
        <is>
          <t>Revenue Synergies (bottom-up: Rev Synergy tab)</t>
        </is>
      </c>
      <c r="C67" s="76" t="n"/>
      <c r="D67" s="76" t="n"/>
      <c r="E67" s="1314">
        <f>'Synergies'!$H$48</f>
        <v/>
      </c>
      <c r="F67" s="1315">
        <f>'Synergies'!$H$48</f>
        <v/>
      </c>
    </row>
    <row r="68" ht="14.25" customHeight="1">
      <c r="B68" s="1267" t="inlineStr">
        <is>
          <t>Cost of Goods Sold:</t>
        </is>
      </c>
      <c r="E68" s="1276">
        <f>E44+K44</f>
        <v/>
      </c>
      <c r="F68" s="1269">
        <f>F44+L44</f>
        <v/>
      </c>
    </row>
    <row r="69" ht="14.25" customHeight="1">
      <c r="B69" s="1316" t="inlineStr">
        <is>
          <t>Revenue Synergy COGS:</t>
        </is>
      </c>
      <c r="C69" s="76" t="n"/>
      <c r="D69" s="76" t="n"/>
      <c r="E69" s="1314">
        <f>E67-'Synergies'!$H$49</f>
        <v/>
      </c>
      <c r="F69" s="1315">
        <f>F67-'Synergies'!$H$49</f>
        <v/>
      </c>
    </row>
    <row r="70" ht="14.25" customHeight="1">
      <c r="B70" s="1297" t="inlineStr">
        <is>
          <t>Gross Profit:</t>
        </is>
      </c>
      <c r="E70" s="1298">
        <f>E66+E67-E68-E69</f>
        <v/>
      </c>
      <c r="F70" s="1299">
        <f>F66+F67-F68-F69</f>
        <v/>
      </c>
    </row>
    <row r="71" ht="14.25" customHeight="1">
      <c r="B71" s="15" t="n"/>
      <c r="F71" s="16" t="n"/>
    </row>
    <row r="72" ht="14.25" customHeight="1">
      <c r="B72" s="1280" t="inlineStr">
        <is>
          <t>Operating Expenses:</t>
        </is>
      </c>
      <c r="E72" s="1298">
        <f>E47+K47</f>
        <v/>
      </c>
      <c r="F72" s="1299">
        <f>F47+L47</f>
        <v/>
      </c>
    </row>
    <row r="73" ht="14.25" customHeight="1">
      <c r="B73" s="1313" t="inlineStr">
        <is>
          <t>OpEx / Cost Synergies (bottom-up: Cost Synergy tab)</t>
        </is>
      </c>
      <c r="C73" s="76" t="n"/>
      <c r="D73" s="76" t="n"/>
      <c r="E73" s="1314">
        <f>'Synergies'!$H$32-'Dissynergy'!$F$30*1000</f>
        <v/>
      </c>
      <c r="F73" s="1315">
        <f>'Synergies'!$H$32-'Dissynergy'!$F$30*1000</f>
        <v/>
      </c>
    </row>
    <row r="74" ht="14.25" customHeight="1">
      <c r="B74" s="38" t="n"/>
      <c r="E74" s="81" t="n"/>
      <c r="F74" s="82" t="n"/>
    </row>
    <row r="75" ht="14.25" customHeight="1">
      <c r="B75" s="1275" t="inlineStr">
        <is>
          <t>Depreciation of PP&amp;E:</t>
        </is>
      </c>
      <c r="E75" s="1276">
        <f>E49+K49</f>
        <v/>
      </c>
      <c r="F75" s="1269">
        <f>F49+L49</f>
        <v/>
      </c>
    </row>
    <row r="76" ht="14.25" customHeight="1">
      <c r="B76" s="1317" t="inlineStr">
        <is>
          <t>Depr. of PP&amp;E Write-Up:</t>
        </is>
      </c>
      <c r="C76" s="76" t="n"/>
      <c r="D76" s="76" t="n"/>
      <c r="E76" s="1318">
        <f>$L$20/$L$21</f>
        <v/>
      </c>
      <c r="F76" s="1319">
        <f>$L$20/$L$21</f>
        <v/>
      </c>
    </row>
    <row r="77" ht="14.25" customHeight="1">
      <c r="B77" s="1275" t="inlineStr">
        <is>
          <t>Amortization of Intangibles:</t>
        </is>
      </c>
      <c r="E77" s="1276">
        <f>E50+K50</f>
        <v/>
      </c>
      <c r="F77" s="1269">
        <f>F50+L50</f>
        <v/>
      </c>
    </row>
    <row r="78" ht="14.25" customHeight="1">
      <c r="B78" s="1317" t="inlineStr">
        <is>
          <t>Amort. of New Intangibles:</t>
        </is>
      </c>
      <c r="C78" s="76" t="n"/>
      <c r="D78" s="76" t="n"/>
      <c r="E78" s="1318">
        <f>$L$26/$L$27</f>
        <v/>
      </c>
      <c r="F78" s="1319">
        <f>$L$26/$L$27</f>
        <v/>
      </c>
    </row>
    <row r="79" ht="14.25" customHeight="1">
      <c r="B79" s="1275" t="inlineStr">
        <is>
          <t>Stock-Based Compensation:</t>
        </is>
      </c>
      <c r="E79" s="1276">
        <f>E51+K51</f>
        <v/>
      </c>
      <c r="F79" s="1269">
        <f>F51+L51</f>
        <v/>
      </c>
    </row>
    <row r="80" ht="14.25" customHeight="1">
      <c r="B80" s="15" t="n"/>
      <c r="F80" s="16" t="n"/>
    </row>
    <row r="81" ht="14.25" customHeight="1">
      <c r="B81" s="1280" t="inlineStr">
        <is>
          <t>Operating Income:</t>
        </is>
      </c>
      <c r="E81" s="1298">
        <f>E70-E72+E73-E75-E76-E77-E78-E79</f>
        <v/>
      </c>
      <c r="F81" s="1299">
        <f>F70-F72+F73-F75-F76-F77-F78-F79</f>
        <v/>
      </c>
    </row>
    <row r="82" ht="14.25" customHeight="1">
      <c r="B82" s="1320" t="inlineStr">
        <is>
          <t>Interest Income/(Expense) incl. financing synergy</t>
        </is>
      </c>
      <c r="E82" s="1278">
        <f>E54+K54+'Synergies'!$H$58</f>
        <v/>
      </c>
      <c r="F82" s="1266">
        <f>F54+L54+'Synergies'!$H$58</f>
        <v/>
      </c>
    </row>
    <row r="83" ht="14.25" customHeight="1">
      <c r="B83" s="1321" t="inlineStr">
        <is>
          <t>Foregone Interest on Cash:</t>
        </is>
      </c>
      <c r="C83" s="86" t="n"/>
      <c r="D83" s="86" t="n"/>
      <c r="E83" s="1322">
        <f>-$L$8*$F$11</f>
        <v/>
      </c>
      <c r="F83" s="1323">
        <f>-$L$8*$F$11</f>
        <v/>
      </c>
    </row>
    <row r="84" ht="14.25" customHeight="1">
      <c r="B84" s="1324" t="inlineStr">
        <is>
          <t>Interest Paid on New Debt:</t>
        </is>
      </c>
      <c r="C84" s="29" t="n"/>
      <c r="D84" s="29" t="n"/>
      <c r="E84" s="1325">
        <f>-$L$9*$L$11</f>
        <v/>
      </c>
      <c r="F84" s="1326">
        <f>-$L$9*$L$11</f>
        <v/>
      </c>
    </row>
    <row r="85" ht="14.25" customHeight="1">
      <c r="B85" s="1280" t="inlineStr">
        <is>
          <t>Pre-Tax Income:</t>
        </is>
      </c>
      <c r="E85" s="1298">
        <f>E81+E82+E83+E84</f>
        <v/>
      </c>
      <c r="F85" s="1299">
        <f>F81+F82+F83+F84</f>
        <v/>
      </c>
    </row>
    <row r="86" ht="14.25" customHeight="1">
      <c r="B86" s="1264" t="inlineStr">
        <is>
          <t>Income Tax Provision:</t>
        </is>
      </c>
      <c r="E86" s="1276">
        <f>E85*$F$38</f>
        <v/>
      </c>
      <c r="F86" s="1269">
        <f>F85*$F$38</f>
        <v/>
      </c>
    </row>
    <row r="87" ht="14.25" customHeight="1">
      <c r="B87" s="15" t="n"/>
      <c r="F87" s="16" t="n"/>
    </row>
    <row r="88" ht="14.25" customHeight="1">
      <c r="B88" s="1280" t="inlineStr">
        <is>
          <t>Net Income:</t>
        </is>
      </c>
      <c r="E88" s="1298">
        <f>E85-E86</f>
        <v/>
      </c>
      <c r="F88" s="1299">
        <f>F85-F86</f>
        <v/>
      </c>
    </row>
    <row r="89" ht="14.25" customHeight="1">
      <c r="B89" s="1275" t="inlineStr">
        <is>
          <t>Less: NCI (non-controlling interest):</t>
        </is>
      </c>
      <c r="E89" s="1285">
        <f>-(1-Control!$B$14)*K58</f>
        <v/>
      </c>
      <c r="F89" s="1327">
        <f>-(1-Control!$B$14)*L58</f>
        <v/>
      </c>
    </row>
    <row r="90" ht="14.25" customHeight="1">
      <c r="B90" s="1280" t="inlineStr">
        <is>
          <t>Earnings Per Share (EPS):</t>
        </is>
      </c>
      <c r="E90" s="1303">
        <f>(E88+E89)*Units/E91</f>
        <v/>
      </c>
      <c r="F90" s="1304">
        <f>(F88+F89)*Units/F91</f>
        <v/>
      </c>
    </row>
    <row r="91" ht="14.25" customHeight="1">
      <c r="B91" s="1328" t="inlineStr">
        <is>
          <t>Diluted Shares Outstanding:</t>
        </is>
      </c>
      <c r="C91" s="76" t="n"/>
      <c r="D91" s="76" t="n"/>
      <c r="E91" s="1329">
        <f>E61+$L$10</f>
        <v/>
      </c>
      <c r="F91" s="1330">
        <f>F61+$L$10</f>
        <v/>
      </c>
    </row>
    <row r="92" ht="14.25" customHeight="1">
      <c r="B92" s="17" t="n"/>
      <c r="E92" s="95" t="n"/>
      <c r="F92" s="96" t="n"/>
    </row>
    <row r="93" ht="14.25" customHeight="1">
      <c r="B93" s="1280" t="inlineStr">
        <is>
          <t>Accretion / Dilution:</t>
        </is>
      </c>
      <c r="E93" s="1303">
        <f>E90-E60</f>
        <v/>
      </c>
      <c r="F93" s="1304">
        <f>F90-F60</f>
        <v/>
      </c>
    </row>
    <row r="94" ht="14.25" customHeight="1">
      <c r="B94" s="1331" t="inlineStr">
        <is>
          <t>Accretion / Dilution %:</t>
        </is>
      </c>
      <c r="C94" s="29" t="n"/>
      <c r="D94" s="29" t="n"/>
      <c r="E94" s="1332">
        <f>E93/E60</f>
        <v/>
      </c>
      <c r="F94" s="1333">
        <f>F93/F60</f>
        <v/>
      </c>
    </row>
    <row r="96" ht="14.25" customHeight="1">
      <c r="B96" s="1334" t="inlineStr">
        <is>
          <t>Multi-Year Accretion / Dilution (Year 1-5, full consolidation of 51% stake)</t>
        </is>
      </c>
    </row>
    <row r="97" ht="14.25" customHeight="1">
      <c r="B97" s="1335" t="inlineStr">
        <is>
          <t>(IDR mm)</t>
        </is>
      </c>
      <c r="E97" s="1336" t="n">
        <v>2026</v>
      </c>
      <c r="F97" s="1336" t="n">
        <v>2027</v>
      </c>
      <c r="G97" s="1336" t="n">
        <v>2028</v>
      </c>
      <c r="H97" s="1336" t="n">
        <v>2029</v>
      </c>
      <c r="I97" s="1336" t="n">
        <v>2030</v>
      </c>
    </row>
    <row r="98" ht="14.25" customHeight="1">
      <c r="B98" s="1337" t="inlineStr">
        <is>
          <t>TOWR standalone net income</t>
        </is>
      </c>
      <c r="C98" s="1338" t="n"/>
      <c r="D98" s="1339" t="n"/>
      <c r="E98" s="1340">
        <f>'TOWR-3-Statements'!H51/1000</f>
        <v/>
      </c>
      <c r="F98" s="1340">
        <f>'TOWR-3-Statements'!I51/1000</f>
        <v/>
      </c>
      <c r="G98" s="1340">
        <f>'TOWR-3-Statements'!J51/1000</f>
        <v/>
      </c>
      <c r="H98" s="1340">
        <f>'TOWR-3-Statements'!K51/1000</f>
        <v/>
      </c>
      <c r="I98" s="1340">
        <f>'TOWR-3-Statements'!L51/1000</f>
        <v/>
      </c>
    </row>
    <row r="99" ht="14.25" customHeight="1">
      <c r="B99" s="1252" t="inlineStr">
        <is>
          <t>WIFI net income (100% consolidated)</t>
        </is>
      </c>
      <c r="C99" s="983" t="n"/>
      <c r="D99" s="984" t="n"/>
      <c r="E99" s="1341">
        <f>'WIFI 3-Statement Model'!I46/1000</f>
        <v/>
      </c>
      <c r="F99" s="1341">
        <f>'WIFI 3-Statement Model'!J46/1000</f>
        <v/>
      </c>
      <c r="G99" s="1341">
        <f>'WIFI 3-Statement Model'!K46/1000</f>
        <v/>
      </c>
      <c r="H99" s="1341">
        <f>'WIFI 3-Statement Model'!L46/1000</f>
        <v/>
      </c>
      <c r="I99" s="1341">
        <f>'WIFI 3-Statement Model'!M46/1000</f>
        <v/>
      </c>
      <c r="J99" s="984" t="n"/>
      <c r="K99" s="984" t="n"/>
      <c r="L99" s="984" t="n"/>
    </row>
    <row r="100" ht="14.25" customHeight="1">
      <c r="B100" s="1252" t="inlineStr">
        <is>
          <t>Less: NCI</t>
        </is>
      </c>
      <c r="C100" s="985" t="n"/>
      <c r="D100" s="986" t="n"/>
      <c r="E100" s="1340">
        <f>-(1-Control!$B$14)*E99</f>
        <v/>
      </c>
      <c r="F100" s="1340">
        <f>-(1-Control!$B$14)*F99</f>
        <v/>
      </c>
      <c r="G100" s="1340">
        <f>-(1-Control!$B$14)*G99</f>
        <v/>
      </c>
      <c r="H100" s="1340">
        <f>-(1-Control!$B$14)*H99</f>
        <v/>
      </c>
      <c r="I100" s="1340">
        <f>-(1-Control!$B$14)*I99</f>
        <v/>
      </c>
      <c r="J100" s="986" t="n"/>
      <c r="K100" s="986" t="n"/>
      <c r="L100" s="986" t="n"/>
    </row>
    <row r="101" ht="14.25" customHeight="1">
      <c r="B101" s="1252" t="inlineStr">
        <is>
          <t>Plus: after-tax synergies (ramped)</t>
        </is>
      </c>
      <c r="C101" s="985" t="n"/>
      <c r="D101" s="986" t="n"/>
      <c r="E101" s="1340">
        <f>Synergy_Schedule!C32</f>
        <v/>
      </c>
      <c r="F101" s="1340">
        <f>Synergy_Schedule!D32</f>
        <v/>
      </c>
      <c r="G101" s="1340">
        <f>Synergy_Schedule!E32</f>
        <v/>
      </c>
      <c r="H101" s="1340">
        <f>Synergy_Schedule!F32</f>
        <v/>
      </c>
      <c r="I101" s="1340">
        <f>Synergy_Schedule!G32</f>
        <v/>
      </c>
      <c r="J101" s="986" t="n"/>
      <c r="K101" s="986" t="n"/>
      <c r="L101" s="986" t="n"/>
    </row>
    <row r="102" ht="14.25" customHeight="1">
      <c r="B102" s="1252" t="inlineStr">
        <is>
          <t>Less: after-tax incremental interest</t>
        </is>
      </c>
      <c r="C102" s="985" t="n"/>
      <c r="D102" s="986" t="n"/>
      <c r="E102" s="1340">
        <f>-$L$9*Control!$B$13*(1-$F$38)</f>
        <v/>
      </c>
      <c r="F102" s="1340">
        <f>-$L$9*Control!$B$13*(1-$F$38)</f>
        <v/>
      </c>
      <c r="G102" s="1340">
        <f>-$L$9*Control!$B$13*(1-$F$38)</f>
        <v/>
      </c>
      <c r="H102" s="1340">
        <f>-$L$9*Control!$B$13*(1-$F$38)</f>
        <v/>
      </c>
      <c r="I102" s="1340">
        <f>-$L$9*Control!$B$13*(1-$F$38)</f>
        <v/>
      </c>
      <c r="J102" s="986" t="n"/>
      <c r="K102" s="986" t="n"/>
      <c r="L102" s="986" t="n"/>
    </row>
    <row r="103" ht="14.25" customHeight="1">
      <c r="B103" s="1252" t="inlineStr">
        <is>
          <t>Less: after-tax PPA amortization</t>
        </is>
      </c>
      <c r="C103" s="985" t="n"/>
      <c r="D103" s="986" t="n"/>
      <c r="E103" s="1342">
        <f>-($L$26/$L$27)*(1-$F$38)</f>
        <v/>
      </c>
      <c r="F103" s="1342">
        <f>-($L$26/$L$27)*(1-$F$38)</f>
        <v/>
      </c>
      <c r="G103" s="1342">
        <f>-($L$26/$L$27)*(1-$F$38)</f>
        <v/>
      </c>
      <c r="H103" s="1342">
        <f>-($L$26/$L$27)*(1-$F$38)</f>
        <v/>
      </c>
      <c r="I103" s="1342">
        <f>-($L$26/$L$27)*(1-$F$38)</f>
        <v/>
      </c>
      <c r="J103" s="986" t="n"/>
      <c r="K103" s="986" t="n"/>
      <c r="L103" s="986" t="n"/>
    </row>
    <row r="104" ht="14.25" customHeight="1">
      <c r="B104" s="1252" t="inlineStr">
        <is>
          <t>Less: after-tax integration cost</t>
        </is>
      </c>
      <c r="C104" s="985" t="n"/>
      <c r="D104" s="986" t="n"/>
      <c r="E104" s="1340">
        <f>-Synergy_Schedule!C30*(1-$F$38)</f>
        <v/>
      </c>
      <c r="F104" s="1340">
        <f>-Synergy_Schedule!D30*(1-$F$38)</f>
        <v/>
      </c>
      <c r="G104" s="1340">
        <f>-Synergy_Schedule!E30*(1-$F$38)</f>
        <v/>
      </c>
      <c r="H104" s="1340">
        <f>-Synergy_Schedule!F30*(1-$F$38)</f>
        <v/>
      </c>
      <c r="I104" s="1340">
        <f>-Synergy_Schedule!G30*(1-$F$38)</f>
        <v/>
      </c>
      <c r="J104" s="986" t="n"/>
      <c r="K104" s="986" t="n"/>
      <c r="L104" s="986" t="n"/>
    </row>
    <row r="105" ht="14.25" customHeight="1">
      <c r="B105" s="923" t="inlineStr">
        <is>
          <t>Pro-forma net income to parent</t>
        </is>
      </c>
      <c r="C105" s="985" t="n"/>
      <c r="D105" s="986" t="n"/>
      <c r="E105" s="1343">
        <f>SUM(E98:E104)</f>
        <v/>
      </c>
      <c r="F105" s="1343">
        <f>SUM(F98:F104)</f>
        <v/>
      </c>
      <c r="G105" s="1343">
        <f>SUM(G98:G104)</f>
        <v/>
      </c>
      <c r="H105" s="1343">
        <f>SUM(H98:H104)</f>
        <v/>
      </c>
      <c r="I105" s="1343">
        <f>SUM(I98:I104)</f>
        <v/>
      </c>
      <c r="J105" s="986" t="n"/>
      <c r="K105" s="986" t="n"/>
      <c r="L105" s="986" t="n"/>
    </row>
    <row r="106" ht="14.25" customHeight="1">
      <c r="B106" s="1252" t="inlineStr">
        <is>
          <t>Pro-forma diluted shares (000)</t>
        </is>
      </c>
      <c r="C106" s="985" t="n"/>
      <c r="D106" s="986" t="n"/>
      <c r="E106" s="1340">
        <f>Control!$B$5+$L$10</f>
        <v/>
      </c>
      <c r="F106" s="1340">
        <f>Control!$B$5+$L$10</f>
        <v/>
      </c>
      <c r="G106" s="1340">
        <f>Control!$B$5+$L$10</f>
        <v/>
      </c>
      <c r="H106" s="1340">
        <f>Control!$B$5+$L$10</f>
        <v/>
      </c>
      <c r="I106" s="1340">
        <f>Control!$B$5+$L$10</f>
        <v/>
      </c>
      <c r="J106" s="986" t="n"/>
      <c r="K106" s="986" t="n"/>
      <c r="L106" s="986" t="n"/>
    </row>
    <row r="107" ht="14.25" customHeight="1">
      <c r="B107" s="923" t="inlineStr">
        <is>
          <t>Pro-forma EPS (IDR)</t>
        </is>
      </c>
      <c r="C107" s="985" t="n"/>
      <c r="D107" s="986" t="n"/>
      <c r="E107" s="1343">
        <f>E105*Units/E106</f>
        <v/>
      </c>
      <c r="F107" s="1343">
        <f>F105*Units/F106</f>
        <v/>
      </c>
      <c r="G107" s="1343">
        <f>G105*Units/G106</f>
        <v/>
      </c>
      <c r="H107" s="1343">
        <f>H105*Units/H106</f>
        <v/>
      </c>
      <c r="I107" s="1343">
        <f>I105*Units/I106</f>
        <v/>
      </c>
      <c r="J107" s="986" t="n"/>
      <c r="K107" s="986" t="n"/>
      <c r="L107" s="986" t="n"/>
    </row>
    <row r="108" ht="14.25" customHeight="1">
      <c r="B108" s="923" t="inlineStr">
        <is>
          <t>Standalone EPS (IDR)</t>
        </is>
      </c>
      <c r="C108" s="985" t="n"/>
      <c r="D108" s="986" t="n"/>
      <c r="E108" s="1344">
        <f>E98*Units/Control!$B$5</f>
        <v/>
      </c>
      <c r="F108" s="1344">
        <f>F98*Units/Control!$B$5</f>
        <v/>
      </c>
      <c r="G108" s="1344">
        <f>G98*Units/Control!$B$5</f>
        <v/>
      </c>
      <c r="H108" s="1344">
        <f>H98*Units/Control!$B$5</f>
        <v/>
      </c>
      <c r="I108" s="1344">
        <f>I98*Units/Control!$B$5</f>
        <v/>
      </c>
      <c r="J108" s="986" t="n"/>
      <c r="K108" s="986" t="n"/>
      <c r="L108" s="986" t="n"/>
    </row>
    <row r="109" ht="14.25" customHeight="1">
      <c r="B109" s="923" t="inlineStr">
        <is>
          <t>Accretion / (dilution) %</t>
        </is>
      </c>
      <c r="C109" s="985" t="n"/>
      <c r="D109" s="986" t="n"/>
      <c r="E109" s="1345">
        <f>E107/E108-1</f>
        <v/>
      </c>
      <c r="F109" s="1345">
        <f>F107/F108-1</f>
        <v/>
      </c>
      <c r="G109" s="1345">
        <f>G107/G108-1</f>
        <v/>
      </c>
      <c r="H109" s="1345">
        <f>H107/H108-1</f>
        <v/>
      </c>
      <c r="I109" s="1345">
        <f>I107/I108-1</f>
        <v/>
      </c>
      <c r="J109" s="986" t="n"/>
      <c r="K109" s="986" t="n"/>
      <c r="L109" s="986" t="n"/>
    </row>
    <row r="111" ht="14.25" customHeight="1">
      <c r="B111" s="10" t="n"/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66"/>
  <sheetViews>
    <sheetView zoomScaleNormal="100" workbookViewId="0">
      <selection activeCell="J27" sqref="J27"/>
    </sheetView>
  </sheetViews>
  <sheetFormatPr baseColWidth="8" defaultColWidth="9" defaultRowHeight="14.25"/>
  <cols>
    <col width="2.7109375" customWidth="1" min="1" max="1"/>
    <col width="12" customWidth="1" min="2" max="15"/>
  </cols>
  <sheetData>
    <row r="2" ht="14.25" customHeight="1">
      <c r="B2" s="923">
        <f>"Merger Model - Seller Diluted Share Count &amp; Combined Balance Sheets"</f>
        <v/>
      </c>
    </row>
    <row r="3" ht="14.25" customHeight="1">
      <c r="B3" s="1252" t="inlineStr">
        <is>
          <t>($ in IDR millions, except per share amounts in IDR and share counts in thousands)</t>
        </is>
      </c>
    </row>
    <row r="5" ht="14.25" customHeight="1">
      <c r="B5" s="1261" t="inlineStr">
        <is>
          <t>Diluted Share &amp; Enterprise Value Calculations - Seller</t>
        </is>
      </c>
      <c r="C5" s="1346" t="n"/>
      <c r="D5" s="1346" t="n"/>
      <c r="E5" s="1346" t="n"/>
      <c r="F5" s="1346" t="n"/>
      <c r="G5" s="1347" t="n"/>
      <c r="H5" s="1347" t="n"/>
      <c r="I5" s="1347" t="n"/>
      <c r="J5" s="1347" t="n"/>
      <c r="K5" s="1347" t="n"/>
      <c r="L5" s="1347" t="n"/>
      <c r="M5" s="1347" t="n"/>
      <c r="N5" s="1347" t="n"/>
      <c r="O5" s="1348" t="n"/>
    </row>
    <row r="6" ht="14.25" customHeight="1">
      <c r="B6" s="15" t="n"/>
      <c r="O6" s="16" t="n"/>
    </row>
    <row r="7" ht="14.25" customHeight="1">
      <c r="B7" s="1274" t="inlineStr">
        <is>
          <t>Company Name:</t>
        </is>
      </c>
      <c r="E7" s="1252">
        <f>Seller_Name</f>
        <v/>
      </c>
      <c r="L7" s="923" t="inlineStr">
        <is>
          <t>Options Calculations - Current Price:</t>
        </is>
      </c>
      <c r="O7" s="16" t="n"/>
    </row>
    <row r="8" ht="14.25" customHeight="1">
      <c r="B8" s="1274" t="inlineStr">
        <is>
          <t>Share Price:</t>
        </is>
      </c>
      <c r="D8" s="24" t="n"/>
      <c r="E8" s="1349">
        <f>Seller_Share_Price</f>
        <v/>
      </c>
      <c r="O8" s="16" t="n"/>
    </row>
    <row r="9" ht="14.25" customHeight="1">
      <c r="B9" s="1274" t="inlineStr">
        <is>
          <t>Offer Price Per Share:</t>
        </is>
      </c>
      <c r="D9" s="24" t="n"/>
      <c r="E9" s="1349">
        <f>Purchase_Price</f>
        <v/>
      </c>
      <c r="G9" s="923" t="inlineStr">
        <is>
          <t>Effective Tax Rate:</t>
        </is>
      </c>
      <c r="J9" s="1350">
        <f>'TOWR-3-Statements'!H176*-1</f>
        <v/>
      </c>
      <c r="L9" s="855" t="n"/>
      <c r="M9" s="855" t="n"/>
      <c r="N9" s="1351" t="inlineStr">
        <is>
          <t>Exercise</t>
        </is>
      </c>
      <c r="O9" s="122" t="n"/>
    </row>
    <row r="10" ht="14.25" customHeight="1">
      <c r="B10" s="15" t="n"/>
      <c r="L10" s="1310" t="inlineStr">
        <is>
          <t>Name</t>
        </is>
      </c>
      <c r="M10" s="1310" t="inlineStr">
        <is>
          <t>Number</t>
        </is>
      </c>
      <c r="N10" s="1310" t="inlineStr">
        <is>
          <t>Price</t>
        </is>
      </c>
      <c r="O10" s="1311" t="inlineStr">
        <is>
          <t>Dilution</t>
        </is>
      </c>
    </row>
    <row r="11" ht="14.25" customHeight="1">
      <c r="B11" s="1352" t="inlineStr">
        <is>
          <t>Current Share Price:</t>
        </is>
      </c>
      <c r="G11" s="1351" t="inlineStr">
        <is>
          <t>Purchase Price:</t>
        </is>
      </c>
      <c r="L11" s="1353" t="inlineStr">
        <is>
          <t>Tranche A</t>
        </is>
      </c>
      <c r="M11" s="1354" t="n">
        <v>0</v>
      </c>
      <c r="N11" s="1355" t="n">
        <v>0</v>
      </c>
      <c r="O11" s="1356">
        <f>IF(N11&gt;Seller_Share_Price,0,M11-M11*N11/Seller_Share_Price)</f>
        <v/>
      </c>
    </row>
    <row r="12" ht="14.25" customHeight="1">
      <c r="B12" s="1274" t="inlineStr">
        <is>
          <t>Basic Shares Outstanding:</t>
        </is>
      </c>
      <c r="E12" s="1357">
        <f>Control!$B$17</f>
        <v/>
      </c>
      <c r="G12" s="923" t="inlineStr">
        <is>
          <t>Basic Shares Outstanding:</t>
        </is>
      </c>
      <c r="J12" s="1358">
        <f>E12</f>
        <v/>
      </c>
      <c r="L12" s="1353" t="inlineStr">
        <is>
          <t>Tranche B</t>
        </is>
      </c>
      <c r="M12" s="124" t="n"/>
      <c r="N12" s="940" t="n"/>
      <c r="O12" s="96" t="n"/>
    </row>
    <row r="13" ht="14.25" customHeight="1">
      <c r="B13" s="1274" t="inlineStr">
        <is>
          <t>Basic Equity Value:</t>
        </is>
      </c>
      <c r="E13" s="1276">
        <f>E12/Units*Seller_Share_Price</f>
        <v/>
      </c>
      <c r="G13" s="923" t="inlineStr">
        <is>
          <t>Basic Equity Value:</t>
        </is>
      </c>
      <c r="J13" s="1276">
        <f>J12/Units*E9</f>
        <v/>
      </c>
      <c r="L13" s="1359" t="inlineStr">
        <is>
          <t>Total</t>
        </is>
      </c>
      <c r="M13" s="86" t="n"/>
      <c r="N13" s="86" t="n"/>
      <c r="O13" s="1360" t="n">
        <v>0</v>
      </c>
    </row>
    <row r="14" ht="14.25" customHeight="1">
      <c r="B14" s="1274" t="inlineStr">
        <is>
          <t>Diluted Shares Outstanding:</t>
        </is>
      </c>
      <c r="E14" s="1358">
        <f>E12+O13</f>
        <v/>
      </c>
      <c r="G14" s="923" t="inlineStr">
        <is>
          <t>Diluted Shares Outstanding:</t>
        </is>
      </c>
      <c r="J14" s="1358">
        <f>J12+O21</f>
        <v/>
      </c>
      <c r="O14" s="16" t="n"/>
    </row>
    <row r="15" ht="14.25" customHeight="1">
      <c r="B15" s="1274" t="inlineStr">
        <is>
          <t>Diluted Equity Value:</t>
        </is>
      </c>
      <c r="E15" s="1276">
        <f>E14/Units*Seller_Share_Price</f>
        <v/>
      </c>
      <c r="G15" s="923" t="inlineStr">
        <is>
          <t>Diluted Equity Value:</t>
        </is>
      </c>
      <c r="J15" s="1276">
        <f>J14/Units*E9</f>
        <v/>
      </c>
      <c r="L15" s="923" t="inlineStr">
        <is>
          <t>Options Calculations - Purchase Price:</t>
        </is>
      </c>
      <c r="O15" s="16" t="n"/>
    </row>
    <row r="16" ht="14.25" customHeight="1">
      <c r="B16" s="1275" t="inlineStr">
        <is>
          <t>Less: Cash &amp; Investments</t>
        </is>
      </c>
      <c r="E16" s="1278">
        <f>'WIFI 3-Statement Model'!H51/1000</f>
        <v/>
      </c>
      <c r="G16" s="1361" t="inlineStr">
        <is>
          <t>Less: Cash &amp; Investments</t>
        </is>
      </c>
      <c r="J16" s="1276">
        <f>E16</f>
        <v/>
      </c>
      <c r="O16" s="16" t="n"/>
    </row>
    <row r="17" ht="14.25" customHeight="1">
      <c r="B17" s="1275" t="inlineStr">
        <is>
          <t>Plus: Debt</t>
        </is>
      </c>
      <c r="E17" s="1278">
        <f>('WIFI 3-Statement Model'!H66+'WIFI 3-Statement Model'!H71)/1000</f>
        <v/>
      </c>
      <c r="G17" s="1361" t="inlineStr">
        <is>
          <t>Plus: Debt</t>
        </is>
      </c>
      <c r="J17" s="1276">
        <f>E17</f>
        <v/>
      </c>
      <c r="L17" s="855" t="n"/>
      <c r="M17" s="855" t="n"/>
      <c r="N17" s="1351" t="inlineStr">
        <is>
          <t>Exercise</t>
        </is>
      </c>
      <c r="O17" s="122" t="n"/>
    </row>
    <row r="18" ht="14.25" customHeight="1">
      <c r="B18" s="1275" t="inlineStr">
        <is>
          <t>Plus: Minority Interest</t>
        </is>
      </c>
      <c r="E18" s="1278">
        <f>'WIFI 3-Statement Model'!H78/1000</f>
        <v/>
      </c>
      <c r="G18" s="1361" t="inlineStr">
        <is>
          <t>Plus: Minority Interest</t>
        </is>
      </c>
      <c r="H18" s="124" t="n"/>
      <c r="I18" s="940" t="n"/>
      <c r="J18" s="1276">
        <f>E18</f>
        <v/>
      </c>
      <c r="L18" s="1310" t="inlineStr">
        <is>
          <t>Name</t>
        </is>
      </c>
      <c r="M18" s="1310" t="inlineStr">
        <is>
          <t>Number</t>
        </is>
      </c>
      <c r="N18" s="1310" t="inlineStr">
        <is>
          <t>Price</t>
        </is>
      </c>
      <c r="O18" s="1311" t="inlineStr">
        <is>
          <t>Dilution</t>
        </is>
      </c>
    </row>
    <row r="19" ht="14.25" customHeight="1">
      <c r="B19" s="1275" t="inlineStr">
        <is>
          <t>Plus: Preferred Stock</t>
        </is>
      </c>
      <c r="E19" s="1300" t="n">
        <v>0</v>
      </c>
      <c r="G19" s="1361" t="inlineStr">
        <is>
          <t>Plus: Preferred Stock</t>
        </is>
      </c>
      <c r="H19" s="124" t="n"/>
      <c r="I19" s="940" t="n"/>
      <c r="J19" s="1276">
        <f>E19</f>
        <v/>
      </c>
      <c r="L19" s="1353" t="inlineStr">
        <is>
          <t>Tranche A</t>
        </is>
      </c>
      <c r="M19" s="1354" t="n">
        <v>10470</v>
      </c>
      <c r="N19" s="1355" t="n">
        <v>38.57</v>
      </c>
      <c r="O19" s="1356">
        <f>IF(N19&gt;E9,0,M19-M19*N19/E9)</f>
        <v/>
      </c>
    </row>
    <row r="20" ht="14.25" customHeight="1">
      <c r="B20" s="1275" t="inlineStr">
        <is>
          <t>Plus: Other Liabilities</t>
        </is>
      </c>
      <c r="E20" s="1300" t="n">
        <v>0</v>
      </c>
      <c r="G20" s="1361" t="inlineStr">
        <is>
          <t>Plus: Other Liabilities</t>
        </is>
      </c>
      <c r="J20" s="1276">
        <f>E20</f>
        <v/>
      </c>
      <c r="L20" s="1353" t="inlineStr">
        <is>
          <t>Tranche B</t>
        </is>
      </c>
      <c r="M20" s="124" t="n"/>
      <c r="N20" s="940" t="n"/>
      <c r="O20" s="96" t="n"/>
    </row>
    <row r="21" ht="14.25" customHeight="1">
      <c r="B21" s="1362" t="inlineStr">
        <is>
          <t>Enterprise Value:</t>
        </is>
      </c>
      <c r="C21" s="29" t="n"/>
      <c r="D21" s="29" t="n"/>
      <c r="E21" s="1363">
        <f>E15-E16+E17+E18+E19+E20</f>
        <v/>
      </c>
      <c r="F21" s="29" t="n"/>
      <c r="G21" s="1364" t="inlineStr">
        <is>
          <t>Enterprise Value:</t>
        </is>
      </c>
      <c r="H21" s="29" t="n"/>
      <c r="I21" s="29" t="n"/>
      <c r="J21" s="1363">
        <f>J15-J16+J17+J18+J19+J20</f>
        <v/>
      </c>
      <c r="K21" s="29" t="n"/>
      <c r="L21" s="1365" t="inlineStr">
        <is>
          <t>Total</t>
        </is>
      </c>
      <c r="M21" s="76" t="n"/>
      <c r="N21" s="76" t="n"/>
      <c r="O21" s="1366" t="n">
        <v>0</v>
      </c>
    </row>
    <row r="23" ht="14.25" customHeight="1">
      <c r="B23" s="1261" t="inlineStr">
        <is>
          <t>Balance Sheets - Buyer, Seller &amp; Combined</t>
        </is>
      </c>
      <c r="C23" s="1346" t="n"/>
      <c r="D23" s="1346" t="n"/>
      <c r="E23" s="1346" t="n"/>
      <c r="F23" s="1346" t="n"/>
      <c r="G23" s="1347" t="n"/>
      <c r="H23" s="1347" t="n"/>
      <c r="I23" s="1347" t="n"/>
      <c r="J23" s="1347" t="n"/>
      <c r="K23" s="1347" t="n"/>
      <c r="L23" s="1347" t="n"/>
      <c r="M23" s="1347" t="n"/>
      <c r="N23" s="1347" t="n"/>
      <c r="O23" s="1348" t="n"/>
    </row>
    <row r="24" ht="14.25" customHeight="1">
      <c r="B24" s="15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33" t="n"/>
    </row>
    <row r="25" ht="14.25" customHeight="1">
      <c r="B25" s="1352" t="inlineStr">
        <is>
          <t>Assets:</t>
        </is>
      </c>
      <c r="E25" s="134" t="n"/>
      <c r="F25" s="134" t="n"/>
      <c r="G25" s="134" t="n"/>
      <c r="H25" s="1351" t="inlineStr">
        <is>
          <t>Buyer</t>
        </is>
      </c>
      <c r="J25" s="1351" t="inlineStr">
        <is>
          <t>Seller</t>
        </is>
      </c>
      <c r="L25" s="1351" t="inlineStr">
        <is>
          <t>Adjustments</t>
        </is>
      </c>
      <c r="N25" s="1351" t="inlineStr">
        <is>
          <t>Combined</t>
        </is>
      </c>
      <c r="O25" s="16" t="n"/>
    </row>
    <row r="26" ht="14.25" customHeight="1">
      <c r="B26" s="1274" t="inlineStr">
        <is>
          <t>Current Assets:</t>
        </is>
      </c>
      <c r="C26" s="959" t="n"/>
      <c r="D26" s="959" t="n"/>
      <c r="E26" s="959" t="n"/>
      <c r="G26" s="959" t="n"/>
      <c r="H26" s="959" t="n"/>
      <c r="O26" s="16" t="n"/>
    </row>
    <row r="27" ht="14.25" customHeight="1">
      <c r="B27" s="1275" t="inlineStr">
        <is>
          <t>Cash &amp; Short-Term Securities:</t>
        </is>
      </c>
      <c r="C27" s="950" t="n"/>
      <c r="D27" s="950" t="n"/>
      <c r="E27" s="963" t="n"/>
      <c r="G27" s="948" t="n"/>
      <c r="H27" s="1278">
        <f>'TOWR-3-Statements'!G59/1000</f>
        <v/>
      </c>
      <c r="I27" s="948" t="n"/>
      <c r="J27" s="1278">
        <f>'WIFI 3-Statement Model'!H51/1000</f>
        <v/>
      </c>
      <c r="K27" s="948" t="n"/>
      <c r="L27" s="1278">
        <f>-'Merger-Model'!L8</f>
        <v/>
      </c>
      <c r="M27" s="948" t="n"/>
      <c r="N27" s="1276">
        <f>H27+J27+L27</f>
        <v/>
      </c>
      <c r="O27" s="944" t="n"/>
    </row>
    <row r="28" ht="14.25" customHeight="1">
      <c r="B28" s="1275" t="inlineStr">
        <is>
          <t>Accounts Receivable:</t>
        </is>
      </c>
      <c r="E28" s="963" t="n"/>
      <c r="G28" s="963" t="n"/>
      <c r="H28" s="1278">
        <f>'TOWR-3-Statements'!G60/1000</f>
        <v/>
      </c>
      <c r="I28" s="948" t="n"/>
      <c r="J28" s="1278">
        <f>'WIFI 3-Statement Model'!H52/1000</f>
        <v/>
      </c>
      <c r="K28" s="948" t="n"/>
      <c r="L28" s="1300" t="n">
        <v>0</v>
      </c>
      <c r="M28" s="948" t="n"/>
      <c r="N28" s="1276">
        <f>H28+J28+L28</f>
        <v/>
      </c>
      <c r="O28" s="944" t="n"/>
    </row>
    <row r="29" ht="14.25" customHeight="1">
      <c r="B29" s="1275" t="inlineStr">
        <is>
          <t>Inventory:</t>
        </is>
      </c>
      <c r="C29" s="950" t="n"/>
      <c r="D29" s="950" t="n"/>
      <c r="E29" s="963" t="n"/>
      <c r="G29" s="963" t="n"/>
      <c r="H29" s="1278">
        <f>'TOWR-3-Statements'!G61/1000</f>
        <v/>
      </c>
      <c r="I29" s="948" t="n"/>
      <c r="J29" s="1278">
        <f>'WIFI 3-Statement Model'!H53/1000</f>
        <v/>
      </c>
      <c r="K29" s="948" t="n"/>
      <c r="L29" s="1300" t="n">
        <v>0</v>
      </c>
      <c r="M29" s="948" t="n"/>
      <c r="N29" s="1276">
        <f>H29+J29+L29</f>
        <v/>
      </c>
      <c r="O29" s="944" t="n"/>
    </row>
    <row r="30" ht="14.25" customHeight="1">
      <c r="B30" s="1275" t="inlineStr">
        <is>
          <t>Deferred Tax Assets:</t>
        </is>
      </c>
      <c r="C30" s="950" t="n"/>
      <c r="D30" s="950" t="n"/>
      <c r="E30" s="963" t="n"/>
      <c r="G30" s="963" t="n"/>
      <c r="H30" s="1300" t="n">
        <v>0</v>
      </c>
      <c r="I30" s="948" t="n"/>
      <c r="J30" s="1300" t="n">
        <v>0</v>
      </c>
      <c r="K30" s="948" t="n"/>
      <c r="L30" s="1300" t="n">
        <v>0</v>
      </c>
      <c r="M30" s="948" t="n"/>
      <c r="N30" s="1276">
        <f>H30+J30+L30</f>
        <v/>
      </c>
      <c r="O30" s="944" t="n"/>
    </row>
    <row r="31" ht="14.25" customHeight="1">
      <c r="B31" s="1275" t="inlineStr">
        <is>
          <t>Other Current Assets:</t>
        </is>
      </c>
      <c r="C31" s="965" t="n"/>
      <c r="D31" s="972" t="n"/>
      <c r="E31" s="963" t="n"/>
      <c r="G31" s="963" t="n"/>
      <c r="H31" s="1278">
        <f>('TOWR-3-Statements'!G62+'TOWR-3-Statements'!G63)/1000</f>
        <v/>
      </c>
      <c r="I31" s="948" t="n"/>
      <c r="J31" s="1278">
        <f>('WIFI 3-Statement Model'!H54+'WIFI 3-Statement Model'!H55)/1000</f>
        <v/>
      </c>
      <c r="K31" s="948" t="n"/>
      <c r="L31" s="1300" t="n">
        <v>0</v>
      </c>
      <c r="M31" s="948" t="n"/>
      <c r="N31" s="1276">
        <f>H31+J31+L31</f>
        <v/>
      </c>
      <c r="O31" s="944" t="n"/>
    </row>
    <row r="32" ht="14.25" customHeight="1">
      <c r="B32" s="1367" t="inlineStr">
        <is>
          <t>Total Current Assets:</t>
        </is>
      </c>
      <c r="C32" s="990" t="n"/>
      <c r="D32" s="991" t="n"/>
      <c r="E32" s="952" t="n"/>
      <c r="F32" s="86" t="n"/>
      <c r="G32" s="952" t="n"/>
      <c r="H32" s="1281">
        <f>SUM(H27:H31)</f>
        <v/>
      </c>
      <c r="I32" s="952" t="n"/>
      <c r="J32" s="1281">
        <f>SUM(J27:J31)</f>
        <v/>
      </c>
      <c r="K32" s="952" t="n"/>
      <c r="L32" s="1281">
        <f>SUM(L27:L31)</f>
        <v/>
      </c>
      <c r="M32" s="952" t="n"/>
      <c r="N32" s="1281">
        <f>SUM(N27:N31)</f>
        <v/>
      </c>
      <c r="O32" s="973" t="n"/>
    </row>
    <row r="33" ht="14.25" customHeight="1">
      <c r="B33" s="15" t="n"/>
      <c r="C33" s="965" t="n"/>
      <c r="D33" s="972" t="n"/>
      <c r="E33" s="972" t="n"/>
      <c r="G33" s="972" t="n"/>
      <c r="H33" s="972" t="n"/>
      <c r="I33" s="972" t="n"/>
      <c r="J33" s="972" t="n"/>
      <c r="K33" s="972" t="n"/>
      <c r="L33" s="972" t="n"/>
      <c r="M33" s="972" t="n"/>
      <c r="N33" s="972" t="n"/>
      <c r="O33" s="976" t="n"/>
    </row>
    <row r="34" ht="14.25" customHeight="1">
      <c r="B34" s="1274" t="inlineStr">
        <is>
          <t>Long-Term Assets:</t>
        </is>
      </c>
      <c r="C34" s="965" t="n"/>
      <c r="D34" s="972" t="n"/>
      <c r="E34" s="972" t="n"/>
      <c r="G34" s="972" t="n"/>
      <c r="H34" s="972" t="n"/>
      <c r="I34" s="972" t="n"/>
      <c r="J34" s="972" t="n"/>
      <c r="K34" s="972" t="n"/>
      <c r="L34" s="972" t="n"/>
      <c r="M34" s="972" t="n"/>
      <c r="N34" s="972" t="n"/>
      <c r="O34" s="976" t="n"/>
    </row>
    <row r="35" ht="14.25" customHeight="1">
      <c r="B35" s="1275" t="inlineStr">
        <is>
          <t>Long-Term Securities:</t>
        </is>
      </c>
      <c r="C35" s="992" t="n"/>
      <c r="D35" s="948" t="n"/>
      <c r="E35" s="963" t="n"/>
      <c r="G35" s="963" t="n"/>
      <c r="H35" s="1278">
        <f>('TOWR-3-Statements'!G67+'TOWR-3-Statements'!G68+'TOWR-3-Statements'!G69+'TOWR-3-Statements'!G70)/1000</f>
        <v/>
      </c>
      <c r="I35" s="948" t="n"/>
      <c r="J35" s="1276">
        <f>0</f>
        <v/>
      </c>
      <c r="K35" s="948" t="n"/>
      <c r="L35" s="1300" t="n">
        <v>0</v>
      </c>
      <c r="M35" s="948" t="n"/>
      <c r="N35" s="1276">
        <f>H35+J35+L35</f>
        <v/>
      </c>
      <c r="O35" s="944" t="n"/>
    </row>
    <row r="36" ht="14.25" customHeight="1">
      <c r="B36" s="1275" t="inlineStr">
        <is>
          <t>Plants, Property &amp; Equipment:</t>
        </is>
      </c>
      <c r="C36" s="965" t="n"/>
      <c r="D36" s="972" t="n"/>
      <c r="E36" s="963" t="n"/>
      <c r="G36" s="963" t="n"/>
      <c r="H36" s="1278">
        <f>'TOWR-3-Statements'!G71/1000</f>
        <v/>
      </c>
      <c r="I36" s="948" t="n"/>
      <c r="J36" s="1278">
        <f>'WIFI 3-Statement Model'!H58/1000</f>
        <v/>
      </c>
      <c r="K36" s="948" t="n"/>
      <c r="L36" s="1278">
        <f>'Merger-Model'!L20</f>
        <v/>
      </c>
      <c r="M36" s="948" t="n"/>
      <c r="N36" s="1276">
        <f>H36+J36+L36</f>
        <v/>
      </c>
      <c r="O36" s="944" t="n"/>
    </row>
    <row r="37" ht="14.25" customHeight="1">
      <c r="B37" s="1275" t="inlineStr">
        <is>
          <t>Goodwill:</t>
        </is>
      </c>
      <c r="C37" s="993" t="n"/>
      <c r="D37" s="994" t="n"/>
      <c r="E37" s="963" t="n"/>
      <c r="G37" s="963" t="n"/>
      <c r="H37" s="1300" t="n">
        <v>0</v>
      </c>
      <c r="I37" s="948" t="n"/>
      <c r="J37" s="1300" t="n">
        <v>0</v>
      </c>
      <c r="K37" s="948" t="n"/>
      <c r="L37" s="1278">
        <f>'Merger-Model'!F28</f>
        <v/>
      </c>
      <c r="M37" s="948" t="n"/>
      <c r="N37" s="1276">
        <f>H37+J37+L37</f>
        <v/>
      </c>
      <c r="O37" s="944" t="n"/>
    </row>
    <row r="38" ht="14.25" customHeight="1">
      <c r="B38" s="1368" t="inlineStr">
        <is>
          <t>Other Intangible Assets:</t>
        </is>
      </c>
      <c r="C38" s="996" t="n"/>
      <c r="D38" s="997" t="n"/>
      <c r="E38" s="963" t="n"/>
      <c r="G38" s="963" t="n"/>
      <c r="H38" s="1278">
        <f>('TOWR-3-Statements'!G72+'TOWR-3-Statements'!G73)/1000</f>
        <v/>
      </c>
      <c r="I38" s="948" t="n"/>
      <c r="J38" s="1278">
        <f>('WIFI 3-Statement Model'!H59+'WIFI 3-Statement Model'!H60)/1000</f>
        <v/>
      </c>
      <c r="K38" s="948" t="n"/>
      <c r="L38" s="1278">
        <f>'Merger-Model'!L26</f>
        <v/>
      </c>
      <c r="M38" s="948" t="n"/>
      <c r="N38" s="1276">
        <f>H38+J38+L38</f>
        <v/>
      </c>
      <c r="O38" s="944" t="n"/>
    </row>
    <row r="39" ht="14.25" customHeight="1">
      <c r="B39" s="1368" t="inlineStr">
        <is>
          <t>Other Assets:</t>
        </is>
      </c>
      <c r="C39" s="996" t="n"/>
      <c r="D39" s="997" t="n"/>
      <c r="E39" s="963" t="n"/>
      <c r="G39" s="963" t="n"/>
      <c r="H39" s="1300" t="n">
        <v>0</v>
      </c>
      <c r="I39" s="948" t="n"/>
      <c r="J39" s="1300" t="n">
        <v>0</v>
      </c>
      <c r="K39" s="948" t="n"/>
      <c r="L39" s="1300" t="n">
        <v>0</v>
      </c>
      <c r="M39" s="948" t="n"/>
      <c r="N39" s="1276">
        <f>H39+J39+L39</f>
        <v/>
      </c>
      <c r="O39" s="944" t="n"/>
    </row>
    <row r="40" ht="14.25" customHeight="1">
      <c r="B40" s="1367" t="inlineStr">
        <is>
          <t>Total Assets:</t>
        </is>
      </c>
      <c r="C40" s="990" t="n"/>
      <c r="D40" s="991" t="n"/>
      <c r="E40" s="952" t="n"/>
      <c r="F40" s="86" t="n"/>
      <c r="G40" s="952" t="n"/>
      <c r="H40" s="1281">
        <f>SUM(H35:H39)+H32</f>
        <v/>
      </c>
      <c r="I40" s="952" t="n"/>
      <c r="J40" s="1281">
        <f>SUM(J35:J39)+J32</f>
        <v/>
      </c>
      <c r="K40" s="952" t="n"/>
      <c r="L40" s="1281">
        <f>SUM(L35:L39)+L32</f>
        <v/>
      </c>
      <c r="M40" s="952" t="n"/>
      <c r="N40" s="1281">
        <f>SUM(N35:N39)+N32</f>
        <v/>
      </c>
      <c r="O40" s="973" t="n"/>
    </row>
    <row r="41" ht="14.25" customHeight="1">
      <c r="B41" s="998" t="n"/>
      <c r="C41" s="996" t="n"/>
      <c r="D41" s="997" t="n"/>
      <c r="E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9" t="n"/>
    </row>
    <row r="42" ht="14.25" customHeight="1">
      <c r="B42" s="1369" t="inlineStr">
        <is>
          <t>Liabilities &amp; Shareholders' Equity:</t>
        </is>
      </c>
      <c r="G42" s="1001" t="n"/>
      <c r="H42" s="1001" t="n"/>
      <c r="I42" s="1001" t="n"/>
      <c r="J42" s="1001" t="n"/>
      <c r="K42" s="1001" t="n"/>
      <c r="L42" s="1001" t="n"/>
      <c r="M42" s="1001" t="n"/>
      <c r="N42" s="1001" t="n"/>
      <c r="O42" s="1002" t="n"/>
    </row>
    <row r="43" ht="14.25" customHeight="1">
      <c r="B43" s="1274" t="inlineStr">
        <is>
          <t>Current Liabilities:</t>
        </is>
      </c>
      <c r="C43" s="965" t="n"/>
      <c r="D43" s="972" t="n"/>
      <c r="E43" s="972" t="n"/>
      <c r="G43" s="972" t="n"/>
      <c r="H43" s="972" t="n"/>
      <c r="I43" s="972" t="n"/>
      <c r="J43" s="972" t="n"/>
      <c r="K43" s="972" t="n"/>
      <c r="L43" s="972" t="n"/>
      <c r="M43" s="972" t="n"/>
      <c r="N43" s="972" t="n"/>
      <c r="O43" s="976" t="n"/>
    </row>
    <row r="44" ht="14.25" customHeight="1">
      <c r="B44" s="1275" t="inlineStr">
        <is>
          <t>Accounts Payable:</t>
        </is>
      </c>
      <c r="C44" s="965" t="n"/>
      <c r="D44" s="972" t="n"/>
      <c r="E44" s="963" t="n"/>
      <c r="G44" s="963" t="n"/>
      <c r="H44" s="1278">
        <f>'TOWR-3-Statements'!G79/1000</f>
        <v/>
      </c>
      <c r="I44" s="948" t="n"/>
      <c r="J44" s="1278">
        <f>'WIFI 3-Statement Model'!H65/1000</f>
        <v/>
      </c>
      <c r="K44" s="948" t="n"/>
      <c r="L44" s="1300" t="n">
        <v>0</v>
      </c>
      <c r="M44" s="948" t="n"/>
      <c r="N44" s="1276">
        <f>H44+J44+L44</f>
        <v/>
      </c>
      <c r="O44" s="944" t="n"/>
    </row>
    <row r="45" ht="14.25" customHeight="1">
      <c r="B45" s="1275" t="inlineStr">
        <is>
          <t>Accrued Expenses:</t>
        </is>
      </c>
      <c r="C45" s="965" t="n"/>
      <c r="D45" s="972" t="n"/>
      <c r="E45" s="963" t="n"/>
      <c r="G45" s="963" t="n"/>
      <c r="H45" s="1278">
        <f>('TOWR-3-Statements'!G81+'TOWR-3-Statements'!G82+'TOWR-3-Statements'!G83)/1000</f>
        <v/>
      </c>
      <c r="I45" s="948" t="n"/>
      <c r="J45" s="1278">
        <f>('WIFI 3-Statement Model'!H67+'WIFI 3-Statement Model'!H68)/1000</f>
        <v/>
      </c>
      <c r="K45" s="948" t="n"/>
      <c r="L45" s="1300" t="n">
        <v>0</v>
      </c>
      <c r="M45" s="948" t="n"/>
      <c r="N45" s="1276">
        <f>H45+J45+L45</f>
        <v/>
      </c>
      <c r="O45" s="944" t="n"/>
    </row>
    <row r="46" ht="14.25" customHeight="1">
      <c r="B46" s="1275" t="inlineStr">
        <is>
          <t>Deferred Revenue:</t>
        </is>
      </c>
      <c r="E46" s="963" t="n"/>
      <c r="G46" s="963" t="n"/>
      <c r="H46" s="1300" t="n">
        <v>0</v>
      </c>
      <c r="I46" s="948" t="n"/>
      <c r="J46" s="1300" t="n">
        <v>0</v>
      </c>
      <c r="K46" s="948" t="n"/>
      <c r="L46" s="1300" t="n">
        <v>0</v>
      </c>
      <c r="M46" s="948" t="n"/>
      <c r="N46" s="1276">
        <f>H46+J46+L46</f>
        <v/>
      </c>
      <c r="O46" s="944" t="n"/>
    </row>
    <row r="47" ht="14.25" customHeight="1">
      <c r="B47" s="1367" t="inlineStr">
        <is>
          <t>Total Current Liabilities:</t>
        </is>
      </c>
      <c r="C47" s="86" t="n"/>
      <c r="D47" s="86" t="n"/>
      <c r="E47" s="952" t="n"/>
      <c r="F47" s="86" t="n"/>
      <c r="G47" s="952" t="n"/>
      <c r="H47" s="1281">
        <f>SUM(H44:H46)</f>
        <v/>
      </c>
      <c r="I47" s="952" t="n"/>
      <c r="J47" s="1281">
        <f>SUM(J44:J46)</f>
        <v/>
      </c>
      <c r="K47" s="952" t="n"/>
      <c r="L47" s="1281">
        <f>SUM(L44:L46)</f>
        <v/>
      </c>
      <c r="M47" s="952" t="n"/>
      <c r="N47" s="1281">
        <f>SUM(N44:N46)</f>
        <v/>
      </c>
      <c r="O47" s="973" t="n"/>
    </row>
    <row r="48" ht="14.25" customHeight="1">
      <c r="B48" s="15" t="n"/>
      <c r="O48" s="16" t="n"/>
    </row>
    <row r="49" ht="14.25" customHeight="1">
      <c r="B49" s="1274" t="inlineStr">
        <is>
          <t>Long-Term Liabilities:</t>
        </is>
      </c>
      <c r="O49" s="16" t="n"/>
    </row>
    <row r="50" ht="14.25" customHeight="1">
      <c r="B50" s="1275" t="inlineStr">
        <is>
          <t>Deferred Revenue:</t>
        </is>
      </c>
      <c r="E50" s="963" t="n"/>
      <c r="G50" s="963" t="n"/>
      <c r="H50" s="1300" t="n">
        <v>0</v>
      </c>
      <c r="I50" s="948" t="n"/>
      <c r="J50" s="1300" t="n">
        <v>0</v>
      </c>
      <c r="K50" s="948" t="n"/>
      <c r="L50" s="1300" t="n">
        <v>0</v>
      </c>
      <c r="M50" s="948" t="n"/>
      <c r="N50" s="1276">
        <f>H50+J50+L50</f>
        <v/>
      </c>
      <c r="O50" s="944" t="n"/>
    </row>
    <row r="51" ht="14.25" customHeight="1">
      <c r="B51" s="1275" t="inlineStr">
        <is>
          <t>Long-Term Debt:</t>
        </is>
      </c>
      <c r="E51" s="963" t="n"/>
      <c r="G51" s="963" t="n"/>
      <c r="H51" s="1278">
        <f>('TOWR-3-Statements'!G80+'TOWR-3-Statements'!G87)/1000</f>
        <v/>
      </c>
      <c r="I51" s="948" t="n"/>
      <c r="J51" s="1278">
        <f>('WIFI 3-Statement Model'!H66+'WIFI 3-Statement Model'!H71)/1000</f>
        <v/>
      </c>
      <c r="K51" s="948" t="n"/>
      <c r="L51" s="1278">
        <f>'Merger-Model'!L9</f>
        <v/>
      </c>
      <c r="M51" s="948" t="n"/>
      <c r="N51" s="1276">
        <f>H51+J51+L51</f>
        <v/>
      </c>
      <c r="O51" s="944" t="n"/>
    </row>
    <row r="52" ht="14.25" customHeight="1">
      <c r="B52" s="1275" t="inlineStr">
        <is>
          <t>Deferred Income Tax Liability:</t>
        </is>
      </c>
      <c r="E52" s="963" t="n"/>
      <c r="G52" s="963" t="n"/>
      <c r="H52" s="1278">
        <f>'TOWR-3-Statements'!G89/1000</f>
        <v/>
      </c>
      <c r="I52" s="948" t="n"/>
      <c r="J52" s="1278">
        <f>'WIFI 3-Statement Model'!H72/1000</f>
        <v/>
      </c>
      <c r="K52" s="948" t="n"/>
      <c r="L52" s="1278">
        <f>'Merger-Model'!L29</f>
        <v/>
      </c>
      <c r="M52" s="948" t="n"/>
      <c r="N52" s="1276">
        <f>H52+J52+L52</f>
        <v/>
      </c>
      <c r="O52" s="944" t="n"/>
    </row>
    <row r="53" ht="14.25" customHeight="1">
      <c r="B53" s="1275" t="inlineStr">
        <is>
          <t>Other Long-Term Liabilities:</t>
        </is>
      </c>
      <c r="E53" s="963" t="n"/>
      <c r="G53" s="963" t="n"/>
      <c r="H53" s="1278">
        <f>('TOWR-3-Statements'!G88+'TOWR-3-Statements'!G90)/1000</f>
        <v/>
      </c>
      <c r="I53" s="948" t="n"/>
      <c r="J53" s="1276">
        <f>0</f>
        <v/>
      </c>
      <c r="K53" s="948" t="n"/>
      <c r="L53" s="1300" t="n">
        <v>0</v>
      </c>
      <c r="M53" s="948" t="n"/>
      <c r="N53" s="1276">
        <f>H53+J53+L53</f>
        <v/>
      </c>
      <c r="O53" s="944" t="n"/>
    </row>
    <row r="54" ht="14.25" customHeight="1">
      <c r="B54" s="1367" t="inlineStr">
        <is>
          <t>Total Liabilities:</t>
        </is>
      </c>
      <c r="C54" s="86" t="n"/>
      <c r="D54" s="86" t="n"/>
      <c r="E54" s="952" t="n"/>
      <c r="F54" s="86" t="n"/>
      <c r="G54" s="952" t="n"/>
      <c r="H54" s="1281">
        <f>SUM(H50:H53)+H47</f>
        <v/>
      </c>
      <c r="I54" s="952" t="n"/>
      <c r="J54" s="1281">
        <f>SUM(J50:J53)+J47</f>
        <v/>
      </c>
      <c r="K54" s="952" t="n"/>
      <c r="L54" s="1281">
        <f>SUM(L50:L53)+L47</f>
        <v/>
      </c>
      <c r="M54" s="952" t="n"/>
      <c r="N54" s="1281">
        <f>SUM(N50:N53)+N47</f>
        <v/>
      </c>
      <c r="O54" s="973" t="n"/>
    </row>
    <row r="55" ht="14.25" customHeight="1">
      <c r="B55" s="15" t="n"/>
      <c r="O55" s="16" t="n"/>
    </row>
    <row r="56" ht="14.25" customHeight="1">
      <c r="B56" s="1274" t="inlineStr">
        <is>
          <t>Shareholders' Equity:</t>
        </is>
      </c>
      <c r="O56" s="16" t="n"/>
    </row>
    <row r="57" ht="14.25" customHeight="1">
      <c r="B57" s="1275" t="inlineStr">
        <is>
          <t>Common Stock:</t>
        </is>
      </c>
      <c r="E57" s="963" t="n"/>
      <c r="G57" s="963" t="n"/>
      <c r="H57" s="1278">
        <f>'TOWR-3-Statements'!G96/1000</f>
        <v/>
      </c>
      <c r="I57" s="948" t="n"/>
      <c r="J57" s="1278">
        <f>'WIFI 3-Statement Model'!H76/1000</f>
        <v/>
      </c>
      <c r="K57" s="948" t="n"/>
      <c r="L57" s="1276">
        <f>-J57</f>
        <v/>
      </c>
      <c r="M57" s="948" t="n"/>
      <c r="N57" s="1276">
        <f>H57+J57+L57</f>
        <v/>
      </c>
      <c r="O57" s="944" t="n"/>
    </row>
    <row r="58" ht="14.25" customHeight="1">
      <c r="B58" s="1275" t="inlineStr">
        <is>
          <t>Additional Paid-In Capital:</t>
        </is>
      </c>
      <c r="E58" s="963" t="n"/>
      <c r="G58" s="963" t="n"/>
      <c r="H58" s="1300" t="n">
        <v>0</v>
      </c>
      <c r="I58" s="948" t="n"/>
      <c r="J58" s="1300" t="n">
        <v>0</v>
      </c>
      <c r="K58" s="948" t="n"/>
      <c r="L58" s="1278">
        <f>-J58+'Merger-Model'!F10*'Merger-Model'!L7</f>
        <v/>
      </c>
      <c r="M58" s="948" t="n"/>
      <c r="N58" s="1276">
        <f>H58+J58+L58</f>
        <v/>
      </c>
      <c r="O58" s="944" t="n"/>
    </row>
    <row r="59" ht="14.25" customHeight="1">
      <c r="B59" s="1275" t="inlineStr">
        <is>
          <t>Treasury Stock:</t>
        </is>
      </c>
      <c r="E59" s="963" t="n"/>
      <c r="G59" s="963" t="n"/>
      <c r="H59" s="1300" t="n">
        <v>0</v>
      </c>
      <c r="I59" s="948" t="n"/>
      <c r="J59" s="1300" t="n">
        <v>0</v>
      </c>
      <c r="K59" s="948" t="n"/>
      <c r="L59" s="1276">
        <f>-J59</f>
        <v/>
      </c>
      <c r="M59" s="948" t="n"/>
      <c r="N59" s="1276">
        <f>H59+J59+L59</f>
        <v/>
      </c>
      <c r="O59" s="944" t="n"/>
    </row>
    <row r="60" ht="14.25" customHeight="1">
      <c r="B60" s="1275" t="inlineStr">
        <is>
          <t>Retained Earnings:</t>
        </is>
      </c>
      <c r="E60" s="963" t="n"/>
      <c r="G60" s="963" t="n"/>
      <c r="H60" s="1278">
        <f>'TOWR-3-Statements'!G95/1000</f>
        <v/>
      </c>
      <c r="I60" s="948" t="n"/>
      <c r="J60" s="1278">
        <f>'WIFI 3-Statement Model'!H77/1000</f>
        <v/>
      </c>
      <c r="K60" s="948" t="n"/>
      <c r="L60" s="1276">
        <f>-J60</f>
        <v/>
      </c>
      <c r="M60" s="948" t="n"/>
      <c r="N60" s="1276">
        <f>H60+J60+L60</f>
        <v/>
      </c>
      <c r="O60" s="944" t="n"/>
    </row>
    <row r="61" ht="14.25" customHeight="1">
      <c r="B61" s="1275" t="inlineStr">
        <is>
          <t>Accumulated Other Comprehensive Income:</t>
        </is>
      </c>
      <c r="E61" s="963" t="n"/>
      <c r="G61" s="963" t="n"/>
      <c r="H61" s="1278">
        <f>('TOWR-3-Statements'!G97+'TOWR-3-Statements'!G98)/1000</f>
        <v/>
      </c>
      <c r="I61" s="948" t="n"/>
      <c r="J61" s="1278">
        <f>'WIFI 3-Statement Model'!H78/1000</f>
        <v/>
      </c>
      <c r="K61" s="948" t="n"/>
      <c r="L61" s="1278">
        <f>-J61+'Merger-Model'!L30</f>
        <v/>
      </c>
      <c r="M61" s="948" t="n"/>
      <c r="N61" s="1276">
        <f>H61+J61+L61</f>
        <v/>
      </c>
      <c r="O61" s="944" t="n"/>
    </row>
    <row r="62" ht="14.25" customHeight="1">
      <c r="B62" s="1367" t="inlineStr">
        <is>
          <t>Total Shareholders' Equity:</t>
        </is>
      </c>
      <c r="C62" s="86" t="n"/>
      <c r="D62" s="86" t="n"/>
      <c r="E62" s="952" t="n"/>
      <c r="F62" s="86" t="n"/>
      <c r="G62" s="952" t="n"/>
      <c r="H62" s="1281">
        <f>SUM(H57:H61)</f>
        <v/>
      </c>
      <c r="I62" s="952" t="n"/>
      <c r="J62" s="1281">
        <f>SUM(J57:J61)</f>
        <v/>
      </c>
      <c r="K62" s="952" t="n"/>
      <c r="L62" s="1281">
        <f>SUM(L57:L61)</f>
        <v/>
      </c>
      <c r="M62" s="952" t="n"/>
      <c r="N62" s="1281">
        <f>SUM(N57:N61)</f>
        <v/>
      </c>
      <c r="O62" s="973" t="n"/>
    </row>
    <row r="63" ht="14.25" customHeight="1">
      <c r="B63" s="15" t="n"/>
      <c r="O63" s="16" t="n"/>
    </row>
    <row r="64" ht="14.25" customHeight="1">
      <c r="B64" s="1362" t="inlineStr">
        <is>
          <t>Total Liabilities &amp; SE:</t>
        </is>
      </c>
      <c r="C64" s="29" t="n"/>
      <c r="D64" s="29" t="n"/>
      <c r="E64" s="1003" t="n"/>
      <c r="F64" s="29" t="n"/>
      <c r="G64" s="1003" t="n"/>
      <c r="H64" s="1370">
        <f>H62+H54</f>
        <v/>
      </c>
      <c r="I64" s="1003" t="n"/>
      <c r="J64" s="1370">
        <f>J62+J54</f>
        <v/>
      </c>
      <c r="K64" s="1003" t="n"/>
      <c r="L64" s="1370">
        <f>L62+L54</f>
        <v/>
      </c>
      <c r="M64" s="1003" t="n"/>
      <c r="N64" s="1370">
        <f>N62+N54</f>
        <v/>
      </c>
      <c r="O64" s="1004" t="n"/>
    </row>
    <row r="66" ht="14.25" customHeight="1">
      <c r="B66" s="10" t="n"/>
      <c r="G66" s="1005" t="n"/>
      <c r="H66" s="1005" t="n"/>
      <c r="I66" s="1005" t="n"/>
      <c r="J66" s="1005" t="n"/>
      <c r="K66" s="1005" t="n"/>
      <c r="L66" s="1005" t="n"/>
      <c r="M66" s="1005" t="n"/>
      <c r="N66" s="1005" t="n"/>
      <c r="O66" s="1005" t="n"/>
    </row>
  </sheetData>
  <mergeCells count="4">
    <mergeCell ref="G11:J11"/>
    <mergeCell ref="B25:D25"/>
    <mergeCell ref="B11:E11"/>
    <mergeCell ref="B42:E42"/>
  </mergeCells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55"/>
  <sheetViews>
    <sheetView topLeftCell="A27" zoomScaleNormal="100" workbookViewId="0">
      <selection activeCell="D12" sqref="D12"/>
    </sheetView>
  </sheetViews>
  <sheetFormatPr baseColWidth="8" defaultColWidth="8.85546875" defaultRowHeight="14.25"/>
  <cols>
    <col width="3" customWidth="1" style="151" min="1" max="1"/>
    <col width="36" customWidth="1" style="151" min="2" max="2"/>
    <col width="22.85546875" customWidth="1" style="151" min="3" max="9"/>
    <col width="8.85546875" customWidth="1" style="151" min="10" max="16384"/>
  </cols>
  <sheetData>
    <row r="2" ht="14.25" customHeight="1">
      <c r="B2" s="1371" t="inlineStr">
        <is>
          <t>TOWR + WIFI synergy schedule</t>
        </is>
      </c>
    </row>
    <row r="3" ht="14.25" customHeight="1">
      <c r="B3" s="1372" t="inlineStr">
        <is>
          <t>IDR mm unless stated otherwise</t>
        </is>
      </c>
    </row>
    <row r="5" ht="14.25" customHeight="1">
      <c r="B5" s="1371" t="inlineStr">
        <is>
          <t>Assumptions / drivers</t>
        </is>
      </c>
    </row>
    <row r="6" ht="14.25" customHeight="1">
      <c r="B6" s="1373" t="inlineStr">
        <is>
          <t>Tax rate</t>
        </is>
      </c>
      <c r="C6" s="1259">
        <f>Control!$B$11</f>
        <v/>
      </c>
    </row>
    <row r="7" ht="14.25" customHeight="1">
      <c r="B7" s="1373" t="inlineStr">
        <is>
          <t>Discount rate / WACC</t>
        </is>
      </c>
      <c r="C7" s="1374" t="n">
        <v>0.09</v>
      </c>
    </row>
    <row r="8" ht="14.25" customHeight="1">
      <c r="B8" s="1373" t="inlineStr">
        <is>
          <t>Terminal growth rate</t>
        </is>
      </c>
      <c r="C8" s="1268" t="n">
        <v>0.03</v>
      </c>
    </row>
    <row r="9" ht="14.25" customHeight="1">
      <c r="B9" s="1373" t="inlineStr">
        <is>
          <t>Exit EBITDA multiple</t>
        </is>
      </c>
      <c r="C9" s="1375" t="n">
        <v>8.5</v>
      </c>
    </row>
    <row r="10" ht="14.25" customHeight="1">
      <c r="A10" s="1376" t="n"/>
      <c r="B10" s="1377" t="inlineStr">
        <is>
          <t>Revenue synergy % (LEGACY — superseded by bottom-up)</t>
        </is>
      </c>
      <c r="C10" s="1378">
        <f>'Merger-Model'!F13</f>
        <v/>
      </c>
      <c r="D10" s="1376" t="n"/>
      <c r="E10" s="1376" t="n"/>
      <c r="F10" s="1376" t="n"/>
      <c r="G10" s="1376" t="n"/>
      <c r="H10" s="1376" t="n"/>
      <c r="I10" s="1376" t="n"/>
    </row>
    <row r="11" ht="14.25" customHeight="1">
      <c r="B11" s="1373" t="inlineStr">
        <is>
          <t>Revenue synergy COGS %</t>
        </is>
      </c>
      <c r="C11" s="1259">
        <f>'Merger-Model'!$L$13</f>
        <v/>
      </c>
    </row>
    <row r="12" ht="14.25" customHeight="1">
      <c r="A12" s="1376" t="n"/>
      <c r="B12" s="1377" t="inlineStr">
        <is>
          <t>Cost synergy % (LEGACY — superseded by bottom-up)</t>
        </is>
      </c>
      <c r="C12" s="1378">
        <f>'Merger-Model'!$F$14</f>
        <v/>
      </c>
      <c r="D12" s="1376" t="n"/>
      <c r="E12" s="1376" t="n"/>
      <c r="F12" s="1376" t="n"/>
      <c r="G12" s="1376" t="n"/>
      <c r="H12" s="1376" t="n"/>
      <c r="I12" s="1376" t="n"/>
    </row>
    <row r="13" ht="14.25" customHeight="1">
      <c r="B13" s="1373" t="inlineStr">
        <is>
          <t>Integration cost as % of annual cost synergies</t>
        </is>
      </c>
      <c r="C13" s="1268" t="n">
        <v>0.5</v>
      </c>
    </row>
    <row r="15" ht="14.25" customHeight="1">
      <c r="B15" s="1371" t="inlineStr">
        <is>
          <t>Recurring synergy schedule</t>
        </is>
      </c>
    </row>
    <row r="16" ht="14.25" customHeight="1">
      <c r="B16" s="923" t="inlineStr">
        <is>
          <t>Fiscal year</t>
        </is>
      </c>
      <c r="C16" s="1379">
        <f>'WIFI 3-Statement Model'!I2</f>
        <v/>
      </c>
      <c r="D16" s="1379">
        <f>'WIFI 3-Statement Model'!J2</f>
        <v/>
      </c>
      <c r="E16" s="1379">
        <f>'WIFI 3-Statement Model'!K2</f>
        <v/>
      </c>
      <c r="F16" s="1379">
        <f>'WIFI 3-Statement Model'!L2</f>
        <v/>
      </c>
      <c r="G16" s="1379">
        <f>'WIFI 3-Statement Model'!M2</f>
        <v/>
      </c>
    </row>
    <row r="17" ht="14.25" customHeight="1">
      <c r="B17" s="923" t="inlineStr">
        <is>
          <t>Synergy ramp</t>
        </is>
      </c>
      <c r="C17" s="1268" t="n">
        <v>0.5</v>
      </c>
      <c r="D17" s="1268" t="n">
        <v>0.75</v>
      </c>
      <c r="E17" s="1268" t="n">
        <v>1</v>
      </c>
      <c r="F17" s="1268" t="n">
        <v>1</v>
      </c>
      <c r="G17" s="1268" t="n">
        <v>1</v>
      </c>
    </row>
    <row r="19" ht="14.25" customHeight="1">
      <c r="B19" s="1252" t="inlineStr">
        <is>
          <t>Seller revenue</t>
        </is>
      </c>
      <c r="C19" s="1380">
        <f>IFERROR('WIFI 3-Statement Model'!I28/1000,0)</f>
        <v/>
      </c>
      <c r="D19" s="1380">
        <f>IFERROR('WIFI 3-Statement Model'!J28/1000,0)</f>
        <v/>
      </c>
      <c r="E19" s="1380">
        <f>IFERROR('WIFI 3-Statement Model'!K28/1000,0)</f>
        <v/>
      </c>
      <c r="F19" s="1380">
        <f>IFERROR('WIFI 3-Statement Model'!L28/1000,0)</f>
        <v/>
      </c>
      <c r="G19" s="1380">
        <f>IFERROR('WIFI 3-Statement Model'!M28/1000,0)</f>
        <v/>
      </c>
    </row>
    <row r="20" ht="14.25" customHeight="1">
      <c r="B20" s="1252" t="inlineStr">
        <is>
          <t>Seller gross profit</t>
        </is>
      </c>
      <c r="C20" s="1380">
        <f>IFERROR('WIFI 3-Statement Model'!I30/1000,0)</f>
        <v/>
      </c>
      <c r="D20" s="1380">
        <f>IFERROR('WIFI 3-Statement Model'!J30/1000,0)</f>
        <v/>
      </c>
      <c r="E20" s="1380">
        <f>IFERROR('WIFI 3-Statement Model'!K30/1000,0)</f>
        <v/>
      </c>
      <c r="F20" s="1380">
        <f>IFERROR('WIFI 3-Statement Model'!L30/1000,0)</f>
        <v/>
      </c>
      <c r="G20" s="1380">
        <f>IFERROR('WIFI 3-Statement Model'!M30/1000,0)</f>
        <v/>
      </c>
    </row>
    <row r="21" ht="14.25" customHeight="1">
      <c r="B21" s="1252" t="inlineStr">
        <is>
          <t>Seller operating income</t>
        </is>
      </c>
      <c r="C21" s="1380">
        <f>IFERROR('WIFI 3-Statement Model'!I34/1000,0)</f>
        <v/>
      </c>
      <c r="D21" s="1380">
        <f>IFERROR('WIFI 3-Statement Model'!J34/1000,0)</f>
        <v/>
      </c>
      <c r="E21" s="1380">
        <f>IFERROR('WIFI 3-Statement Model'!K34/1000,0)</f>
        <v/>
      </c>
      <c r="F21" s="1380">
        <f>IFERROR('WIFI 3-Statement Model'!L34/1000,0)</f>
        <v/>
      </c>
      <c r="G21" s="1380">
        <f>IFERROR('WIFI 3-Statement Model'!M34/1000,0)</f>
        <v/>
      </c>
    </row>
    <row r="22" ht="14.25" customHeight="1">
      <c r="B22" s="1252" t="inlineStr">
        <is>
          <t>Seller depreciation</t>
        </is>
      </c>
      <c r="C22" s="1380">
        <f>IFERROR('WIFI 3-Statement Model'!I36/1000,0)</f>
        <v/>
      </c>
      <c r="D22" s="1380">
        <f>IFERROR('WIFI 3-Statement Model'!J36/1000,0)</f>
        <v/>
      </c>
      <c r="E22" s="1380">
        <f>IFERROR('WIFI 3-Statement Model'!K36/1000,0)</f>
        <v/>
      </c>
      <c r="F22" s="1380">
        <f>IFERROR('WIFI 3-Statement Model'!L36/1000,0)</f>
        <v/>
      </c>
      <c r="G22" s="1380">
        <f>IFERROR('WIFI 3-Statement Model'!M36/1000,0)</f>
        <v/>
      </c>
    </row>
    <row r="23" ht="14.25" customHeight="1">
      <c r="B23" s="1252" t="inlineStr">
        <is>
          <t>Seller OpEx excl. D&amp;A</t>
        </is>
      </c>
      <c r="C23" s="1380">
        <f>IFERROR(-('WIFI 3-Statement Model'!I32+'WIFI 3-Statement Model'!I33)/1000,0)</f>
        <v/>
      </c>
      <c r="D23" s="1380">
        <f>IFERROR(-('WIFI 3-Statement Model'!J32+'WIFI 3-Statement Model'!J33)/1000,0)</f>
        <v/>
      </c>
      <c r="E23" s="1380">
        <f>IFERROR(-('WIFI 3-Statement Model'!K32+'WIFI 3-Statement Model'!K33)/1000,0)</f>
        <v/>
      </c>
      <c r="F23" s="1380">
        <f>IFERROR(-('WIFI 3-Statement Model'!L32+'WIFI 3-Statement Model'!L33)/1000,0)</f>
        <v/>
      </c>
      <c r="G23" s="1380">
        <f>IFERROR(-('WIFI 3-Statement Model'!M32+'WIFI 3-Statement Model'!M33)/1000,0)</f>
        <v/>
      </c>
    </row>
    <row r="24" ht="14.25" customHeight="1">
      <c r="C24" s="1010" t="n"/>
      <c r="D24" s="1010" t="n"/>
      <c r="E24" s="1010" t="n"/>
      <c r="F24" s="1010" t="n"/>
      <c r="G24" s="1010" t="n"/>
    </row>
    <row r="25" ht="14.25" customHeight="1">
      <c r="B25" s="1381" t="inlineStr">
        <is>
          <t>Revenue synergies (gross) — from 'Rev Synergy Bottom-Up'</t>
        </is>
      </c>
      <c r="C25" s="1382">
        <f>'Synergies'!$H$48*C17</f>
        <v/>
      </c>
      <c r="D25" s="1382">
        <f>'Synergies'!$H$48*D17</f>
        <v/>
      </c>
      <c r="E25" s="1382">
        <f>'Synergies'!$H$48*E17</f>
        <v/>
      </c>
      <c r="F25" s="1382">
        <f>'Synergies'!$H$48*F17</f>
        <v/>
      </c>
      <c r="G25" s="1382">
        <f>'Synergies'!$H$48*G17</f>
        <v/>
      </c>
    </row>
    <row r="26" ht="14.25" customHeight="1">
      <c r="B26" s="1383" t="inlineStr">
        <is>
          <t>Less: variable cost / COGS (implied by bottom-up EBIT)</t>
        </is>
      </c>
      <c r="C26" s="1380">
        <f>C25-'Synergies'!$H$49*C17</f>
        <v/>
      </c>
      <c r="D26" s="1380">
        <f>D25-'Synergies'!$H$49*D17</f>
        <v/>
      </c>
      <c r="E26" s="1380">
        <f>E25-'Synergies'!$H$49*E17</f>
        <v/>
      </c>
      <c r="F26" s="1380">
        <f>F25-'Synergies'!$H$49*F17</f>
        <v/>
      </c>
      <c r="G26" s="1380">
        <f>G25-'Synergies'!$H$49*G17</f>
        <v/>
      </c>
    </row>
    <row r="27" ht="14.25" customHeight="1">
      <c r="B27" s="1252" t="inlineStr">
        <is>
          <t>Revenue synergies (EBIT)</t>
        </is>
      </c>
      <c r="C27" s="1384">
        <f>C25-C26</f>
        <v/>
      </c>
      <c r="D27" s="1384">
        <f>D25-D26</f>
        <v/>
      </c>
      <c r="E27" s="1384">
        <f>E25-E26</f>
        <v/>
      </c>
      <c r="F27" s="1384">
        <f>F25-F26</f>
        <v/>
      </c>
      <c r="G27" s="1384">
        <f>G25-G26</f>
        <v/>
      </c>
    </row>
    <row r="28" ht="14.25" customHeight="1">
      <c r="B28" s="1385" t="inlineStr">
        <is>
          <t>Cost synergies — from 'Cost Synergy Bottom-Up'</t>
        </is>
      </c>
      <c r="C28" s="1380">
        <f>'Synergies'!$H$32*C17</f>
        <v/>
      </c>
      <c r="D28" s="1380">
        <f>'Synergies'!$H$32*D17</f>
        <v/>
      </c>
      <c r="E28" s="1380">
        <f>'Synergies'!$H$32*E17</f>
        <v/>
      </c>
      <c r="F28" s="1380">
        <f>'Synergies'!$H$32*F17</f>
        <v/>
      </c>
      <c r="G28" s="1380">
        <f>'Synergies'!$H$32*G17</f>
        <v/>
      </c>
    </row>
    <row r="29" ht="14.25" customHeight="1">
      <c r="B29" s="2070" t="inlineStr">
        <is>
          <t>Recurring pre-tax synergies NET of dissynergies (D3 transitional: yr1–3 only)</t>
        </is>
      </c>
      <c r="C29" s="1380">
        <f>C27+C28+'Synergies'!$H$58*C17-'Dissynergy'!$F$30*1000</f>
        <v/>
      </c>
      <c r="D29" s="1380">
        <f>D27+D28+'Synergies'!$H$58*D17-'Dissynergy'!$F$30*1000</f>
        <v/>
      </c>
      <c r="E29" s="1380">
        <f>E27+E28+'Synergies'!$H$58*E17-'Dissynergy'!$F$30*1000</f>
        <v/>
      </c>
      <c r="F29" s="1380">
        <f>F27+F28+'Synergies'!$H$58*F17-'Dissynergy'!$F$29*1000</f>
        <v/>
      </c>
      <c r="G29" s="1380">
        <f>G27+G28+'Synergies'!$H$58*G17-'Dissynergy'!$F$29*1000</f>
        <v/>
      </c>
    </row>
    <row r="30" ht="14.25" customHeight="1">
      <c r="B30" s="1252" t="inlineStr">
        <is>
          <t>Integration costs (one-time)</t>
        </is>
      </c>
      <c r="C30" s="1384">
        <f>C28*$C$13*(1-C17+0.25)</f>
        <v/>
      </c>
      <c r="D30" s="1384">
        <f>D28*$C$13*(1-D17+0.25)</f>
        <v/>
      </c>
      <c r="E30" s="1384">
        <f>E28*$C$13*(1-E17+0.25)</f>
        <v/>
      </c>
      <c r="F30" s="1384">
        <f>F28*$C$13*(1-F17+0.25)</f>
        <v/>
      </c>
      <c r="G30" s="1384">
        <f>G28*$C$13*(1-G17+0.25)</f>
        <v/>
      </c>
    </row>
    <row r="31" ht="14.25" customHeight="1">
      <c r="B31" s="1252" t="inlineStr">
        <is>
          <t>Pre-tax net synergies</t>
        </is>
      </c>
      <c r="C31" s="1384">
        <f>C29-C30</f>
        <v/>
      </c>
      <c r="D31" s="1384">
        <f>D29-D30</f>
        <v/>
      </c>
      <c r="E31" s="1384">
        <f>E29-E30</f>
        <v/>
      </c>
      <c r="F31" s="1384">
        <f>F29-F30</f>
        <v/>
      </c>
      <c r="G31" s="1384">
        <f>G29-G30</f>
        <v/>
      </c>
    </row>
    <row r="32" ht="14.25" customHeight="1">
      <c r="B32" s="1386" t="inlineStr">
        <is>
          <t>After-tax recurring synergies</t>
        </is>
      </c>
      <c r="C32" s="1384">
        <f>C29*(1-$C$6)</f>
        <v/>
      </c>
      <c r="D32" s="1384">
        <f>D29*(1-$C$6)</f>
        <v/>
      </c>
      <c r="E32" s="1384">
        <f>E29*(1-$C$6)</f>
        <v/>
      </c>
      <c r="F32" s="1384">
        <f>F29*(1-$C$6)</f>
        <v/>
      </c>
      <c r="G32" s="1384">
        <f>G29*(1-$C$6)</f>
        <v/>
      </c>
    </row>
    <row r="33" ht="14.25" customHeight="1">
      <c r="B33" s="1252" t="inlineStr">
        <is>
          <t>After-tax net synergies</t>
        </is>
      </c>
      <c r="C33" s="1384">
        <f>C31*(1-$C$6)</f>
        <v/>
      </c>
      <c r="D33" s="1384">
        <f>D31*(1-$C$6)</f>
        <v/>
      </c>
      <c r="E33" s="1384">
        <f>E31*(1-$C$6)</f>
        <v/>
      </c>
      <c r="F33" s="1384">
        <f>F31*(1-$C$6)</f>
        <v/>
      </c>
      <c r="G33" s="1384">
        <f>G31*(1-$C$6)</f>
        <v/>
      </c>
    </row>
    <row r="34" ht="14.25" customHeight="1">
      <c r="B34" s="1252" t="inlineStr">
        <is>
          <t>Discount factor</t>
        </is>
      </c>
      <c r="C34" s="1270">
        <f>IFERROR(1/(1+$C$7)^(1),0)</f>
        <v/>
      </c>
      <c r="D34" s="1270">
        <f>IFERROR(1/(1+$C$7)^(2),0)</f>
        <v/>
      </c>
      <c r="E34" s="1270">
        <f>IFERROR(1/(1+$C$7)^(3),0)</f>
        <v/>
      </c>
      <c r="F34" s="1270">
        <f>IFERROR(1/(1+$C$7)^(4),0)</f>
        <v/>
      </c>
      <c r="G34" s="1270">
        <f>IFERROR(1/(1+$C$7)^(5),0)</f>
        <v/>
      </c>
    </row>
    <row r="35" ht="14.25" customHeight="1">
      <c r="B35" s="1386" t="inlineStr">
        <is>
          <t>PV of recurring synergies</t>
        </is>
      </c>
      <c r="C35" s="1384">
        <f>C32*C34</f>
        <v/>
      </c>
      <c r="D35" s="1384">
        <f>D32*D34</f>
        <v/>
      </c>
      <c r="E35" s="1384">
        <f>E32*E34</f>
        <v/>
      </c>
      <c r="F35" s="1384">
        <f>F32*F34</f>
        <v/>
      </c>
      <c r="G35" s="1384">
        <f>G32*G34</f>
        <v/>
      </c>
    </row>
    <row r="36" ht="14.25" customHeight="1">
      <c r="B36" s="1252" t="inlineStr">
        <is>
          <t>PV of net synergies</t>
        </is>
      </c>
      <c r="C36" s="1384">
        <f>C33*C34</f>
        <v/>
      </c>
      <c r="D36" s="1384">
        <f>D33*D34</f>
        <v/>
      </c>
      <c r="E36" s="1384">
        <f>E33*E34</f>
        <v/>
      </c>
      <c r="F36" s="1384">
        <f>F33*F34</f>
        <v/>
      </c>
      <c r="G36" s="1384">
        <f>G33*G34</f>
        <v/>
      </c>
    </row>
    <row r="37" ht="14.25" customHeight="1">
      <c r="B37" s="1387" t="inlineStr">
        <is>
          <t xml:space="preserve">  of which: Financing synergy (pre-tax, incl. above)</t>
        </is>
      </c>
      <c r="C37" s="1285">
        <f>'Synergies'!$H$58*C17</f>
        <v/>
      </c>
      <c r="D37" s="1285">
        <f>'Synergies'!$H$58*D17</f>
        <v/>
      </c>
      <c r="E37" s="1285">
        <f>'Synergies'!$H$58*E17</f>
        <v/>
      </c>
      <c r="F37" s="1285">
        <f>'Synergies'!$H$58*F17</f>
        <v/>
      </c>
      <c r="G37" s="1285">
        <f>'Synergies'!$H$58*G17</f>
        <v/>
      </c>
    </row>
    <row r="38" ht="14.25" customHeight="1">
      <c r="B38" s="1371" t="inlineStr">
        <is>
          <t>Synergy terminal value</t>
        </is>
      </c>
    </row>
    <row r="40" ht="14.25" customHeight="1">
      <c r="B40" s="1252" t="inlineStr">
        <is>
          <t>Terminal value - perpetuity</t>
        </is>
      </c>
      <c r="C40" s="1384">
        <f>IFERROR(G32*(1+$C$8)/($C$7-$C$8),0)</f>
        <v/>
      </c>
    </row>
    <row r="41" ht="14.25" customHeight="1">
      <c r="B41" s="1252" t="inlineStr">
        <is>
          <t>PV of terminal value</t>
        </is>
      </c>
      <c r="C41" s="1384">
        <f>C40*G34</f>
        <v/>
      </c>
    </row>
    <row r="42" ht="14.25" customHeight="1">
      <c r="B42" s="1252" t="inlineStr">
        <is>
          <t>Terminal value - exit multiple</t>
        </is>
      </c>
      <c r="C42" s="1384">
        <f>(G27+G28)*$C$9</f>
        <v/>
      </c>
    </row>
    <row r="43" ht="14.25" customHeight="1">
      <c r="B43" s="1252" t="inlineStr">
        <is>
          <t>PV of exit multiple terminal value</t>
        </is>
      </c>
      <c r="C43" s="1384">
        <f>C42*G34</f>
        <v/>
      </c>
    </row>
    <row r="44" ht="14.25" customHeight="1">
      <c r="B44" s="923" t="inlineStr">
        <is>
          <t>Synergy NPV (perpetuity)</t>
        </is>
      </c>
      <c r="C44" s="1384">
        <f>SUM(C35:G35)+C41-SUMPRODUCT(C30:G30*(1-$C$6),C34:G34)</f>
        <v/>
      </c>
    </row>
    <row r="45" ht="14.25" customHeight="1">
      <c r="B45" s="923" t="inlineStr">
        <is>
          <t>Synergy NPV (exit multiple)</t>
        </is>
      </c>
      <c r="C45" s="1384">
        <f>SUM(C35:G35)+C43-SUMPRODUCT(C30:G30*(1-$C$6),C34:G34)</f>
        <v/>
      </c>
    </row>
    <row r="46" ht="14.25" customHeight="1">
      <c r="B46" s="1388" t="inlineStr">
        <is>
          <t>Cost synergy now bottom-up in 'Cost Synergy Bottom-Up'; financing synergy added as a new component from 'Fin Synergy Bottom-Up' (interest saving, in row 29 &amp; 37). Exit-multiple TV intentionally excludes financing.</t>
        </is>
      </c>
    </row>
    <row r="47" ht="14.25" customHeight="1"/>
    <row r="48" ht="14.25" customHeight="1">
      <c r="A48" s="1371" t="inlineStr">
        <is>
          <t>COST SYNERGY BREAKDOWN BY CATEGORY (annual run-rate, Rp bn)</t>
        </is>
      </c>
      <c r="B48" s="857" t="n"/>
      <c r="C48" s="857" t="n"/>
      <c r="D48" s="857" t="n"/>
      <c r="E48" s="857" t="n"/>
      <c r="F48" s="857" t="n"/>
      <c r="G48" s="857" t="n"/>
      <c r="H48" s="857" t="n"/>
      <c r="I48" s="857" t="n"/>
    </row>
    <row r="49" ht="14.25" customHeight="1">
      <c r="A49" s="923" t="inlineStr">
        <is>
          <t>Category</t>
        </is>
      </c>
      <c r="B49" s="923" t="inlineStr">
        <is>
          <t>Driver / basis</t>
        </is>
      </c>
      <c r="C49" s="923" t="inlineStr">
        <is>
          <t>Run-rate</t>
        </is>
      </c>
    </row>
    <row r="50" ht="14.25" customHeight="1">
      <c r="A50" s="1252" t="inlineStr">
        <is>
          <t>1. Tenancy / co-location uplift</t>
        </is>
      </c>
      <c r="B50" s="1252" t="inlineStr">
        <is>
          <t>5,000 FWA sites x Rp3mn/site/mo net x 12</t>
        </is>
      </c>
      <c r="C50" s="1389">
        <f>5000*3*12/1000</f>
        <v/>
      </c>
    </row>
    <row r="51" ht="14.25" customHeight="1">
      <c r="A51" s="1252" t="inlineStr">
        <is>
          <t>2. SG&amp;A consolidation</t>
        </is>
      </c>
      <c r="B51" s="1252" t="inlineStr">
        <is>
          <t>7% of combined SG&amp;A</t>
        </is>
      </c>
      <c r="C51" s="1390">
        <f>0.07*(-'TOWR-3-Statements'!G36-'WIFI 3-Statement Model'!I32)/1000000</f>
        <v/>
      </c>
    </row>
    <row r="52" ht="14.25" customHeight="1">
      <c r="A52" s="1252" t="inlineStr">
        <is>
          <t>3. Financing cost reduction</t>
        </is>
      </c>
      <c r="B52" s="1252" t="inlineStr">
        <is>
          <t>1.5% spread x WIFI debt refinanced</t>
        </is>
      </c>
      <c r="C52" s="1390">
        <f>0.015*('WIFI 3-Statement Model'!H66+'WIFI 3-Statement Model'!H71)/1000000</f>
        <v/>
      </c>
    </row>
    <row r="53" ht="14.25" customHeight="1">
      <c r="A53" s="1252" t="inlineStr">
        <is>
          <t>4. Procurement &amp; backbone integration</t>
        </is>
      </c>
      <c r="B53" s="1252" t="inlineStr">
        <is>
          <t>combined purchasing + fiber backbone</t>
        </is>
      </c>
      <c r="C53" s="1391" t="n">
        <v>30</v>
      </c>
    </row>
    <row r="54" ht="14.25" customHeight="1">
      <c r="A54" s="1392" t="inlineStr">
        <is>
          <t>Total cost-synergy run-rate</t>
        </is>
      </c>
      <c r="B54" s="173" t="n"/>
      <c r="C54" s="1393">
        <f>SUM(C50:C53)</f>
        <v/>
      </c>
      <c r="D54" s="173" t="n"/>
      <c r="E54" s="173" t="n"/>
      <c r="F54" s="173" t="n"/>
    </row>
    <row r="55" ht="14.25" customHeight="1">
      <c r="A55" s="1394" t="inlineStr">
        <is>
          <t>Realization ramp: 25% / 60% / 85% / 100% (Yr1-4)</t>
        </is>
      </c>
    </row>
  </sheetData>
  <mergeCells count="5">
    <mergeCell ref="B5:D5"/>
    <mergeCell ref="B15:I15"/>
    <mergeCell ref="B38:I38"/>
    <mergeCell ref="B46:I47"/>
    <mergeCell ref="B2:I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0"/>
  <sheetViews>
    <sheetView topLeftCell="A21" zoomScaleNormal="100" workbookViewId="0">
      <selection activeCell="C29" sqref="C29"/>
    </sheetView>
  </sheetViews>
  <sheetFormatPr baseColWidth="8" defaultColWidth="8.85546875" defaultRowHeight="14.25"/>
  <cols>
    <col width="3" customWidth="1" style="151" min="1" max="1"/>
    <col width="49.7109375" customWidth="1" style="151" min="2" max="2"/>
    <col width="27.140625" customWidth="1" style="151" min="3" max="3"/>
    <col width="23.7109375" customWidth="1" style="151" min="4" max="8"/>
    <col width="20.42578125" customWidth="1" style="151" min="9" max="11"/>
    <col width="8.85546875" customWidth="1" style="151" min="12" max="16384"/>
  </cols>
  <sheetData>
    <row r="2" ht="14.25" customHeight="1">
      <c r="B2" s="1371" t="inlineStr">
        <is>
          <t>TOWR + WIFI valuation bridge</t>
        </is>
      </c>
    </row>
    <row r="3" ht="14.25" customHeight="1">
      <c r="B3" s="1372" t="inlineStr">
        <is>
          <t>standalone DCF (linked to WIFI VALUATION) + synergy NPV + offer bridge</t>
        </is>
      </c>
    </row>
    <row r="5" ht="14.25" customHeight="1">
      <c r="B5" s="1371" t="inlineStr">
        <is>
          <t>Target standalone DCF</t>
        </is>
      </c>
      <c r="I5" s="1371" t="inlineStr">
        <is>
          <t>Pro forma accretion / dilution</t>
        </is>
      </c>
    </row>
    <row r="6" ht="14.25" customHeight="1">
      <c r="B6" s="1373" t="inlineStr">
        <is>
          <t>Target tax rate</t>
        </is>
      </c>
      <c r="C6" s="1259">
        <f>-'WIFI 3-Statement Model'!H43/'WIFI 3-Statement Model'!H42</f>
        <v/>
      </c>
      <c r="F6" s="895" t="n"/>
    </row>
    <row r="7" ht="14.25" customHeight="1">
      <c r="B7" s="1373" t="inlineStr">
        <is>
          <t>Target WACC</t>
        </is>
      </c>
      <c r="C7" s="1259">
        <f>Synergy_Schedule!C7</f>
        <v/>
      </c>
      <c r="I7" s="923" t="inlineStr">
        <is>
          <t>Buyer standalone EPS</t>
        </is>
      </c>
      <c r="J7" s="1433">
        <f>'Merger-Model'!F60</f>
        <v/>
      </c>
    </row>
    <row r="8" ht="14.25" customHeight="1">
      <c r="B8" s="1373" t="inlineStr">
        <is>
          <t>Terminal growth</t>
        </is>
      </c>
      <c r="C8" s="1259">
        <f>Synergy_Schedule!C8</f>
        <v/>
      </c>
      <c r="F8" s="159" t="n"/>
      <c r="G8" s="1041" t="n"/>
      <c r="I8" s="923" t="inlineStr">
        <is>
          <t>Pro forma combined EPS</t>
        </is>
      </c>
      <c r="J8" s="1433">
        <f>'Merger-Model'!F90</f>
        <v/>
      </c>
    </row>
    <row r="9" ht="14.25" customHeight="1">
      <c r="F9" s="159" t="n"/>
      <c r="G9" s="1041" t="n"/>
      <c r="I9" s="1351" t="inlineStr">
        <is>
          <t>Accretion / dilution %</t>
        </is>
      </c>
      <c r="J9" s="1434">
        <f>'Merger-Model'!F94</f>
        <v/>
      </c>
    </row>
    <row r="10" ht="14.25" customHeight="1">
      <c r="C10" s="1379">
        <f>'WIFI 3-Statement Model'!I2</f>
        <v/>
      </c>
      <c r="D10" s="1379">
        <f>'WIFI 3-Statement Model'!J2</f>
        <v/>
      </c>
      <c r="E10" s="1379">
        <f>'WIFI 3-Statement Model'!K2</f>
        <v/>
      </c>
      <c r="F10" s="1379">
        <f>'WIFI 3-Statement Model'!L2</f>
        <v/>
      </c>
      <c r="G10" s="1379">
        <f>'WIFI 3-Statement Model'!M2</f>
        <v/>
      </c>
      <c r="I10" s="1435" t="inlineStr">
        <is>
          <t>Cash funding %</t>
        </is>
      </c>
      <c r="J10" s="1259">
        <f>'Merger-Model'!F8</f>
        <v/>
      </c>
    </row>
    <row r="11" ht="14.25" customHeight="1">
      <c r="B11" s="1252" t="inlineStr">
        <is>
          <t>Revenue</t>
        </is>
      </c>
      <c r="C11" s="1380">
        <f>IFERROR('WIFI 3-Statement Model'!I28/1000,0)</f>
        <v/>
      </c>
      <c r="D11" s="1380">
        <f>IFERROR('WIFI 3-Statement Model'!J28/1000,0)</f>
        <v/>
      </c>
      <c r="E11" s="1380">
        <f>IFERROR('WIFI 3-Statement Model'!K28/1000,0)</f>
        <v/>
      </c>
      <c r="F11" s="1380">
        <f>IFERROR('WIFI 3-Statement Model'!L28/1000,0)</f>
        <v/>
      </c>
      <c r="G11" s="1380">
        <f>IFERROR('WIFI 3-Statement Model'!M28/1000,0)</f>
        <v/>
      </c>
      <c r="I11" s="1435" t="inlineStr">
        <is>
          <t>Stock funding %</t>
        </is>
      </c>
      <c r="J11" s="1259">
        <f>'Merger-Model'!F10</f>
        <v/>
      </c>
    </row>
    <row r="12" ht="14.25" customHeight="1">
      <c r="B12" s="1252" t="inlineStr">
        <is>
          <t>EBIT</t>
        </is>
      </c>
      <c r="C12" s="1380">
        <f>IFERROR('WIFI 3-Statement Model'!I34/1000,0)</f>
        <v/>
      </c>
      <c r="D12" s="1380">
        <f>IFERROR('WIFI 3-Statement Model'!J34/1000,0)</f>
        <v/>
      </c>
      <c r="E12" s="1380">
        <f>IFERROR('WIFI 3-Statement Model'!K34/1000,0)</f>
        <v/>
      </c>
      <c r="F12" s="1380">
        <f>IFERROR('WIFI 3-Statement Model'!L34/1000,0)</f>
        <v/>
      </c>
      <c r="G12" s="1380">
        <f>IFERROR('WIFI 3-Statement Model'!M34/1000,0)</f>
        <v/>
      </c>
    </row>
    <row r="13" ht="14.25" customHeight="1">
      <c r="B13" s="1252" t="inlineStr">
        <is>
          <t>Tax on EBIT</t>
        </is>
      </c>
      <c r="C13" s="1384">
        <f>C12*$C$6</f>
        <v/>
      </c>
      <c r="D13" s="1384">
        <f>D12*$C$6</f>
        <v/>
      </c>
      <c r="E13" s="1384">
        <f>E12*$C$6</f>
        <v/>
      </c>
      <c r="F13" s="1384">
        <f>F12*$C$6</f>
        <v/>
      </c>
      <c r="G13" s="1384">
        <f>G12*$C$6</f>
        <v/>
      </c>
    </row>
    <row r="14" ht="14.25" customHeight="1">
      <c r="B14" s="1252" t="inlineStr">
        <is>
          <t>NOPAT</t>
        </is>
      </c>
      <c r="C14" s="1384">
        <f>C12-C13</f>
        <v/>
      </c>
      <c r="D14" s="1384">
        <f>D12-D13</f>
        <v/>
      </c>
      <c r="E14" s="1384">
        <f>E12-E13</f>
        <v/>
      </c>
      <c r="F14" s="1384">
        <f>F12-F13</f>
        <v/>
      </c>
      <c r="G14" s="1384">
        <f>G12-G13</f>
        <v/>
      </c>
    </row>
    <row r="15" ht="14.25" customHeight="1">
      <c r="B15" s="1252" t="inlineStr">
        <is>
          <t>Depreciation &amp; amortization</t>
        </is>
      </c>
      <c r="C15" s="1380">
        <f>IFERROR('WIFI 3-Statement Model'!I36/1000,0)</f>
        <v/>
      </c>
      <c r="D15" s="1380">
        <f>IFERROR('WIFI 3-Statement Model'!J36/1000,0)</f>
        <v/>
      </c>
      <c r="E15" s="1380">
        <f>IFERROR('WIFI 3-Statement Model'!K36/1000,0)</f>
        <v/>
      </c>
      <c r="F15" s="1380">
        <f>IFERROR('WIFI 3-Statement Model'!L36/1000,0)</f>
        <v/>
      </c>
      <c r="G15" s="1380">
        <f>IFERROR('WIFI 3-Statement Model'!M36/1000,0)</f>
        <v/>
      </c>
    </row>
    <row r="16" ht="14.25" customHeight="1">
      <c r="B16" s="1252" t="inlineStr">
        <is>
          <t>Capex</t>
        </is>
      </c>
      <c r="C16" s="1380">
        <f>IFERROR('WIFI 3-Statement Model'!I113/1000,0)</f>
        <v/>
      </c>
      <c r="D16" s="1380">
        <f>IFERROR('WIFI 3-Statement Model'!J113/1000,0)</f>
        <v/>
      </c>
      <c r="E16" s="1380">
        <f>IFERROR('WIFI 3-Statement Model'!K113/1000,0)</f>
        <v/>
      </c>
      <c r="F16" s="1380">
        <f>IFERROR('WIFI 3-Statement Model'!L113/1000,0)</f>
        <v/>
      </c>
      <c r="G16" s="1380">
        <f>IFERROR('WIFI 3-Statement Model'!M113/1000,0)</f>
        <v/>
      </c>
    </row>
    <row r="17" ht="14.25" customHeight="1">
      <c r="B17" s="1252" t="inlineStr">
        <is>
          <t>Change in NWC (fixed: WIFI r120, source/(use))</t>
        </is>
      </c>
      <c r="C17" s="1380">
        <f>-IFERROR('WIFI 3-Statement Model'!I120/1000,0)</f>
        <v/>
      </c>
      <c r="D17" s="1380">
        <f>-IFERROR('WIFI 3-Statement Model'!J120/1000,0)</f>
        <v/>
      </c>
      <c r="E17" s="1380">
        <f>-IFERROR('WIFI 3-Statement Model'!K120/1000,0)</f>
        <v/>
      </c>
      <c r="F17" s="1380">
        <f>-IFERROR('WIFI 3-Statement Model'!L120/1000,0)</f>
        <v/>
      </c>
      <c r="G17" s="1380">
        <f>-IFERROR('WIFI 3-Statement Model'!M120/1000,0)</f>
        <v/>
      </c>
    </row>
    <row r="18" ht="14.25" customHeight="1">
      <c r="B18" s="1386" t="inlineStr">
        <is>
          <t>Unlevered FCF</t>
        </is>
      </c>
      <c r="C18" s="1384">
        <f>C14+C15-C16-C17</f>
        <v/>
      </c>
      <c r="D18" s="1384">
        <f>D14+D15-D16-D17</f>
        <v/>
      </c>
      <c r="E18" s="1384">
        <f>E14+E15-E16-E17</f>
        <v/>
      </c>
      <c r="F18" s="1252">
        <f>F14+F15-F16-F17</f>
        <v/>
      </c>
      <c r="G18" s="1384">
        <f>G14+G15-G16-G17</f>
        <v/>
      </c>
    </row>
    <row r="19" ht="14.25" customHeight="1">
      <c r="B19" s="1252" t="inlineStr">
        <is>
          <t>Discount factor</t>
        </is>
      </c>
      <c r="C19" s="1270">
        <f>IFERROR(1/(1+$C$7)^(1),0)</f>
        <v/>
      </c>
      <c r="D19" s="1270">
        <f>IFERROR(1/(1+$C$7)^(2),0)</f>
        <v/>
      </c>
      <c r="E19" s="1270">
        <f>IFERROR(1/(1+$C$7)^(3),0)</f>
        <v/>
      </c>
      <c r="F19" s="1270">
        <f>IFERROR(1/(1+$C$7)^(4),0)</f>
        <v/>
      </c>
      <c r="G19" s="1270">
        <f>IFERROR(1/(1+$C$7)^(5),0)</f>
        <v/>
      </c>
    </row>
    <row r="20" ht="14.25" customHeight="1">
      <c r="B20" s="1386" t="inlineStr">
        <is>
          <t>PV of FCF</t>
        </is>
      </c>
      <c r="C20" s="1384">
        <f>C18*C19</f>
        <v/>
      </c>
      <c r="D20" s="1384">
        <f>D18*D19</f>
        <v/>
      </c>
      <c r="E20" s="1384">
        <f>E18*E19</f>
        <v/>
      </c>
      <c r="F20" s="1384">
        <f>F18*F19</f>
        <v/>
      </c>
      <c r="G20" s="1384">
        <f>G18*G19</f>
        <v/>
      </c>
    </row>
    <row r="22" ht="14.25" customHeight="1">
      <c r="B22" s="1252" t="inlineStr">
        <is>
          <t>Terminal value (reference only - not used; see C24)</t>
        </is>
      </c>
      <c r="C22" s="1384">
        <f>IFERROR(G18*(1+$C$8)/($C$7-$C$8),0)</f>
        <v/>
      </c>
    </row>
    <row r="23" ht="14.25" customHeight="1">
      <c r="B23" s="1252" t="inlineStr">
        <is>
          <t>PV of terminal (reference only)</t>
        </is>
      </c>
      <c r="C23" s="1384">
        <f>C22*G19</f>
        <v/>
      </c>
    </row>
    <row r="24" ht="14.25" customHeight="1">
      <c r="B24" s="1386" t="inlineStr">
        <is>
          <t>Standalone target EV (from WIFI VALUATION, calibrated DCF)</t>
        </is>
      </c>
      <c r="C24" s="1436">
        <f>'WIFI VALUATION'!H22/1000</f>
        <v/>
      </c>
    </row>
    <row r="25" ht="14.25" customHeight="1">
      <c r="B25" s="1252" t="inlineStr">
        <is>
          <t>Less: target cash</t>
        </is>
      </c>
      <c r="C25" s="1380">
        <f>'Merger-Shares-BS'!E16</f>
        <v/>
      </c>
    </row>
    <row r="26" ht="14.25" customHeight="1">
      <c r="B26" s="1252" t="inlineStr">
        <is>
          <t>Plus: target debt</t>
        </is>
      </c>
      <c r="C26" s="1380">
        <f>'Merger-Shares-BS'!E17</f>
        <v/>
      </c>
    </row>
    <row r="27" ht="14.25" customHeight="1">
      <c r="B27" s="1252" t="inlineStr">
        <is>
          <t>Plus: minority interest</t>
        </is>
      </c>
      <c r="C27" s="1380">
        <f>'WIFI VALUATION'!H24/1000</f>
        <v/>
      </c>
    </row>
    <row r="28" ht="14.25" customHeight="1">
      <c r="B28" s="1386" t="inlineStr">
        <is>
          <t>Standalone target equity value</t>
        </is>
      </c>
      <c r="C28" s="1384">
        <f>C24+C25-C26-C27</f>
        <v/>
      </c>
    </row>
    <row r="29" ht="14.25" customHeight="1">
      <c r="B29" s="1252" t="inlineStr">
        <is>
          <t>Implied standalone value / share (IDR)</t>
        </is>
      </c>
      <c r="C29" s="1433">
        <f>IFERROR(C28*1000/Control!$B$17,0)</f>
        <v/>
      </c>
    </row>
    <row r="31" ht="14.25" customHeight="1">
      <c r="B31" s="1252" t="inlineStr">
        <is>
          <t>Offer price / share (IDR)</t>
        </is>
      </c>
      <c r="C31" s="1437">
        <f>Purchase_Price</f>
        <v/>
      </c>
    </row>
    <row r="32" ht="14.25" customHeight="1">
      <c r="B32" s="1252" t="inlineStr">
        <is>
          <t>Offer equity value</t>
        </is>
      </c>
      <c r="C32" s="1380">
        <f>'Merger-Model'!$L$7</f>
        <v/>
      </c>
    </row>
    <row r="33" ht="14.25" customHeight="1">
      <c r="B33" s="1386" t="inlineStr">
        <is>
          <t>Offer enterprise value</t>
        </is>
      </c>
      <c r="C33" s="1380">
        <f>C32+Control!$B$19-Control!$B$18</f>
        <v/>
      </c>
    </row>
    <row r="35" ht="14.25" customHeight="1">
      <c r="B35" s="1252" t="inlineStr">
        <is>
          <t>Synergy NPV (perpetuity)</t>
        </is>
      </c>
      <c r="C35" s="1380">
        <f>Synergy_Schedule!$C$44</f>
        <v/>
      </c>
    </row>
    <row r="36" ht="14.25" customHeight="1">
      <c r="B36" s="1252" t="inlineStr">
        <is>
          <t>Synergy NPV (exit multiple)</t>
        </is>
      </c>
      <c r="C36" s="1380">
        <f>Synergy_Schedule!$C$45</f>
        <v/>
      </c>
    </row>
    <row r="37" ht="14.25" customHeight="1">
      <c r="B37" s="1386" t="inlineStr">
        <is>
          <t>Buyer affordable EV incl. synergies (perpetuity)</t>
        </is>
      </c>
      <c r="C37" s="1384">
        <f>C24+C35</f>
        <v/>
      </c>
    </row>
    <row r="38" ht="14.25" customHeight="1">
      <c r="B38" s="1386" t="inlineStr">
        <is>
          <t>Buyer affordable EV incl. synergies (exit multiple)</t>
        </is>
      </c>
      <c r="C38" s="1384">
        <f>C24+C36</f>
        <v/>
      </c>
    </row>
    <row r="39" ht="14.25" customHeight="1">
      <c r="B39" s="1252" t="inlineStr">
        <is>
          <t>Offer EV premium vs standalone DCF</t>
        </is>
      </c>
      <c r="C39" s="1270">
        <f>IFERROR(C33/C24-1,0)</f>
        <v/>
      </c>
    </row>
    <row r="40" ht="14.25" customHeight="1">
      <c r="B40" s="1252" t="inlineStr">
        <is>
          <t>Offer EV discount/(premium) vs synergy-backed EV</t>
        </is>
      </c>
      <c r="C40" s="1270">
        <f>IFERROR(C33/C37-1,0)</f>
        <v/>
      </c>
    </row>
  </sheetData>
  <mergeCells count="4">
    <mergeCell ref="B5:H5"/>
    <mergeCell ref="B2:H2"/>
    <mergeCell ref="I5:K5"/>
    <mergeCell ref="F6:H6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zoomScaleNormal="100" workbookViewId="0">
      <selection activeCell="A1" sqref="A1"/>
    </sheetView>
  </sheetViews>
  <sheetFormatPr baseColWidth="8" defaultColWidth="8.7109375" defaultRowHeight="14.25"/>
  <cols>
    <col width="2.42578125" customWidth="1" min="1" max="1"/>
    <col width="34" customWidth="1" min="2" max="2"/>
    <col width="58" customWidth="1" min="3" max="3"/>
    <col width="30" customWidth="1" min="4" max="4"/>
  </cols>
  <sheetData>
    <row r="2" ht="24" customHeight="1">
      <c r="B2" s="1395" t="inlineStr">
        <is>
          <t>OJK Regulatory Checklist — Acquisition of a Listed Company</t>
        </is>
      </c>
    </row>
    <row r="3" ht="15" customHeight="1">
      <c r="B3" s="1396" t="inlineStr">
        <is>
          <t>TOWR acquiring 51% of WIFI (Tbk) → change of control. Verified against OJK regulations (see sources).</t>
        </is>
      </c>
    </row>
    <row r="5" ht="15" customHeight="1">
      <c r="B5" s="1438" t="inlineStr">
        <is>
          <t>Regulation / trigger</t>
        </is>
      </c>
      <c r="C5" s="1438" t="inlineStr">
        <is>
          <t>What it requires</t>
        </is>
      </c>
      <c r="D5" s="1438" t="inlineStr">
        <is>
          <t>Impact on this deal</t>
        </is>
      </c>
    </row>
    <row r="6" ht="61.5" customHeight="1">
      <c r="B6" s="1402" t="inlineStr">
        <is>
          <t>POJK 9/POJK.04/2018 — Pengambilalihan (Takeover)</t>
        </is>
      </c>
      <c r="C6" s="1439" t="inlineStr">
        <is>
          <t>Buying &gt;50% voting shares OR gaining control = becoming 'Pengendali' (Art 1(4)). Acquiring 51% triggers a MANDATORY TENDER OFFER (Penawaran Tender Wajib) to all remaining public shareholders.</t>
        </is>
      </c>
      <c r="D6" s="1439" t="inlineStr">
        <is>
          <t>TRIGGERED. TOWR must launch an MTO for the ~49% public float.</t>
        </is>
      </c>
    </row>
    <row r="7" ht="61.5" customHeight="1">
      <c r="B7" s="1402" t="inlineStr">
        <is>
          <t>MTO price floor (POJK 9/2018, Art 17)</t>
        </is>
      </c>
      <c r="C7" s="1439" t="inlineStr">
        <is>
          <t>For listed &amp; liquid shares, MTO price ≥ the HIGHER of: (a) the acquisition price paid for control, or (b) the average of the highest daily prices over the 90 days before announcement.</t>
        </is>
      </c>
      <c r="D7" s="1439" t="inlineStr">
        <is>
          <t>Offer @35% = Rp2.822 &gt; 90-day high (~Rp2.530), so the acquisition price sets the floor. TOWR must pay Rp2.822 to ALL tendering public holders — a higher premium raises total cash sharply.</t>
        </is>
      </c>
    </row>
    <row r="8" ht="61.5" customHeight="1">
      <c r="B8" s="1402" t="inlineStr">
        <is>
          <t>MTO timeline (POJK 9/2018, Art 7/14/16)</t>
        </is>
      </c>
      <c r="C8" s="1439" t="inlineStr">
        <is>
          <t>Announce in a newspaper + file with OJK (Art 7); 30-day offer period (Art 14); settle within 12 days; report results to OJK within 5 days (Art 16).</t>
        </is>
      </c>
      <c r="D8" s="1439" t="inlineStr">
        <is>
          <t>Plan announcement + 30-day tender window into the deal timetable.</t>
        </is>
      </c>
    </row>
    <row r="9" ht="61.5" customHeight="1">
      <c r="B9" s="1402" t="inlineStr">
        <is>
          <t>Refloat requirement (POJK 9/2018, Art 21)</t>
        </is>
      </c>
      <c r="C9" s="1439" t="inlineStr">
        <is>
          <t>If after the MTO the controller holds &gt;80% of capital, it must divest so the public again holds ≥20%, within a maximum of 2 years.</t>
        </is>
      </c>
      <c r="D9" s="1439" t="inlineStr">
        <is>
          <t>If take-up is high, TOWR may need to sell down to keep ≥20% public float within 2 years.</t>
        </is>
      </c>
    </row>
    <row r="10" ht="61.5" customHeight="1">
      <c r="B10" s="1402" t="inlineStr">
        <is>
          <t>POJK 17/POJK.04/2020 — Transaksi Material</t>
        </is>
      </c>
      <c r="C10" s="1439" t="inlineStr">
        <is>
          <t>Transaction value ≥20% of equity → public disclosure + independent appraiser (KJPP) report. &gt;50% → also independent-shareholder RUPS approval.</t>
        </is>
      </c>
      <c r="D10" s="1439" t="inlineStr">
        <is>
          <t>The WIFI stake is material for TOWR → disclosure + KJPP fairness opinion required (RUPS if it crosses 50% of TOWR equity).</t>
        </is>
      </c>
    </row>
    <row r="11" ht="61.5" customHeight="1">
      <c r="B11" s="1402" t="inlineStr">
        <is>
          <t>POJK 42/POJK.04/2020 — Transaksi Afiliasi / Benturan Kepentingan</t>
        </is>
      </c>
      <c r="C11" s="1439" t="inlineStr">
        <is>
          <t>If buyer &amp; target are affiliated or a conflict of interest exists: independent appraiser fairness opinion + disclosure + independent-shareholder approval. Exempt if &lt;0.5% of paid-up capital or &lt;Rp5bn.</t>
        </is>
      </c>
      <c r="D11" s="1439" t="inlineStr">
        <is>
          <t>Check TOWR–WIFI affiliation (common controllers). If affiliated → independent RUPS + KJPP fairness opinion needed.</t>
        </is>
      </c>
    </row>
    <row r="12" ht="61.5" customHeight="1">
      <c r="B12" s="1402" t="inlineStr">
        <is>
          <t>Independent appraiser (KJPP)</t>
        </is>
      </c>
      <c r="C12" s="1439" t="inlineStr">
        <is>
          <t>A registered valuer must issue a valuation &amp; fairness opinion supporting the offer price for MTO / material / affiliated transactions.</t>
        </is>
      </c>
      <c r="D12" s="1439" t="inlineStr">
        <is>
          <t>This football field + valuation supports the fairness opinion; a licensed KJPP must formally sign off.</t>
        </is>
      </c>
    </row>
    <row r="14" ht="39.75" customHeight="1">
      <c r="B14" s="1440" t="inlineStr">
        <is>
          <t>Key takeaway for offer price: because the MTO floor = the control-acquisition price extended to the full 49% public float, every extra point of premium is paid on ~100% of shares, not just the 51% block. This is a strong reason to keep the premium disciplined (≈35%) rather than pushing toward the blended ceiling (~73%).</t>
        </is>
      </c>
    </row>
    <row r="15" ht="15" customHeight="1"/>
    <row r="17" ht="15" customHeight="1">
      <c r="B17" s="1385" t="inlineStr">
        <is>
          <t>Sources</t>
        </is>
      </c>
    </row>
    <row r="18" ht="15" customHeight="1">
      <c r="B18" s="1441" t="inlineStr">
        <is>
          <t>•  POJK No. 9/POJK.04/2018 — Pengambilalihan Perusahaan Terbuka (ojk.go.id, full text PDF)</t>
        </is>
      </c>
    </row>
    <row r="19" ht="15" customHeight="1">
      <c r="B19" s="1441" t="inlineStr">
        <is>
          <t>•  POJK No. 17/POJK.04/2020 — Transaksi Material dan Perubahan Kegiatan Usaha</t>
        </is>
      </c>
    </row>
    <row r="20" ht="15" customHeight="1">
      <c r="B20" s="1441" t="inlineStr">
        <is>
          <t>•  POJK No. 42/POJK.04/2020 — Transaksi Afiliasi dan Transaksi Benturan Kepentingan</t>
        </is>
      </c>
    </row>
  </sheetData>
  <mergeCells count="6">
    <mergeCell ref="B3:D3"/>
    <mergeCell ref="B19:D19"/>
    <mergeCell ref="B14:D15"/>
    <mergeCell ref="B18:D18"/>
    <mergeCell ref="B2:D2"/>
    <mergeCell ref="B20:D20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zoomScaleNormal="100" workbookViewId="0">
      <selection activeCell="G17" sqref="G17"/>
    </sheetView>
  </sheetViews>
  <sheetFormatPr baseColWidth="8" defaultColWidth="8.7109375" defaultRowHeight="14.25"/>
  <cols>
    <col width="2.42578125" customWidth="1" min="1" max="1"/>
    <col width="30" customWidth="1" min="2" max="2"/>
    <col width="12" customWidth="1" min="3" max="5"/>
    <col width="14" customWidth="1" min="6" max="6"/>
    <col width="40" customWidth="1" min="7" max="7"/>
  </cols>
  <sheetData>
    <row r="2" ht="24" customHeight="1">
      <c r="B2" s="1395" t="inlineStr">
        <is>
          <t>WIFI (Surge) — Valuation Football Field vs Offer Price</t>
        </is>
      </c>
    </row>
    <row r="3" ht="15" customHeight="1">
      <c r="B3" s="1396" t="inlineStr">
        <is>
          <t>Implied value per WIFI share (IDR). Low–Base = coklat muda · Base–High = coklat tua. Ties to the recommended 35% offer / MTO floor.</t>
        </is>
      </c>
    </row>
    <row r="5" ht="15" customHeight="1">
      <c r="B5" s="1438" t="inlineStr">
        <is>
          <t>Valuation method</t>
        </is>
      </c>
      <c r="C5" s="1438" t="inlineStr">
        <is>
          <t>Low</t>
        </is>
      </c>
      <c r="D5" s="1438" t="inlineStr">
        <is>
          <t>Base</t>
        </is>
      </c>
      <c r="E5" s="1438" t="inlineStr">
        <is>
          <t>High</t>
        </is>
      </c>
      <c r="F5" s="1438" t="inlineStr">
        <is>
          <t>Base vs market</t>
        </is>
      </c>
      <c r="G5" s="1438" t="inlineStr">
        <is>
          <t>Source / note</t>
        </is>
      </c>
    </row>
    <row r="6" ht="15" customHeight="1">
      <c r="B6" s="1442" t="inlineStr">
        <is>
          <t>52-week trading range</t>
        </is>
      </c>
      <c r="C6" s="1428" t="n">
        <v>1365</v>
      </c>
      <c r="D6" s="1443" t="n">
        <v>2090</v>
      </c>
      <c r="E6" s="1428" t="n">
        <v>4250</v>
      </c>
      <c r="F6" s="1444">
        <f>D6/2090-1</f>
        <v/>
      </c>
      <c r="G6" s="1445" t="inlineStr">
        <is>
          <t>WIFI BETA daily price, last 52 weeks</t>
        </is>
      </c>
    </row>
    <row r="7" ht="15" customHeight="1">
      <c r="B7" s="1442" t="inlineStr">
        <is>
          <t>Relative — P/E peers</t>
        </is>
      </c>
      <c r="C7" s="1428" t="n">
        <v>1320</v>
      </c>
      <c r="D7" s="1443" t="n">
        <v>1782</v>
      </c>
      <c r="E7" s="1428" t="n">
        <v>2353</v>
      </c>
      <c r="F7" s="1444">
        <f>D7/2090-1</f>
        <v/>
      </c>
      <c r="G7" s="1445" t="inlineStr">
        <is>
          <t>Comparable sheet: Worst/Base/Best (G53:G55)</t>
        </is>
      </c>
    </row>
    <row r="8" ht="15" customHeight="1">
      <c r="B8" s="1442" t="inlineStr">
        <is>
          <t>Relative — EV/EBITDA peers</t>
        </is>
      </c>
      <c r="C8" s="1428" t="n">
        <v>1940</v>
      </c>
      <c r="D8" s="1443" t="n">
        <v>2795</v>
      </c>
      <c r="E8" s="1428" t="n">
        <v>4785</v>
      </c>
      <c r="F8" s="1444">
        <f>D8/2090-1</f>
        <v/>
      </c>
      <c r="G8" s="1445" t="inlineStr">
        <is>
          <t>Comparable sheet: Worst/Base/Best (E53:E55)</t>
        </is>
      </c>
    </row>
    <row r="9" ht="15" customHeight="1">
      <c r="B9" s="1442" t="inlineStr">
        <is>
          <t>Relative — P/BV peers</t>
        </is>
      </c>
      <c r="C9" s="1428" t="n">
        <v>2028</v>
      </c>
      <c r="D9" s="1443" t="n">
        <v>2475</v>
      </c>
      <c r="E9" s="1428" t="n">
        <v>4675</v>
      </c>
      <c r="F9" s="1444">
        <f>D9/2090-1</f>
        <v/>
      </c>
      <c r="G9" s="1445" t="inlineStr">
        <is>
          <t>Comparable sheet: Worst/Base/Best (F53:F55)</t>
        </is>
      </c>
    </row>
    <row r="10" ht="15" customHeight="1">
      <c r="B10" s="1442" t="inlineStr">
        <is>
          <t>Sum-of-the-Parts (SOTP)</t>
        </is>
      </c>
      <c r="C10" s="1428" t="n">
        <v>3082</v>
      </c>
      <c r="D10" s="1443" t="n">
        <v>3424</v>
      </c>
      <c r="E10" s="1428" t="n">
        <v>3767</v>
      </c>
      <c r="F10" s="1444">
        <f>D10/2090-1</f>
        <v/>
      </c>
      <c r="G10" s="1445" t="inlineStr">
        <is>
          <t>WIFI SOTP base Rp3,424 ± ~10% band</t>
        </is>
      </c>
    </row>
    <row r="11" ht="15" customHeight="1">
      <c r="B11" s="1442" t="inlineStr">
        <is>
          <t>DCF (WACC 9–11%)</t>
        </is>
      </c>
      <c r="C11" s="1428" t="n">
        <v>3299</v>
      </c>
      <c r="D11" s="1443" t="n">
        <v>3666</v>
      </c>
      <c r="E11" s="1428" t="n">
        <v>4106</v>
      </c>
      <c r="F11" s="1444">
        <f>D11/2090-1</f>
        <v/>
      </c>
      <c r="G11" s="1445" t="inlineStr">
        <is>
          <t>WIFI VALUATION base Rp3,666; WACC sensitivity band</t>
        </is>
      </c>
    </row>
    <row r="12" ht="15" customHeight="1">
      <c r="B12" s="1442" t="inlineStr">
        <is>
          <t>Blended target</t>
        </is>
      </c>
      <c r="C12" s="1428" t="n">
        <v>3295</v>
      </c>
      <c r="D12" s="1443" t="n">
        <v>3619</v>
      </c>
      <c r="E12" s="1428" t="n">
        <v>3666</v>
      </c>
      <c r="F12" s="1444">
        <f>D12/2090-1</f>
        <v/>
      </c>
      <c r="G12" s="1445" t="inlineStr">
        <is>
          <t>WIFI BLENDED: simple avg / weighted / top method</t>
        </is>
      </c>
    </row>
    <row r="13" ht="15" customHeight="1">
      <c r="B13" s="1442" t="inlineStr">
        <is>
          <t>Precedent (Indo→intl fiber)</t>
        </is>
      </c>
      <c r="C13" s="1428" t="n">
        <v>2900</v>
      </c>
      <c r="D13" s="1443" t="n">
        <v>4847</v>
      </c>
      <c r="E13" s="1428" t="n">
        <v>6794</v>
      </c>
      <c r="F13" s="1444">
        <f>D13/2090-1</f>
        <v/>
      </c>
      <c r="G13" s="1445" t="inlineStr">
        <is>
          <t>OUTLIER, 10% weight — intl EV/homepass (Verizon/AT&amp;T). Verify.</t>
        </is>
      </c>
    </row>
    <row r="15" ht="15" customHeight="1">
      <c r="B15" s="1446" t="inlineStr">
        <is>
          <t>Offer-price references</t>
        </is>
      </c>
    </row>
    <row r="16" ht="15" customHeight="1">
      <c r="B16" s="1438" t="inlineStr">
        <is>
          <t>Reference</t>
        </is>
      </c>
      <c r="C16" s="1438" t="inlineStr">
        <is>
          <t>Rp/share</t>
        </is>
      </c>
      <c r="D16" s="1438" t="inlineStr">
        <is>
          <t>Premium vs market</t>
        </is>
      </c>
    </row>
    <row r="17" ht="15" customHeight="1">
      <c r="B17" s="1442" t="inlineStr">
        <is>
          <t>Market price (21 Aug)</t>
        </is>
      </c>
      <c r="C17" s="1428" t="n">
        <v>2090</v>
      </c>
      <c r="D17" s="1444">
        <f>C17/2090-1</f>
        <v/>
      </c>
    </row>
    <row r="18" ht="15" customHeight="1">
      <c r="B18" s="1447" t="inlineStr">
        <is>
          <t>Recommended offer @35% = MTO floor</t>
        </is>
      </c>
      <c r="C18" s="1443" t="n">
        <v>2822</v>
      </c>
      <c r="D18" s="1444">
        <f>C18/2090-1</f>
        <v/>
      </c>
    </row>
    <row r="19" ht="15" customHeight="1">
      <c r="B19" s="1442" t="inlineStr">
        <is>
          <t>Blended fair value (ceiling)</t>
        </is>
      </c>
      <c r="C19" s="1428" t="n">
        <v>3619</v>
      </c>
      <c r="D19" s="1444">
        <f>C19/2090-1</f>
        <v/>
      </c>
    </row>
    <row r="21" ht="43.5" customHeight="1">
      <c r="B21" s="1432" t="inlineStr">
        <is>
          <t>Reading: at 35% premium (Rp2.822) the offer sits ABOVE market and the relative-multiple base cases (P/E, EV/EBITDA, P/BV) but BELOW the intrinsic methods (SOTP, DCF, blended Rp3.619) — a real premium to holders with a margin of safety for TOWR. Under POJK 9/2018 this offer price also becomes the Mandatory Tender Offer floor extended to ALL public shareholders (see OJK Compliance tab).</t>
        </is>
      </c>
    </row>
    <row r="22" ht="15" customHeight="1"/>
    <row r="23" ht="15" customHeight="1"/>
  </sheetData>
  <mergeCells count="3">
    <mergeCell ref="B3:G3"/>
    <mergeCell ref="B2:G2"/>
    <mergeCell ref="B21:G23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48"/>
  <sheetViews>
    <sheetView zoomScaleNormal="100" workbookViewId="0">
      <selection activeCell="F13" sqref="F13"/>
    </sheetView>
  </sheetViews>
  <sheetFormatPr baseColWidth="8" defaultColWidth="8.85546875" defaultRowHeight="14.25"/>
  <cols>
    <col width="3" customWidth="1" style="151" min="1" max="1"/>
    <col width="34" customWidth="1" style="151" min="2" max="2"/>
    <col width="21.85546875" customWidth="1" style="151" min="3" max="3"/>
    <col width="12" customWidth="1" style="151" min="4" max="10"/>
    <col width="8.85546875" customWidth="1" style="151" min="11" max="16384"/>
  </cols>
  <sheetData>
    <row r="2" ht="15" customHeight="1">
      <c r="B2" s="1371" t="inlineStr">
        <is>
          <t>TOWR + WIFI accretion / dilution sensitivities</t>
        </is>
      </c>
    </row>
    <row r="3" ht="15" customHeight="1">
      <c r="B3" s="1372" t="inlineStr">
        <is>
          <t>formula-based tables; no fragile Excel data tables</t>
        </is>
      </c>
    </row>
    <row r="5" ht="15" customHeight="1">
      <c r="B5" s="923" t="inlineStr">
        <is>
          <t>Base buyer pre-tax income</t>
        </is>
      </c>
      <c r="C5" s="1285">
        <f>IFERROR('TOWR-3-Statements'!G48/1000,0)</f>
        <v/>
      </c>
    </row>
    <row r="6" ht="15" customHeight="1">
      <c r="B6" s="923" t="inlineStr">
        <is>
          <t>Base seller pre-tax income</t>
        </is>
      </c>
      <c r="C6" s="1285">
        <f>IFERROR('WIFI 3-Statement Model'!H42/1000,0)</f>
        <v/>
      </c>
    </row>
    <row r="7" ht="15" customHeight="1">
      <c r="B7" s="923" t="inlineStr">
        <is>
          <t>Buyer tax rate</t>
        </is>
      </c>
      <c r="C7" s="1259">
        <f>Control!$B$11</f>
        <v/>
      </c>
    </row>
    <row r="8" ht="15" customHeight="1">
      <c r="B8" s="923" t="inlineStr">
        <is>
          <t>Buyer shares (000)</t>
        </is>
      </c>
      <c r="C8" s="1256">
        <f>Control!$B$5</f>
        <v/>
      </c>
    </row>
    <row r="9" ht="15" customHeight="1">
      <c r="B9" s="923" t="inlineStr">
        <is>
          <t>Seller shares (000)</t>
        </is>
      </c>
      <c r="C9" s="1256">
        <f>Control!$B$17</f>
        <v/>
      </c>
    </row>
    <row r="10" ht="15" customHeight="1">
      <c r="B10" s="923" t="inlineStr">
        <is>
          <t>Buyer share price</t>
        </is>
      </c>
      <c r="C10" s="1256">
        <f>Control!$B$4</f>
        <v/>
      </c>
    </row>
    <row r="11" ht="15" customHeight="1">
      <c r="B11" s="923" t="inlineStr">
        <is>
          <t>Cash funding %</t>
        </is>
      </c>
      <c r="C11" s="1259">
        <f>'Merger-Model'!$F$8</f>
        <v/>
      </c>
    </row>
    <row r="12" ht="15" customHeight="1">
      <c r="B12" s="923" t="inlineStr">
        <is>
          <t>Debt funding %</t>
        </is>
      </c>
      <c r="C12" s="1259">
        <f>'Merger-Model'!$F$9</f>
        <v/>
      </c>
    </row>
    <row r="13" ht="15" customHeight="1">
      <c r="B13" s="923" t="inlineStr">
        <is>
          <t>Stock funding %</t>
        </is>
      </c>
      <c r="C13" s="1259">
        <f>'Merger-Model'!$F$10</f>
        <v/>
      </c>
    </row>
    <row r="14" ht="15" customHeight="1">
      <c r="B14" s="923" t="inlineStr">
        <is>
          <t>Foregone cash rate</t>
        </is>
      </c>
      <c r="C14" s="1259">
        <f>Control!$B$12</f>
        <v/>
      </c>
    </row>
    <row r="15" ht="15" customHeight="1">
      <c r="B15" s="923" t="inlineStr">
        <is>
          <t>Debt rate</t>
        </is>
      </c>
      <c r="C15" s="1259">
        <f>Control!$B$13</f>
        <v/>
      </c>
    </row>
    <row r="16" ht="15" customHeight="1">
      <c r="B16" s="923" t="inlineStr">
        <is>
          <t>Seller 2026 revenue</t>
        </is>
      </c>
      <c r="C16" s="1285">
        <f>IFERROR('WIFI 3-Statement Model'!I28/1000,0)</f>
        <v/>
      </c>
    </row>
    <row r="17" ht="15" customHeight="1">
      <c r="B17" s="923" t="inlineStr">
        <is>
          <t>Seller 2026 OpEx ex D&amp;A</t>
        </is>
      </c>
      <c r="C17" s="1285">
        <f>IFERROR(-('WIFI 3-Statement Model'!I32+'WIFI 3-Statement Model'!I33)/1000,0)</f>
        <v/>
      </c>
    </row>
    <row r="18" ht="14.25" customHeight="1">
      <c r="B18" s="934" t="inlineStr">
        <is>
          <t>Blended rev-synergy margin (data-linked)</t>
        </is>
      </c>
      <c r="C18" s="1448">
        <f>'Synergies'!J45/'Synergies'!H45</f>
        <v/>
      </c>
      <c r="D18" s="1449" t="inlineStr">
        <is>
          <t>EBIT ÷ gross rev (margin segmen aktual — ganti 60% legacy)</t>
        </is>
      </c>
    </row>
    <row r="20" ht="15" customHeight="1">
      <c r="B20" s="1371" t="inlineStr">
        <is>
          <t>2026 EPS accretion / dilution: purchase premium vs cost synergies</t>
        </is>
      </c>
    </row>
    <row r="22" ht="15" customHeight="1">
      <c r="B22" s="923" t="inlineStr">
        <is>
          <t>Cost synergy %</t>
        </is>
      </c>
      <c r="D22" s="1450" t="n">
        <v>0.1</v>
      </c>
      <c r="E22" s="1450" t="n">
        <v>0.2</v>
      </c>
      <c r="F22" s="1450" t="n">
        <v>0.3</v>
      </c>
      <c r="G22" s="1450" t="n">
        <v>0.4</v>
      </c>
      <c r="H22" s="1450" t="n">
        <v>0.5</v>
      </c>
    </row>
    <row r="23" ht="15" customHeight="1">
      <c r="B23" s="1450" t="n">
        <v>0</v>
      </c>
      <c r="D23" s="1259">
        <f>IFERROR((((((($C$5+$C$6+($C$17*$B23))*(1-$C$7)-((Control!$B$16*(1+D$22)*Control!$B$17/1000)*$C$11*$C$14)-((Control!$B$16*(1+D$22)*Control!$B$17/1000)*$C$12*$C$15))/($C$8+((Control!$B$16*(1+D$22)*Control!$B$17/1000)*$C$13/Control!$B$4*1000)))*1000)-'Merger-Model'!F60)/'Merger-Model'!F60),0)</f>
        <v/>
      </c>
      <c r="E23" s="1259">
        <f>IFERROR((((((($C$5+$C$6+($C$17*$B23))*(1-$C$7)-((Control!$B$16*(1+E$22)*Control!$B$17/1000)*$C$11*$C$14)-((Control!$B$16*(1+E$22)*Control!$B$17/1000)*$C$12*$C$15))/($C$8+((Control!$B$16*(1+E$22)*Control!$B$17/1000)*$C$13/Control!$B$4*1000)))*1000)-'Merger-Model'!F60)/'Merger-Model'!F60),0)</f>
        <v/>
      </c>
      <c r="F23" s="1259">
        <f>IFERROR((((((($C$5+$C$6+($C$17*$B23))*(1-$C$7)-((Control!$B$16*(1+F$22)*Control!$B$17/1000)*$C$11*$C$14)-((Control!$B$16*(1+F$22)*Control!$B$17/1000)*$C$12*$C$15))/($C$8+((Control!$B$16*(1+F$22)*Control!$B$17/1000)*$C$13/Control!$B$4*1000)))*1000)-'Merger-Model'!F60)/'Merger-Model'!F60),0)</f>
        <v/>
      </c>
      <c r="G23" s="1259">
        <f>IFERROR((((((($C$5+$C$6+($C$17*$B23))*(1-$C$7)-((Control!$B$16*(1+G$22)*Control!$B$17/1000)*$C$11*$C$14)-((Control!$B$16*(1+G$22)*Control!$B$17/1000)*$C$12*$C$15))/($C$8+((Control!$B$16*(1+G$22)*Control!$B$17/1000)*$C$13/Control!$B$4*1000)))*1000)-'Merger-Model'!F60)/'Merger-Model'!F60),0)</f>
        <v/>
      </c>
      <c r="H23" s="1259">
        <f>IFERROR((((((($C$5+$C$6+($C$17*$B23))*(1-$C$7)-((Control!$B$16*(1+H$22)*Control!$B$17/1000)*$C$11*$C$14)-((Control!$B$16*(1+H$22)*Control!$B$17/1000)*$C$12*$C$15))/($C$8+((Control!$B$16*(1+H$22)*Control!$B$17/1000)*$C$13/Control!$B$4*1000)))*1000)-'Merger-Model'!F60)/'Merger-Model'!F60),0)</f>
        <v/>
      </c>
    </row>
    <row r="24" ht="15" customHeight="1">
      <c r="B24" s="1450" t="n">
        <v>0.025</v>
      </c>
      <c r="D24" s="1259">
        <f>IFERROR((((((($C$5+$C$6+($C$17*$B24))*(1-$C$7)-((Control!$B$16*(1+D$22)*Control!$B$17/1000)*$C$11*$C$14)-((Control!$B$16*(1+D$22)*Control!$B$17/1000)*$C$12*$C$15))/($C$8+((Control!$B$16*(1+D$22)*Control!$B$17/1000)*$C$13/Control!$B$4*1000)))*1000)-'Merger-Model'!F60)/'Merger-Model'!F60),0)</f>
        <v/>
      </c>
      <c r="E24" s="1259">
        <f>IFERROR((((((($C$5+$C$6+($C$17*$B24))*(1-$C$7)-((Control!$B$16*(1+E$22)*Control!$B$17/1000)*$C$11*$C$14)-((Control!$B$16*(1+E$22)*Control!$B$17/1000)*$C$12*$C$15))/($C$8+((Control!$B$16*(1+E$22)*Control!$B$17/1000)*$C$13/Control!$B$4*1000)))*1000)-'Merger-Model'!F60)/'Merger-Model'!F60),0)</f>
        <v/>
      </c>
      <c r="F24" s="1259">
        <f>IFERROR((((((($C$5+$C$6+($C$17*$B24))*(1-$C$7)-((Control!$B$16*(1+F$22)*Control!$B$17/1000)*$C$11*$C$14)-((Control!$B$16*(1+F$22)*Control!$B$17/1000)*$C$12*$C$15))/($C$8+((Control!$B$16*(1+F$22)*Control!$B$17/1000)*$C$13/Control!$B$4*1000)))*1000)-'Merger-Model'!F60)/'Merger-Model'!F60),0)</f>
        <v/>
      </c>
      <c r="G24" s="1259">
        <f>IFERROR((((((($C$5+$C$6+($C$17*$B24))*(1-$C$7)-((Control!$B$16*(1+G$22)*Control!$B$17/1000)*$C$11*$C$14)-((Control!$B$16*(1+G$22)*Control!$B$17/1000)*$C$12*$C$15))/($C$8+((Control!$B$16*(1+G$22)*Control!$B$17/1000)*$C$13/Control!$B$4*1000)))*1000)-'Merger-Model'!F60)/'Merger-Model'!F60),0)</f>
        <v/>
      </c>
      <c r="H24" s="1259">
        <f>IFERROR((((((($C$5+$C$6+($C$17*$B24))*(1-$C$7)-((Control!$B$16*(1+H$22)*Control!$B$17/1000)*$C$11*$C$14)-((Control!$B$16*(1+H$22)*Control!$B$17/1000)*$C$12*$C$15))/($C$8+((Control!$B$16*(1+H$22)*Control!$B$17/1000)*$C$13/Control!$B$4*1000)))*1000)-'Merger-Model'!F60)/'Merger-Model'!F60),0)</f>
        <v/>
      </c>
    </row>
    <row r="25" ht="15" customHeight="1">
      <c r="B25" s="1450" t="n">
        <v>0.05</v>
      </c>
      <c r="D25" s="1259">
        <f>IFERROR((((((($C$5+$C$6+($C$17*$B25))*(1-$C$7)-((Control!$B$16*(1+D$22)*Control!$B$17/1000)*$C$11*$C$14)-((Control!$B$16*(1+D$22)*Control!$B$17/1000)*$C$12*$C$15))/($C$8+((Control!$B$16*(1+D$22)*Control!$B$17/1000)*$C$13/Control!$B$4*1000)))*1000)-'Merger-Model'!F60)/'Merger-Model'!F60),0)</f>
        <v/>
      </c>
      <c r="E25" s="1259">
        <f>IFERROR((((((($C$5+$C$6+($C$17*$B25))*(1-$C$7)-((Control!$B$16*(1+E$22)*Control!$B$17/1000)*$C$11*$C$14)-((Control!$B$16*(1+E$22)*Control!$B$17/1000)*$C$12*$C$15))/($C$8+((Control!$B$16*(1+E$22)*Control!$B$17/1000)*$C$13/Control!$B$4*1000)))*1000)-'Merger-Model'!F60)/'Merger-Model'!F60),0)</f>
        <v/>
      </c>
      <c r="F25" s="1259">
        <f>IFERROR((((((($C$5+$C$6+($C$17*$B25))*(1-$C$7)-((Control!$B$16*(1+F$22)*Control!$B$17/1000)*$C$11*$C$14)-((Control!$B$16*(1+F$22)*Control!$B$17/1000)*$C$12*$C$15))/($C$8+((Control!$B$16*(1+F$22)*Control!$B$17/1000)*$C$13/Control!$B$4*1000)))*1000)-'Merger-Model'!F60)/'Merger-Model'!F60),0)</f>
        <v/>
      </c>
      <c r="G25" s="1259">
        <f>IFERROR((((((($C$5+$C$6+($C$17*$B25))*(1-$C$7)-((Control!$B$16*(1+G$22)*Control!$B$17/1000)*$C$11*$C$14)-((Control!$B$16*(1+G$22)*Control!$B$17/1000)*$C$12*$C$15))/($C$8+((Control!$B$16*(1+G$22)*Control!$B$17/1000)*$C$13/Control!$B$4*1000)))*1000)-'Merger-Model'!F60)/'Merger-Model'!F60),0)</f>
        <v/>
      </c>
      <c r="H25" s="1259">
        <f>IFERROR((((((($C$5+$C$6+($C$17*$B25))*(1-$C$7)-((Control!$B$16*(1+H$22)*Control!$B$17/1000)*$C$11*$C$14)-((Control!$B$16*(1+H$22)*Control!$B$17/1000)*$C$12*$C$15))/($C$8+((Control!$B$16*(1+H$22)*Control!$B$17/1000)*$C$13/Control!$B$4*1000)))*1000)-'Merger-Model'!F60)/'Merger-Model'!F60),0)</f>
        <v/>
      </c>
    </row>
    <row r="26" ht="15" customHeight="1">
      <c r="B26" s="1450" t="n">
        <v>0.075</v>
      </c>
      <c r="D26" s="1259">
        <f>IFERROR((((((($C$5+$C$6+($C$17*$B26))*(1-$C$7)-((Control!$B$16*(1+D$22)*Control!$B$17/1000)*$C$11*$C$14)-((Control!$B$16*(1+D$22)*Control!$B$17/1000)*$C$12*$C$15))/($C$8+((Control!$B$16*(1+D$22)*Control!$B$17/1000)*$C$13/Control!$B$4*1000)))*1000)-'Merger-Model'!F60)/'Merger-Model'!F60),0)</f>
        <v/>
      </c>
      <c r="E26" s="1259">
        <f>IFERROR((((((($C$5+$C$6+($C$17*$B26))*(1-$C$7)-((Control!$B$16*(1+E$22)*Control!$B$17/1000)*$C$11*$C$14)-((Control!$B$16*(1+E$22)*Control!$B$17/1000)*$C$12*$C$15))/($C$8+((Control!$B$16*(1+E$22)*Control!$B$17/1000)*$C$13/Control!$B$4*1000)))*1000)-'Merger-Model'!F60)/'Merger-Model'!F60),0)</f>
        <v/>
      </c>
      <c r="F26" s="1259">
        <f>IFERROR((((((($C$5+$C$6+($C$17*$B26))*(1-$C$7)-((Control!$B$16*(1+F$22)*Control!$B$17/1000)*$C$11*$C$14)-((Control!$B$16*(1+F$22)*Control!$B$17/1000)*$C$12*$C$15))/($C$8+((Control!$B$16*(1+F$22)*Control!$B$17/1000)*$C$13/Control!$B$4*1000)))*1000)-'Merger-Model'!F60)/'Merger-Model'!F60),0)</f>
        <v/>
      </c>
      <c r="G26" s="1259">
        <f>IFERROR((((((($C$5+$C$6+($C$17*$B26))*(1-$C$7)-((Control!$B$16*(1+G$22)*Control!$B$17/1000)*$C$11*$C$14)-((Control!$B$16*(1+G$22)*Control!$B$17/1000)*$C$12*$C$15))/($C$8+((Control!$B$16*(1+G$22)*Control!$B$17/1000)*$C$13/Control!$B$4*1000)))*1000)-'Merger-Model'!F60)/'Merger-Model'!F60),0)</f>
        <v/>
      </c>
      <c r="H26" s="1259">
        <f>IFERROR((((((($C$5+$C$6+($C$17*$B26))*(1-$C$7)-((Control!$B$16*(1+H$22)*Control!$B$17/1000)*$C$11*$C$14)-((Control!$B$16*(1+H$22)*Control!$B$17/1000)*$C$12*$C$15))/($C$8+((Control!$B$16*(1+H$22)*Control!$B$17/1000)*$C$13/Control!$B$4*1000)))*1000)-'Merger-Model'!F60)/'Merger-Model'!F60),0)</f>
        <v/>
      </c>
    </row>
    <row r="27" ht="15" customHeight="1">
      <c r="B27" s="1450" t="n">
        <v>0.1</v>
      </c>
      <c r="D27" s="1259">
        <f>IFERROR((((((($C$5+$C$6+($C$17*$B27))*(1-$C$7)-((Control!$B$16*(1+D$22)*Control!$B$17/1000)*$C$11*$C$14)-((Control!$B$16*(1+D$22)*Control!$B$17/1000)*$C$12*$C$15))/($C$8+((Control!$B$16*(1+D$22)*Control!$B$17/1000)*$C$13/Control!$B$4*1000)))*1000)-'Merger-Model'!F60)/'Merger-Model'!F60),0)</f>
        <v/>
      </c>
      <c r="E27" s="1259">
        <f>IFERROR((((((($C$5+$C$6+($C$17*$B27))*(1-$C$7)-((Control!$B$16*(1+E$22)*Control!$B$17/1000)*$C$11*$C$14)-((Control!$B$16*(1+E$22)*Control!$B$17/1000)*$C$12*$C$15))/($C$8+((Control!$B$16*(1+E$22)*Control!$B$17/1000)*$C$13/Control!$B$4*1000)))*1000)-'Merger-Model'!F60)/'Merger-Model'!F60),0)</f>
        <v/>
      </c>
      <c r="F27" s="1259">
        <f>IFERROR((((((($C$5+$C$6+($C$17*$B27))*(1-$C$7)-((Control!$B$16*(1+F$22)*Control!$B$17/1000)*$C$11*$C$14)-((Control!$B$16*(1+F$22)*Control!$B$17/1000)*$C$12*$C$15))/($C$8+((Control!$B$16*(1+F$22)*Control!$B$17/1000)*$C$13/Control!$B$4*1000)))*1000)-'Merger-Model'!F60)/'Merger-Model'!F60),0)</f>
        <v/>
      </c>
      <c r="G27" s="1259">
        <f>IFERROR((((((($C$5+$C$6+($C$17*$B27))*(1-$C$7)-((Control!$B$16*(1+G$22)*Control!$B$17/1000)*$C$11*$C$14)-((Control!$B$16*(1+G$22)*Control!$B$17/1000)*$C$12*$C$15))/($C$8+((Control!$B$16*(1+G$22)*Control!$B$17/1000)*$C$13/Control!$B$4*1000)))*1000)-'Merger-Model'!F60)/'Merger-Model'!F60),0)</f>
        <v/>
      </c>
      <c r="H27" s="1259">
        <f>IFERROR((((((($C$5+$C$6+($C$17*$B27))*(1-$C$7)-((Control!$B$16*(1+H$22)*Control!$B$17/1000)*$C$11*$C$14)-((Control!$B$16*(1+H$22)*Control!$B$17/1000)*$C$12*$C$15))/($C$8+((Control!$B$16*(1+H$22)*Control!$B$17/1000)*$C$13/Control!$B$4*1000)))*1000)-'Merger-Model'!F60)/'Merger-Model'!F60),0)</f>
        <v/>
      </c>
    </row>
    <row r="31" ht="15" customHeight="1">
      <c r="B31" s="1371" t="inlineStr">
        <is>
          <t>2026 EPS accretion / dilution: purchase premium vs revenue synergies</t>
        </is>
      </c>
    </row>
    <row r="33" ht="15" customHeight="1">
      <c r="B33" s="923" t="inlineStr">
        <is>
          <t>Revenue synergy %</t>
        </is>
      </c>
      <c r="D33" s="1450" t="n">
        <v>0.1</v>
      </c>
      <c r="E33" s="1450" t="n">
        <v>0.2</v>
      </c>
      <c r="F33" s="1450" t="n">
        <v>0.3</v>
      </c>
      <c r="G33" s="1450" t="n">
        <v>0.4</v>
      </c>
      <c r="H33" s="1450" t="n">
        <v>0.5</v>
      </c>
    </row>
    <row r="34" ht="15" customHeight="1">
      <c r="B34" s="1450" t="n">
        <v>0</v>
      </c>
      <c r="D34" s="1259">
        <f>IFERROR((((((($C$5+$C$6+($C$16*$B34*$C$18))*(1-$C$7)-((Control!$B$16*(1+D$33)*Control!$B$17/1000)*$C$11*$C$14)-((Control!$B$16*(1+D$33)*Control!$B$17/1000)*$C$12*$C$15))/($C$8+((Control!$B$16*(1+D$33)*Control!$B$17/1000)*$C$13/Control!$B$4*1000)))*1000)-'Merger-Model'!F60)/'Merger-Model'!F60),0)</f>
        <v/>
      </c>
      <c r="E34" s="1259">
        <f>IFERROR((((((($C$5+$C$6+($C$16*$B34*$C$18))*(1-$C$7)-((Control!$B$16*(1+E$33)*Control!$B$17/1000)*$C$11*$C$14)-((Control!$B$16*(1+E$33)*Control!$B$17/1000)*$C$12*$C$15))/($C$8+((Control!$B$16*(1+E$33)*Control!$B$17/1000)*$C$13/Control!$B$4*1000)))*1000)-'Merger-Model'!F60)/'Merger-Model'!F60),0)</f>
        <v/>
      </c>
      <c r="F34" s="1259">
        <f>IFERROR((((((($C$5+$C$6+($C$16*$B34*$C$18))*(1-$C$7)-((Control!$B$16*(1+F$33)*Control!$B$17/1000)*$C$11*$C$14)-((Control!$B$16*(1+F$33)*Control!$B$17/1000)*$C$12*$C$15))/($C$8+((Control!$B$16*(1+F$33)*Control!$B$17/1000)*$C$13/Control!$B$4*1000)))*1000)-'Merger-Model'!F60)/'Merger-Model'!F60),0)</f>
        <v/>
      </c>
      <c r="G34" s="1259">
        <f>IFERROR((((((($C$5+$C$6+($C$16*$B34*$C$18))*(1-$C$7)-((Control!$B$16*(1+G$33)*Control!$B$17/1000)*$C$11*$C$14)-((Control!$B$16*(1+G$33)*Control!$B$17/1000)*$C$12*$C$15))/($C$8+((Control!$B$16*(1+G$33)*Control!$B$17/1000)*$C$13/Control!$B$4*1000)))*1000)-'Merger-Model'!F60)/'Merger-Model'!F60),0)</f>
        <v/>
      </c>
      <c r="H34" s="1259">
        <f>IFERROR((((((($C$5+$C$6+($C$16*$B34*$C$18))*(1-$C$7)-((Control!$B$16*(1+H$33)*Control!$B$17/1000)*$C$11*$C$14)-((Control!$B$16*(1+H$33)*Control!$B$17/1000)*$C$12*$C$15))/($C$8+((Control!$B$16*(1+H$33)*Control!$B$17/1000)*$C$13/Control!$B$4*1000)))*1000)-'Merger-Model'!F60)/'Merger-Model'!F60),0)</f>
        <v/>
      </c>
    </row>
    <row r="35" ht="15" customHeight="1">
      <c r="B35" s="1450" t="n">
        <v>0.01</v>
      </c>
      <c r="D35" s="1259">
        <f>IFERROR((((((($C$5+$C$6+($C$16*$B35*$C$18))*(1-$C$7)-((Control!$B$16*(1+D$33)*Control!$B$17/1000)*$C$11*$C$14)-((Control!$B$16*(1+D$33)*Control!$B$17/1000)*$C$12*$C$15))/($C$8+((Control!$B$16*(1+D$33)*Control!$B$17/1000)*$C$13/Control!$B$4*1000)))*1000)-'Merger-Model'!F60)/'Merger-Model'!F60),0)</f>
        <v/>
      </c>
      <c r="E35" s="1259">
        <f>IFERROR((((((($C$5+$C$6+($C$16*$B35*$C$18))*(1-$C$7)-((Control!$B$16*(1+E$33)*Control!$B$17/1000)*$C$11*$C$14)-((Control!$B$16*(1+E$33)*Control!$B$17/1000)*$C$12*$C$15))/($C$8+((Control!$B$16*(1+E$33)*Control!$B$17/1000)*$C$13/Control!$B$4*1000)))*1000)-'Merger-Model'!F60)/'Merger-Model'!F60),0)</f>
        <v/>
      </c>
      <c r="F35" s="1259">
        <f>IFERROR((((((($C$5+$C$6+($C$16*$B35*$C$18))*(1-$C$7)-((Control!$B$16*(1+F$33)*Control!$B$17/1000)*$C$11*$C$14)-((Control!$B$16*(1+F$33)*Control!$B$17/1000)*$C$12*$C$15))/($C$8+((Control!$B$16*(1+F$33)*Control!$B$17/1000)*$C$13/Control!$B$4*1000)))*1000)-'Merger-Model'!F60)/'Merger-Model'!F60),0)</f>
        <v/>
      </c>
      <c r="G35" s="1259">
        <f>IFERROR((((((($C$5+$C$6+($C$16*$B35*$C$18))*(1-$C$7)-((Control!$B$16*(1+G$33)*Control!$B$17/1000)*$C$11*$C$14)-((Control!$B$16*(1+G$33)*Control!$B$17/1000)*$C$12*$C$15))/($C$8+((Control!$B$16*(1+G$33)*Control!$B$17/1000)*$C$13/Control!$B$4*1000)))*1000)-'Merger-Model'!F60)/'Merger-Model'!F60),0)</f>
        <v/>
      </c>
      <c r="H35" s="1259">
        <f>IFERROR((((((($C$5+$C$6+($C$16*$B35*$C$18))*(1-$C$7)-((Control!$B$16*(1+H$33)*Control!$B$17/1000)*$C$11*$C$14)-((Control!$B$16*(1+H$33)*Control!$B$17/1000)*$C$12*$C$15))/($C$8+((Control!$B$16*(1+H$33)*Control!$B$17/1000)*$C$13/Control!$B$4*1000)))*1000)-'Merger-Model'!F60)/'Merger-Model'!F60),0)</f>
        <v/>
      </c>
    </row>
    <row r="36" ht="15" customHeight="1">
      <c r="B36" s="1450" t="n">
        <v>0.02</v>
      </c>
      <c r="D36" s="1259">
        <f>IFERROR((((((($C$5+$C$6+($C$16*$B36*$C$18))*(1-$C$7)-((Control!$B$16*(1+D$33)*Control!$B$17/1000)*$C$11*$C$14)-((Control!$B$16*(1+D$33)*Control!$B$17/1000)*$C$12*$C$15))/($C$8+((Control!$B$16*(1+D$33)*Control!$B$17/1000)*$C$13/Control!$B$4*1000)))*1000)-'Merger-Model'!F60)/'Merger-Model'!F60),0)</f>
        <v/>
      </c>
      <c r="E36" s="1259">
        <f>IFERROR((((((($C$5+$C$6+($C$16*$B36*$C$18))*(1-$C$7)-((Control!$B$16*(1+E$33)*Control!$B$17/1000)*$C$11*$C$14)-((Control!$B$16*(1+E$33)*Control!$B$17/1000)*$C$12*$C$15))/($C$8+((Control!$B$16*(1+E$33)*Control!$B$17/1000)*$C$13/Control!$B$4*1000)))*1000)-'Merger-Model'!F60)/'Merger-Model'!F60),0)</f>
        <v/>
      </c>
      <c r="F36" s="1259">
        <f>IFERROR((((((($C$5+$C$6+($C$16*$B36*$C$18))*(1-$C$7)-((Control!$B$16*(1+F$33)*Control!$B$17/1000)*$C$11*$C$14)-((Control!$B$16*(1+F$33)*Control!$B$17/1000)*$C$12*$C$15))/($C$8+((Control!$B$16*(1+F$33)*Control!$B$17/1000)*$C$13/Control!$B$4*1000)))*1000)-'Merger-Model'!F60)/'Merger-Model'!F60),0)</f>
        <v/>
      </c>
      <c r="G36" s="1259">
        <f>IFERROR((((((($C$5+$C$6+($C$16*$B36*$C$18))*(1-$C$7)-((Control!$B$16*(1+G$33)*Control!$B$17/1000)*$C$11*$C$14)-((Control!$B$16*(1+G$33)*Control!$B$17/1000)*$C$12*$C$15))/($C$8+((Control!$B$16*(1+G$33)*Control!$B$17/1000)*$C$13/Control!$B$4*1000)))*1000)-'Merger-Model'!F60)/'Merger-Model'!F60),0)</f>
        <v/>
      </c>
      <c r="H36" s="1259">
        <f>IFERROR((((((($C$5+$C$6+($C$16*$B36*$C$18))*(1-$C$7)-((Control!$B$16*(1+H$33)*Control!$B$17/1000)*$C$11*$C$14)-((Control!$B$16*(1+H$33)*Control!$B$17/1000)*$C$12*$C$15))/($C$8+((Control!$B$16*(1+H$33)*Control!$B$17/1000)*$C$13/Control!$B$4*1000)))*1000)-'Merger-Model'!F60)/'Merger-Model'!F60),0)</f>
        <v/>
      </c>
    </row>
    <row r="37" ht="14.25" customHeight="1">
      <c r="B37" s="1450" t="n">
        <v>0.03</v>
      </c>
      <c r="D37" s="1259">
        <f>IFERROR((((((($C$5+$C$6+($C$16*$B37*$C$18))*(1-$C$7)-((Control!$B$16*(1+D$33)*Control!$B$17/1000)*$C$11*$C$14)-((Control!$B$16*(1+D$33)*Control!$B$17/1000)*$C$12*$C$15))/($C$8+((Control!$B$16*(1+D$33)*Control!$B$17/1000)*$C$13/Control!$B$4*1000)))*1000)-'Merger-Model'!F60)/'Merger-Model'!F60),0)</f>
        <v/>
      </c>
      <c r="E37" s="1259">
        <f>IFERROR((((((($C$5+$C$6+($C$16*$B37*$C$18))*(1-$C$7)-((Control!$B$16*(1+E$33)*Control!$B$17/1000)*$C$11*$C$14)-((Control!$B$16*(1+E$33)*Control!$B$17/1000)*$C$12*$C$15))/($C$8+((Control!$B$16*(1+E$33)*Control!$B$17/1000)*$C$13/Control!$B$4*1000)))*1000)-'Merger-Model'!F60)/'Merger-Model'!F60),0)</f>
        <v/>
      </c>
      <c r="F37" s="1259">
        <f>IFERROR((((((($C$5+$C$6+($C$16*$B37*$C$18))*(1-$C$7)-((Control!$B$16*(1+F$33)*Control!$B$17/1000)*$C$11*$C$14)-((Control!$B$16*(1+F$33)*Control!$B$17/1000)*$C$12*$C$15))/($C$8+((Control!$B$16*(1+F$33)*Control!$B$17/1000)*$C$13/Control!$B$4*1000)))*1000)-'Merger-Model'!F60)/'Merger-Model'!F60),0)</f>
        <v/>
      </c>
      <c r="G37" s="1259">
        <f>IFERROR((((((($C$5+$C$6+($C$16*$B37*$C$18))*(1-$C$7)-((Control!$B$16*(1+G$33)*Control!$B$17/1000)*$C$11*$C$14)-((Control!$B$16*(1+G$33)*Control!$B$17/1000)*$C$12*$C$15))/($C$8+((Control!$B$16*(1+G$33)*Control!$B$17/1000)*$C$13/Control!$B$4*1000)))*1000)-'Merger-Model'!F60)/'Merger-Model'!F60),0)</f>
        <v/>
      </c>
      <c r="H37" s="1259">
        <f>IFERROR((((((($C$5+$C$6+($C$16*$B37*$C$18))*(1-$C$7)-((Control!$B$16*(1+H$33)*Control!$B$17/1000)*$C$11*$C$14)-((Control!$B$16*(1+H$33)*Control!$B$17/1000)*$C$12*$C$15))/($C$8+((Control!$B$16*(1+H$33)*Control!$B$17/1000)*$C$13/Control!$B$4*1000)))*1000)-'Merger-Model'!F60)/'Merger-Model'!F60),0)</f>
        <v/>
      </c>
    </row>
    <row r="38" ht="14.25" customHeight="1">
      <c r="B38" s="1450" t="n">
        <v>0.04</v>
      </c>
      <c r="D38" s="1259">
        <f>IFERROR((((((($C$5+$C$6+($C$16*$B38*$C$18))*(1-$C$7)-((Control!$B$16*(1+D$33)*Control!$B$17/1000)*$C$11*$C$14)-((Control!$B$16*(1+D$33)*Control!$B$17/1000)*$C$12*$C$15))/($C$8+((Control!$B$16*(1+D$33)*Control!$B$17/1000)*$C$13/Control!$B$4*1000)))*1000)-'Merger-Model'!F60)/'Merger-Model'!F60),0)</f>
        <v/>
      </c>
      <c r="E38" s="1259">
        <f>IFERROR((((((($C$5+$C$6+($C$16*$B38*$C$18))*(1-$C$7)-((Control!$B$16*(1+E$33)*Control!$B$17/1000)*$C$11*$C$14)-((Control!$B$16*(1+E$33)*Control!$B$17/1000)*$C$12*$C$15))/($C$8+((Control!$B$16*(1+E$33)*Control!$B$17/1000)*$C$13/Control!$B$4*1000)))*1000)-'Merger-Model'!F60)/'Merger-Model'!F60),0)</f>
        <v/>
      </c>
      <c r="F38" s="1259">
        <f>IFERROR((((((($C$5+$C$6+($C$16*$B38*$C$18))*(1-$C$7)-((Control!$B$16*(1+F$33)*Control!$B$17/1000)*$C$11*$C$14)-((Control!$B$16*(1+F$33)*Control!$B$17/1000)*$C$12*$C$15))/($C$8+((Control!$B$16*(1+F$33)*Control!$B$17/1000)*$C$13/Control!$B$4*1000)))*1000)-'Merger-Model'!F60)/'Merger-Model'!F60),0)</f>
        <v/>
      </c>
      <c r="G38" s="1259">
        <f>IFERROR((((((($C$5+$C$6+($C$16*$B38*$C$18))*(1-$C$7)-((Control!$B$16*(1+G$33)*Control!$B$17/1000)*$C$11*$C$14)-((Control!$B$16*(1+G$33)*Control!$B$17/1000)*$C$12*$C$15))/($C$8+((Control!$B$16*(1+G$33)*Control!$B$17/1000)*$C$13/Control!$B$4*1000)))*1000)-'Merger-Model'!F60)/'Merger-Model'!F60),0)</f>
        <v/>
      </c>
      <c r="H38" s="1259">
        <f>IFERROR((((((($C$5+$C$6+($C$16*$B38*$C$18))*(1-$C$7)-((Control!$B$16*(1+H$33)*Control!$B$17/1000)*$C$11*$C$14)-((Control!$B$16*(1+H$33)*Control!$B$17/1000)*$C$12*$C$15))/($C$8+((Control!$B$16*(1+H$33)*Control!$B$17/1000)*$C$13/Control!$B$4*1000)))*1000)-'Merger-Model'!F60)/'Merger-Model'!F60),0)</f>
        <v/>
      </c>
    </row>
    <row r="39" ht="14.25" customHeight="1">
      <c r="B39" s="1450" t="n">
        <v>0.05</v>
      </c>
      <c r="D39" s="1259">
        <f>IFERROR((((((($C$5+$C$6+($C$16*$B39*$C$18))*(1-$C$7)-((Control!$B$16*(1+D$33)*Control!$B$17/1000)*$C$11*$C$14)-((Control!$B$16*(1+D$33)*Control!$B$17/1000)*$C$12*$C$15))/($C$8+((Control!$B$16*(1+D$33)*Control!$B$17/1000)*$C$13/Control!$B$4*1000)))*1000)-'Merger-Model'!F60)/'Merger-Model'!F60),0)</f>
        <v/>
      </c>
      <c r="E39" s="1259">
        <f>IFERROR((((((($C$5+$C$6+($C$16*$B39*$C$18))*(1-$C$7)-((Control!$B$16*(1+E$33)*Control!$B$17/1000)*$C$11*$C$14)-((Control!$B$16*(1+E$33)*Control!$B$17/1000)*$C$12*$C$15))/($C$8+((Control!$B$16*(1+E$33)*Control!$B$17/1000)*$C$13/Control!$B$4*1000)))*1000)-'Merger-Model'!F60)/'Merger-Model'!F60),0)</f>
        <v/>
      </c>
      <c r="F39" s="1259">
        <f>IFERROR((((((($C$5+$C$6+($C$16*$B39*$C$18))*(1-$C$7)-((Control!$B$16*(1+F$33)*Control!$B$17/1000)*$C$11*$C$14)-((Control!$B$16*(1+F$33)*Control!$B$17/1000)*$C$12*$C$15))/($C$8+((Control!$B$16*(1+F$33)*Control!$B$17/1000)*$C$13/Control!$B$4*1000)))*1000)-'Merger-Model'!F60)/'Merger-Model'!F60),0)</f>
        <v/>
      </c>
      <c r="G39" s="1259">
        <f>IFERROR((((((($C$5+$C$6+($C$16*$B39*$C$18))*(1-$C$7)-((Control!$B$16*(1+G$33)*Control!$B$17/1000)*$C$11*$C$14)-((Control!$B$16*(1+G$33)*Control!$B$17/1000)*$C$12*$C$15))/($C$8+((Control!$B$16*(1+G$33)*Control!$B$17/1000)*$C$13/Control!$B$4*1000)))*1000)-'Merger-Model'!F60)/'Merger-Model'!F60),0)</f>
        <v/>
      </c>
      <c r="H39" s="1259">
        <f>IFERROR((((((($C$5+$C$6+($C$16*$B39*$C$18))*(1-$C$7)-((Control!$B$16*(1+H$33)*Control!$B$17/1000)*$C$11*$C$14)-((Control!$B$16*(1+H$33)*Control!$B$17/1000)*$C$12*$C$15))/($C$8+((Control!$B$16*(1+H$33)*Control!$B$17/1000)*$C$13/Control!$B$4*1000)))*1000)-'Merger-Model'!F60)/'Merger-Model'!F60),0)</f>
        <v/>
      </c>
    </row>
    <row r="41" ht="14.25" customHeight="1">
      <c r="B41" s="1449" t="inlineStr">
        <is>
          <t>Catatan: margin revenue synergy kini = margin segmen aktual (data-linked C18), bukan asumsi 60% legacy. Axis tetap % untuk what-if.</t>
        </is>
      </c>
    </row>
    <row r="43" ht="14.25" customHeight="1">
      <c r="B43" s="1371" t="inlineStr">
        <is>
          <t>Valuation cross-check</t>
        </is>
      </c>
    </row>
    <row r="45" ht="14.25" customHeight="1">
      <c r="B45" s="923" t="inlineStr">
        <is>
          <t>Standalone target EV</t>
        </is>
      </c>
      <c r="C45" s="1380">
        <f>'M&amp;A_Valuation'!C24</f>
        <v/>
      </c>
    </row>
    <row r="46" ht="14.25" customHeight="1">
      <c r="B46" s="923" t="inlineStr">
        <is>
          <t>Offer EV</t>
        </is>
      </c>
      <c r="C46" s="1380">
        <f>'M&amp;A_Valuation'!C33</f>
        <v/>
      </c>
    </row>
    <row r="47" ht="14.25" customHeight="1">
      <c r="B47" s="923" t="inlineStr">
        <is>
          <t>Synergy NPV</t>
        </is>
      </c>
      <c r="C47" s="1380">
        <f>'M&amp;A_Valuation'!C35</f>
        <v/>
      </c>
    </row>
    <row r="48" ht="14.25" customHeight="1">
      <c r="B48" s="923" t="inlineStr">
        <is>
          <t>Affordable EV incl. synergies</t>
        </is>
      </c>
      <c r="C48" s="1380">
        <f>'M&amp;A_Valuation'!C37</f>
        <v/>
      </c>
    </row>
  </sheetData>
  <mergeCells count="4">
    <mergeCell ref="B31:J31"/>
    <mergeCell ref="B2:J2"/>
    <mergeCell ref="B20:J20"/>
    <mergeCell ref="B43:J43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topLeftCell="A3" zoomScaleNormal="100" workbookViewId="0">
      <selection activeCell="E12" sqref="E12"/>
    </sheetView>
  </sheetViews>
  <sheetFormatPr baseColWidth="8" defaultColWidth="8.85546875" defaultRowHeight="14.25"/>
  <cols>
    <col width="34" customWidth="1" min="1" max="1"/>
    <col width="18" customWidth="1" min="2" max="2"/>
    <col width="38" customWidth="1" min="3" max="3"/>
    <col width="3" customWidth="1" min="4" max="4"/>
    <col width="30" customWidth="1" min="5" max="5"/>
    <col width="18" customWidth="1" min="6" max="7"/>
  </cols>
  <sheetData>
    <row r="1" ht="18" customHeight="1">
      <c r="A1" s="1451" t="inlineStr">
        <is>
          <t>Financing Mix (Aligned to Merger-Model &amp; Sensitivities)</t>
        </is>
      </c>
    </row>
    <row r="3" ht="15.75" customHeight="1">
      <c r="A3" s="1452" t="inlineStr">
        <is>
          <t>Model-Linked Financing Assumptions</t>
        </is>
      </c>
    </row>
    <row r="4" ht="15.75" customHeight="1">
      <c r="A4" s="1453" t="inlineStr">
        <is>
          <t>Purchase premium</t>
        </is>
      </c>
      <c r="B4" s="1454">
        <f>Control!$B$10</f>
        <v/>
      </c>
      <c r="C4" s="1455" t="inlineStr">
        <is>
          <t>Linked to Control and used in Merger-Model purchase price</t>
        </is>
      </c>
      <c r="E4" s="1456" t="inlineStr">
        <is>
          <t>Interpretation</t>
        </is>
      </c>
    </row>
    <row r="5" ht="14.25" customHeight="1">
      <c r="A5" s="1453" t="inlineStr">
        <is>
          <t>% cash funding</t>
        </is>
      </c>
      <c r="B5" s="1457">
        <f>'Merger-Model'!$F$8</f>
        <v/>
      </c>
      <c r="C5" s="1455" t="inlineStr">
        <is>
          <t>Must match Sensitivities C11</t>
        </is>
      </c>
      <c r="E5" s="1453" t="inlineStr">
        <is>
          <t>Funding structure</t>
        </is>
      </c>
      <c r="F5" s="236" t="n"/>
      <c r="G5" s="237" t="n"/>
    </row>
    <row r="6" ht="14.25" customHeight="1">
      <c r="A6" s="1453" t="inlineStr">
        <is>
          <t>% debt funding</t>
        </is>
      </c>
      <c r="B6" s="1457">
        <f>'Merger-Model'!$F$9</f>
        <v/>
      </c>
      <c r="C6" s="1455" t="inlineStr">
        <is>
          <t>Must match Sensitivities C12</t>
        </is>
      </c>
      <c r="E6" s="1453" t="inlineStr">
        <is>
          <t>Cash coverage vs equity purchase price</t>
        </is>
      </c>
      <c r="F6" s="1458">
        <f>IFERROR(B15/B24,0)</f>
        <v/>
      </c>
      <c r="G6" s="237" t="n"/>
    </row>
    <row r="7" ht="14.25" customHeight="1">
      <c r="A7" s="1453" t="inlineStr">
        <is>
          <t>% stock funding</t>
        </is>
      </c>
      <c r="B7" s="1457">
        <f>'Merger-Model'!$F$10</f>
        <v/>
      </c>
      <c r="C7" s="1455" t="inlineStr">
        <is>
          <t>Must match Sensitivities C13</t>
        </is>
      </c>
      <c r="E7" s="1453" t="inlineStr">
        <is>
          <t>Implied stock issuance as % of buyer shares</t>
        </is>
      </c>
      <c r="F7" s="1459">
        <f>IFERROR(B27/B18,0)</f>
        <v/>
      </c>
      <c r="G7" s="237" t="n"/>
    </row>
    <row r="8" ht="14.25" customHeight="1">
      <c r="A8" s="1453" t="inlineStr">
        <is>
          <t>Foregone cash rate</t>
        </is>
      </c>
      <c r="B8" s="1457">
        <f>Control!$B$12</f>
        <v/>
      </c>
      <c r="C8" s="1455" t="inlineStr">
        <is>
          <t>Used in Sensitivities as financing drag on cash portion</t>
        </is>
      </c>
      <c r="E8" s="1453" t="inlineStr">
        <is>
          <t>Estimated financing drag / buyer EBITDA</t>
        </is>
      </c>
      <c r="F8" s="1459">
        <f>IFERROR(B33/B17,0)</f>
        <v/>
      </c>
      <c r="G8" s="237" t="n"/>
    </row>
    <row r="9" ht="14.25" customHeight="1">
      <c r="A9" s="1453" t="inlineStr">
        <is>
          <t>Debt interest rate</t>
        </is>
      </c>
      <c r="B9" s="1457">
        <f>Control!$B$13</f>
        <v/>
      </c>
      <c r="C9" s="1455" t="inlineStr">
        <is>
          <t>Used in Sensitivities as financing drag on debt portion</t>
        </is>
      </c>
      <c r="E9" s="1453" t="inlineStr">
        <is>
          <t>Pro forma gross debt / EBITDA</t>
        </is>
      </c>
      <c r="F9" s="1458">
        <f>B40</f>
        <v/>
      </c>
      <c r="G9" s="237" t="n"/>
    </row>
    <row r="10" ht="14.25" customHeight="1">
      <c r="A10" s="1453" t="inlineStr">
        <is>
          <t>Buyer tax rate</t>
        </is>
      </c>
      <c r="B10" s="1457">
        <f>Control!$B$11</f>
        <v/>
      </c>
      <c r="C10" s="1455" t="inlineStr">
        <is>
          <t>Applied to combined pre-tax earnings in sensitivities</t>
        </is>
      </c>
      <c r="E10" s="240" t="n"/>
      <c r="F10" s="240" t="n"/>
      <c r="G10" s="240" t="n"/>
    </row>
    <row r="11" ht="14.25" customHeight="1">
      <c r="A11" s="1453" t="inlineStr">
        <is>
          <t>Buyer share price (IDR)</t>
        </is>
      </c>
      <c r="B11" s="1454">
        <f>Control!$B$4</f>
        <v/>
      </c>
      <c r="C11" s="1455" t="inlineStr">
        <is>
          <t>Used to translate stock consideration into new shares</t>
        </is>
      </c>
      <c r="E11" s="240" t="n"/>
      <c r="F11" s="240" t="n"/>
      <c r="G11" s="240" t="n"/>
    </row>
    <row r="12" ht="14.25" customHeight="1">
      <c r="A12" s="240" t="n"/>
      <c r="B12" s="241" t="n"/>
      <c r="C12" s="240" t="n"/>
      <c r="E12" s="240" t="n"/>
      <c r="F12" s="240" t="n"/>
      <c r="G12" s="240" t="n"/>
    </row>
    <row r="13" ht="14.25" customHeight="1">
      <c r="A13" s="240" t="n"/>
      <c r="B13" s="241" t="n"/>
      <c r="C13" s="240" t="n"/>
      <c r="E13" s="240" t="n"/>
      <c r="F13" s="240" t="n"/>
      <c r="G13" s="240" t="n"/>
    </row>
    <row r="14" ht="15.75" customHeight="1">
      <c r="A14" s="1460" t="inlineStr">
        <is>
          <t>Buyer Standalone Position (FY2025)</t>
        </is>
      </c>
      <c r="E14" s="1461" t="inlineStr">
        <is>
          <t>Metric</t>
        </is>
      </c>
      <c r="F14" s="1461" t="inlineStr">
        <is>
          <t>Value</t>
        </is>
      </c>
      <c r="G14" s="240" t="n"/>
    </row>
    <row r="15" ht="14.25" customHeight="1">
      <c r="A15" s="1453" t="inlineStr">
        <is>
          <t>Buyer cash (IDR mm)</t>
        </is>
      </c>
      <c r="B15" s="1462">
        <f>'TOWR-3-Statements'!G59/1000</f>
        <v/>
      </c>
      <c r="C15" s="1455" t="inlineStr">
        <is>
          <t>Cash &amp; short-term securities</t>
        </is>
      </c>
      <c r="E15" s="1463" t="inlineStr">
        <is>
          <t>Buyer cash</t>
        </is>
      </c>
      <c r="F15" s="1464">
        <f>B15</f>
        <v/>
      </c>
      <c r="G15" s="240" t="n"/>
    </row>
    <row r="16" ht="14.25" customHeight="1">
      <c r="A16" s="1453" t="inlineStr">
        <is>
          <t>Buyer gross debt (IDR mm)</t>
        </is>
      </c>
      <c r="B16" s="1462">
        <f>('TOWR-3-Statements'!G80+'TOWR-3-Statements'!G87)/1000</f>
        <v/>
      </c>
      <c r="C16" s="1455" t="inlineStr">
        <is>
          <t>ST + LT debt</t>
        </is>
      </c>
      <c r="E16" s="1463" t="inlineStr">
        <is>
          <t>Cash used</t>
        </is>
      </c>
      <c r="F16" s="1464">
        <f>B25</f>
        <v/>
      </c>
      <c r="G16" s="240" t="n"/>
    </row>
    <row r="17" ht="14.25" customHeight="1">
      <c r="A17" s="1453" t="inlineStr">
        <is>
          <t>Buyer EBITDA (IDR mm)</t>
        </is>
      </c>
      <c r="B17" s="1462">
        <f>'TOWR-3-Statements'!G41/1000</f>
        <v/>
      </c>
      <c r="C17" s="1455" t="inlineStr">
        <is>
          <t>EBIT + D&amp;A proxy</t>
        </is>
      </c>
      <c r="E17" s="1463" t="inlineStr">
        <is>
          <t>Remaining cash</t>
        </is>
      </c>
      <c r="F17" s="1464">
        <f>B38</f>
        <v/>
      </c>
      <c r="G17" s="240" t="n"/>
    </row>
    <row r="18" ht="14.25" customHeight="1">
      <c r="A18" s="1453" t="inlineStr">
        <is>
          <t>Buyer shares (000)</t>
        </is>
      </c>
      <c r="B18" s="1465">
        <f>Control!$B$5</f>
        <v/>
      </c>
      <c r="C18" s="1455" t="inlineStr">
        <is>
          <t>Diluted share count</t>
        </is>
      </c>
      <c r="E18" s="240" t="n"/>
      <c r="F18" s="240" t="n"/>
      <c r="G18" s="240" t="n"/>
    </row>
    <row r="19" ht="14.25" customHeight="1">
      <c r="A19" s="1453" t="inlineStr">
        <is>
          <t>Buyer pre-deal EPS (IDR/share)</t>
        </is>
      </c>
      <c r="B19" s="1466">
        <f>'Merger-Model'!F60</f>
        <v/>
      </c>
      <c r="C19" s="1455" t="inlineStr">
        <is>
          <t>Base EPS used for accretion/dilution</t>
        </is>
      </c>
      <c r="E19" s="240" t="n"/>
      <c r="F19" s="240" t="n"/>
      <c r="G19" s="240" t="n"/>
    </row>
    <row r="20" ht="14.25" customHeight="1">
      <c r="A20" s="240" t="n"/>
      <c r="B20" s="241" t="n"/>
      <c r="C20" s="240" t="n"/>
      <c r="E20" s="240" t="n"/>
      <c r="F20" s="240" t="n"/>
      <c r="G20" s="240" t="n"/>
    </row>
    <row r="21" ht="14.25" customHeight="1">
      <c r="A21" s="240" t="n"/>
      <c r="B21" s="241" t="n"/>
      <c r="C21" s="240" t="n"/>
      <c r="E21" s="240" t="n"/>
      <c r="F21" s="240" t="n"/>
      <c r="G21" s="240" t="n"/>
    </row>
    <row r="22" ht="15.75" customHeight="1">
      <c r="A22" s="1460" t="inlineStr">
        <is>
          <t>Sources &amp; Uses (Directly Aligned to Merger-Model)</t>
        </is>
      </c>
      <c r="E22" s="240" t="n"/>
      <c r="F22" s="240" t="n"/>
      <c r="G22" s="240" t="n"/>
    </row>
    <row r="23" ht="14.25" customHeight="1">
      <c r="A23" s="1453" t="inlineStr">
        <is>
          <t>Seller offer price / share (IDR)</t>
        </is>
      </c>
      <c r="B23" s="1462">
        <f>'Merger-Model'!$F$7</f>
        <v/>
      </c>
      <c r="C23" s="1455" t="inlineStr">
        <is>
          <t>Purchase price incl. premium</t>
        </is>
      </c>
      <c r="E23" s="240" t="n"/>
      <c r="F23" s="240" t="n"/>
      <c r="G23" s="240" t="n"/>
    </row>
    <row r="24" ht="14.25" customHeight="1">
      <c r="A24" s="1453" t="inlineStr">
        <is>
          <t>Equity purchase price (IDR mm)</t>
        </is>
      </c>
      <c r="B24" s="1462">
        <f>'Merger-Model'!$L$7</f>
        <v/>
      </c>
      <c r="C24" s="1455" t="inlineStr">
        <is>
          <t>Used in Merger-Model rows 7-10</t>
        </is>
      </c>
      <c r="E24" s="240" t="n"/>
      <c r="F24" s="240" t="n"/>
      <c r="G24" s="240" t="n"/>
    </row>
    <row r="25" ht="14.25" customHeight="1">
      <c r="A25" s="1453" t="inlineStr">
        <is>
          <t>Cash used (IDR mm)</t>
        </is>
      </c>
      <c r="B25" s="1462">
        <f>'Merger-Model'!$L$8</f>
        <v/>
      </c>
      <c r="C25" s="1455" t="inlineStr">
        <is>
          <t>Cash-funded portion</t>
        </is>
      </c>
      <c r="E25" s="240" t="n"/>
      <c r="F25" s="240" t="n"/>
    </row>
    <row r="26" ht="14.25" customHeight="1">
      <c r="A26" s="1453" t="inlineStr">
        <is>
          <t>Debt issued (IDR mm)</t>
        </is>
      </c>
      <c r="B26" s="1462">
        <f>'Merger-Model'!$L$9</f>
        <v/>
      </c>
      <c r="C26" s="1455" t="inlineStr">
        <is>
          <t>Debt-funded portion</t>
        </is>
      </c>
    </row>
    <row r="27" ht="14.25" customHeight="1">
      <c r="A27" s="1453" t="inlineStr">
        <is>
          <t>New shares issued (000)</t>
        </is>
      </c>
      <c r="B27" s="1465">
        <f>'Merger-Model'!$L$10</f>
        <v/>
      </c>
      <c r="C27" s="1455" t="inlineStr">
        <is>
          <t>Stock-funded portion translated into shares</t>
        </is>
      </c>
    </row>
    <row r="28" ht="14.25" customHeight="1">
      <c r="A28" s="1453" t="inlineStr">
        <is>
          <t>Stock consideration value (IDR mm)</t>
        </is>
      </c>
      <c r="B28" s="1467">
        <f>B27*$B$11/1000</f>
        <v/>
      </c>
      <c r="C28" s="1455" t="inlineStr">
        <is>
          <t>Implied value of stock consideration</t>
        </is>
      </c>
    </row>
    <row r="29" ht="14.25" customHeight="1">
      <c r="A29" s="240" t="n"/>
      <c r="B29" s="241" t="n"/>
      <c r="C29" s="240" t="n"/>
    </row>
    <row r="30" ht="15.75" customHeight="1">
      <c r="A30" s="1460" t="inlineStr">
        <is>
          <t>Financing Drag (Mirror of Sensitivities Formula Logic)</t>
        </is>
      </c>
    </row>
    <row r="31" ht="14.25" customHeight="1">
      <c r="A31" s="1453" t="inlineStr">
        <is>
          <t>Foregone cash cost (pre-tax, IDR mm)</t>
        </is>
      </c>
      <c r="B31" s="1467">
        <f>B25*$B$8</f>
        <v/>
      </c>
      <c r="C31" s="1455" t="inlineStr">
        <is>
          <t>Cash used × foregone cash rate</t>
        </is>
      </c>
    </row>
    <row r="32" ht="14.25" customHeight="1">
      <c r="A32" s="1453" t="inlineStr">
        <is>
          <t>Debt interest cost (pre-tax, IDR mm)</t>
        </is>
      </c>
      <c r="B32" s="1467">
        <f>B26*$B$9</f>
        <v/>
      </c>
      <c r="C32" s="1455" t="inlineStr">
        <is>
          <t>Debt issued × debt rate</t>
        </is>
      </c>
    </row>
    <row r="33" ht="14.25" customHeight="1">
      <c r="A33" s="1453" t="inlineStr">
        <is>
          <t>Total financing drag (pre-tax, IDR mm)</t>
        </is>
      </c>
      <c r="B33" s="1467">
        <f>SUM(B31:B32)</f>
        <v/>
      </c>
      <c r="C33" s="1455" t="inlineStr">
        <is>
          <t>Directly mirrors cash and debt deductions in Sensitivities</t>
        </is>
      </c>
    </row>
    <row r="34" ht="14.25" customHeight="1">
      <c r="A34" s="1453" t="inlineStr">
        <is>
          <t>Estimated after-tax financing drag (IDR mm)</t>
        </is>
      </c>
      <c r="B34" s="1467">
        <f>B33*(1-$B$10)</f>
        <v/>
      </c>
      <c r="C34" s="1455" t="inlineStr">
        <is>
          <t>Shown for analytical reference</t>
        </is>
      </c>
    </row>
    <row r="35" ht="14.25" customHeight="1">
      <c r="A35" s="240" t="n"/>
      <c r="B35" s="241" t="n"/>
      <c r="C35" s="240" t="n"/>
    </row>
    <row r="36" ht="14.25" customHeight="1">
      <c r="A36" s="240" t="n"/>
      <c r="B36" s="241" t="n"/>
      <c r="C36" s="240" t="n"/>
    </row>
    <row r="37" ht="15.75" customHeight="1">
      <c r="A37" s="1460" t="inlineStr">
        <is>
          <t>Pro Forma Capitalization &amp; Balance Sheet Effects</t>
        </is>
      </c>
    </row>
    <row r="38" ht="14.25" customHeight="1">
      <c r="A38" s="1453" t="inlineStr">
        <is>
          <t>Remaining buyer cash after deal (IDR mm)</t>
        </is>
      </c>
      <c r="B38" s="1467">
        <f>B15-B25</f>
        <v/>
      </c>
      <c r="C38" s="1455" t="inlineStr">
        <is>
          <t>Post-deal cash balance</t>
        </is>
      </c>
    </row>
    <row r="39" ht="14.25" customHeight="1">
      <c r="A39" s="1453" t="inlineStr">
        <is>
          <t>Pro forma gross debt (IDR mm)</t>
        </is>
      </c>
      <c r="B39" s="1467">
        <f>B16+B26</f>
        <v/>
      </c>
      <c r="C39" s="1455" t="inlineStr">
        <is>
          <t>Buyer debt + new debt issued</t>
        </is>
      </c>
    </row>
    <row r="40" ht="14.25" customHeight="1">
      <c r="A40" s="1453" t="inlineStr">
        <is>
          <t>Pro forma net cash / (debt) (IDR mm)</t>
        </is>
      </c>
      <c r="B40" s="1467">
        <f>B38-B39</f>
        <v/>
      </c>
      <c r="C40" s="1455" t="inlineStr">
        <is>
          <t>Positive = net cash, negative = net debt</t>
        </is>
      </c>
    </row>
    <row r="41" ht="14.25" customHeight="1">
      <c r="A41" s="1453" t="inlineStr">
        <is>
          <t>Pro forma gross debt / EBITDA</t>
        </is>
      </c>
      <c r="B41" s="1468">
        <f>IFERROR(B39/B17,0)</f>
        <v/>
      </c>
      <c r="C41" s="1455" t="inlineStr">
        <is>
          <t>Headline leverage after transaction</t>
        </is>
      </c>
    </row>
    <row r="42" ht="14.25" customHeight="1">
      <c r="A42" s="1453" t="inlineStr">
        <is>
          <t>Pro forma share count (000)</t>
        </is>
      </c>
      <c r="B42" s="1469">
        <f>B18+B27</f>
        <v/>
      </c>
      <c r="C42" s="1455" t="inlineStr">
        <is>
          <t>Buyer shares + new shares issued</t>
        </is>
      </c>
    </row>
  </sheetData>
  <mergeCells count="7">
    <mergeCell ref="A1:G1"/>
    <mergeCell ref="A37:C37"/>
    <mergeCell ref="A14:C14"/>
    <mergeCell ref="A22:C22"/>
    <mergeCell ref="A3:C3"/>
    <mergeCell ref="A30:C30"/>
    <mergeCell ref="E4:G4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Normal="100" workbookViewId="0">
      <selection activeCell="B8" sqref="B8"/>
    </sheetView>
  </sheetViews>
  <sheetFormatPr baseColWidth="8" defaultColWidth="8.5703125" defaultRowHeight="14.25"/>
  <cols>
    <col width="38" customWidth="1" style="151" min="1" max="1"/>
    <col width="14" customWidth="1" style="151" min="2" max="6"/>
    <col width="8.5703125" customWidth="1" style="151" min="7" max="16384"/>
  </cols>
  <sheetData>
    <row r="1" ht="17.25" customHeight="1">
      <c r="A1" s="1470" t="inlineStr">
        <is>
          <t>TOWR + WIFI  |  Financing Strategy (Section 4)</t>
        </is>
      </c>
      <c r="B1" s="1471" t="n"/>
      <c r="C1" s="1471" t="n"/>
      <c r="D1" s="1471" t="n"/>
      <c r="E1" s="1471" t="n"/>
      <c r="F1" s="1471" t="n"/>
    </row>
    <row r="2" ht="15" customHeight="1">
      <c r="A2" s="1394" t="inlineStr">
        <is>
          <t>All figures Rp bn. Linked to Control / Merger-Model. 51% acquisition, 60% debt / 40% equity funding.</t>
        </is>
      </c>
    </row>
    <row r="4" ht="15" customHeight="1">
      <c r="A4" s="1371" t="inlineStr">
        <is>
          <t>Key assumptions</t>
        </is>
      </c>
      <c r="B4" s="1471" t="n"/>
    </row>
    <row r="5" ht="15" customHeight="1">
      <c r="A5" s="1252" t="inlineStr">
        <is>
          <t>Run-rate synergy (full, Rp bn)</t>
        </is>
      </c>
      <c r="B5" s="1391" t="n">
        <v>400</v>
      </c>
    </row>
    <row r="6" ht="15" customHeight="1">
      <c r="A6" s="1252" t="inlineStr">
        <is>
          <t>Min. interest-coverage covenant (x)</t>
        </is>
      </c>
      <c r="B6" s="1472" t="n">
        <v>2.5</v>
      </c>
    </row>
    <row r="7" ht="15" customHeight="1">
      <c r="A7" s="1252" t="inlineStr">
        <is>
          <t>Bridge/acquisition debt rate</t>
        </is>
      </c>
      <c r="B7" s="1350">
        <f>Control!B13</f>
        <v/>
      </c>
    </row>
    <row r="8" ht="15" customHeight="1">
      <c r="A8" s="1252" t="inlineStr">
        <is>
          <t>Refloat proceeds (Rp bn)</t>
        </is>
      </c>
      <c r="B8" s="1391" t="n">
        <v>10000</v>
      </c>
    </row>
    <row r="10" ht="15" customHeight="1">
      <c r="A10" s="1371" t="inlineStr">
        <is>
          <t>A.  LEVERAGE PROFILE ACROSS TENDER-ACCEPTANCE SCENARIOS</t>
        </is>
      </c>
      <c r="B10" s="1471" t="n"/>
      <c r="C10" s="1471" t="n"/>
      <c r="D10" s="1471" t="n"/>
      <c r="E10" s="1471" t="n"/>
      <c r="F10" s="1471" t="n"/>
    </row>
    <row r="11" ht="15" customHeight="1">
      <c r="A11" s="1471" t="n"/>
      <c r="B11" s="1473" t="inlineStr">
        <is>
          <t>Standalone</t>
        </is>
      </c>
      <c r="C11" s="1473" t="inlineStr">
        <is>
          <t>Pro-forma 0% tender</t>
        </is>
      </c>
      <c r="D11" s="1473" t="inlineStr">
        <is>
          <t>Pro-forma 50% tender</t>
        </is>
      </c>
      <c r="E11" s="1473" t="inlineStr">
        <is>
          <t>Pro-forma 100% tender</t>
        </is>
      </c>
      <c r="F11" s="1473" t="inlineStr">
        <is>
          <t>Post-refloat</t>
        </is>
      </c>
    </row>
    <row r="12" ht="15" customHeight="1">
      <c r="A12" s="1252" t="inlineStr">
        <is>
          <t>Net debt</t>
        </is>
      </c>
      <c r="B12" s="1390">
        <f>('TOWR-3-Statements'!G80+'TOWR-3-Statements'!G87-'TOWR-3-Statements'!G59)/1000000</f>
        <v/>
      </c>
      <c r="C12" s="1390">
        <f>B12+'Merger-Model'!L9/1000</f>
        <v/>
      </c>
      <c r="D12" s="1390">
        <f>C12+0.5*(1-Control!B14)*'Merger-Shares-BS'!J15/1000</f>
        <v/>
      </c>
      <c r="E12" s="1390">
        <f>C12+(1-Control!B14)*'Merger-Shares-BS'!J15/1000</f>
        <v/>
      </c>
      <c r="F12" s="1389">
        <f>E12-B8</f>
        <v/>
      </c>
    </row>
    <row r="13" ht="15" customHeight="1">
      <c r="A13" s="1252" t="inlineStr">
        <is>
          <t>EBITDA (+synergies post-refloat)</t>
        </is>
      </c>
      <c r="B13" s="1390">
        <f>'TOWR-3-Statements'!G41/1000000</f>
        <v/>
      </c>
      <c r="C13" s="1390">
        <f>('TOWR-3-Statements'!G41+'WIFI 3-Statement Model'!H37)/1000000</f>
        <v/>
      </c>
      <c r="D13" s="1389">
        <f>C13</f>
        <v/>
      </c>
      <c r="E13" s="1389">
        <f>C13</f>
        <v/>
      </c>
      <c r="F13" s="1389">
        <f>C13+B5</f>
        <v/>
      </c>
    </row>
    <row r="14" ht="15" customHeight="1">
      <c r="A14" s="1392" t="inlineStr">
        <is>
          <t>Net debt / EBITDA</t>
        </is>
      </c>
      <c r="B14" s="1474">
        <f>B12/B13</f>
        <v/>
      </c>
      <c r="C14" s="1474">
        <f>C12/C13</f>
        <v/>
      </c>
      <c r="D14" s="1474">
        <f>D12/D13</f>
        <v/>
      </c>
      <c r="E14" s="1474">
        <f>E12/E13</f>
        <v/>
      </c>
      <c r="F14" s="1474">
        <f>F12/F13</f>
        <v/>
      </c>
    </row>
    <row r="15" ht="15" customHeight="1">
      <c r="A15" s="1252" t="inlineStr">
        <is>
          <t>Interest expense</t>
        </is>
      </c>
      <c r="B15" s="1390">
        <f>-'TOWR-3-Statements'!G44/1000000</f>
        <v/>
      </c>
      <c r="C15" s="1389">
        <f>B15+(C12-B12)*$B$7</f>
        <v/>
      </c>
      <c r="D15" s="1389">
        <f>B15+(D12-B12)*$B$7</f>
        <v/>
      </c>
      <c r="E15" s="1389">
        <f>B15+(E12-B12)*$B$7</f>
        <v/>
      </c>
      <c r="F15" s="1389">
        <f>B15+(F12-B12)*$B$7</f>
        <v/>
      </c>
    </row>
    <row r="16" ht="15" customHeight="1">
      <c r="A16" s="1475" t="inlineStr">
        <is>
          <t>Interest coverage (EBITDA / interest)</t>
        </is>
      </c>
      <c r="B16" s="1476">
        <f>B13/B15</f>
        <v/>
      </c>
      <c r="C16" s="1476">
        <f>C13/C15</f>
        <v/>
      </c>
      <c r="D16" s="1476">
        <f>D13/D15</f>
        <v/>
      </c>
      <c r="E16" s="1476">
        <f>E13/E15</f>
        <v/>
      </c>
      <c r="F16" s="1476">
        <f>F13/F15</f>
        <v/>
      </c>
    </row>
    <row r="17" ht="15" customHeight="1">
      <c r="A17" s="1252" t="inlineStr">
        <is>
          <t>Debt / equity</t>
        </is>
      </c>
      <c r="B17" s="1350">
        <f>('TOWR-3-Statements'!G80+'TOWR-3-Statements'!G87)/'TOWR-3-Statements'!G99</f>
        <v/>
      </c>
      <c r="C17" s="1350">
        <f>(('TOWR-3-Statements'!G80+'TOWR-3-Statements'!G87)/1000000+'Merger-Model'!L9/1000)/(('TOWR-3-Statements'!G99)/1000000+'Merger-Model'!F10*'Merger-Model'!L7/1000)</f>
        <v/>
      </c>
      <c r="D17" s="1477">
        <f>C17</f>
        <v/>
      </c>
      <c r="E17" s="1477">
        <f>C17</f>
        <v/>
      </c>
      <c r="F17" s="1477">
        <f>C17</f>
        <v/>
      </c>
    </row>
    <row r="18" ht="15" customHeight="1">
      <c r="A18" s="1252" t="inlineStr">
        <is>
          <t>Debt / total assets</t>
        </is>
      </c>
      <c r="B18" s="1350">
        <f>('TOWR-3-Statements'!G80+'TOWR-3-Statements'!G87)/'TOWR-3-Statements'!G75</f>
        <v/>
      </c>
      <c r="C18" s="1350">
        <f>(('TOWR-3-Statements'!G80+'TOWR-3-Statements'!G87)/1000000+'Merger-Model'!L9/1000)/('TOWR-3-Statements'!G75/1000000+'WIFI 3-Statement Model'!H62/1000000+'Merger-Model'!F28/1000)</f>
        <v/>
      </c>
      <c r="D18" s="1477">
        <f>C18</f>
        <v/>
      </c>
      <c r="E18" s="1477">
        <f>C18</f>
        <v/>
      </c>
      <c r="F18" s="1477">
        <f>C18</f>
        <v/>
      </c>
    </row>
    <row r="20" ht="15" customHeight="1">
      <c r="A20" s="1371" t="inlineStr">
        <is>
          <t>B.  COVENANT HEADROOM</t>
        </is>
      </c>
      <c r="B20" s="1471" t="n"/>
      <c r="C20" s="1471" t="n"/>
      <c r="D20" s="1471" t="n"/>
      <c r="E20" s="1471" t="n"/>
      <c r="F20" s="1471" t="n"/>
    </row>
    <row r="21" ht="15" customHeight="1">
      <c r="A21" s="1394" t="inlineStr">
        <is>
          <t>Binding covenant: interest coverage (tightest in infra credit agreements)</t>
        </is>
      </c>
    </row>
    <row r="22" ht="15" customHeight="1">
      <c r="A22" s="1252" t="inlineStr">
        <is>
          <t>Pro-forma interest coverage (0% tender)</t>
        </is>
      </c>
      <c r="B22" s="1476">
        <f>C16</f>
        <v/>
      </c>
    </row>
    <row r="23" ht="15" customHeight="1">
      <c r="A23" s="1252" t="inlineStr">
        <is>
          <t>Covenant floor</t>
        </is>
      </c>
      <c r="B23" s="1478">
        <f>B6</f>
        <v/>
      </c>
    </row>
    <row r="24" ht="15" customHeight="1">
      <c r="A24" s="1252" t="inlineStr">
        <is>
          <t>Headroom vs covenant (x)</t>
        </is>
      </c>
      <c r="B24" s="1479">
        <f>B22-B23</f>
        <v/>
      </c>
    </row>
    <row r="25" ht="15" customHeight="1">
      <c r="A25" s="1252" t="inlineStr">
        <is>
          <t>EBITDA decline to breach covenant</t>
        </is>
      </c>
      <c r="B25" s="1480">
        <f>1-B23*C15/C13</f>
        <v/>
      </c>
    </row>
    <row r="26" ht="15" customHeight="1">
      <c r="A26" s="1252" t="inlineStr">
        <is>
          <t>Full-tender interim coverage (pre-refloat)</t>
        </is>
      </c>
      <c r="B26" s="1478">
        <f>E16</f>
        <v/>
      </c>
    </row>
    <row r="27" ht="15" customHeight="1">
      <c r="A27" s="1252" t="inlineStr">
        <is>
          <t>Post-refloat coverage</t>
        </is>
      </c>
      <c r="B27" s="1478">
        <f>F16</f>
        <v/>
      </c>
    </row>
    <row r="29" ht="15" customHeight="1">
      <c r="A29" s="1371" t="inlineStr">
        <is>
          <t>C.  CREDIT-RATING IMPLICATIONS</t>
        </is>
      </c>
      <c r="B29" s="1471" t="n"/>
      <c r="C29" s="1471" t="n"/>
      <c r="D29" s="1471" t="n"/>
      <c r="E29" s="1471" t="n"/>
      <c r="F29" s="1471" t="n"/>
    </row>
    <row r="30" ht="15" customHeight="1">
      <c r="A30" s="1394" t="inlineStr">
        <is>
          <t>• Leverage rises only modestly (4.07x -&gt; 4.23x) as the 40% equity portion limits new debt.</t>
        </is>
      </c>
    </row>
    <row r="31" ht="15" customHeight="1">
      <c r="A31" s="1394" t="inlineStr">
        <is>
          <t>• Interest coverage is the tightest metric; kept above the covenant floor under the base case.</t>
        </is>
      </c>
    </row>
    <row r="32" ht="15" customHeight="1">
      <c r="A32" s="1394" t="inlineStr">
        <is>
          <t>• Full-tender acceptance pushes interim leverage to ~5.07x -&gt; refloat timetable is a rating commitment.</t>
        </is>
      </c>
    </row>
    <row r="33" ht="15" customHeight="1">
      <c r="A33" s="1394" t="inlineStr">
        <is>
          <t>• Rating-preservation actions: pre-brief agencies, publish refloat &amp; deleveraging schedule,</t>
        </is>
      </c>
    </row>
    <row r="34" ht="15" customHeight="1">
      <c r="A34" s="1394" t="inlineStr">
        <is>
          <t xml:space="preserve">   retain option to raise the equity portion if rating indications weaken.</t>
        </is>
      </c>
    </row>
    <row r="35" ht="15" customHeight="1">
      <c r="A35" s="1394" t="inlineStr">
        <is>
          <t>• Target's net-cash position (Rp565bn) and Rp1,106bn incremental EBITDA cushion the added debt.</t>
        </is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7"/>
  <sheetViews>
    <sheetView topLeftCell="A46" zoomScaleNormal="100" workbookViewId="0">
      <selection activeCell="A57" sqref="A57:A62"/>
    </sheetView>
  </sheetViews>
  <sheetFormatPr baseColWidth="8" defaultColWidth="8.5703125" defaultRowHeight="14.25"/>
  <cols>
    <col width="40" customWidth="1" style="151" min="1" max="1"/>
    <col width="12" customWidth="1" style="151" min="2" max="8"/>
    <col width="8.5703125" customWidth="1" style="151" min="9" max="16384"/>
  </cols>
  <sheetData>
    <row r="1" ht="17.25" customHeight="1">
      <c r="A1" s="1470" t="inlineStr">
        <is>
          <t>TOWR + WIFI  |  Return Analysis (Section 5)</t>
        </is>
      </c>
      <c r="B1" s="1471" t="n"/>
      <c r="C1" s="1471" t="n"/>
      <c r="D1" s="1471" t="n"/>
      <c r="E1" s="1471" t="n"/>
      <c r="F1" s="1471" t="n"/>
      <c r="G1" s="1471" t="n"/>
      <c r="H1" s="1471" t="n"/>
    </row>
    <row r="2" ht="15" customHeight="1">
      <c r="A2" s="1394" t="inlineStr">
        <is>
          <t>Rp bn. Acquirer cash flow = 51% of target FCF + after-tax synergies - integration. Discounted at WACC.</t>
        </is>
      </c>
    </row>
    <row r="4" ht="15" customHeight="1">
      <c r="A4" s="1371" t="inlineStr">
        <is>
          <t>Assumptions</t>
        </is>
      </c>
      <c r="B4" s="1471" t="n"/>
    </row>
    <row r="5" ht="15" customHeight="1">
      <c r="A5" s="1252" t="inlineStr">
        <is>
          <t>WACC (acquirer)</t>
        </is>
      </c>
      <c r="B5" s="1259">
        <f>'TOWR WACC'!D9</f>
        <v/>
      </c>
    </row>
    <row r="6" ht="15" customHeight="1">
      <c r="A6" s="1252" t="inlineStr">
        <is>
          <t>Stake acquired</t>
        </is>
      </c>
      <c r="B6" s="1259">
        <f>Control!B14</f>
        <v/>
      </c>
    </row>
    <row r="7" ht="15" customHeight="1">
      <c r="A7" s="1252" t="inlineStr">
        <is>
          <t>Exit EV/EBITDA (terminal)</t>
        </is>
      </c>
      <c r="B7" s="1481" t="n">
        <v>8.5</v>
      </c>
    </row>
    <row r="8" ht="15" customHeight="1">
      <c r="A8" s="1252" t="inlineStr">
        <is>
          <t>Full run-rate synergy (Rp bn) — linked to bottom-up gross</t>
        </is>
      </c>
      <c r="B8" s="1482">
        <f>'Synergies'!J45+'Synergies'!J30+'Synergies'!J56</f>
        <v/>
      </c>
    </row>
    <row r="9" ht="15" customHeight="1">
      <c r="A9" s="1252" t="inlineStr">
        <is>
          <t>Synergy realization % — implied by bottom-up haircut</t>
        </is>
      </c>
      <c r="B9" s="1483">
        <f>('Synergies'!M45+'Synergies'!M30+'Synergies'!M56)/B8</f>
        <v/>
      </c>
    </row>
    <row r="10" ht="15" customHeight="1">
      <c r="A10" s="1252" t="inlineStr">
        <is>
          <t>Transaction cost (Rp bn)</t>
        </is>
      </c>
      <c r="B10" s="1484" t="n">
        <v>310.5</v>
      </c>
    </row>
    <row r="11" ht="15" customHeight="1">
      <c r="A11" s="1252" t="inlineStr">
        <is>
          <t>Integration cost total (Rp bn)</t>
        </is>
      </c>
      <c r="B11" s="1484" t="n">
        <v>520</v>
      </c>
    </row>
    <row r="12" ht="15" customHeight="1">
      <c r="A12" s="1252" t="inlineStr">
        <is>
          <t>Net tender cost after refloat (Rp bn)</t>
        </is>
      </c>
      <c r="B12" s="1484" t="n">
        <v>850</v>
      </c>
    </row>
    <row r="13" ht="15" customHeight="1">
      <c r="A13" s="1252" t="inlineStr">
        <is>
          <t>FWA expansion option value (Rp bn)</t>
        </is>
      </c>
      <c r="B13" s="1484" t="n">
        <v>1120</v>
      </c>
    </row>
    <row r="14" ht="15" customHeight="1">
      <c r="A14" s="1252" t="inlineStr">
        <is>
          <t>Tax rate</t>
        </is>
      </c>
      <c r="B14" s="1259">
        <f>Control!B11</f>
        <v/>
      </c>
    </row>
    <row r="16" ht="15" customHeight="1">
      <c r="A16" s="1371" t="inlineStr">
        <is>
          <t>A.  ACQUIRER CASH FLOW, NPV, IRR &amp; PAYBACK (base case)</t>
        </is>
      </c>
      <c r="B16" s="1471" t="n"/>
      <c r="C16" s="1471" t="n"/>
      <c r="D16" s="1471" t="n"/>
      <c r="E16" s="1471" t="n"/>
      <c r="F16" s="1471" t="n"/>
      <c r="G16" s="1471" t="n"/>
      <c r="H16" s="1471" t="n"/>
    </row>
    <row r="17" ht="15" customHeight="1">
      <c r="B17" s="923" t="inlineStr">
        <is>
          <t>Year:</t>
        </is>
      </c>
      <c r="C17" s="1336" t="n">
        <v>0</v>
      </c>
      <c r="D17" s="1336" t="n">
        <v>1</v>
      </c>
      <c r="E17" s="1336" t="n">
        <v>2</v>
      </c>
      <c r="F17" s="1336" t="n">
        <v>3</v>
      </c>
      <c r="G17" s="1336" t="n">
        <v>4</v>
      </c>
      <c r="H17" s="1336" t="n">
        <v>5</v>
      </c>
    </row>
    <row r="18" ht="15" customHeight="1">
      <c r="A18" s="1252" t="inlineStr">
        <is>
          <t>51% controlling-block price</t>
        </is>
      </c>
      <c r="C18" s="1485">
        <f>-'Merger-Model'!L7/1000</f>
        <v/>
      </c>
    </row>
    <row r="19" ht="15" customHeight="1">
      <c r="A19" s="1252" t="inlineStr">
        <is>
          <t>Net tender cost (after refloat)</t>
        </is>
      </c>
      <c r="C19" s="1486">
        <f>-B12</f>
        <v/>
      </c>
    </row>
    <row r="20" ht="15" customHeight="1">
      <c r="A20" s="1252" t="inlineStr">
        <is>
          <t>Transaction cost</t>
        </is>
      </c>
      <c r="C20" s="1486">
        <f>-B10</f>
        <v/>
      </c>
    </row>
    <row r="21" ht="15" customHeight="1">
      <c r="A21" s="1252" t="inlineStr">
        <is>
          <t>51% of target FCF</t>
        </is>
      </c>
      <c r="D21" s="1485">
        <f>$B$6*'M&amp;A_Valuation'!C18/1000</f>
        <v/>
      </c>
      <c r="E21" s="1485">
        <f>$B$6*'M&amp;A_Valuation'!D18/1000</f>
        <v/>
      </c>
      <c r="F21" s="1485">
        <f>$B$6*'M&amp;A_Valuation'!E18/1000</f>
        <v/>
      </c>
      <c r="G21" s="1485">
        <f>$B$6*'M&amp;A_Valuation'!F18/1000</f>
        <v/>
      </c>
      <c r="H21" s="1485">
        <f>$B$6*'M&amp;A_Valuation'!G18/1000</f>
        <v/>
      </c>
    </row>
    <row r="22" ht="15" customHeight="1">
      <c r="A22" s="2033" t="inlineStr">
        <is>
          <t>After-tax synergies net of dissynergies (D1–D3 yr1–3; D1–D2 only from yr4 — D3 is transitional)</t>
        </is>
      </c>
      <c r="D22" s="1486">
        <f>($B$8*$B$9*0.25-'Dissynergy'!$F$30)*(1-$B$14)</f>
        <v/>
      </c>
      <c r="E22" s="1486">
        <f>($B$8*$B$9*0.6-'Dissynergy'!$F$30)*(1-$B$14)</f>
        <v/>
      </c>
      <c r="F22" s="1486">
        <f>($B$8*$B$9*0.85-'Dissynergy'!$F$30)*(1-$B$14)</f>
        <v/>
      </c>
      <c r="G22" s="1486">
        <f>($B$8*$B$9*1-'Dissynergy'!$F$29)*(1-$B$14)</f>
        <v/>
      </c>
      <c r="H22" s="1486">
        <f>($B$8*$B$9*1-'Dissynergy'!$F$29)*(1-$B$14)</f>
        <v/>
      </c>
    </row>
    <row r="23" ht="15" customHeight="1">
      <c r="A23" s="1252" t="inlineStr">
        <is>
          <t>Integration cost (yr1-2)</t>
        </is>
      </c>
      <c r="D23" s="1486">
        <f>-B11/2</f>
        <v/>
      </c>
      <c r="E23" s="1486">
        <f>-B11/2</f>
        <v/>
      </c>
    </row>
    <row r="24" ht="15" customHeight="1">
      <c r="A24" s="1252" t="inlineStr">
        <is>
          <t>Terminal equity value (51% x [exit x EBITDA - net debt])</t>
        </is>
      </c>
      <c r="H24" s="1485">
        <f>$B$6*($B$7*'WIFI 3-Statement Model'!M37/1000000-('WIFI 3-Statement Model'!M66+'WIFI 3-Statement Model'!M71-'WIFI 3-Statement Model'!M51)/1000000)</f>
        <v/>
      </c>
    </row>
    <row r="25" ht="15" customHeight="1">
      <c r="A25" s="1392" t="inlineStr">
        <is>
          <t>Net cash flow</t>
        </is>
      </c>
      <c r="B25" s="173" t="n"/>
      <c r="C25" s="1487">
        <f>SUM(C18:C24)</f>
        <v/>
      </c>
      <c r="D25" s="1487">
        <f>SUM(D18:D24)</f>
        <v/>
      </c>
      <c r="E25" s="1487">
        <f>SUM(E18:E24)</f>
        <v/>
      </c>
      <c r="F25" s="1487">
        <f>SUM(F18:F24)</f>
        <v/>
      </c>
      <c r="G25" s="1487">
        <f>SUM(G18:G24)</f>
        <v/>
      </c>
      <c r="H25" s="1487">
        <f>SUM(H18:H24)</f>
        <v/>
      </c>
    </row>
    <row r="26" ht="15" customHeight="1">
      <c r="A26" s="1252" t="inlineStr">
        <is>
          <t>Discount factor</t>
        </is>
      </c>
      <c r="C26" s="1488">
        <f>1/(1+$B$5)^0</f>
        <v/>
      </c>
      <c r="D26" s="1488">
        <f>1/(1+$B$5)^1</f>
        <v/>
      </c>
      <c r="E26" s="1488">
        <f>1/(1+$B$5)^2</f>
        <v/>
      </c>
      <c r="F26" s="1488">
        <f>1/(1+$B$5)^3</f>
        <v/>
      </c>
      <c r="G26" s="1488">
        <f>1/(1+$B$5)^4</f>
        <v/>
      </c>
      <c r="H26" s="1488">
        <f>1/(1+$B$5)^5</f>
        <v/>
      </c>
    </row>
    <row r="27" ht="15" customHeight="1">
      <c r="A27" s="1252" t="inlineStr">
        <is>
          <t>PV of net cash flow</t>
        </is>
      </c>
      <c r="C27" s="1486">
        <f>C25*C26</f>
        <v/>
      </c>
      <c r="D27" s="1486">
        <f>D25*D26</f>
        <v/>
      </c>
      <c r="E27" s="1486">
        <f>E25*E26</f>
        <v/>
      </c>
      <c r="F27" s="1486">
        <f>F25*F26</f>
        <v/>
      </c>
      <c r="G27" s="1486">
        <f>G25*G26</f>
        <v/>
      </c>
      <c r="H27" s="1486">
        <f>H25*H26</f>
        <v/>
      </c>
    </row>
    <row r="28" ht="15" customHeight="1">
      <c r="A28" s="1252" t="inlineStr">
        <is>
          <t>Cumulative cash flow</t>
        </is>
      </c>
      <c r="C28" s="1486">
        <f>C25</f>
        <v/>
      </c>
      <c r="D28" s="1486">
        <f>C28+D25</f>
        <v/>
      </c>
      <c r="E28" s="1486">
        <f>D28+E25</f>
        <v/>
      </c>
      <c r="F28" s="1486">
        <f>E28+F25</f>
        <v/>
      </c>
      <c r="G28" s="1486">
        <f>F28+G25</f>
        <v/>
      </c>
      <c r="H28" s="1486">
        <f>G28+H25</f>
        <v/>
      </c>
    </row>
    <row r="30" ht="15" customHeight="1">
      <c r="A30" s="923" t="inlineStr">
        <is>
          <t>NPV</t>
        </is>
      </c>
      <c r="B30" s="1489">
        <f>SUM(C27:H27)</f>
        <v/>
      </c>
    </row>
    <row r="31" ht="15" customHeight="1">
      <c r="A31" s="923" t="inlineStr">
        <is>
          <t>IRR</t>
        </is>
      </c>
      <c r="B31" s="1490">
        <f>IRR(C25:H25)</f>
        <v/>
      </c>
    </row>
    <row r="32" ht="15" customHeight="1">
      <c r="A32" s="923" t="inlineStr">
        <is>
          <t>Payback period (years, incl. exit value)</t>
        </is>
      </c>
      <c r="B32" s="1491">
        <f>IFERROR((SUMPRODUCT(--(C28:H28&lt;0))-1)+(-INDEX(C28:H28,SUMPRODUCT(--(C28:H28&lt;0))))/INDEX(C25:H25,SUMPRODUCT(--(C28:H28&lt;0))+1),"beyond horizon")</f>
        <v/>
      </c>
    </row>
    <row r="33" ht="15" customHeight="1">
      <c r="A33" s="1252" t="inlineStr">
        <is>
          <t>vs WACC hurdle</t>
        </is>
      </c>
      <c r="B33" s="1492">
        <f>B31-B5</f>
        <v/>
      </c>
    </row>
    <row r="34" ht="15" customHeight="1">
      <c r="A34" s="1394" t="inlineStr">
        <is>
          <t>Payback on operating CF only (excl. exit)</t>
        </is>
      </c>
      <c r="B34" s="1394" t="inlineStr">
        <is>
          <t>"beyond 5-yr window"</t>
        </is>
      </c>
    </row>
    <row r="35" ht="15" customHeight="1">
      <c r="A35" s="1371" t="inlineStr">
        <is>
          <t>B.  VALUE CREATION BRIDGE</t>
        </is>
      </c>
      <c r="B35" s="1471" t="n"/>
      <c r="C35" s="1471" t="n"/>
      <c r="D35" s="1471" t="n"/>
      <c r="E35" s="1471" t="n"/>
      <c r="F35" s="1471" t="n"/>
      <c r="G35" s="1471" t="n"/>
      <c r="H35" s="1471" t="n"/>
    </row>
    <row r="36" ht="15" customHeight="1">
      <c r="A36" s="1252" t="inlineStr">
        <is>
          <t>Standalone value of the 51% stake</t>
        </is>
      </c>
      <c r="B36" s="1485">
        <f>$B$6*Control!B18/1000</f>
        <v/>
      </c>
    </row>
    <row r="37" ht="15" customHeight="1">
      <c r="A37" s="1252" t="inlineStr">
        <is>
          <t>PV of risk-adjusted synergies</t>
        </is>
      </c>
      <c r="B37" s="1486">
        <f>SUMPRODUCT(D22:H22,D26:H26)+(H22/($B$5-0.03))*H26</f>
        <v/>
      </c>
    </row>
    <row r="38" ht="15" customHeight="1">
      <c r="A38" s="1252" t="inlineStr">
        <is>
          <t>Option value of FWA expansion</t>
        </is>
      </c>
      <c r="B38" s="1486">
        <f>B13</f>
        <v/>
      </c>
    </row>
    <row r="39" ht="15" customHeight="1">
      <c r="A39" s="1252" t="inlineStr">
        <is>
          <t>Less: acquisition premium paid</t>
        </is>
      </c>
      <c r="B39" s="1485">
        <f>-('Merger-Model'!L7/1000-B36)</f>
        <v/>
      </c>
    </row>
    <row r="40" ht="15" customHeight="1">
      <c r="A40" s="1252" t="inlineStr">
        <is>
          <t>Less: integration cost</t>
        </is>
      </c>
      <c r="B40" s="1486">
        <f>-B11</f>
        <v/>
      </c>
    </row>
    <row r="41" ht="15" customHeight="1">
      <c r="A41" s="1252" t="inlineStr">
        <is>
          <t>Less: transaction cost</t>
        </is>
      </c>
      <c r="B41" s="1486">
        <f>-B10</f>
        <v/>
      </c>
    </row>
    <row r="42" ht="15" customHeight="1">
      <c r="A42" s="1252" t="inlineStr">
        <is>
          <t>Less: net tender-offer cost</t>
        </is>
      </c>
      <c r="B42" s="1486">
        <f>-B12</f>
        <v/>
      </c>
    </row>
    <row r="43" ht="15" customHeight="1">
      <c r="A43" s="2071" t="inlineStr">
        <is>
          <t>NET VALUE CREATION  (all-in: synergies − dissynergies − costs + one-time)</t>
        </is>
      </c>
      <c r="B43" s="2072">
        <f>SUM(B37:B42)+B44</f>
        <v/>
      </c>
    </row>
    <row r="44">
      <c r="A44" s="931" t="inlineStr">
        <is>
          <t>Plus: one-time items  (C8 capex avoidance + F4 tax shield + F5 working capital − D4 overrun − D5 attrition)</t>
        </is>
      </c>
      <c r="B44" s="2030">
        <f>'Synergies'!H35+'Synergies'!H61+'Synergies'!H62-'Dissynergy'!F27-'Dissynergy'!F28</f>
        <v/>
      </c>
    </row>
    <row r="45" ht="15" customHeight="1">
      <c r="A45" s="1371" t="inlineStr">
        <is>
          <t>C.  SCENARIO ANALYSIS  (IRR / NPV / payback)</t>
        </is>
      </c>
      <c r="B45" s="1471" t="n"/>
      <c r="C45" s="1471" t="n"/>
      <c r="D45" s="1471" t="n"/>
      <c r="E45" s="1471" t="n"/>
      <c r="F45" s="1471" t="n"/>
      <c r="G45" s="1471" t="n"/>
      <c r="H45" s="1471" t="n"/>
      <c r="I45" s="1471" t="n"/>
      <c r="J45" s="1471" t="n"/>
    </row>
    <row r="46" ht="15" customHeight="1">
      <c r="A46" s="1473" t="inlineStr">
        <is>
          <t>Driver</t>
        </is>
      </c>
      <c r="B46" s="1473" t="inlineStr">
        <is>
          <t>Bear</t>
        </is>
      </c>
      <c r="C46" s="1473" t="inlineStr">
        <is>
          <t>Base</t>
        </is>
      </c>
      <c r="D46" s="1473" t="inlineStr">
        <is>
          <t>Bull</t>
        </is>
      </c>
    </row>
    <row r="47" ht="15" customHeight="1">
      <c r="A47" s="1252" t="inlineStr">
        <is>
          <t>Synergy realization</t>
        </is>
      </c>
      <c r="B47" s="1260" t="n">
        <v>0.4</v>
      </c>
      <c r="C47" s="1493">
        <f>B9</f>
        <v/>
      </c>
      <c r="D47" s="1260" t="n">
        <v>1</v>
      </c>
    </row>
    <row r="48" ht="15" customHeight="1">
      <c r="A48" s="1252" t="inlineStr">
        <is>
          <t>Target FCF scalar (rev growth)</t>
        </is>
      </c>
      <c r="B48" s="1494" t="n">
        <v>0.7</v>
      </c>
      <c r="C48" s="1494" t="n">
        <v>1</v>
      </c>
      <c r="D48" s="1494" t="n">
        <v>1.3</v>
      </c>
    </row>
    <row r="49" ht="15" customHeight="1">
      <c r="A49" s="1252" t="inlineStr">
        <is>
          <t>Exit EV/EBITDA</t>
        </is>
      </c>
      <c r="B49" s="1472" t="n">
        <v>6</v>
      </c>
      <c r="C49" s="1472" t="n">
        <v>8.5</v>
      </c>
      <c r="D49" s="1472" t="n">
        <v>11</v>
      </c>
    </row>
    <row r="50" ht="15" customHeight="1">
      <c r="A50" s="159" t="n"/>
      <c r="B50" s="274" t="n"/>
      <c r="C50" s="274" t="n"/>
      <c r="D50" s="274" t="n"/>
    </row>
    <row r="51" ht="15" customHeight="1">
      <c r="A51" s="175" t="n"/>
      <c r="B51" s="254" t="n"/>
      <c r="C51" s="254" t="n"/>
      <c r="D51" s="254" t="n"/>
    </row>
    <row r="52" ht="15" customHeight="1">
      <c r="B52" s="1394" t="inlineStr">
        <is>
          <t>Cash-flow stream (Rp bn):</t>
        </is>
      </c>
      <c r="C52" s="1495" t="inlineStr">
        <is>
          <t>Y0</t>
        </is>
      </c>
      <c r="D52" s="1495" t="inlineStr">
        <is>
          <t>Y1</t>
        </is>
      </c>
      <c r="E52" s="1495" t="inlineStr">
        <is>
          <t>Y2</t>
        </is>
      </c>
      <c r="F52" s="1495" t="inlineStr">
        <is>
          <t>Y3</t>
        </is>
      </c>
      <c r="G52" s="1495" t="inlineStr">
        <is>
          <t>Y4</t>
        </is>
      </c>
      <c r="H52" s="1495" t="inlineStr">
        <is>
          <t>Y5</t>
        </is>
      </c>
      <c r="I52" s="923" t="inlineStr">
        <is>
          <t>NPV</t>
        </is>
      </c>
      <c r="J52" s="923" t="inlineStr">
        <is>
          <t>IRR</t>
        </is>
      </c>
    </row>
    <row r="53" ht="15" customHeight="1">
      <c r="A53" s="923" t="inlineStr">
        <is>
          <t>Bear</t>
        </is>
      </c>
      <c r="C53" s="1486">
        <f>SUM($C$18:$C$20)</f>
        <v/>
      </c>
      <c r="D53" s="1486">
        <f>$B$48*D21+($B$47/$B$9)*D22+D23</f>
        <v/>
      </c>
      <c r="E53" s="1486">
        <f>$B$48*E21+($B$47/$B$9)*E22+E23</f>
        <v/>
      </c>
      <c r="F53" s="1486">
        <f>$B$48*F21+($B$47/$B$9)*F22+F23</f>
        <v/>
      </c>
      <c r="G53" s="1486">
        <f>$B$48*G21+($B$47/$B$9)*G22+G23</f>
        <v/>
      </c>
      <c r="H53" s="1486">
        <f>$B$48*H21+($B$47/$B$9)*H22+H23+$B$48*($B$49/$B$7)*$H$24</f>
        <v/>
      </c>
      <c r="I53" s="1489">
        <f>C53+NPV($B$5,D53:H53)</f>
        <v/>
      </c>
      <c r="J53" s="1490">
        <f>IFERROR(IRR(C53:H53),"n.m.")</f>
        <v/>
      </c>
    </row>
    <row r="54" ht="15" customHeight="1">
      <c r="A54" s="923" t="inlineStr">
        <is>
          <t>Base</t>
        </is>
      </c>
      <c r="C54" s="1486">
        <f>SUM($C$18:$C$20)</f>
        <v/>
      </c>
      <c r="D54" s="1486">
        <f>$C$48*D21+($C$47/$B$9)*D22+D23</f>
        <v/>
      </c>
      <c r="E54" s="1486">
        <f>$C$48*E21+($C$47/$B$9)*E22+E23</f>
        <v/>
      </c>
      <c r="F54" s="1486">
        <f>$C$48*F21+($C$47/$B$9)*F22+F23</f>
        <v/>
      </c>
      <c r="G54" s="1486">
        <f>$C$48*G21+($C$47/$B$9)*G22+G23</f>
        <v/>
      </c>
      <c r="H54" s="1486">
        <f>$C$48*H21+($C$47/$B$9)*H22+H23+$C$48*($C$49/$B$7)*$H$24</f>
        <v/>
      </c>
      <c r="I54" s="1489">
        <f>C54+NPV($B$5,D54:H54)</f>
        <v/>
      </c>
      <c r="J54" s="1490">
        <f>IFERROR(IRR(C54:H54),"n.m.")</f>
        <v/>
      </c>
    </row>
    <row r="55" ht="15" customHeight="1">
      <c r="A55" s="923" t="inlineStr">
        <is>
          <t>Bull</t>
        </is>
      </c>
      <c r="C55" s="1486">
        <f>SUM($C$18:$C$20)</f>
        <v/>
      </c>
      <c r="D55" s="1486">
        <f>$D$48*D21+($D$47/$B$9)*D22+D23</f>
        <v/>
      </c>
      <c r="E55" s="1486">
        <f>$D$48*E21+($D$47/$B$9)*E22+E23</f>
        <v/>
      </c>
      <c r="F55" s="1486">
        <f>$D$48*F21+($D$47/$B$9)*F22+F23</f>
        <v/>
      </c>
      <c r="G55" s="1486">
        <f>$D$48*G21+($D$47/$B$9)*G22+G23</f>
        <v/>
      </c>
      <c r="H55" s="1486">
        <f>$D$48*H21+($D$47/$B$9)*H22+H23+$D$48*($D$49/$B$7)*$H$24</f>
        <v/>
      </c>
      <c r="I55" s="1489">
        <f>C55+NPV($B$5,D55:H55)</f>
        <v/>
      </c>
      <c r="J55" s="1490">
        <f>IFERROR(IRR(C55:H55),"n.m.")</f>
        <v/>
      </c>
    </row>
    <row r="57" ht="15" customHeight="1">
      <c r="A57" s="159" t="n"/>
    </row>
    <row r="58" ht="15" customHeight="1">
      <c r="A58" s="175" t="n"/>
    </row>
    <row r="59" ht="15" customHeight="1">
      <c r="A59" s="175" t="n"/>
    </row>
    <row r="60" ht="15" customHeight="1">
      <c r="A60" s="175" t="n"/>
    </row>
    <row r="61" ht="15" customHeight="1">
      <c r="A61" s="175" t="n"/>
    </row>
    <row r="62" ht="15" customHeight="1">
      <c r="A62" s="175" t="n"/>
    </row>
    <row r="64" ht="15" customHeight="1">
      <c r="A64" s="1394" t="inlineStr">
        <is>
          <t>Sensitivity helpers</t>
        </is>
      </c>
    </row>
    <row r="65" ht="15" customHeight="1">
      <c r="A65" s="1252" t="inlineStr">
        <is>
          <t>PV of base 51% target FCF (yr1-5)</t>
        </is>
      </c>
      <c r="B65" s="1358">
        <f>SUMPRODUCT($D$21:$H$21,$D$26:$H$26)</f>
        <v/>
      </c>
    </row>
    <row r="66" ht="15" customHeight="1">
      <c r="A66" s="1252" t="inlineStr">
        <is>
          <t>PV of base after-tax synergy (yr1-5)</t>
        </is>
      </c>
      <c r="B66" s="1358">
        <f>SUMPRODUCT($D$22:$H$22,$D$26:$H$26)</f>
        <v/>
      </c>
    </row>
    <row r="67" ht="15" customHeight="1">
      <c r="A67" s="1252" t="inlineStr">
        <is>
          <t>PV of terminal per 1.0x exit</t>
        </is>
      </c>
      <c r="B67" s="1358">
        <f>($H$24/$B$7)*$H$26</f>
        <v/>
      </c>
    </row>
    <row r="68" ht="15" customHeight="1">
      <c r="A68" s="1252" t="inlineStr">
        <is>
          <t>Upfront (price+tender+txn)+integ PV</t>
        </is>
      </c>
      <c r="B68" s="1358">
        <f>SUM($C$18:$C$20)+SUMPRODUCT($D$23:$E$23,$D$26:$E$26)</f>
        <v/>
      </c>
    </row>
    <row r="70" ht="15" customHeight="1">
      <c r="A70" s="1371" t="inlineStr">
        <is>
          <t>D.  SENSITIVITY 1 - NPV (Rp bn): Exit EV/EBITDA (rows) x Synergy realization (cols)</t>
        </is>
      </c>
      <c r="B70" s="1471" t="n"/>
      <c r="C70" s="1471" t="n"/>
      <c r="D70" s="1471" t="n"/>
      <c r="E70" s="1471" t="n"/>
      <c r="F70" s="1471" t="n"/>
      <c r="G70" s="1471" t="n"/>
      <c r="H70" s="1471" t="n"/>
    </row>
    <row r="71" ht="15" customHeight="1">
      <c r="A71" s="1394" t="inlineStr">
        <is>
          <t>FCF scalar held at base (1.0x)</t>
        </is>
      </c>
    </row>
    <row r="72" ht="15" customHeight="1">
      <c r="B72" s="923" t="inlineStr">
        <is>
          <t>NPV</t>
        </is>
      </c>
      <c r="C72" s="1496" t="n">
        <v>0.4</v>
      </c>
      <c r="D72" s="1496" t="n">
        <v>0.55</v>
      </c>
      <c r="E72" s="1496" t="n">
        <v>0.7</v>
      </c>
      <c r="F72" s="1496" t="n">
        <v>0.85</v>
      </c>
      <c r="G72" s="1496" t="n">
        <v>1</v>
      </c>
    </row>
    <row r="73" ht="15" customHeight="1">
      <c r="B73" s="1497" t="n">
        <v>6</v>
      </c>
      <c r="C73" s="1358">
        <f>$B$65+(C$72/$B$9)*$B$66+$B73*$B$67+$B$68</f>
        <v/>
      </c>
      <c r="D73" s="1358">
        <f>$B$65+(D$72/$B$9)*$B$66+$B73*$B$67+$B$68</f>
        <v/>
      </c>
      <c r="E73" s="1358">
        <f>$B$65+(E$72/$B$9)*$B$66+$B73*$B$67+$B$68</f>
        <v/>
      </c>
      <c r="F73" s="1358">
        <f>$B$65+(F$72/$B$9)*$B$66+$B73*$B$67+$B$68</f>
        <v/>
      </c>
      <c r="G73" s="1358">
        <f>$B$65+(G$72/$B$9)*$B$66+$B73*$B$67+$B$68</f>
        <v/>
      </c>
    </row>
    <row r="74" ht="15" customHeight="1">
      <c r="B74" s="1497" t="n">
        <v>7.5</v>
      </c>
      <c r="C74" s="1358">
        <f>$B$65+(C$72/$B$9)*$B$66+$B74*$B$67+$B$68</f>
        <v/>
      </c>
      <c r="D74" s="1358">
        <f>$B$65+(D$72/$B$9)*$B$66+$B74*$B$67+$B$68</f>
        <v/>
      </c>
      <c r="E74" s="1358">
        <f>$B$65+(E$72/$B$9)*$B$66+$B74*$B$67+$B$68</f>
        <v/>
      </c>
      <c r="F74" s="1358">
        <f>$B$65+(F$72/$B$9)*$B$66+$B74*$B$67+$B$68</f>
        <v/>
      </c>
      <c r="G74" s="1358">
        <f>$B$65+(G$72/$B$9)*$B$66+$B74*$B$67+$B$68</f>
        <v/>
      </c>
    </row>
    <row r="75" ht="15" customHeight="1">
      <c r="B75" s="1497" t="n">
        <v>8.5</v>
      </c>
      <c r="C75" s="1358">
        <f>$B$65+(C$72/$B$9)*$B$66+$B75*$B$67+$B$68</f>
        <v/>
      </c>
      <c r="D75" s="1358">
        <f>$B$65+(D$72/$B$9)*$B$66+$B75*$B$67+$B$68</f>
        <v/>
      </c>
      <c r="E75" s="1498">
        <f>$B$65+(E$72/$B$9)*$B$66+$B75*$B$67+$B$68</f>
        <v/>
      </c>
      <c r="F75" s="1358">
        <f>$B$65+(F$72/$B$9)*$B$66+$B75*$B$67+$B$68</f>
        <v/>
      </c>
      <c r="G75" s="1358">
        <f>$B$65+(G$72/$B$9)*$B$66+$B75*$B$67+$B$68</f>
        <v/>
      </c>
    </row>
    <row r="76" ht="15" customHeight="1">
      <c r="B76" s="1497" t="n">
        <v>10</v>
      </c>
      <c r="C76" s="1358">
        <f>$B$65+(C$72/$B$9)*$B$66+$B76*$B$67+$B$68</f>
        <v/>
      </c>
      <c r="D76" s="1358">
        <f>$B$65+(D$72/$B$9)*$B$66+$B76*$B$67+$B$68</f>
        <v/>
      </c>
      <c r="E76" s="1358">
        <f>$B$65+(E$72/$B$9)*$B$66+$B76*$B$67+$B$68</f>
        <v/>
      </c>
      <c r="F76" s="1358">
        <f>$B$65+(F$72/$B$9)*$B$66+$B76*$B$67+$B$68</f>
        <v/>
      </c>
      <c r="G76" s="1358">
        <f>$B$65+(G$72/$B$9)*$B$66+$B76*$B$67+$B$68</f>
        <v/>
      </c>
    </row>
    <row r="77" ht="15" customHeight="1">
      <c r="B77" s="1497" t="n">
        <v>11</v>
      </c>
      <c r="C77" s="1358">
        <f>$B$65+(C$72/$B$9)*$B$66+$B77*$B$67+$B$68</f>
        <v/>
      </c>
      <c r="D77" s="1358">
        <f>$B$65+(D$72/$B$9)*$B$66+$B77*$B$67+$B$68</f>
        <v/>
      </c>
      <c r="E77" s="1358">
        <f>$B$65+(E$72/$B$9)*$B$66+$B77*$B$67+$B$68</f>
        <v/>
      </c>
      <c r="F77" s="1358">
        <f>$B$65+(F$72/$B$9)*$B$66+$B77*$B$67+$B$68</f>
        <v/>
      </c>
      <c r="G77" s="1358">
        <f>$B$65+(G$72/$B$9)*$B$66+$B77*$B$67+$B$68</f>
        <v/>
      </c>
    </row>
    <row r="80" ht="15" customHeight="1">
      <c r="A80" s="1371" t="inlineStr">
        <is>
          <t>E.  SENSITIVITY 2 - NPV (Rp bn): Exit EV/EBITDA (rows) x Revenue-growth scalar (cols)</t>
        </is>
      </c>
      <c r="B80" s="1471" t="n"/>
      <c r="C80" s="1471" t="n"/>
      <c r="D80" s="1471" t="n"/>
      <c r="E80" s="1471" t="n"/>
      <c r="F80" s="1471" t="n"/>
      <c r="G80" s="1471" t="n"/>
      <c r="H80" s="1471" t="n"/>
    </row>
    <row r="81" ht="15" customHeight="1">
      <c r="A81" s="1394" t="inlineStr">
        <is>
          <t>Synergy realization held at base (70%)</t>
        </is>
      </c>
    </row>
    <row r="82" ht="15" customHeight="1">
      <c r="B82" s="923" t="inlineStr">
        <is>
          <t>NPV</t>
        </is>
      </c>
      <c r="C82" s="1499" t="n">
        <v>0.7</v>
      </c>
      <c r="D82" s="1499" t="n">
        <v>0.85</v>
      </c>
      <c r="E82" s="1499" t="n">
        <v>1</v>
      </c>
      <c r="F82" s="1499" t="n">
        <v>1.15</v>
      </c>
      <c r="G82" s="1499" t="n">
        <v>1.3</v>
      </c>
    </row>
    <row r="83" ht="15" customHeight="1">
      <c r="B83" s="1497" t="n">
        <v>6</v>
      </c>
      <c r="C83" s="1358">
        <f>C$82*$B$65+$B$66+C$82*$B83*$B$67+$B$68</f>
        <v/>
      </c>
      <c r="D83" s="1358">
        <f>D$82*$B$65+$B$66+D$82*$B83*$B$67+$B$68</f>
        <v/>
      </c>
      <c r="E83" s="1358">
        <f>E$82*$B$65+$B$66+E$82*$B83*$B$67+$B$68</f>
        <v/>
      </c>
      <c r="F83" s="1358">
        <f>F$82*$B$65+$B$66+F$82*$B83*$B$67+$B$68</f>
        <v/>
      </c>
      <c r="G83" s="1358">
        <f>G$82*$B$65+$B$66+G$82*$B83*$B$67+$B$68</f>
        <v/>
      </c>
    </row>
    <row r="84" ht="15" customHeight="1">
      <c r="B84" s="1497" t="n">
        <v>7.5</v>
      </c>
      <c r="C84" s="1358">
        <f>C$82*$B$65+$B$66+C$82*$B84*$B$67+$B$68</f>
        <v/>
      </c>
      <c r="D84" s="1358">
        <f>D$82*$B$65+$B$66+D$82*$B84*$B$67+$B$68</f>
        <v/>
      </c>
      <c r="E84" s="1358">
        <f>E$82*$B$65+$B$66+E$82*$B84*$B$67+$B$68</f>
        <v/>
      </c>
      <c r="F84" s="1358">
        <f>F$82*$B$65+$B$66+F$82*$B84*$B$67+$B$68</f>
        <v/>
      </c>
      <c r="G84" s="1358">
        <f>G$82*$B$65+$B$66+G$82*$B84*$B$67+$B$68</f>
        <v/>
      </c>
    </row>
    <row r="85" ht="15" customHeight="1">
      <c r="B85" s="1497" t="n">
        <v>8.5</v>
      </c>
      <c r="C85" s="1358">
        <f>C$82*$B$65+$B$66+C$82*$B85*$B$67+$B$68</f>
        <v/>
      </c>
      <c r="D85" s="1358">
        <f>D$82*$B$65+$B$66+D$82*$B85*$B$67+$B$68</f>
        <v/>
      </c>
      <c r="E85" s="1498">
        <f>E$82*$B$65+$B$66+E$82*$B85*$B$67+$B$68</f>
        <v/>
      </c>
      <c r="F85" s="1358">
        <f>F$82*$B$65+$B$66+F$82*$B85*$B$67+$B$68</f>
        <v/>
      </c>
      <c r="G85" s="1358">
        <f>G$82*$B$65+$B$66+G$82*$B85*$B$67+$B$68</f>
        <v/>
      </c>
    </row>
    <row r="86" ht="15" customHeight="1">
      <c r="B86" s="1497" t="n">
        <v>10</v>
      </c>
      <c r="C86" s="1358">
        <f>C$82*$B$65+$B$66+C$82*$B86*$B$67+$B$68</f>
        <v/>
      </c>
      <c r="D86" s="1358">
        <f>D$82*$B$65+$B$66+D$82*$B86*$B$67+$B$68</f>
        <v/>
      </c>
      <c r="E86" s="1358">
        <f>E$82*$B$65+$B$66+E$82*$B86*$B$67+$B$68</f>
        <v/>
      </c>
      <c r="F86" s="1358">
        <f>F$82*$B$65+$B$66+F$82*$B86*$B$67+$B$68</f>
        <v/>
      </c>
      <c r="G86" s="1358">
        <f>G$82*$B$65+$B$66+G$82*$B86*$B$67+$B$68</f>
        <v/>
      </c>
    </row>
    <row r="87" ht="15" customHeight="1">
      <c r="B87" s="1497" t="n">
        <v>11</v>
      </c>
      <c r="C87" s="1358">
        <f>C$82*$B$65+$B$66+C$82*$B87*$B$67+$B$68</f>
        <v/>
      </c>
      <c r="D87" s="1358">
        <f>D$82*$B$65+$B$66+D$82*$B87*$B$67+$B$68</f>
        <v/>
      </c>
      <c r="E87" s="1358">
        <f>E$82*$B$65+$B$66+E$82*$B87*$B$67+$B$68</f>
        <v/>
      </c>
      <c r="F87" s="1358">
        <f>F$82*$B$65+$B$66+F$82*$B87*$B$67+$B$68</f>
        <v/>
      </c>
      <c r="G87" s="1358">
        <f>G$82*$B$65+$B$66+G$82*$B87*$B$67+$B$68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4" customWidth="1" min="3" max="3"/>
    <col width="13" customWidth="1" min="4" max="4"/>
    <col width="10" customWidth="1" min="5" max="5"/>
    <col width="12" customWidth="1" min="6" max="6"/>
    <col width="10" customWidth="1" min="7" max="7"/>
    <col width="13" customWidth="1" min="8" max="8"/>
    <col width="10" customWidth="1" min="9" max="9"/>
    <col width="12" customWidth="1" min="10" max="10"/>
    <col width="10" customWidth="1" min="11" max="11"/>
    <col width="8" customWidth="1" min="12" max="12"/>
    <col width="12" customWidth="1" min="13" max="13"/>
    <col width="12" customWidth="1" min="14" max="14"/>
    <col width="46" customWidth="1" min="15" max="15"/>
  </cols>
  <sheetData>
    <row r="1" ht="22" customHeight="1">
      <c r="A1" s="912" t="inlineStr">
        <is>
          <t>SYNERGIES  —  Consolidated Bottom-Up  (Cost · Revenue · Financing)</t>
        </is>
      </c>
    </row>
    <row r="2">
      <c r="A2" s="913" t="inlineStr">
        <is>
          <t>All figures IDR bn unless stated. Blue = input · Green = link to another sheet · Black = formula. Single source feeding Synergy_Schedule, Merger-Model, Sensitivities &amp; Returns Analysis.</t>
        </is>
      </c>
    </row>
    <row r="4">
      <c r="A4" s="1959" t="inlineStr">
        <is>
          <t>ASSUMPTIONS &amp; REFERENCE DATA</t>
        </is>
      </c>
    </row>
    <row r="5">
      <c r="B5" s="1991" t="inlineStr">
        <is>
          <t>Modelling basis  (1 = Gross · 2 = Risk-adjusted)</t>
        </is>
      </c>
      <c r="D5" s="2018" t="n">
        <v>2</v>
      </c>
    </row>
    <row r="7">
      <c r="B7" s="1991" t="inlineStr">
        <is>
          <t>Reference data — actual FY2025 (filings)</t>
        </is>
      </c>
    </row>
    <row r="8">
      <c r="B8" s="2019" t="inlineStr">
        <is>
          <t>WIFI cash SG&amp;A ex-advertising &amp; D&amp;A</t>
        </is>
      </c>
      <c r="D8" s="2020" t="n">
        <v>176.7</v>
      </c>
      <c r="O8" s="1966" t="inlineStr">
        <is>
          <t>Surge AR2025: 211.9 − 22.4 ad − 12.8 D&amp;A</t>
        </is>
      </c>
    </row>
    <row r="9">
      <c r="B9" s="2019" t="inlineStr">
        <is>
          <t>WIFI cost of revenue — unclassified</t>
        </is>
      </c>
      <c r="D9" s="2020" t="n">
        <v>349.5</v>
      </c>
      <c r="O9" s="1966" t="inlineStr">
        <is>
          <t>SOURCE WIFI IS 2025</t>
        </is>
      </c>
    </row>
    <row r="10">
      <c r="B10" s="2019" t="inlineStr">
        <is>
          <t>TOWR cost of revenue — unclassified</t>
        </is>
      </c>
      <c r="D10" s="2020" t="n">
        <v>1115.1</v>
      </c>
      <c r="O10" s="1966" t="inlineStr">
        <is>
          <t>SOURCE TOWR IS 2025</t>
        </is>
      </c>
    </row>
    <row r="11">
      <c r="B11" s="2019" t="inlineStr">
        <is>
          <t>STARLITE revenue (for 20% commission)</t>
        </is>
      </c>
      <c r="D11" s="2020" t="n">
        <v>541.1</v>
      </c>
      <c r="O11" s="1966" t="inlineStr">
        <is>
          <t>Surge AR p.104</t>
        </is>
      </c>
    </row>
    <row r="12">
      <c r="B12" s="2019" t="inlineStr">
        <is>
          <t>TOWR towers</t>
        </is>
      </c>
      <c r="D12" s="2021" t="n">
        <v>36247</v>
      </c>
      <c r="O12" s="1966" t="inlineStr">
        <is>
          <t>SMN AR2025 p.47</t>
        </is>
      </c>
    </row>
    <row r="13">
      <c r="B13" s="2019" t="inlineStr">
        <is>
          <t>TOWR revenue per tenant (IDR bn)</t>
        </is>
      </c>
      <c r="D13" s="2022" t="n">
        <v>0.1442</v>
      </c>
      <c r="O13" s="1966" t="inlineStr">
        <is>
          <t>8,730 ÷ 60,540</t>
        </is>
      </c>
    </row>
    <row r="14">
      <c r="B14" s="2019" t="inlineStr">
        <is>
          <t>TOWR FTTH home passes (unpenetrated)</t>
        </is>
      </c>
      <c r="D14" s="2021" t="n">
        <v>1954000</v>
      </c>
      <c r="O14" s="1966" t="inlineStr">
        <is>
          <t>2.34m × (1−16.6%), SMN AR2025 p.158</t>
        </is>
      </c>
    </row>
    <row r="15">
      <c r="B15" s="2019" t="inlineStr">
        <is>
          <t>STARLITE FTTH subscribers</t>
        </is>
      </c>
      <c r="D15" s="2021" t="n">
        <v>1500000</v>
      </c>
      <c r="O15" s="1966" t="inlineStr">
        <is>
          <t>Surge AR2025 p.104</t>
        </is>
      </c>
    </row>
    <row r="16">
      <c r="B16" s="2019" t="inlineStr">
        <is>
          <t>IRA FWA pre-registrations</t>
        </is>
      </c>
      <c r="D16" s="2021" t="n">
        <v>1000000</v>
      </c>
      <c r="O16" s="1966" t="inlineStr">
        <is>
          <t>Surge AR2025 p.106</t>
        </is>
      </c>
    </row>
    <row r="17">
      <c r="B17" s="2019" t="inlineStr">
        <is>
          <t>WIFI B2B / enterprise revenue (IDR bn)</t>
        </is>
      </c>
      <c r="D17" s="2020" t="n">
        <v>668.2</v>
      </c>
      <c r="O17" s="1966" t="inlineStr">
        <is>
          <t>Surge AR2025 (40.3% of revenue)</t>
        </is>
      </c>
    </row>
    <row r="18">
      <c r="B18" s="2019" t="inlineStr">
        <is>
          <t>WIFI broadband tariff (IDR bn/yr)</t>
        </is>
      </c>
      <c r="D18" s="2022" t="n">
        <v>0.0012</v>
      </c>
      <c r="O18" s="1966" t="inlineStr">
        <is>
          <t>Rp100k/month</t>
        </is>
      </c>
    </row>
    <row r="19">
      <c r="B19" s="2019" t="inlineStr">
        <is>
          <t>TOWR cost of debt (Kd, pre-tax)</t>
        </is>
      </c>
      <c r="D19" s="2023">
        <f>'TOWR WACC'!D15</f>
        <v/>
      </c>
      <c r="O19" s="1966" t="inlineStr">
        <is>
          <t>Link TOWR WACC</t>
        </is>
      </c>
    </row>
    <row r="21">
      <c r="A21" s="1959" t="inlineStr">
        <is>
          <t>A.  COST SYNERGIES   (run-rate, IDR bn)</t>
        </is>
      </c>
    </row>
    <row r="22">
      <c r="A22" s="2024" t="inlineStr">
        <is>
          <t>Code</t>
        </is>
      </c>
      <c r="B22" s="2024" t="inlineStr">
        <is>
          <t>Initiative</t>
        </is>
      </c>
      <c r="C22" s="2024" t="inlineStr">
        <is>
          <t>Bottom-up basis</t>
        </is>
      </c>
      <c r="D22" s="2025" t="inlineStr">
        <is>
          <t>Base driver</t>
        </is>
      </c>
      <c r="E22" s="2025" t="inlineStr">
        <is>
          <t>Lever</t>
        </is>
      </c>
      <c r="F22" s="2025" t="inlineStr">
        <is>
          <t>Qty</t>
        </is>
      </c>
      <c r="G22" s="2025" t="inlineStr">
        <is>
          <t>Unit</t>
        </is>
      </c>
      <c r="H22" s="2025" t="inlineStr">
        <is>
          <t>Gross</t>
        </is>
      </c>
      <c r="I22" s="2025" t="inlineStr">
        <is>
          <t>Drop%</t>
        </is>
      </c>
      <c r="J22" s="2025" t="inlineStr">
        <is>
          <t>Gross EBIT</t>
        </is>
      </c>
      <c r="K22" s="2024" t="inlineStr">
        <is>
          <t>Conf.</t>
        </is>
      </c>
      <c r="L22" s="2025" t="inlineStr">
        <is>
          <t>Ret.%</t>
        </is>
      </c>
      <c r="M22" s="2025" t="inlineStr">
        <is>
          <t>RA EBIT</t>
        </is>
      </c>
      <c r="N22" s="2025" t="inlineStr">
        <is>
          <t>RA rev</t>
        </is>
      </c>
      <c r="O22" s="2024" t="inlineStr">
        <is>
          <t>Source / note</t>
        </is>
      </c>
    </row>
    <row r="23">
      <c r="A23" s="2019" t="inlineStr">
        <is>
          <t>C1</t>
        </is>
      </c>
      <c r="B23" s="1991" t="inlineStr">
        <is>
          <t>Corporate &amp; public-co overhead</t>
        </is>
      </c>
      <c r="C23" s="2026" t="inlineStr">
        <is>
          <t>De-dup finance/HR/IT/audit/listing/board on WIFI cash SG&amp;A</t>
        </is>
      </c>
      <c r="D23" s="2027">
        <f>$D$8</f>
        <v/>
      </c>
      <c r="E23" s="2020" t="n">
        <v>0.3</v>
      </c>
      <c r="H23" s="1994">
        <f>D23*E23</f>
        <v/>
      </c>
      <c r="I23" s="2028" t="n">
        <v>1</v>
      </c>
      <c r="J23" s="1994">
        <f>H23*I23</f>
        <v/>
      </c>
      <c r="K23" s="2019" t="inlineStr">
        <is>
          <t>High</t>
        </is>
      </c>
      <c r="L23" s="2029" t="n">
        <v>0.85</v>
      </c>
      <c r="M23" s="2030">
        <f>J23*L23</f>
        <v/>
      </c>
      <c r="O23" s="1966" t="inlineStr">
        <is>
          <t>30% of WIFI cash SG&amp;A Rp176.7bn (actual)</t>
        </is>
      </c>
    </row>
    <row r="24">
      <c r="A24" s="2019" t="inlineStr">
        <is>
          <t>C2</t>
        </is>
      </c>
      <c r="B24" s="1991" t="inlineStr">
        <is>
          <t>FWA/BTS site-lease avoidance</t>
        </is>
      </c>
      <c r="C24" s="2026" t="inlineStr">
        <is>
          <t>IRA sites co-located on TOWR towers vs leased third-party sites</t>
        </is>
      </c>
      <c r="D24" s="2020" t="n">
        <v>2000</v>
      </c>
      <c r="E24" s="2020" t="n">
        <v>0.03</v>
      </c>
      <c r="H24" s="1994">
        <f>D24*E24</f>
        <v/>
      </c>
      <c r="I24" s="2028" t="n">
        <v>1</v>
      </c>
      <c r="J24" s="1994">
        <f>H24*I24</f>
        <v/>
      </c>
      <c r="K24" s="2019" t="inlineStr">
        <is>
          <t>Medium</t>
        </is>
      </c>
      <c r="L24" s="2029" t="n">
        <v>0.7</v>
      </c>
      <c r="M24" s="2030">
        <f>J24*L24</f>
        <v/>
      </c>
      <c r="O24" s="1966" t="inlineStr">
        <is>
          <t>2,000 sites × Rp2.5m/mo × 12</t>
        </is>
      </c>
    </row>
    <row r="25">
      <c r="A25" s="2019" t="inlineStr">
        <is>
          <t>C3</t>
        </is>
      </c>
      <c r="B25" s="1991" t="inlineStr">
        <is>
          <t>Fiber backbone &amp; transport</t>
        </is>
      </c>
      <c r="C25" s="2026" t="inlineStr">
        <is>
          <t>Route WIFI backhaul over TOWR ~185,000 km fibre</t>
        </is>
      </c>
      <c r="D25" s="2027">
        <f>$D$9</f>
        <v/>
      </c>
      <c r="E25" s="2020" t="n">
        <v>0.075</v>
      </c>
      <c r="H25" s="1994">
        <f>D25*E25</f>
        <v/>
      </c>
      <c r="I25" s="2028" t="n">
        <v>1</v>
      </c>
      <c r="J25" s="1994">
        <f>H25*I25</f>
        <v/>
      </c>
      <c r="K25" s="2019" t="inlineStr">
        <is>
          <t>Medium</t>
        </is>
      </c>
      <c r="L25" s="2029" t="n">
        <v>0.65</v>
      </c>
      <c r="M25" s="2030">
        <f>J25*L25</f>
        <v/>
      </c>
      <c r="O25" s="1966" t="inlineStr">
        <is>
          <t>25% of WIFI COR addressable × 30% saving</t>
        </is>
      </c>
    </row>
    <row r="26">
      <c r="A26" s="2019" t="inlineStr">
        <is>
          <t>C4</t>
        </is>
      </c>
      <c r="B26" s="1991" t="inlineStr">
        <is>
          <t>Network ops / NOC / field O&amp;M</t>
        </is>
      </c>
      <c r="C26" s="2026" t="inlineStr">
        <is>
          <t>Merge NOCs &amp; overlapping field-maintenance crews</t>
        </is>
      </c>
      <c r="D26" s="2020" t="n">
        <v>1</v>
      </c>
      <c r="E26" s="2020" t="n">
        <v>20</v>
      </c>
      <c r="H26" s="1994">
        <f>D26*E26</f>
        <v/>
      </c>
      <c r="I26" s="2028" t="n">
        <v>1</v>
      </c>
      <c r="J26" s="1994">
        <f>H26*I26</f>
        <v/>
      </c>
      <c r="K26" s="2019" t="inlineStr">
        <is>
          <t>Medium</t>
        </is>
      </c>
      <c r="L26" s="2029" t="n">
        <v>0.65</v>
      </c>
      <c r="M26" s="2030">
        <f>J26*L26</f>
        <v/>
      </c>
      <c r="O26" s="1966" t="inlineStr">
        <is>
          <t>Consolidation on overlapping O&amp;M</t>
        </is>
      </c>
    </row>
    <row r="27">
      <c r="A27" s="2019" t="inlineStr">
        <is>
          <t>C5</t>
        </is>
      </c>
      <c r="B27" s="1991" t="inlineStr">
        <is>
          <t>Procurement &amp; supply-chain scale</t>
        </is>
      </c>
      <c r="C27" s="2026" t="inlineStr">
        <is>
          <t>Scale purchasing across combined cost of revenue</t>
        </is>
      </c>
      <c r="D27" s="2027">
        <f>($D$9+$D$10)</f>
        <v/>
      </c>
      <c r="E27" s="2020" t="n">
        <v>0.015</v>
      </c>
      <c r="H27" s="1994">
        <f>D27*E27</f>
        <v/>
      </c>
      <c r="I27" s="2028" t="n">
        <v>1</v>
      </c>
      <c r="J27" s="1994">
        <f>H27*I27</f>
        <v/>
      </c>
      <c r="K27" s="2019" t="inlineStr">
        <is>
          <t>Med-High</t>
        </is>
      </c>
      <c r="L27" s="2029" t="n">
        <v>0.75</v>
      </c>
      <c r="M27" s="2030">
        <f>J27*L27</f>
        <v/>
      </c>
      <c r="O27" s="1966" t="inlineStr">
        <is>
          <t>Combined COR Rp1,464.6bn × 1.5%</t>
        </is>
      </c>
    </row>
    <row r="28">
      <c r="A28" s="2019" t="inlineStr">
        <is>
          <t>C6</t>
        </is>
      </c>
      <c r="B28" s="1991" t="inlineStr">
        <is>
          <t>Energy &amp; power optimization</t>
        </is>
      </c>
      <c r="C28" s="2026" t="inlineStr">
        <is>
          <t>Shared power at co-located sites, bulk electricity, solar</t>
        </is>
      </c>
      <c r="D28" s="2020" t="n">
        <v>1</v>
      </c>
      <c r="E28" s="2020" t="n">
        <v>10</v>
      </c>
      <c r="H28" s="1994">
        <f>D28*E28</f>
        <v/>
      </c>
      <c r="I28" s="2028" t="n">
        <v>1</v>
      </c>
      <c r="J28" s="1994">
        <f>H28*I28</f>
        <v/>
      </c>
      <c r="K28" s="2019" t="inlineStr">
        <is>
          <t>Medium</t>
        </is>
      </c>
      <c r="L28" s="2029" t="n">
        <v>0.6</v>
      </c>
      <c r="M28" s="2030">
        <f>J28*L28</f>
        <v/>
      </c>
      <c r="O28" s="1966" t="inlineStr">
        <is>
          <t>Towers power-intensive; conservative</t>
        </is>
      </c>
    </row>
    <row r="29">
      <c r="A29" s="2019" t="inlineStr">
        <is>
          <t>C7</t>
        </is>
      </c>
      <c r="B29" s="1991" t="inlineStr">
        <is>
          <t>Distribution commission scale</t>
        </is>
      </c>
      <c r="C29" s="2026" t="inlineStr">
        <is>
          <t>STARLITE 20% ISP commission reduced by combined scale</t>
        </is>
      </c>
      <c r="D29" s="2027">
        <f>$D$11*0.2</f>
        <v/>
      </c>
      <c r="E29" s="2020" t="n">
        <v>0.1</v>
      </c>
      <c r="H29" s="1994">
        <f>D29*E29</f>
        <v/>
      </c>
      <c r="I29" s="2028" t="n">
        <v>1</v>
      </c>
      <c r="J29" s="1994">
        <f>H29*I29</f>
        <v/>
      </c>
      <c r="K29" s="2019" t="inlineStr">
        <is>
          <t>Low-Med</t>
        </is>
      </c>
      <c r="L29" s="2029" t="n">
        <v>0.55</v>
      </c>
      <c r="M29" s="2030">
        <f>J29*L29</f>
        <v/>
      </c>
      <c r="O29" s="1966" t="inlineStr">
        <is>
          <t>20% commission ≈ Rp108bn × 10% reduction</t>
        </is>
      </c>
    </row>
    <row r="30">
      <c r="B30" s="931" t="inlineStr">
        <is>
          <t>Total — cost synergies</t>
        </is>
      </c>
      <c r="J30" s="2031">
        <f>SUM(J23:J29)</f>
        <v/>
      </c>
      <c r="M30" s="2031">
        <f>SUM(M23:M29)</f>
        <v/>
      </c>
    </row>
    <row r="31">
      <c r="B31" s="931" t="inlineStr">
        <is>
          <t>Selected run-rate (per basis switch)</t>
        </is>
      </c>
      <c r="H31" s="2030">
        <f>IF($D$5=1,J30,M30)</f>
        <v/>
      </c>
    </row>
    <row r="32">
      <c r="B32" s="931" t="inlineStr">
        <is>
          <t>→ Feed to Synergy_Schedule (IDR mm)</t>
        </is>
      </c>
      <c r="H32" s="2032">
        <f>H31*1000</f>
        <v/>
      </c>
    </row>
    <row r="34">
      <c r="B34" s="2033" t="inlineStr">
        <is>
          <t>CAPITAL ITEM — one-time, NOT in the run-rate above</t>
        </is>
      </c>
    </row>
    <row r="35">
      <c r="A35" s="934" t="inlineStr">
        <is>
          <t>C8</t>
        </is>
      </c>
      <c r="B35" s="931" t="inlineStr">
        <is>
          <t>Capex avoidance — co-location vs new build</t>
        </is>
      </c>
      <c r="H35" s="2030">
        <f>D75</f>
        <v/>
      </c>
      <c r="O35" s="1966" t="inlineStr">
        <is>
          <t>NPV, one-time. Build-up in section D.</t>
        </is>
      </c>
    </row>
    <row r="37">
      <c r="A37" s="1959" t="inlineStr">
        <is>
          <t>B.  REVENUE SYNERGIES   (run-rate, IDR bn)</t>
        </is>
      </c>
    </row>
    <row r="38">
      <c r="A38" s="2024" t="inlineStr">
        <is>
          <t>Code</t>
        </is>
      </c>
      <c r="B38" s="2024" t="inlineStr">
        <is>
          <t>Initiative</t>
        </is>
      </c>
      <c r="C38" s="2024" t="inlineStr">
        <is>
          <t>Bottom-up basis</t>
        </is>
      </c>
      <c r="D38" s="2025" t="inlineStr">
        <is>
          <t>Base driver</t>
        </is>
      </c>
      <c r="E38" s="2025" t="inlineStr">
        <is>
          <t>Lever</t>
        </is>
      </c>
      <c r="F38" s="2025" t="inlineStr">
        <is>
          <t>Qty</t>
        </is>
      </c>
      <c r="G38" s="2025" t="inlineStr">
        <is>
          <t>Unit</t>
        </is>
      </c>
      <c r="H38" s="2025" t="inlineStr">
        <is>
          <t>Gross</t>
        </is>
      </c>
      <c r="I38" s="2025" t="inlineStr">
        <is>
          <t>Drop%</t>
        </is>
      </c>
      <c r="J38" s="2025" t="inlineStr">
        <is>
          <t>Gross EBIT</t>
        </is>
      </c>
      <c r="K38" s="2024" t="inlineStr">
        <is>
          <t>Conf.</t>
        </is>
      </c>
      <c r="L38" s="2025" t="inlineStr">
        <is>
          <t>Ret.%</t>
        </is>
      </c>
      <c r="M38" s="2025" t="inlineStr">
        <is>
          <t>RA EBIT</t>
        </is>
      </c>
      <c r="N38" s="2025" t="inlineStr">
        <is>
          <t>RA rev</t>
        </is>
      </c>
      <c r="O38" s="2024" t="inlineStr">
        <is>
          <t>Source / note</t>
        </is>
      </c>
    </row>
    <row r="39">
      <c r="A39" s="2019" t="inlineStr">
        <is>
          <t>R1</t>
        </is>
      </c>
      <c r="B39" s="1991" t="inlineStr">
        <is>
          <t>Neutral-host tower tenancy</t>
        </is>
      </c>
      <c r="C39" s="2026" t="inlineStr">
        <is>
          <t>External co-locations on TOWR towers; intercompany rent excluded</t>
        </is>
      </c>
      <c r="D39" s="2034">
        <f>$D$12</f>
        <v/>
      </c>
      <c r="E39" s="2035" t="n">
        <v>0.02</v>
      </c>
      <c r="F39" s="1993">
        <f>D39*E39</f>
        <v/>
      </c>
      <c r="G39" s="2036">
        <f>$D$13</f>
        <v/>
      </c>
      <c r="H39" s="1994">
        <f>F39*G39</f>
        <v/>
      </c>
      <c r="I39" s="2023">
        <f>'TOWR-3-Statements'!G41/'TOWR-3-Statements'!G30</f>
        <v/>
      </c>
      <c r="J39" s="1994">
        <f>H39*I39</f>
        <v/>
      </c>
      <c r="K39" s="2019" t="inlineStr">
        <is>
          <t>Low</t>
        </is>
      </c>
      <c r="L39" s="2029" t="n">
        <v>0.45</v>
      </c>
      <c r="M39" s="2030">
        <f>J39*L39</f>
        <v/>
      </c>
      <c r="N39" s="1994">
        <f>H39*L39</f>
        <v/>
      </c>
      <c r="O39" s="1966" t="inlineStr">
        <is>
          <t>Drop-through = TOWR EBITDA margin 82%</t>
        </is>
      </c>
    </row>
    <row r="40">
      <c r="A40" s="2019" t="inlineStr">
        <is>
          <t>R2</t>
        </is>
      </c>
      <c r="B40" s="1991" t="inlineStr">
        <is>
          <t>FTTH acceleration (STARLITE)</t>
        </is>
      </c>
      <c r="C40" s="2026" t="inlineStr">
        <is>
          <t>Convert TOWR unpenetrated home passes via STARLITE</t>
        </is>
      </c>
      <c r="D40" s="2034">
        <f>$D$14</f>
        <v/>
      </c>
      <c r="E40" s="2035" t="n">
        <v>0.05</v>
      </c>
      <c r="F40" s="1993">
        <f>D40*E40</f>
        <v/>
      </c>
      <c r="G40" s="2036">
        <f>$D$18</f>
        <v/>
      </c>
      <c r="H40" s="1994">
        <f>F40*G40</f>
        <v/>
      </c>
      <c r="I40" s="2023">
        <f>'WIFI Rev-COGS Detail'!H48-0.2</f>
        <v/>
      </c>
      <c r="J40" s="1994">
        <f>H40*I40</f>
        <v/>
      </c>
      <c r="K40" s="2019" t="inlineStr">
        <is>
          <t>Low</t>
        </is>
      </c>
      <c r="L40" s="2029" t="n">
        <v>0.4</v>
      </c>
      <c r="M40" s="2030">
        <f>J40*L40</f>
        <v/>
      </c>
      <c r="N40" s="1994">
        <f>H40*L40</f>
        <v/>
      </c>
      <c r="O40" s="1966" t="inlineStr">
        <is>
          <t>GM 72.9% − 20% ISP commission</t>
        </is>
      </c>
    </row>
    <row r="41">
      <c r="A41" s="2019" t="inlineStr">
        <is>
          <t>R3</t>
        </is>
      </c>
      <c r="B41" s="1991" t="inlineStr">
        <is>
          <t>FWA acceleration (IRA)</t>
        </is>
      </c>
      <c r="C41" s="2026" t="inlineStr">
        <is>
          <t>Tower co-location speeds IRA coverage</t>
        </is>
      </c>
      <c r="D41" s="2034">
        <f>$D$16</f>
        <v/>
      </c>
      <c r="E41" s="2035" t="n">
        <v>0.1</v>
      </c>
      <c r="F41" s="1993">
        <f>D41*E41</f>
        <v/>
      </c>
      <c r="G41" s="2036">
        <f>$D$18</f>
        <v/>
      </c>
      <c r="H41" s="1994">
        <f>F41*G41</f>
        <v/>
      </c>
      <c r="I41" s="2023">
        <f>'WIFI Rev-COGS Detail'!H48-0.15</f>
        <v/>
      </c>
      <c r="J41" s="1994">
        <f>H41*I41</f>
        <v/>
      </c>
      <c r="K41" s="2019" t="inlineStr">
        <is>
          <t>Low-Med</t>
        </is>
      </c>
      <c r="L41" s="2029" t="n">
        <v>0.45</v>
      </c>
      <c r="M41" s="2030">
        <f>J41*L41</f>
        <v/>
      </c>
      <c r="N41" s="1994">
        <f>H41*L41</f>
        <v/>
      </c>
      <c r="O41" s="1966" t="inlineStr">
        <is>
          <t>GM 72.9% − 15% CPE/delivery</t>
        </is>
      </c>
    </row>
    <row r="42">
      <c r="A42" s="2019" t="inlineStr">
        <is>
          <t>R4</t>
        </is>
      </c>
      <c r="B42" s="1991" t="inlineStr">
        <is>
          <t>Enterprise cross-sell (B2B)</t>
        </is>
      </c>
      <c r="C42" s="2026" t="inlineStr">
        <is>
          <t>Cross-sell TOWR fibre/POPs into WIFI B2B base</t>
        </is>
      </c>
      <c r="D42" s="2034">
        <f>$D$17</f>
        <v/>
      </c>
      <c r="E42" s="2035" t="n">
        <v>0.12</v>
      </c>
      <c r="F42" s="1993">
        <f>D42*E42</f>
        <v/>
      </c>
      <c r="G42" s="2022" t="n">
        <v>1</v>
      </c>
      <c r="H42" s="1994">
        <f>F42*G42</f>
        <v/>
      </c>
      <c r="I42" s="2023">
        <f>'WIFI Rev-COGS Detail'!H48-0.03</f>
        <v/>
      </c>
      <c r="J42" s="1994">
        <f>H42*I42</f>
        <v/>
      </c>
      <c r="K42" s="2019" t="inlineStr">
        <is>
          <t>Low</t>
        </is>
      </c>
      <c r="L42" s="2029" t="n">
        <v>0.4</v>
      </c>
      <c r="M42" s="2030">
        <f>J42*L42</f>
        <v/>
      </c>
      <c r="N42" s="1994">
        <f>H42*L42</f>
        <v/>
      </c>
      <c r="O42" s="1966" t="inlineStr">
        <is>
          <t>GM 72.9% (bandwidth/core lease)</t>
        </is>
      </c>
    </row>
    <row r="43">
      <c r="A43" s="2019" t="inlineStr">
        <is>
          <t>R5</t>
        </is>
      </c>
      <c r="B43" s="1991" t="inlineStr">
        <is>
          <t>ARPU uplift &amp; churn reduction — EXISTING base</t>
        </is>
      </c>
      <c r="C43" s="2026" t="inlineStr">
        <is>
          <t>Bundled FTTH+FWA lifts ARPU and retains existing subscribers</t>
        </is>
      </c>
      <c r="H43" s="1994">
        <f>D96</f>
        <v/>
      </c>
      <c r="I43" s="2037">
        <f>D97</f>
        <v/>
      </c>
      <c r="J43" s="1994">
        <f>H43*I43</f>
        <v/>
      </c>
      <c r="K43" s="2019" t="inlineStr">
        <is>
          <t>Medium</t>
        </is>
      </c>
      <c r="L43" s="2028">
        <f>D98</f>
        <v/>
      </c>
      <c r="M43" s="2030">
        <f>J43*L43</f>
        <v/>
      </c>
      <c r="N43" s="1994">
        <f>H43*L43</f>
        <v/>
      </c>
      <c r="O43" s="1966" t="inlineStr">
        <is>
          <t>Existing 1.5m subs; +Rp3k/mo ARPU, −1pp churn. Build-up section D</t>
        </is>
      </c>
    </row>
    <row r="44">
      <c r="A44" s="2019" t="inlineStr">
        <is>
          <t>R6</t>
        </is>
      </c>
      <c r="B44" s="1991" t="inlineStr">
        <is>
          <t>Advertising inventory scaling</t>
        </is>
      </c>
      <c r="C44" s="2026" t="inlineStr">
        <is>
          <t>Larger combined subscriber base expands ad inventory</t>
        </is>
      </c>
      <c r="H44" s="1994">
        <f>D105</f>
        <v/>
      </c>
      <c r="I44" s="2037">
        <f>D106</f>
        <v/>
      </c>
      <c r="J44" s="1994">
        <f>H44*I44</f>
        <v/>
      </c>
      <c r="K44" s="2019" t="inlineStr">
        <is>
          <t>Low-Med</t>
        </is>
      </c>
      <c r="L44" s="2028">
        <f>D107</f>
        <v/>
      </c>
      <c r="M44" s="2030">
        <f>J44*L44</f>
        <v/>
      </c>
      <c r="N44" s="1994">
        <f>H44*L44</f>
        <v/>
      </c>
      <c r="O44" s="1966" t="inlineStr">
        <is>
          <t>Ad rev Rp459.5bn ÷ 1.5m subs. Build-up section D</t>
        </is>
      </c>
    </row>
    <row r="45">
      <c r="B45" s="931" t="inlineStr">
        <is>
          <t>Total — revenue synergies</t>
        </is>
      </c>
      <c r="H45" s="2031">
        <f>SUM(H39:H44)</f>
        <v/>
      </c>
      <c r="J45" s="2031">
        <f>SUM(J39:J44)</f>
        <v/>
      </c>
      <c r="M45" s="2031">
        <f>SUM(M39:M44)</f>
        <v/>
      </c>
      <c r="N45" s="2031">
        <f>SUM(N39:N44)</f>
        <v/>
      </c>
    </row>
    <row r="46">
      <c r="B46" s="931" t="inlineStr">
        <is>
          <t>Selected gross revenue</t>
        </is>
      </c>
      <c r="H46" s="2030">
        <f>IF($D$5=1,H45,N45)</f>
        <v/>
      </c>
    </row>
    <row r="47">
      <c r="B47" s="931" t="inlineStr">
        <is>
          <t>Selected EBIT contribution</t>
        </is>
      </c>
      <c r="H47" s="2030">
        <f>IF($D$5=1,J45,M45)</f>
        <v/>
      </c>
    </row>
    <row r="48">
      <c r="B48" s="931" t="inlineStr">
        <is>
          <t>→ Feed — gross revenue run-rate (IDR mm)</t>
        </is>
      </c>
      <c r="H48" s="2032">
        <f>H46*1000</f>
        <v/>
      </c>
    </row>
    <row r="49">
      <c r="B49" s="931" t="inlineStr">
        <is>
          <t>→ Feed — EBIT run-rate (IDR mm)</t>
        </is>
      </c>
      <c r="H49" s="2032">
        <f>H47*1000</f>
        <v/>
      </c>
    </row>
    <row r="51">
      <c r="A51" s="1959" t="inlineStr">
        <is>
          <t>C.  FINANCING SYNERGIES   (run-rate, IDR bn)</t>
        </is>
      </c>
    </row>
    <row r="52">
      <c r="A52" s="2024" t="inlineStr">
        <is>
          <t>Code</t>
        </is>
      </c>
      <c r="B52" s="2024" t="inlineStr">
        <is>
          <t>Tranche</t>
        </is>
      </c>
      <c r="C52" s="2024" t="inlineStr">
        <is>
          <t>Basis</t>
        </is>
      </c>
      <c r="D52" s="2025" t="inlineStr">
        <is>
          <t>Debt</t>
        </is>
      </c>
      <c r="E52" s="2025" t="inlineStr">
        <is>
          <t>WIFI rate</t>
        </is>
      </c>
      <c r="F52" s="2025" t="inlineStr">
        <is>
          <t>TOWR rate</t>
        </is>
      </c>
      <c r="G52" s="2025" t="inlineStr">
        <is>
          <t>Spread</t>
        </is>
      </c>
      <c r="H52" s="2025" t="inlineStr">
        <is>
          <t>Gross</t>
        </is>
      </c>
      <c r="K52" s="2024" t="inlineStr">
        <is>
          <t>Conf.</t>
        </is>
      </c>
      <c r="L52" s="2025" t="inlineStr">
        <is>
          <t>Ret.%</t>
        </is>
      </c>
      <c r="M52" s="2025" t="inlineStr">
        <is>
          <t>RA</t>
        </is>
      </c>
      <c r="O52" s="2024" t="inlineStr">
        <is>
          <t>Source / note</t>
        </is>
      </c>
    </row>
    <row r="53">
      <c r="A53" s="2019" t="inlineStr">
        <is>
          <t>F1</t>
        </is>
      </c>
      <c r="B53" s="1991" t="inlineStr">
        <is>
          <t>High-cost bank loans</t>
        </is>
      </c>
      <c r="C53" s="2026" t="inlineStr">
        <is>
          <t>ST Bank DKI Rp1,350bn + LT bank Rp437bn (J Trust/Hibank/BCA)</t>
        </is>
      </c>
      <c r="D53" s="2021" t="n">
        <v>1787</v>
      </c>
      <c r="E53" s="2035" t="n">
        <v>0.11</v>
      </c>
      <c r="F53" s="2023">
        <f>$D$19</f>
        <v/>
      </c>
      <c r="G53" s="2037">
        <f>MAX(E53-F53,0)</f>
        <v/>
      </c>
      <c r="H53" s="1994">
        <f>D53*G53</f>
        <v/>
      </c>
      <c r="J53" s="1994">
        <f>H53</f>
        <v/>
      </c>
      <c r="K53" s="2019" t="inlineStr">
        <is>
          <t>High</t>
        </is>
      </c>
      <c r="L53" s="2029" t="n">
        <v>0.9</v>
      </c>
      <c r="M53" s="2030">
        <f>J53*L53</f>
        <v/>
      </c>
      <c r="O53" s="1966" t="inlineStr">
        <is>
          <t>Surge AR p.118 &amp; Note 21; J Trust 10.5–11.75%</t>
        </is>
      </c>
    </row>
    <row r="54">
      <c r="A54" s="2019" t="inlineStr">
        <is>
          <t>F2</t>
        </is>
      </c>
      <c r="B54" s="1991" t="inlineStr">
        <is>
          <t>Bonds + sukuk (at maturity)</t>
        </is>
      </c>
      <c r="C54" s="2026" t="inlineStr">
        <is>
          <t>Obligasi Rp852.5bn + sukuk Rp686.5bn</t>
        </is>
      </c>
      <c r="D54" s="2021" t="n">
        <v>1539</v>
      </c>
      <c r="E54" s="2035" t="n">
        <v>0.082</v>
      </c>
      <c r="F54" s="2023">
        <f>$D$19</f>
        <v/>
      </c>
      <c r="G54" s="2037">
        <f>MAX(E54-F54,0)</f>
        <v/>
      </c>
      <c r="H54" s="1994">
        <f>D54*G54</f>
        <v/>
      </c>
      <c r="J54" s="1994">
        <f>H54</f>
        <v/>
      </c>
      <c r="K54" s="2019" t="inlineStr">
        <is>
          <t>Medium</t>
        </is>
      </c>
      <c r="L54" s="2029" t="n">
        <v>0.55</v>
      </c>
      <c r="M54" s="2030">
        <f>J54*L54</f>
        <v/>
      </c>
      <c r="O54" s="1966" t="inlineStr">
        <is>
          <t>Surge AR p.118; WIFI blended Kd 8.2%</t>
        </is>
      </c>
    </row>
    <row r="55">
      <c r="A55" s="2019" t="inlineStr">
        <is>
          <t>F3</t>
        </is>
      </c>
      <c r="B55" s="1991" t="inlineStr">
        <is>
          <t>Cheaper growth funding</t>
        </is>
      </c>
      <c r="C55" s="2026" t="inlineStr">
        <is>
          <t>Fund WIFI FWA/FTTH capex on TOWR rating</t>
        </is>
      </c>
      <c r="D55" s="2021" t="n">
        <v>4000</v>
      </c>
      <c r="E55" s="2035" t="n">
        <v>0.082</v>
      </c>
      <c r="F55" s="2023">
        <f>$D$19</f>
        <v/>
      </c>
      <c r="G55" s="2037">
        <f>MAX(E55-F55,0)</f>
        <v/>
      </c>
      <c r="H55" s="1994">
        <f>D55*G55</f>
        <v/>
      </c>
      <c r="J55" s="1994">
        <f>H55</f>
        <v/>
      </c>
      <c r="K55" s="2019" t="inlineStr">
        <is>
          <t>Med-High</t>
        </is>
      </c>
      <c r="L55" s="2029" t="n">
        <v>0.75</v>
      </c>
      <c r="M55" s="2030">
        <f>J55*L55</f>
        <v/>
      </c>
      <c r="O55" s="1966" t="inlineStr">
        <is>
          <t>Rp4,000bn new debt</t>
        </is>
      </c>
    </row>
    <row r="56">
      <c r="B56" s="931" t="inlineStr">
        <is>
          <t>Total — financing synergies</t>
        </is>
      </c>
      <c r="J56" s="2031">
        <f>SUM(J53:J55)</f>
        <v/>
      </c>
      <c r="M56" s="2031">
        <f>SUM(M53:M55)</f>
        <v/>
      </c>
    </row>
    <row r="57">
      <c r="B57" s="931" t="inlineStr">
        <is>
          <t>Selected run-rate (per basis switch)</t>
        </is>
      </c>
      <c r="H57" s="2030">
        <f>IF($D$5=1,J56,M56)</f>
        <v/>
      </c>
    </row>
    <row r="58">
      <c r="B58" s="931" t="inlineStr">
        <is>
          <t>→ Feed to Synergy_Schedule (IDR mm)</t>
        </is>
      </c>
      <c r="H58" s="2032">
        <f>H57*1000</f>
        <v/>
      </c>
    </row>
    <row r="60">
      <c r="B60" s="2033" t="inlineStr">
        <is>
          <t>BELOW-THE-LINE — post-tax / one-time, NOT in the run-rate above</t>
        </is>
      </c>
    </row>
    <row r="61">
      <c r="A61" s="934" t="inlineStr">
        <is>
          <t>F4</t>
        </is>
      </c>
      <c r="B61" s="931" t="inlineStr">
        <is>
          <t>Acquisition-debt tax shield (post-tax NPV)</t>
        </is>
      </c>
      <c r="H61" s="2030">
        <f>D89</f>
        <v/>
      </c>
      <c r="O61" s="1966" t="inlineStr">
        <is>
          <t>Already after tax → must not be taxed again</t>
        </is>
      </c>
    </row>
    <row r="62">
      <c r="A62" s="934" t="inlineStr">
        <is>
          <t>F5</t>
        </is>
      </c>
      <c r="B62" s="931" t="inlineStr">
        <is>
          <t>Working-capital release (one-time)</t>
        </is>
      </c>
      <c r="H62" s="2030">
        <f>D118</f>
        <v/>
      </c>
    </row>
    <row r="63">
      <c r="B63" s="931" t="inlineStr">
        <is>
          <t>Subtotal — below-the-line (NPV)</t>
        </is>
      </c>
      <c r="H63" s="2031">
        <f>H61+H62</f>
        <v/>
      </c>
    </row>
    <row r="65">
      <c r="A65" s="1959" t="inlineStr">
        <is>
          <t>D.  SUPPORTING BUILD-UPS   (drivers for C8, R5, R6, F4, F5)</t>
        </is>
      </c>
    </row>
    <row r="66">
      <c r="A66" s="2046" t="n"/>
      <c r="B66" s="2046" t="n"/>
      <c r="C66" s="2046" t="n"/>
      <c r="D66" s="2046" t="n"/>
      <c r="E66" s="2046" t="n"/>
      <c r="F66" s="2046" t="n"/>
      <c r="G66" s="2046" t="n"/>
      <c r="H66" s="2046" t="n"/>
      <c r="I66" s="2046" t="n"/>
      <c r="J66" s="2046" t="n"/>
      <c r="K66" s="2046" t="n"/>
      <c r="L66" s="2046" t="n"/>
      <c r="M66" s="2046" t="n"/>
      <c r="N66" s="2046" t="n"/>
      <c r="O66" s="2046" t="n"/>
    </row>
    <row r="67">
      <c r="A67" s="2046" t="n"/>
      <c r="B67" s="2047" t="inlineStr">
        <is>
          <t>C8 — Capex avoidance</t>
        </is>
      </c>
      <c r="C67" s="2046" t="n"/>
      <c r="D67" s="2046" t="n"/>
      <c r="E67" s="2046" t="n"/>
      <c r="F67" s="2046" t="n"/>
      <c r="G67" s="2046" t="n"/>
      <c r="H67" s="2046" t="n"/>
      <c r="I67" s="2046" t="n"/>
      <c r="J67" s="2046" t="n"/>
      <c r="K67" s="2046" t="n"/>
      <c r="L67" s="2046" t="n"/>
      <c r="M67" s="2046" t="n"/>
      <c r="N67" s="2046" t="n"/>
      <c r="O67" s="2046" t="n"/>
    </row>
    <row r="68">
      <c r="A68" s="2046" t="n"/>
      <c r="B68" s="2048" t="inlineStr">
        <is>
          <t>FWA/BTS sites co-located (unit)</t>
        </is>
      </c>
      <c r="C68" s="2046" t="n"/>
      <c r="D68" s="2049" t="n">
        <v>2000</v>
      </c>
      <c r="E68" s="2046" t="n"/>
      <c r="F68" s="2046" t="n"/>
      <c r="G68" s="2046" t="n"/>
      <c r="H68" s="2046" t="n"/>
      <c r="I68" s="2046" t="n"/>
      <c r="J68" s="2046" t="n"/>
      <c r="K68" s="2046" t="n"/>
      <c r="L68" s="2046" t="n"/>
      <c r="M68" s="2046" t="n"/>
      <c r="N68" s="2046" t="n"/>
      <c r="O68" s="2050" t="inlineStr">
        <is>
          <t>Same base as C2</t>
        </is>
      </c>
    </row>
    <row r="69">
      <c r="A69" s="2046" t="n"/>
      <c r="B69" s="2048" t="inlineStr">
        <is>
          <t>Full new-tower capex (IDR bn per tower)</t>
        </is>
      </c>
      <c r="C69" s="2046" t="n"/>
      <c r="D69" s="2051" t="n">
        <v>1.25</v>
      </c>
      <c r="E69" s="2046" t="n"/>
      <c r="F69" s="2046" t="n"/>
      <c r="G69" s="2046" t="n"/>
      <c r="H69" s="2046" t="n"/>
      <c r="I69" s="2046" t="n"/>
      <c r="J69" s="2046" t="n"/>
      <c r="K69" s="2046" t="n"/>
      <c r="L69" s="2046" t="n"/>
      <c r="M69" s="2046" t="n"/>
      <c r="N69" s="2046" t="n"/>
      <c r="O69" s="2050" t="inlineStr">
        <is>
          <t>TOWR-3-Statements C22: Rp1,250,000k</t>
        </is>
      </c>
    </row>
    <row r="70">
      <c r="A70" s="2046" t="n"/>
      <c r="B70" s="2048" t="inlineStr">
        <is>
          <t>% passive/civil portion avoided</t>
        </is>
      </c>
      <c r="C70" s="2046" t="n"/>
      <c r="D70" s="2052" t="n">
        <v>0.2</v>
      </c>
      <c r="E70" s="2046" t="n"/>
      <c r="F70" s="2046" t="n"/>
      <c r="G70" s="2046" t="n"/>
      <c r="H70" s="2046" t="n"/>
      <c r="I70" s="2046" t="n"/>
      <c r="J70" s="2046" t="n"/>
      <c r="K70" s="2046" t="n"/>
      <c r="L70" s="2046" t="n"/>
      <c r="M70" s="2046" t="n"/>
      <c r="N70" s="2046" t="n"/>
      <c r="O70" s="2050" t="inlineStr">
        <is>
          <t>Co-location avoids passive/civil only, not a full tower</t>
        </is>
      </c>
    </row>
    <row r="71">
      <c r="A71" s="2046" t="n"/>
      <c r="B71" s="2048" t="inlineStr">
        <is>
          <t>→ Avoided capex — FWA sites (IDR bn)</t>
        </is>
      </c>
      <c r="C71" s="2046" t="n"/>
      <c r="D71" s="2053">
        <f>D68*D69*D70</f>
        <v/>
      </c>
      <c r="E71" s="2046" t="n"/>
      <c r="F71" s="2046" t="n"/>
      <c r="G71" s="2046" t="n"/>
      <c r="H71" s="2046" t="n"/>
      <c r="I71" s="2046" t="n"/>
      <c r="J71" s="2046" t="n"/>
      <c r="K71" s="2046" t="n"/>
      <c r="L71" s="2046" t="n"/>
      <c r="M71" s="2046" t="n"/>
      <c r="N71" s="2046" t="n"/>
      <c r="O71" s="2046" t="n"/>
    </row>
    <row r="72">
      <c r="A72" s="2046" t="n"/>
      <c r="B72" s="2048" t="inlineStr">
        <is>
          <t>Home passes used from TOWR (unit)</t>
        </is>
      </c>
      <c r="C72" s="2046" t="n"/>
      <c r="D72" s="2054">
        <f>F40</f>
        <v/>
      </c>
      <c r="E72" s="2046" t="n"/>
      <c r="F72" s="2046" t="n"/>
      <c r="G72" s="2046" t="n"/>
      <c r="H72" s="2046" t="n"/>
      <c r="I72" s="2046" t="n"/>
      <c r="J72" s="2046" t="n"/>
      <c r="K72" s="2046" t="n"/>
      <c r="L72" s="2046" t="n"/>
      <c r="M72" s="2046" t="n"/>
      <c r="N72" s="2046" t="n"/>
      <c r="O72" s="2050" t="inlineStr">
        <is>
          <t>R2 quantity</t>
        </is>
      </c>
    </row>
    <row r="73">
      <c r="A73" s="2046" t="n"/>
      <c r="B73" s="2048" t="inlineStr">
        <is>
          <t>Build cost per home pass (IDR mn)</t>
        </is>
      </c>
      <c r="C73" s="2046" t="n"/>
      <c r="D73" s="2051" t="n">
        <v>0.5</v>
      </c>
      <c r="E73" s="2046" t="n"/>
      <c r="F73" s="2046" t="n"/>
      <c r="G73" s="2046" t="n"/>
      <c r="H73" s="2046" t="n"/>
      <c r="I73" s="2046" t="n"/>
      <c r="J73" s="2046" t="n"/>
      <c r="K73" s="2046" t="n"/>
      <c r="L73" s="2046" t="n"/>
      <c r="M73" s="2046" t="n"/>
      <c r="N73" s="2046" t="n"/>
      <c r="O73" s="2050" t="inlineStr">
        <is>
          <t>Conservative vs Rp1mn connect capex</t>
        </is>
      </c>
    </row>
    <row r="74">
      <c r="A74" s="2046" t="n"/>
      <c r="B74" s="2048" t="inlineStr">
        <is>
          <t>→ Avoided capex — FTTH (IDR bn)</t>
        </is>
      </c>
      <c r="C74" s="2046" t="n"/>
      <c r="D74" s="2053">
        <f>D72*D73/1000</f>
        <v/>
      </c>
      <c r="E74" s="2046" t="n"/>
      <c r="F74" s="2046" t="n"/>
      <c r="G74" s="2046" t="n"/>
      <c r="H74" s="2046" t="n"/>
      <c r="I74" s="2046" t="n"/>
      <c r="J74" s="2046" t="n"/>
      <c r="K74" s="2046" t="n"/>
      <c r="L74" s="2046" t="n"/>
      <c r="M74" s="2046" t="n"/>
      <c r="N74" s="2046" t="n"/>
      <c r="O74" s="2046" t="n"/>
    </row>
    <row r="75">
      <c r="A75" s="2046" t="n"/>
      <c r="B75" s="2055" t="inlineStr">
        <is>
          <t>TOTAL C8  (NPV, IDR bn)</t>
        </is>
      </c>
      <c r="C75" s="2046" t="n"/>
      <c r="D75" s="2031">
        <f>D71+D74</f>
        <v/>
      </c>
      <c r="E75" s="2046" t="n"/>
      <c r="F75" s="2046" t="n"/>
      <c r="G75" s="2046" t="n"/>
      <c r="H75" s="2046" t="n"/>
      <c r="I75" s="2046" t="n"/>
      <c r="J75" s="2046" t="n"/>
      <c r="K75" s="2046" t="n"/>
      <c r="L75" s="2046" t="n"/>
      <c r="M75" s="2046" t="n"/>
      <c r="N75" s="2046" t="n"/>
      <c r="O75" s="2046" t="n"/>
    </row>
    <row r="76">
      <c r="A76" s="2046" t="n"/>
      <c r="B76" s="2056" t="n"/>
      <c r="C76" s="2046" t="n"/>
      <c r="D76" s="2046" t="n"/>
      <c r="E76" s="2046" t="n"/>
      <c r="F76" s="2046" t="n"/>
      <c r="G76" s="2046" t="n"/>
      <c r="H76" s="2046" t="n"/>
      <c r="I76" s="2046" t="n"/>
      <c r="J76" s="2046" t="n"/>
      <c r="K76" s="2046" t="n"/>
      <c r="L76" s="2046" t="n"/>
      <c r="M76" s="2046" t="n"/>
      <c r="N76" s="2046" t="n"/>
      <c r="O76" s="2046" t="n"/>
    </row>
    <row r="77">
      <c r="A77" s="2046" t="n"/>
      <c r="B77" s="2047" t="inlineStr">
        <is>
          <t>F4 — Acquisition-debt tax shield (with debt amortisation)</t>
        </is>
      </c>
      <c r="C77" s="2046" t="n"/>
      <c r="D77" s="2057" t="n"/>
      <c r="E77" s="2046" t="n"/>
      <c r="F77" s="2046" t="n"/>
      <c r="G77" s="2046" t="n"/>
      <c r="H77" s="2046" t="n"/>
      <c r="I77" s="2046" t="n"/>
      <c r="J77" s="2046" t="n"/>
      <c r="K77" s="2046" t="n"/>
      <c r="L77" s="2046" t="n"/>
      <c r="M77" s="2046" t="n"/>
      <c r="N77" s="2046" t="n"/>
      <c r="O77" s="2046" t="n"/>
    </row>
    <row r="78">
      <c r="A78" s="2046" t="n"/>
      <c r="B78" s="2048" t="inlineStr">
        <is>
          <t>Acquisition debt (IDR bn)</t>
        </is>
      </c>
      <c r="C78" s="2046" t="n"/>
      <c r="D78" s="2054">
        <f>'Merger-Model'!L9/1000</f>
        <v/>
      </c>
      <c r="E78" s="2046" t="n"/>
      <c r="F78" s="2046" t="n"/>
      <c r="G78" s="2046" t="n"/>
      <c r="H78" s="2046" t="n"/>
      <c r="I78" s="2046" t="n"/>
      <c r="J78" s="2046" t="n"/>
      <c r="K78" s="2046" t="n"/>
      <c r="L78" s="2046" t="n"/>
      <c r="M78" s="2046" t="n"/>
      <c r="N78" s="2046" t="n"/>
      <c r="O78" s="2050" t="inlineStr">
        <is>
          <t>Merger-Model L9</t>
        </is>
      </c>
    </row>
    <row r="79">
      <c r="A79" s="2046" t="n"/>
      <c r="B79" s="2048" t="inlineStr">
        <is>
          <t>Interest rate</t>
        </is>
      </c>
      <c r="C79" s="2046" t="n"/>
      <c r="D79" s="2058">
        <f>'Merger-Model'!L11</f>
        <v/>
      </c>
      <c r="E79" s="2046" t="n"/>
      <c r="F79" s="2046" t="n"/>
      <c r="G79" s="2046" t="n"/>
      <c r="H79" s="2046" t="n"/>
      <c r="I79" s="2046" t="n"/>
      <c r="J79" s="2046" t="n"/>
      <c r="K79" s="2046" t="n"/>
      <c r="L79" s="2046" t="n"/>
      <c r="M79" s="2046" t="n"/>
      <c r="N79" s="2046" t="n"/>
      <c r="O79" s="2050" t="inlineStr">
        <is>
          <t>Merger-Model L11</t>
        </is>
      </c>
    </row>
    <row r="80">
      <c r="A80" s="2046" t="n"/>
      <c r="B80" s="2048" t="inlineStr">
        <is>
          <t>Tax rate</t>
        </is>
      </c>
      <c r="C80" s="2046" t="n"/>
      <c r="D80" s="2058">
        <f>'Merger-Model'!F38</f>
        <v/>
      </c>
      <c r="E80" s="2046" t="n"/>
      <c r="F80" s="2046" t="n"/>
      <c r="G80" s="2046" t="n"/>
      <c r="H80" s="2046" t="n"/>
      <c r="I80" s="2046" t="n"/>
      <c r="J80" s="2046" t="n"/>
      <c r="K80" s="2046" t="n"/>
      <c r="L80" s="2046" t="n"/>
      <c r="M80" s="2046" t="n"/>
      <c r="N80" s="2046" t="n"/>
      <c r="O80" s="2050" t="inlineStr">
        <is>
          <t>Merger-Model F38</t>
        </is>
      </c>
    </row>
    <row r="81">
      <c r="A81" s="2046" t="n"/>
      <c r="B81" s="2048" t="inlineStr">
        <is>
          <t>WACC (discount)</t>
        </is>
      </c>
      <c r="C81" s="2046" t="n"/>
      <c r="D81" s="2058">
        <f>'Returns Analysis'!B5</f>
        <v/>
      </c>
      <c r="E81" s="2046" t="n"/>
      <c r="F81" s="2046" t="n"/>
      <c r="G81" s="2046" t="n"/>
      <c r="H81" s="2046" t="n"/>
      <c r="I81" s="2046" t="n"/>
      <c r="J81" s="2046" t="n"/>
      <c r="K81" s="2046" t="n"/>
      <c r="L81" s="2046" t="n"/>
      <c r="M81" s="2046" t="n"/>
      <c r="N81" s="2046" t="n"/>
      <c r="O81" s="2050" t="inlineStr">
        <is>
          <t>Returns Analysis B5</t>
        </is>
      </c>
    </row>
    <row r="82">
      <c r="A82" s="2046" t="n"/>
      <c r="B82" s="2048" t="inlineStr">
        <is>
          <t>Amortisation tenor (years)</t>
        </is>
      </c>
      <c r="C82" s="2046" t="n"/>
      <c r="D82" s="2049" t="n">
        <v>10</v>
      </c>
      <c r="E82" s="2059" t="n"/>
      <c r="F82" s="2059" t="n"/>
      <c r="G82" s="2059" t="n"/>
      <c r="H82" s="2059" t="n"/>
      <c r="I82" s="2059" t="n"/>
      <c r="J82" s="2059" t="n"/>
      <c r="K82" s="2059" t="n"/>
      <c r="L82" s="2059" t="n"/>
      <c r="M82" s="2059" t="n"/>
      <c r="N82" s="2059" t="n"/>
      <c r="O82" s="2050" t="inlineStr">
        <is>
          <t>Straight-line → shield declines each year</t>
        </is>
      </c>
    </row>
    <row r="83">
      <c r="A83" s="2046" t="n"/>
      <c r="B83" s="2060" t="inlineStr">
        <is>
          <t>Year</t>
        </is>
      </c>
      <c r="C83" s="2046" t="n"/>
      <c r="D83" s="2046" t="n"/>
      <c r="E83" s="2061" t="n">
        <v>1</v>
      </c>
      <c r="F83" s="2061" t="n">
        <v>2</v>
      </c>
      <c r="G83" s="2061" t="n">
        <v>3</v>
      </c>
      <c r="H83" s="2061" t="n">
        <v>4</v>
      </c>
      <c r="I83" s="2061" t="n">
        <v>5</v>
      </c>
      <c r="J83" s="2061" t="n">
        <v>6</v>
      </c>
      <c r="K83" s="2061" t="n">
        <v>7</v>
      </c>
      <c r="L83" s="2061" t="n">
        <v>8</v>
      </c>
      <c r="M83" s="2061" t="n">
        <v>9</v>
      </c>
      <c r="N83" s="2061" t="n">
        <v>10</v>
      </c>
      <c r="O83" s="2046" t="n"/>
    </row>
    <row r="84">
      <c r="A84" s="2046" t="n"/>
      <c r="B84" s="2062" t="inlineStr">
        <is>
          <t>Opening debt</t>
        </is>
      </c>
      <c r="C84" s="2046" t="n"/>
      <c r="D84" s="2046" t="n"/>
      <c r="E84" s="2063">
        <f>$D$78*($D$82-E83+1)/$D$82</f>
        <v/>
      </c>
      <c r="F84" s="2063">
        <f>$D$78*($D$82-F83+1)/$D$82</f>
        <v/>
      </c>
      <c r="G84" s="2063">
        <f>$D$78*($D$82-G83+1)/$D$82</f>
        <v/>
      </c>
      <c r="H84" s="2063">
        <f>$D$78*($D$82-H83+1)/$D$82</f>
        <v/>
      </c>
      <c r="I84" s="2063">
        <f>$D$78*($D$82-I83+1)/$D$82</f>
        <v/>
      </c>
      <c r="J84" s="2063">
        <f>$D$78*($D$82-J83+1)/$D$82</f>
        <v/>
      </c>
      <c r="K84" s="2063">
        <f>$D$78*($D$82-K83+1)/$D$82</f>
        <v/>
      </c>
      <c r="L84" s="2063">
        <f>$D$78*($D$82-L83+1)/$D$82</f>
        <v/>
      </c>
      <c r="M84" s="2063">
        <f>$D$78*($D$82-M83+1)/$D$82</f>
        <v/>
      </c>
      <c r="N84" s="2063">
        <f>$D$78*($D$82-N83+1)/$D$82</f>
        <v/>
      </c>
      <c r="O84" s="2046" t="n"/>
    </row>
    <row r="85">
      <c r="A85" s="2046" t="n"/>
      <c r="B85" s="2062" t="inlineStr">
        <is>
          <t>Interest</t>
        </is>
      </c>
      <c r="C85" s="2046" t="n"/>
      <c r="D85" s="2046" t="n"/>
      <c r="E85" s="2064">
        <f>E84*$D$79</f>
        <v/>
      </c>
      <c r="F85" s="2064">
        <f>F84*$D$79</f>
        <v/>
      </c>
      <c r="G85" s="2064">
        <f>G84*$D$79</f>
        <v/>
      </c>
      <c r="H85" s="2064">
        <f>H84*$D$79</f>
        <v/>
      </c>
      <c r="I85" s="2064">
        <f>I84*$D$79</f>
        <v/>
      </c>
      <c r="J85" s="2064">
        <f>J84*$D$79</f>
        <v/>
      </c>
      <c r="K85" s="2064">
        <f>K84*$D$79</f>
        <v/>
      </c>
      <c r="L85" s="2064">
        <f>L84*$D$79</f>
        <v/>
      </c>
      <c r="M85" s="2064">
        <f>M84*$D$79</f>
        <v/>
      </c>
      <c r="N85" s="2064">
        <f>N84*$D$79</f>
        <v/>
      </c>
      <c r="O85" s="2046" t="n"/>
    </row>
    <row r="86">
      <c r="A86" s="2046" t="n"/>
      <c r="B86" s="2062" t="inlineStr">
        <is>
          <t>Tax shield</t>
        </is>
      </c>
      <c r="C86" s="2046" t="n"/>
      <c r="D86" s="2046" t="n"/>
      <c r="E86" s="2064">
        <f>E85*$D$80</f>
        <v/>
      </c>
      <c r="F86" s="2064">
        <f>F85*$D$80</f>
        <v/>
      </c>
      <c r="G86" s="2064">
        <f>G85*$D$80</f>
        <v/>
      </c>
      <c r="H86" s="2064">
        <f>H85*$D$80</f>
        <v/>
      </c>
      <c r="I86" s="2064">
        <f>I85*$D$80</f>
        <v/>
      </c>
      <c r="J86" s="2064">
        <f>J85*$D$80</f>
        <v/>
      </c>
      <c r="K86" s="2064">
        <f>K85*$D$80</f>
        <v/>
      </c>
      <c r="L86" s="2064">
        <f>L85*$D$80</f>
        <v/>
      </c>
      <c r="M86" s="2064">
        <f>M85*$D$80</f>
        <v/>
      </c>
      <c r="N86" s="2064">
        <f>N85*$D$80</f>
        <v/>
      </c>
      <c r="O86" s="2046" t="n"/>
    </row>
    <row r="87">
      <c r="A87" s="2046" t="n"/>
      <c r="B87" s="2062" t="inlineStr">
        <is>
          <t>Discount factor</t>
        </is>
      </c>
      <c r="C87" s="2046" t="n"/>
      <c r="D87" s="2053" t="n"/>
      <c r="E87" s="2065">
        <f>1/(1+$D$81)^E83</f>
        <v/>
      </c>
      <c r="F87" s="2065">
        <f>1/(1+$D$81)^F83</f>
        <v/>
      </c>
      <c r="G87" s="2065">
        <f>1/(1+$D$81)^G83</f>
        <v/>
      </c>
      <c r="H87" s="2065">
        <f>1/(1+$D$81)^H83</f>
        <v/>
      </c>
      <c r="I87" s="2065">
        <f>1/(1+$D$81)^I83</f>
        <v/>
      </c>
      <c r="J87" s="2065">
        <f>1/(1+$D$81)^J83</f>
        <v/>
      </c>
      <c r="K87" s="2065">
        <f>1/(1+$D$81)^K83</f>
        <v/>
      </c>
      <c r="L87" s="2065">
        <f>1/(1+$D$81)^L83</f>
        <v/>
      </c>
      <c r="M87" s="2065">
        <f>1/(1+$D$81)^M83</f>
        <v/>
      </c>
      <c r="N87" s="2065">
        <f>1/(1+$D$81)^N83</f>
        <v/>
      </c>
      <c r="O87" s="2046" t="n"/>
    </row>
    <row r="88">
      <c r="A88" s="2046" t="n"/>
      <c r="B88" s="2062" t="inlineStr">
        <is>
          <t>PV of shield</t>
        </is>
      </c>
      <c r="C88" s="2046" t="n"/>
      <c r="D88" s="2046" t="n"/>
      <c r="E88" s="2064">
        <f>E86*E87</f>
        <v/>
      </c>
      <c r="F88" s="2064">
        <f>F86*F87</f>
        <v/>
      </c>
      <c r="G88" s="2064">
        <f>G86*G87</f>
        <v/>
      </c>
      <c r="H88" s="2064">
        <f>H86*H87</f>
        <v/>
      </c>
      <c r="I88" s="2064">
        <f>I86*I87</f>
        <v/>
      </c>
      <c r="J88" s="2064">
        <f>J86*J87</f>
        <v/>
      </c>
      <c r="K88" s="2064">
        <f>K86*K87</f>
        <v/>
      </c>
      <c r="L88" s="2064">
        <f>L86*L87</f>
        <v/>
      </c>
      <c r="M88" s="2064">
        <f>M86*M87</f>
        <v/>
      </c>
      <c r="N88" s="2064">
        <f>N86*N87</f>
        <v/>
      </c>
      <c r="O88" s="2046" t="n"/>
    </row>
    <row r="89">
      <c r="A89" s="2046" t="n"/>
      <c r="B89" s="2055" t="inlineStr">
        <is>
          <t>TOTAL F4  (NPV, IDR bn)</t>
        </is>
      </c>
      <c r="C89" s="2046" t="n"/>
      <c r="D89" s="2031">
        <f>SUM(E88:N88)</f>
        <v/>
      </c>
      <c r="E89" s="2046" t="n"/>
      <c r="F89" s="2046" t="n"/>
      <c r="G89" s="2046" t="n"/>
      <c r="H89" s="2046" t="n"/>
      <c r="I89" s="2046" t="n"/>
      <c r="J89" s="2046" t="n"/>
      <c r="K89" s="2046" t="n"/>
      <c r="L89" s="2046" t="n"/>
      <c r="M89" s="2046" t="n"/>
      <c r="N89" s="2046" t="n"/>
      <c r="O89" s="2050" t="inlineStr">
        <is>
          <t>Amortising balance → lower &amp; more honest than a flat-balance annuity</t>
        </is>
      </c>
    </row>
    <row r="90">
      <c r="A90" s="2046" t="n"/>
      <c r="B90" s="2056" t="n"/>
      <c r="C90" s="2046" t="n"/>
      <c r="D90" s="2057" t="n"/>
      <c r="E90" s="2046" t="n"/>
      <c r="F90" s="2046" t="n"/>
      <c r="G90" s="2046" t="n"/>
      <c r="H90" s="2046" t="n"/>
      <c r="I90" s="2046" t="n"/>
      <c r="J90" s="2046" t="n"/>
      <c r="K90" s="2046" t="n"/>
      <c r="L90" s="2046" t="n"/>
      <c r="M90" s="2046" t="n"/>
      <c r="N90" s="2046" t="n"/>
      <c r="O90" s="2046" t="n"/>
    </row>
    <row r="91">
      <c r="A91" s="2046" t="n"/>
      <c r="B91" s="2047" t="inlineStr">
        <is>
          <t>R5 — ARPU uplift &amp; churn reduction (existing base)</t>
        </is>
      </c>
      <c r="C91" s="2046" t="n"/>
      <c r="D91" s="2053" t="n"/>
      <c r="E91" s="2046" t="n"/>
      <c r="F91" s="2046" t="n"/>
      <c r="G91" s="2046" t="n"/>
      <c r="H91" s="2046" t="n"/>
      <c r="I91" s="2046" t="n"/>
      <c r="J91" s="2046" t="n"/>
      <c r="K91" s="2046" t="n"/>
      <c r="L91" s="2046" t="n"/>
      <c r="M91" s="2046" t="n"/>
      <c r="N91" s="2046" t="n"/>
      <c r="O91" s="2046" t="n"/>
    </row>
    <row r="92">
      <c r="A92" s="2046" t="n"/>
      <c r="B92" s="2048" t="inlineStr">
        <is>
          <t>Existing FTTH subscribers ('000)</t>
        </is>
      </c>
      <c r="C92" s="2046" t="n"/>
      <c r="D92" s="2054">
        <f>'WIFI 3-Statement Model'!H138</f>
        <v/>
      </c>
      <c r="E92" s="2046" t="n"/>
      <c r="F92" s="2046" t="n"/>
      <c r="G92" s="2046" t="n"/>
      <c r="H92" s="2046" t="n"/>
      <c r="I92" s="2046" t="n"/>
      <c r="J92" s="2046" t="n"/>
      <c r="K92" s="2046" t="n"/>
      <c r="L92" s="2046" t="n"/>
      <c r="M92" s="2046" t="n"/>
      <c r="N92" s="2046" t="n"/>
      <c r="O92" s="2050" t="inlineStr">
        <is>
          <t>Surge AR2025: 1.5m STARLITE subs</t>
        </is>
      </c>
    </row>
    <row r="93">
      <c r="A93" s="2046" t="n"/>
      <c r="B93" s="2048" t="inlineStr">
        <is>
          <t>Current ARPU (Rp'000/month)</t>
        </is>
      </c>
      <c r="C93" s="2046" t="n"/>
      <c r="D93" s="2066">
        <f>'WIFI 3-Statement Model'!I141</f>
        <v/>
      </c>
      <c r="E93" s="2046" t="n"/>
      <c r="F93" s="2046" t="n"/>
      <c r="G93" s="2046" t="n"/>
      <c r="H93" s="2046" t="n"/>
      <c r="I93" s="2046" t="n"/>
      <c r="J93" s="2046" t="n"/>
      <c r="K93" s="2046" t="n"/>
      <c r="L93" s="2046" t="n"/>
      <c r="M93" s="2046" t="n"/>
      <c r="N93" s="2046" t="n"/>
      <c r="O93" s="2046" t="n"/>
    </row>
    <row r="94">
      <c r="A94" s="2046" t="n"/>
      <c r="B94" s="2048" t="inlineStr">
        <is>
          <t>ARPU uplift from bundling (Rp'000/month)</t>
        </is>
      </c>
      <c r="C94" s="2046" t="n"/>
      <c r="D94" s="2067" t="n">
        <v>3</v>
      </c>
      <c r="E94" s="2046" t="n"/>
      <c r="F94" s="2046" t="n"/>
      <c r="G94" s="2046" t="n"/>
      <c r="H94" s="2046" t="n"/>
      <c r="I94" s="2046" t="n"/>
      <c r="J94" s="2046" t="n"/>
      <c r="K94" s="2046" t="n"/>
      <c r="L94" s="2046" t="n"/>
      <c r="M94" s="2046" t="n"/>
      <c r="N94" s="2046" t="n"/>
      <c r="O94" s="2050" t="inlineStr">
        <is>
          <t>≈4.3% of Rp70k ARPU</t>
        </is>
      </c>
    </row>
    <row r="95">
      <c r="A95" s="2046" t="n"/>
      <c r="B95" s="2048" t="inlineStr">
        <is>
          <t>Annual churn improvement (pp)</t>
        </is>
      </c>
      <c r="C95" s="2046" t="n"/>
      <c r="D95" s="2068" t="n">
        <v>0.01</v>
      </c>
      <c r="E95" s="2046" t="n"/>
      <c r="F95" s="2046" t="n"/>
      <c r="G95" s="2046" t="n"/>
      <c r="H95" s="2046" t="n"/>
      <c r="I95" s="2046" t="n"/>
      <c r="J95" s="2046" t="n"/>
      <c r="K95" s="2046" t="n"/>
      <c r="L95" s="2046" t="n"/>
      <c r="M95" s="2046" t="n"/>
      <c r="N95" s="2046" t="n"/>
      <c r="O95" s="2046" t="n"/>
    </row>
    <row r="96">
      <c r="A96" s="2046" t="n"/>
      <c r="B96" s="2048" t="inlineStr">
        <is>
          <t>→ Incremental revenue per year (IDR bn)</t>
        </is>
      </c>
      <c r="C96" s="2046" t="n"/>
      <c r="D96" s="2053">
        <f>D92*D94*12/1000+D92*D95*D93*12/1000</f>
        <v/>
      </c>
      <c r="E96" s="2046" t="n"/>
      <c r="F96" s="2046" t="n"/>
      <c r="G96" s="2046" t="n"/>
      <c r="H96" s="2046" t="n"/>
      <c r="I96" s="2046" t="n"/>
      <c r="J96" s="2046" t="n"/>
      <c r="K96" s="2046" t="n"/>
      <c r="L96" s="2046" t="n"/>
      <c r="M96" s="2046" t="n"/>
      <c r="N96" s="2046" t="n"/>
      <c r="O96" s="2046" t="n"/>
    </row>
    <row r="97">
      <c r="A97" s="2046" t="n"/>
      <c r="B97" s="2048" t="inlineStr">
        <is>
          <t>Gross margin — WIFI telecom</t>
        </is>
      </c>
      <c r="C97" s="2046" t="n"/>
      <c r="D97" s="2058">
        <f>'WIFI 3-Statement Model'!H30/'WIFI 3-Statement Model'!H28</f>
        <v/>
      </c>
      <c r="E97" s="2046" t="n"/>
      <c r="F97" s="2046" t="n"/>
      <c r="G97" s="2046" t="n"/>
      <c r="H97" s="2046" t="n"/>
      <c r="I97" s="2046" t="n"/>
      <c r="J97" s="2046" t="n"/>
      <c r="K97" s="2046" t="n"/>
      <c r="L97" s="2046" t="n"/>
      <c r="M97" s="2046" t="n"/>
      <c r="N97" s="2046" t="n"/>
      <c r="O97" s="2046" t="n"/>
    </row>
    <row r="98">
      <c r="A98" s="2046" t="n"/>
      <c r="B98" s="2048" t="inlineStr">
        <is>
          <t>Confidence haircut</t>
        </is>
      </c>
      <c r="C98" s="2046" t="n"/>
      <c r="D98" s="2052" t="n">
        <v>0.6</v>
      </c>
      <c r="E98" s="2046" t="n"/>
      <c r="F98" s="2046" t="n"/>
      <c r="G98" s="2046" t="n"/>
      <c r="H98" s="2046" t="n"/>
      <c r="I98" s="2046" t="n"/>
      <c r="J98" s="2046" t="n"/>
      <c r="K98" s="2046" t="n"/>
      <c r="L98" s="2046" t="n"/>
      <c r="M98" s="2046" t="n"/>
      <c r="N98" s="2046" t="n"/>
      <c r="O98" s="2050" t="inlineStr">
        <is>
          <t>Medium</t>
        </is>
      </c>
    </row>
    <row r="99">
      <c r="A99" s="2046" t="n"/>
      <c r="B99" s="2056" t="n"/>
      <c r="C99" s="2046" t="n"/>
      <c r="D99" s="2057" t="n"/>
      <c r="E99" s="2046" t="n"/>
      <c r="F99" s="2046" t="n"/>
      <c r="G99" s="2046" t="n"/>
      <c r="H99" s="2046" t="n"/>
      <c r="I99" s="2046" t="n"/>
      <c r="J99" s="2046" t="n"/>
      <c r="K99" s="2046" t="n"/>
      <c r="L99" s="2046" t="n"/>
      <c r="M99" s="2046" t="n"/>
      <c r="N99" s="2046" t="n"/>
      <c r="O99" s="2046" t="n"/>
    </row>
    <row r="100">
      <c r="A100" s="2046" t="n"/>
      <c r="B100" s="2047" t="inlineStr">
        <is>
          <t>R6 — Advertising inventory scaling</t>
        </is>
      </c>
      <c r="C100" s="2046" t="n"/>
      <c r="D100" s="2053" t="n"/>
      <c r="E100" s="2046" t="n"/>
      <c r="F100" s="2046" t="n"/>
      <c r="G100" s="2046" t="n"/>
      <c r="H100" s="2046" t="n"/>
      <c r="I100" s="2046" t="n"/>
      <c r="J100" s="2046" t="n"/>
      <c r="K100" s="2046" t="n"/>
      <c r="L100" s="2046" t="n"/>
      <c r="M100" s="2046" t="n"/>
      <c r="N100" s="2046" t="n"/>
      <c r="O100" s="2046" t="n"/>
    </row>
    <row r="101">
      <c r="A101" s="2046" t="n"/>
      <c r="B101" s="2048" t="inlineStr">
        <is>
          <t>WIFI advertising revenue FY25 (IDR bn)</t>
        </is>
      </c>
      <c r="C101" s="2046" t="n"/>
      <c r="D101" s="2066">
        <f>'WIFI 3-Statement Model'!H151/1000000</f>
        <v/>
      </c>
      <c r="E101" s="2046" t="n"/>
      <c r="F101" s="2046" t="n"/>
      <c r="G101" s="2046" t="n"/>
      <c r="H101" s="2046" t="n"/>
      <c r="I101" s="2046" t="n"/>
      <c r="J101" s="2046" t="n"/>
      <c r="K101" s="2046" t="n"/>
      <c r="L101" s="2046" t="n"/>
      <c r="M101" s="2046" t="n"/>
      <c r="N101" s="2046" t="n"/>
      <c r="O101" s="2050" t="inlineStr">
        <is>
          <t>Rp459.5bn — this is ad REVENUE, not the Rp22bn ad expense</t>
        </is>
      </c>
    </row>
    <row r="102">
      <c r="A102" s="2046" t="n"/>
      <c r="B102" s="2048" t="inlineStr">
        <is>
          <t>Existing subscriber base ('000)</t>
        </is>
      </c>
      <c r="C102" s="2046" t="n"/>
      <c r="D102" s="2054">
        <f>'WIFI 3-Statement Model'!H138</f>
        <v/>
      </c>
      <c r="E102" s="2046" t="n"/>
      <c r="F102" s="2046" t="n"/>
      <c r="G102" s="2046" t="n"/>
      <c r="H102" s="2046" t="n"/>
      <c r="I102" s="2046" t="n"/>
      <c r="J102" s="2046" t="n"/>
      <c r="K102" s="2046" t="n"/>
      <c r="L102" s="2046" t="n"/>
      <c r="M102" s="2046" t="n"/>
      <c r="N102" s="2046" t="n"/>
      <c r="O102" s="2046" t="n"/>
    </row>
    <row r="103">
      <c r="A103" s="2046" t="n"/>
      <c r="B103" s="2048" t="inlineStr">
        <is>
          <t>→ Advertising per subscriber (Rp'000/yr)</t>
        </is>
      </c>
      <c r="C103" s="2046" t="n"/>
      <c r="D103" s="2053">
        <f>D101/D102*1000</f>
        <v/>
      </c>
      <c r="E103" s="2046" t="n"/>
      <c r="F103" s="2046" t="n"/>
      <c r="G103" s="2046" t="n"/>
      <c r="H103" s="2046" t="n"/>
      <c r="I103" s="2046" t="n"/>
      <c r="J103" s="2046" t="n"/>
      <c r="K103" s="2046" t="n"/>
      <c r="L103" s="2046" t="n"/>
      <c r="M103" s="2046" t="n"/>
      <c r="N103" s="2046" t="n"/>
      <c r="O103" s="2046" t="n"/>
    </row>
    <row r="104">
      <c r="A104" s="2046" t="n"/>
      <c r="B104" s="2048" t="inlineStr">
        <is>
          <t>Incremental subscribers from synergy ('000)</t>
        </is>
      </c>
      <c r="C104" s="2046" t="n"/>
      <c r="D104" s="2066">
        <f>(F40+F41)/1000</f>
        <v/>
      </c>
      <c r="E104" s="2046" t="n"/>
      <c r="F104" s="2046" t="n"/>
      <c r="G104" s="2046" t="n"/>
      <c r="H104" s="2046" t="n"/>
      <c r="I104" s="2046" t="n"/>
      <c r="J104" s="2046" t="n"/>
      <c r="K104" s="2046" t="n"/>
      <c r="L104" s="2046" t="n"/>
      <c r="M104" s="2046" t="n"/>
      <c r="N104" s="2046" t="n"/>
      <c r="O104" s="2050" t="inlineStr">
        <is>
          <t>R2 + R3 quantities</t>
        </is>
      </c>
    </row>
    <row r="105">
      <c r="A105" s="2046" t="n"/>
      <c r="B105" s="2048" t="inlineStr">
        <is>
          <t>→ Incremental advertising revenue (IDR bn/yr)</t>
        </is>
      </c>
      <c r="C105" s="2046" t="n"/>
      <c r="D105" s="2053">
        <f>D104*D103/1000</f>
        <v/>
      </c>
      <c r="E105" s="2046" t="n"/>
      <c r="F105" s="2046" t="n"/>
      <c r="G105" s="2046" t="n"/>
      <c r="H105" s="2046" t="n"/>
      <c r="I105" s="2046" t="n"/>
      <c r="J105" s="2046" t="n"/>
      <c r="K105" s="2046" t="n"/>
      <c r="L105" s="2046" t="n"/>
      <c r="M105" s="2046" t="n"/>
      <c r="N105" s="2046" t="n"/>
      <c r="O105" s="2046" t="n"/>
    </row>
    <row r="106">
      <c r="A106" s="2046" t="n"/>
      <c r="B106" s="2048" t="inlineStr">
        <is>
          <t>Advertising contribution margin</t>
        </is>
      </c>
      <c r="C106" s="2046" t="n"/>
      <c r="D106" s="2052" t="n">
        <v>0.7</v>
      </c>
      <c r="E106" s="2046" t="n"/>
      <c r="F106" s="2046" t="n"/>
      <c r="G106" s="2046" t="n"/>
      <c r="H106" s="2046" t="n"/>
      <c r="I106" s="2046" t="n"/>
      <c r="J106" s="2046" t="n"/>
      <c r="K106" s="2046" t="n"/>
      <c r="L106" s="2046" t="n"/>
      <c r="M106" s="2046" t="n"/>
      <c r="N106" s="2046" t="n"/>
      <c r="O106" s="2050" t="inlineStr">
        <is>
          <t>Inventory already exists</t>
        </is>
      </c>
    </row>
    <row r="107">
      <c r="A107" s="2046" t="n"/>
      <c r="B107" s="2048" t="inlineStr">
        <is>
          <t>Confidence haircut</t>
        </is>
      </c>
      <c r="C107" s="2046" t="n"/>
      <c r="D107" s="2052" t="n">
        <v>0.5</v>
      </c>
      <c r="E107" s="2046" t="n"/>
      <c r="F107" s="2046" t="n"/>
      <c r="G107" s="2046" t="n"/>
      <c r="H107" s="2046" t="n"/>
      <c r="I107" s="2046" t="n"/>
      <c r="J107" s="2046" t="n"/>
      <c r="K107" s="2046" t="n"/>
      <c r="L107" s="2046" t="n"/>
      <c r="M107" s="2046" t="n"/>
      <c r="N107" s="2046" t="n"/>
      <c r="O107" s="2050" t="inlineStr">
        <is>
          <t>Low-Med</t>
        </is>
      </c>
    </row>
    <row r="108">
      <c r="A108" s="2046" t="n"/>
      <c r="B108" s="2056" t="n"/>
      <c r="C108" s="2046" t="n"/>
      <c r="D108" s="2053" t="n"/>
      <c r="E108" s="2046" t="n"/>
      <c r="F108" s="2046" t="n"/>
      <c r="G108" s="2046" t="n"/>
      <c r="H108" s="2046" t="n"/>
      <c r="I108" s="2046" t="n"/>
      <c r="J108" s="2046" t="n"/>
      <c r="K108" s="2046" t="n"/>
      <c r="L108" s="2046" t="n"/>
      <c r="M108" s="2046" t="n"/>
      <c r="N108" s="2046" t="n"/>
      <c r="O108" s="2046" t="n"/>
    </row>
    <row r="109">
      <c r="A109" s="2046" t="n"/>
      <c r="B109" s="2047" t="inlineStr">
        <is>
          <t>F5 — Working-capital release</t>
        </is>
      </c>
      <c r="C109" s="2046" t="n"/>
      <c r="D109" s="2053" t="n"/>
      <c r="E109" s="2046" t="n"/>
      <c r="F109" s="2046" t="n"/>
      <c r="G109" s="2046" t="n"/>
      <c r="H109" s="2046" t="n"/>
      <c r="I109" s="2046" t="n"/>
      <c r="J109" s="2046" t="n"/>
      <c r="K109" s="2046" t="n"/>
      <c r="L109" s="2046" t="n"/>
      <c r="M109" s="2046" t="n"/>
      <c r="N109" s="2046" t="n"/>
      <c r="O109" s="2046" t="n"/>
    </row>
    <row r="110">
      <c r="A110" s="2046" t="n"/>
      <c r="B110" s="2048" t="inlineStr">
        <is>
          <t>Combined revenue (IDR bn)</t>
        </is>
      </c>
      <c r="C110" s="2046" t="n"/>
      <c r="D110" s="2054">
        <f>'TOWR-3-Statements'!G30/1000000+'WIFI 3-Statement Model'!H28/1000000</f>
        <v/>
      </c>
      <c r="E110" s="2046" t="n"/>
      <c r="F110" s="2046" t="n"/>
      <c r="G110" s="2046" t="n"/>
      <c r="H110" s="2046" t="n"/>
      <c r="I110" s="2046" t="n"/>
      <c r="J110" s="2046" t="n"/>
      <c r="K110" s="2046" t="n"/>
      <c r="L110" s="2046" t="n"/>
      <c r="M110" s="2046" t="n"/>
      <c r="N110" s="2046" t="n"/>
      <c r="O110" s="2046" t="n"/>
    </row>
    <row r="111">
      <c r="A111" s="2046" t="n"/>
      <c r="B111" s="2048" t="inlineStr">
        <is>
          <t>Combined COGS (IDR bn)</t>
        </is>
      </c>
      <c r="C111" s="2046" t="n"/>
      <c r="D111" s="2054">
        <f>-('TOWR-3-Statements'!G31+'TOWR-3-Statements'!G32)/1000000-'WIFI 3-Statement Model'!H29/1000000</f>
        <v/>
      </c>
      <c r="E111" s="2046" t="n"/>
      <c r="F111" s="2046" t="n"/>
      <c r="G111" s="2046" t="n"/>
      <c r="H111" s="2046" t="n"/>
      <c r="I111" s="2046" t="n"/>
      <c r="J111" s="2046" t="n"/>
      <c r="K111" s="2046" t="n"/>
      <c r="L111" s="2046" t="n"/>
      <c r="M111" s="2046" t="n"/>
      <c r="N111" s="2046" t="n"/>
      <c r="O111" s="2046" t="n"/>
    </row>
    <row r="112">
      <c r="A112" s="2046" t="n"/>
      <c r="B112" s="2048" t="inlineStr">
        <is>
          <t>WIFI COGS (IDR bn)</t>
        </is>
      </c>
      <c r="C112" s="2046" t="n"/>
      <c r="D112" s="2066">
        <f>-'WIFI 3-Statement Model'!H29/1000000</f>
        <v/>
      </c>
      <c r="E112" s="2046" t="n"/>
      <c r="F112" s="2046" t="n"/>
      <c r="G112" s="2046" t="n"/>
      <c r="H112" s="2046" t="n"/>
      <c r="I112" s="2046" t="n"/>
      <c r="J112" s="2046" t="n"/>
      <c r="K112" s="2046" t="n"/>
      <c r="L112" s="2046" t="n"/>
      <c r="M112" s="2046" t="n"/>
      <c r="N112" s="2046" t="n"/>
      <c r="O112" s="2046" t="n"/>
    </row>
    <row r="113">
      <c r="A113" s="2046" t="n"/>
      <c r="B113" s="2048" t="inlineStr">
        <is>
          <t>Receivable days improvement</t>
        </is>
      </c>
      <c r="C113" s="2046" t="n"/>
      <c r="D113" s="2067" t="n">
        <v>3</v>
      </c>
      <c r="E113" s="2046" t="n"/>
      <c r="F113" s="2046" t="n"/>
      <c r="G113" s="2046" t="n"/>
      <c r="H113" s="2046" t="n"/>
      <c r="I113" s="2046" t="n"/>
      <c r="J113" s="2046" t="n"/>
      <c r="K113" s="2046" t="n"/>
      <c r="L113" s="2046" t="n"/>
      <c r="M113" s="2046" t="n"/>
      <c r="N113" s="2046" t="n"/>
      <c r="O113" s="2050" t="inlineStr">
        <is>
          <t>TOWR 87d vs WIFI 50d</t>
        </is>
      </c>
    </row>
    <row r="114">
      <c r="A114" s="2046" t="n"/>
      <c r="B114" s="2048" t="inlineStr">
        <is>
          <t>Payable days improvement</t>
        </is>
      </c>
      <c r="C114" s="2046" t="n"/>
      <c r="D114" s="2067" t="n">
        <v>5</v>
      </c>
      <c r="E114" s="2046" t="n"/>
      <c r="F114" s="2046" t="n"/>
      <c r="G114" s="2046" t="n"/>
      <c r="H114" s="2046" t="n"/>
      <c r="I114" s="2046" t="n"/>
      <c r="J114" s="2046" t="n"/>
      <c r="K114" s="2046" t="n"/>
      <c r="L114" s="2046" t="n"/>
      <c r="M114" s="2046" t="n"/>
      <c r="N114" s="2046" t="n"/>
      <c r="O114" s="2050" t="inlineStr">
        <is>
          <t>TOWR 234d vs WIFI 113d</t>
        </is>
      </c>
    </row>
    <row r="115">
      <c r="A115" s="2046" t="n"/>
      <c r="B115" s="2048" t="inlineStr">
        <is>
          <t>Inventory days improvement (WIFI)</t>
        </is>
      </c>
      <c r="C115" s="2046" t="n"/>
      <c r="D115" s="2067" t="n">
        <v>10</v>
      </c>
      <c r="E115" s="2046" t="n"/>
      <c r="F115" s="2046" t="n"/>
      <c r="G115" s="2046" t="n"/>
      <c r="H115" s="2046" t="n"/>
      <c r="I115" s="2046" t="n"/>
      <c r="J115" s="2046" t="n"/>
      <c r="K115" s="2046" t="n"/>
      <c r="L115" s="2046" t="n"/>
      <c r="M115" s="2046" t="n"/>
      <c r="N115" s="2046" t="n"/>
      <c r="O115" s="2050" t="inlineStr">
        <is>
          <t>WIFI 90d</t>
        </is>
      </c>
    </row>
    <row r="116">
      <c r="A116" s="2056" t="n"/>
      <c r="B116" s="2048" t="inlineStr">
        <is>
          <t>→ Gross cash release (IDR bn)</t>
        </is>
      </c>
      <c r="C116" s="2046" t="n"/>
      <c r="D116" s="2053">
        <f>D110*D113/365+D111*D114/365+D112*D115/365</f>
        <v/>
      </c>
      <c r="E116" s="2046" t="n"/>
      <c r="F116" s="2046" t="n"/>
      <c r="G116" s="2046" t="n"/>
      <c r="H116" s="2046" t="n"/>
      <c r="I116" s="2046" t="n"/>
      <c r="J116" s="2046" t="n"/>
      <c r="K116" s="2046" t="n"/>
      <c r="L116" s="2046" t="n"/>
      <c r="M116" s="2046" t="n"/>
      <c r="N116" s="2046" t="n"/>
      <c r="O116" s="2046" t="n"/>
    </row>
    <row r="117">
      <c r="A117" s="2046" t="n"/>
      <c r="B117" s="2048" t="inlineStr">
        <is>
          <t>Confidence haircut</t>
        </is>
      </c>
      <c r="C117" s="2046" t="n"/>
      <c r="D117" s="2052" t="n">
        <v>0.7</v>
      </c>
      <c r="E117" s="2046" t="n"/>
      <c r="F117" s="2046" t="n"/>
      <c r="G117" s="2046" t="n"/>
      <c r="H117" s="2053" t="n"/>
      <c r="I117" s="2046" t="n"/>
      <c r="J117" s="2046" t="n"/>
      <c r="K117" s="2046" t="n"/>
      <c r="L117" s="2046" t="n"/>
      <c r="M117" s="2046" t="n"/>
      <c r="N117" s="2046" t="n"/>
      <c r="O117" s="2046" t="n"/>
    </row>
    <row r="118">
      <c r="A118" s="2046" t="n"/>
      <c r="B118" s="2055" t="inlineStr">
        <is>
          <t>TOTAL F5  (NPV, IDR bn)</t>
        </is>
      </c>
      <c r="C118" s="2046" t="n"/>
      <c r="D118" s="2031">
        <f>D116*D117</f>
        <v/>
      </c>
      <c r="E118" s="2046" t="n"/>
      <c r="F118" s="2046" t="n"/>
      <c r="G118" s="2046" t="n"/>
      <c r="H118" s="2053" t="n"/>
      <c r="I118" s="2046" t="n"/>
      <c r="J118" s="2046" t="n"/>
      <c r="K118" s="2046" t="n"/>
      <c r="L118" s="2046" t="n"/>
      <c r="M118" s="2046" t="n"/>
      <c r="N118" s="2046" t="n"/>
      <c r="O118" s="2046" t="n"/>
    </row>
    <row r="119">
      <c r="A119" s="2046" t="n"/>
      <c r="B119" s="2056" t="n"/>
      <c r="C119" s="2046" t="n"/>
      <c r="D119" s="2046" t="n"/>
      <c r="E119" s="2046" t="n"/>
      <c r="F119" s="2046" t="n"/>
      <c r="G119" s="2046" t="n"/>
      <c r="H119" s="2053" t="n"/>
      <c r="I119" s="2046" t="n"/>
      <c r="J119" s="2046" t="n"/>
      <c r="K119" s="2046" t="n"/>
      <c r="L119" s="2046" t="n"/>
      <c r="M119" s="2046" t="n"/>
      <c r="N119" s="2046" t="n"/>
      <c r="O119" s="2046" t="n"/>
    </row>
    <row r="120">
      <c r="A120" s="2073" t="inlineStr">
        <is>
          <t>E.  SUMMARY</t>
        </is>
      </c>
    </row>
    <row r="121">
      <c r="A121" s="2046" t="n"/>
      <c r="B121" s="2056" t="inlineStr">
        <is>
          <t>Cost synergies — run-rate (RA)</t>
        </is>
      </c>
      <c r="C121" s="2046" t="n"/>
      <c r="D121" s="2046" t="n"/>
      <c r="E121" s="2046" t="n"/>
      <c r="F121" s="2046" t="n"/>
      <c r="G121" s="2046" t="n"/>
      <c r="H121" s="2053">
        <f>M30</f>
        <v/>
      </c>
      <c r="I121" s="2046" t="n"/>
      <c r="J121" s="2046" t="n"/>
      <c r="K121" s="2046" t="n"/>
      <c r="L121" s="2046" t="n"/>
      <c r="M121" s="2046" t="n"/>
      <c r="N121" s="2046" t="n"/>
      <c r="O121" s="2046" t="n"/>
    </row>
    <row r="122">
      <c r="A122" s="2046" t="n"/>
      <c r="B122" s="2056" t="inlineStr">
        <is>
          <t>Revenue synergies — run-rate (RA EBIT)</t>
        </is>
      </c>
      <c r="C122" s="2046" t="n"/>
      <c r="D122" s="2046" t="n"/>
      <c r="E122" s="2046" t="n"/>
      <c r="F122" s="2046" t="n"/>
      <c r="G122" s="2046" t="n"/>
      <c r="H122" s="2053">
        <f>M45</f>
        <v/>
      </c>
      <c r="I122" s="2046" t="n"/>
      <c r="J122" s="2046" t="n"/>
      <c r="K122" s="2046" t="n"/>
      <c r="L122" s="2046" t="n"/>
      <c r="M122" s="2046" t="n"/>
      <c r="N122" s="2046" t="n"/>
      <c r="O122" s="2046" t="n"/>
    </row>
    <row r="123">
      <c r="A123" s="2046" t="n"/>
      <c r="B123" s="2056" t="inlineStr">
        <is>
          <t>Financing synergies — run-rate (RA)</t>
        </is>
      </c>
      <c r="C123" s="2046" t="n"/>
      <c r="D123" s="2046" t="n"/>
      <c r="E123" s="2046" t="n"/>
      <c r="F123" s="2046" t="n"/>
      <c r="G123" s="2046" t="n"/>
      <c r="H123" s="2053">
        <f>M56</f>
        <v/>
      </c>
      <c r="I123" s="2046" t="n"/>
      <c r="J123" s="2046" t="n"/>
      <c r="K123" s="2046" t="n"/>
      <c r="L123" s="2046" t="n"/>
      <c r="M123" s="2046" t="n"/>
      <c r="N123" s="2046" t="n"/>
      <c r="O123" s="2046" t="n"/>
    </row>
    <row r="124">
      <c r="A124" s="2046" t="n"/>
      <c r="B124" s="2044" t="inlineStr">
        <is>
          <t>TOTAL RUN-RATE per year</t>
        </is>
      </c>
      <c r="C124" s="2046" t="n"/>
      <c r="D124" s="2046" t="n"/>
      <c r="E124" s="2046" t="n"/>
      <c r="F124" s="2046" t="n"/>
      <c r="G124" s="2046" t="n"/>
      <c r="H124" s="2045">
        <f>M30+M45+M56</f>
        <v/>
      </c>
      <c r="I124" s="2046" t="n"/>
      <c r="J124" s="2046" t="n"/>
      <c r="K124" s="2046" t="n"/>
      <c r="L124" s="2046" t="n"/>
      <c r="M124" s="2046" t="n"/>
      <c r="N124" s="2046" t="n"/>
      <c r="O124" s="2046" t="n"/>
    </row>
    <row r="125">
      <c r="A125" s="2046" t="n"/>
      <c r="B125" s="2056" t="n"/>
      <c r="C125" s="2046" t="n"/>
      <c r="D125" s="2046" t="n"/>
      <c r="E125" s="2046" t="n"/>
      <c r="F125" s="2046" t="n"/>
      <c r="G125" s="2046" t="n"/>
      <c r="H125" s="2053" t="n"/>
      <c r="I125" s="2046" t="n"/>
      <c r="J125" s="2046" t="n"/>
      <c r="K125" s="2046" t="n"/>
      <c r="L125" s="2046" t="n"/>
      <c r="M125" s="2046" t="n"/>
      <c r="N125" s="2046" t="n"/>
      <c r="O125" s="2046" t="n"/>
    </row>
    <row r="126">
      <c r="A126" s="2046" t="n"/>
      <c r="B126" s="2056" t="inlineStr">
        <is>
          <t>C8 Capex avoidance (NPV)</t>
        </is>
      </c>
      <c r="C126" s="2046" t="n"/>
      <c r="D126" s="2046" t="n"/>
      <c r="E126" s="2046" t="n"/>
      <c r="F126" s="2046" t="n"/>
      <c r="G126" s="2046" t="n"/>
      <c r="H126" s="2053">
        <f>H35</f>
        <v/>
      </c>
      <c r="I126" s="2046" t="n"/>
      <c r="J126" s="2046" t="n"/>
      <c r="K126" s="2046" t="n"/>
      <c r="L126" s="2046" t="n"/>
      <c r="M126" s="2046" t="n"/>
      <c r="N126" s="2046" t="n"/>
      <c r="O126" s="2046" t="n"/>
    </row>
    <row r="127">
      <c r="A127" s="2046" t="n"/>
      <c r="B127" s="2056" t="inlineStr">
        <is>
          <t>F4 Tax shield (NPV)</t>
        </is>
      </c>
      <c r="C127" s="2046" t="n"/>
      <c r="D127" s="2046" t="n"/>
      <c r="E127" s="2046" t="n"/>
      <c r="F127" s="2046" t="n"/>
      <c r="G127" s="2046" t="n"/>
      <c r="H127" s="2053">
        <f>H61</f>
        <v/>
      </c>
      <c r="I127" s="2046" t="n"/>
      <c r="J127" s="2046" t="n"/>
      <c r="K127" s="2046" t="n"/>
      <c r="L127" s="2046" t="n"/>
      <c r="M127" s="2046" t="n"/>
      <c r="N127" s="2046" t="n"/>
      <c r="O127" s="2046" t="n"/>
    </row>
    <row r="128">
      <c r="A128" s="2046" t="n"/>
      <c r="B128" s="2056" t="inlineStr">
        <is>
          <t>F5 Working capital (NPV)</t>
        </is>
      </c>
      <c r="C128" s="2046" t="n"/>
      <c r="D128" s="2046" t="n"/>
      <c r="E128" s="2046" t="n"/>
      <c r="F128" s="2046" t="n"/>
      <c r="G128" s="2046" t="n"/>
      <c r="H128" s="2053">
        <f>H62</f>
        <v/>
      </c>
      <c r="I128" s="2046" t="n"/>
      <c r="J128" s="2046" t="n"/>
      <c r="K128" s="2046" t="n"/>
      <c r="L128" s="2046" t="n"/>
      <c r="M128" s="2046" t="n"/>
      <c r="N128" s="2046" t="n"/>
      <c r="O128" s="2046" t="n"/>
    </row>
    <row r="129">
      <c r="A129" s="2046" t="n"/>
      <c r="B129" s="2044" t="inlineStr">
        <is>
          <t>TOTAL ONE-TIME / BELOW-THE-LINE (NPV)</t>
        </is>
      </c>
      <c r="C129" s="2046" t="n"/>
      <c r="D129" s="2046" t="n"/>
      <c r="E129" s="2046" t="n"/>
      <c r="F129" s="2046" t="n"/>
      <c r="G129" s="2046" t="n"/>
      <c r="H129" s="2045">
        <f>H35+H61+H62</f>
        <v/>
      </c>
      <c r="I129" s="2046" t="n"/>
      <c r="J129" s="2046" t="n"/>
      <c r="K129" s="2046" t="n"/>
      <c r="L129" s="2046" t="n"/>
      <c r="M129" s="2046" t="n"/>
      <c r="N129" s="2046" t="n"/>
      <c r="O129" s="2046" t="n"/>
    </row>
    <row r="130">
      <c r="A130" s="2046" t="n"/>
      <c r="B130" s="2046" t="n"/>
      <c r="C130" s="2046" t="n"/>
      <c r="D130" s="2046" t="n"/>
      <c r="E130" s="2046" t="n"/>
      <c r="F130" s="2046" t="n"/>
      <c r="G130" s="2046" t="n"/>
      <c r="H130" s="2046" t="n"/>
      <c r="I130" s="2046" t="n"/>
      <c r="J130" s="2046" t="n"/>
      <c r="K130" s="2046" t="n"/>
      <c r="L130" s="2046" t="n"/>
      <c r="M130" s="2046" t="n"/>
      <c r="N130" s="2046" t="n"/>
      <c r="O130" s="2046" t="n"/>
    </row>
    <row r="131">
      <c r="B131" s="1970" t="inlineStr">
        <is>
          <t>Legend:</t>
        </is>
      </c>
      <c r="D131" s="1971" t="inlineStr">
        <is>
          <t>Blue = input</t>
        </is>
      </c>
      <c r="F131" s="1972" t="inlineStr">
        <is>
          <t>Green = link</t>
        </is>
      </c>
      <c r="H131" s="1896" t="inlineStr">
        <is>
          <t>Black = formula</t>
        </is>
      </c>
    </row>
  </sheetData>
  <mergeCells count="7">
    <mergeCell ref="A65:O65"/>
    <mergeCell ref="A51:O51"/>
    <mergeCell ref="A1:O1"/>
    <mergeCell ref="A37:O37"/>
    <mergeCell ref="A4:O4"/>
    <mergeCell ref="A120:O120"/>
    <mergeCell ref="A21:O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0" customWidth="1" min="4" max="4"/>
    <col width="10" customWidth="1" min="5" max="5"/>
    <col width="13" customWidth="1" min="6" max="6"/>
    <col width="52" customWidth="1" min="7" max="7"/>
  </cols>
  <sheetData>
    <row r="1" ht="22" customHeight="1">
      <c r="A1" s="912" t="inlineStr">
        <is>
          <t>Dissynergy  —  Data-Anchored Downside (Low / Base / High)</t>
        </is>
      </c>
    </row>
    <row r="2">
      <c r="A2" s="913" t="inlineStr">
        <is>
          <t>Rp miliar (bn). Tiap item di-anchor ke LK auditan / riset — bukan asumsi bebas. Biru = input · Hijau = link · Hitam = rumus.</t>
        </is>
      </c>
    </row>
    <row r="4">
      <c r="A4" s="1959" t="inlineStr">
        <is>
          <t>Data Anchors  (sumber: LK auditan TOWR 2025, Surge AR2025, riset sektor)</t>
        </is>
      </c>
    </row>
    <row r="5">
      <c r="A5" s="1361" t="inlineStr">
        <is>
          <t>Tambahan tenant TOWR 2025 (unit)</t>
        </is>
      </c>
      <c r="B5" s="1961" t="n">
        <v>2505</v>
      </c>
      <c r="G5" s="1966" t="inlineStr">
        <is>
          <t>SMN AR2025: +2.505 tenant (total 60.540)</t>
        </is>
      </c>
    </row>
    <row r="6">
      <c r="A6" s="1361" t="inlineStr">
        <is>
          <t>Pendapatan per tenant (Rp bn/th)</t>
        </is>
      </c>
      <c r="B6" s="1974" t="n">
        <v>0.1442</v>
      </c>
      <c r="G6" s="1966" t="inlineStr">
        <is>
          <t>Rp8.730 bn sewa menara ÷ 60.540 tenant</t>
        </is>
      </c>
    </row>
    <row r="7">
      <c r="A7" s="1361" t="inlineStr">
        <is>
          <t>Margin EBITDA TOWR</t>
        </is>
      </c>
      <c r="B7" s="1975" t="n">
        <v>0.82</v>
      </c>
      <c r="G7" s="1966" t="inlineStr">
        <is>
          <t>TOWR-3-Statements (EBITDA ÷ revenue)</t>
        </is>
      </c>
    </row>
    <row r="8">
      <c r="A8" s="1361" t="inlineStr">
        <is>
          <t>Pendapatan sewa menara (Rp bn)</t>
        </is>
      </c>
      <c r="B8" s="1965" t="n">
        <v>8730</v>
      </c>
      <c r="G8" s="1966" t="inlineStr">
        <is>
          <t>SMN AR2025: Rp8,73 trn = 65,47% dari total</t>
        </is>
      </c>
    </row>
    <row r="9">
      <c r="A9" s="1361" t="inlineStr">
        <is>
          <t>Tenor kontrak rata-rata (tahun)</t>
        </is>
      </c>
      <c r="B9" s="1961" t="n">
        <v>11</v>
      </c>
      <c r="G9" s="1966" t="inlineStr">
        <is>
          <t>SMN AR2025 Catatan 39: sewa 10–13 tahun</t>
        </is>
      </c>
    </row>
    <row r="10">
      <c r="A10" s="1361" t="inlineStr">
        <is>
          <t>Pendapatan WIFI (Rp bn)</t>
        </is>
      </c>
      <c r="B10" s="1965" t="n">
        <v>1659</v>
      </c>
      <c r="G10" s="1966" t="inlineStr">
        <is>
          <t>Surge AR2025 FY25A</t>
        </is>
      </c>
    </row>
    <row r="11">
      <c r="A11" s="1361" t="inlineStr">
        <is>
          <t>Gross margin telco WIFI</t>
        </is>
      </c>
      <c r="B11" s="1975" t="n">
        <v>0.729</v>
      </c>
      <c r="G11" s="1966" t="inlineStr">
        <is>
          <t>WIFI Rev-COGS Detail</t>
        </is>
      </c>
    </row>
    <row r="12">
      <c r="A12" s="1361" t="inlineStr">
        <is>
          <t>Anggaran biaya integrasi (Rp bn)</t>
        </is>
      </c>
      <c r="B12" s="921">
        <f>'Returns Analysis'!B11</f>
        <v/>
      </c>
      <c r="G12" s="1966" t="inlineStr">
        <is>
          <t>Link Returns Analysis</t>
        </is>
      </c>
    </row>
    <row r="13">
      <c r="A13" s="1361" t="inlineStr">
        <is>
          <t>SG&amp;A kas WIFI (Rp bn)</t>
        </is>
      </c>
      <c r="B13" s="1976" t="n">
        <v>176.7</v>
      </c>
      <c r="G13" s="1966" t="inlineStr">
        <is>
          <t>Cost Synergy Bottom-Up (ex-iklan &amp; D&amp;A)</t>
        </is>
      </c>
    </row>
    <row r="14">
      <c r="A14" s="1977" t="inlineStr">
        <is>
          <t>Konsentrasi pelanggan TOWR FY25: XLSmart 42% · Indosat 34% · Telkomsel 11% = 87% pendapatan dari 3 operator yang akan bersaing dengan WIFI.</t>
        </is>
      </c>
    </row>
    <row r="16">
      <c r="A16" s="1959" t="inlineStr">
        <is>
          <t>Shared Assumptions</t>
        </is>
      </c>
    </row>
    <row r="17">
      <c r="A17" s="1361" t="inlineStr">
        <is>
          <t>WACC</t>
        </is>
      </c>
      <c r="B17" s="2023">
        <f>'Returns Analysis'!B5</f>
        <v/>
      </c>
    </row>
    <row r="18">
      <c r="A18" s="1361" t="inlineStr">
        <is>
          <t>Tax rate</t>
        </is>
      </c>
      <c r="B18" s="2023">
        <f>'Returns Analysis'!B14</f>
        <v/>
      </c>
    </row>
    <row r="19">
      <c r="A19" s="2074" t="inlineStr">
        <is>
          <t>(faktor kapitalisasi — tidak lagi dipakai, dissinergi kini lewat schedule)</t>
        </is>
      </c>
      <c r="B19" s="2075" t="n">
        <v>10</v>
      </c>
    </row>
    <row r="20">
      <c r="A20" s="1361" t="inlineStr">
        <is>
          <t>SKENARIO  (1=Low · 2=Base · 3=High)</t>
        </is>
      </c>
      <c r="B20" s="1979" t="n">
        <v>2</v>
      </c>
    </row>
    <row r="22">
      <c r="A22" s="1959" t="inlineStr">
        <is>
          <t>Dissynergy Items  (Rp bn)</t>
        </is>
      </c>
    </row>
    <row r="23">
      <c r="A23" s="1962" t="inlineStr">
        <is>
          <t>Item</t>
        </is>
      </c>
      <c r="B23" s="1963" t="inlineStr">
        <is>
          <t>Basis</t>
        </is>
      </c>
      <c r="C23" s="1980" t="inlineStr">
        <is>
          <t>Low</t>
        </is>
      </c>
      <c r="D23" s="1980" t="inlineStr">
        <is>
          <t>Base</t>
        </is>
      </c>
      <c r="E23" s="1980" t="inlineStr">
        <is>
          <t>High</t>
        </is>
      </c>
      <c r="F23" s="1963" t="inlineStr">
        <is>
          <t>AKTIF</t>
        </is>
      </c>
      <c r="G23" s="1962" t="inlineStr">
        <is>
          <t>Sumber / benchmark</t>
        </is>
      </c>
    </row>
    <row r="24">
      <c r="A24" s="1361" t="inlineStr">
        <is>
          <t>D1  Kehilangan pangsa order tenant BARU</t>
        </is>
      </c>
      <c r="B24" s="1981">
        <f>B5*B6</f>
        <v/>
      </c>
      <c r="C24" s="1975" t="n">
        <v>0.1</v>
      </c>
      <c r="D24" s="1975" t="n">
        <v>0.15</v>
      </c>
      <c r="E24" s="1975" t="n">
        <v>0.2</v>
      </c>
      <c r="F24" s="1982">
        <f>B24*CHOOSE($B$20,C24,D24,E24)*$B$7</f>
        <v/>
      </c>
      <c r="G24" s="1966" t="inlineStr">
        <is>
          <t>87% pendapatan dari 3 MNO yang jadi pesaing WIFI; alternatif ada (MTEL 39.593, TBIG 23.892 site)</t>
        </is>
      </c>
    </row>
    <row r="25">
      <c r="A25" s="1361" t="inlineStr">
        <is>
          <t>D2  Konsesi harga saat perpanjangan</t>
        </is>
      </c>
      <c r="B25" s="1981">
        <f>B8/B9</f>
        <v/>
      </c>
      <c r="C25" s="1975" t="n">
        <v>0.02</v>
      </c>
      <c r="D25" s="1975" t="n">
        <v>0.025</v>
      </c>
      <c r="E25" s="1975" t="n">
        <v>0.03</v>
      </c>
      <c r="F25" s="1982">
        <f>B25*CHOOSE($B$20,C25,D25,E25)*$B$7</f>
        <v/>
      </c>
      <c r="G25" s="1966" t="inlineStr">
        <is>
          <t>Kontrak 10–13 thn → ±1/11 basis jatuh tempo per tahun; preseden ISAT-Hutch 2022</t>
        </is>
      </c>
    </row>
    <row r="26">
      <c r="A26" s="1361" t="inlineStr">
        <is>
          <t>D3  Churn pelanggan pasca-merger</t>
        </is>
      </c>
      <c r="B26" s="1981">
        <f>B10</f>
        <v/>
      </c>
      <c r="C26" s="1975" t="n">
        <v>0.02</v>
      </c>
      <c r="D26" s="1975" t="n">
        <v>0.035</v>
      </c>
      <c r="E26" s="1975" t="n">
        <v>0.05</v>
      </c>
      <c r="F26" s="1982">
        <f>B26*CHOOSE($B$20,C26,D26,E26)*$B$11</f>
        <v/>
      </c>
      <c r="G26" s="1977" t="inlineStr">
        <is>
          <t>McKinsey: perusahaan merger rata-rata kehilangan 2–5% pelanggan gabungan  ⟵ TRANSISI: hanya tahun 1–3, TANPA terminal value (churn pasca-merger bersifat sementara)</t>
        </is>
      </c>
    </row>
    <row r="27">
      <c r="A27" s="1361" t="inlineStr">
        <is>
          <t>D4  Pembengkakan biaya integrasi (sekali)</t>
        </is>
      </c>
      <c r="B27" s="1981">
        <f>B12</f>
        <v/>
      </c>
      <c r="C27" s="1975" t="n">
        <v>0.2</v>
      </c>
      <c r="D27" s="1975" t="n">
        <v>0.25</v>
      </c>
      <c r="E27" s="1975" t="n">
        <v>0.3</v>
      </c>
      <c r="F27" s="1982">
        <f>B27*CHOOSE($B$20,C27,D27,E27)</f>
        <v/>
      </c>
      <c r="G27" s="1966" t="inlineStr">
        <is>
          <t>59% deal mengalami cost overrun (PMI research)</t>
        </is>
      </c>
    </row>
    <row r="28">
      <c r="A28" s="1361" t="inlineStr">
        <is>
          <t>D5  Atrisi &amp; retensi karyawan kunci (sekali)</t>
        </is>
      </c>
      <c r="B28" s="1981">
        <f>B13</f>
        <v/>
      </c>
      <c r="C28" s="1975" t="n">
        <v>0.2</v>
      </c>
      <c r="D28" s="1975" t="n">
        <v>0.25</v>
      </c>
      <c r="E28" s="1975" t="n">
        <v>0.3</v>
      </c>
      <c r="F28" s="1982">
        <f>B28*CHOOSE($B$20,C28,D28,E28)</f>
        <v/>
      </c>
      <c r="G28" s="1966" t="inlineStr">
        <is>
          <t>Turnover pasca-akuisisi 47% di tahun-1 vs baseline 13%</t>
        </is>
      </c>
    </row>
    <row r="29">
      <c r="A29" s="2082" t="inlineStr">
        <is>
          <t xml:space="preserve">   of which PERMANENT (D1+D2) — structural, carries terminal value</t>
        </is>
      </c>
      <c r="F29" s="2031">
        <f>F24+F25</f>
        <v/>
      </c>
      <c r="G29" s="1966" t="inlineStr">
        <is>
          <t>D1/D2 = konflik neutral-host: berlangsung selama TOWR memiliki WIFI</t>
        </is>
      </c>
    </row>
    <row r="30">
      <c r="A30" s="1983" t="inlineStr">
        <is>
          <t>Subtotal recurring / tahun (D1–D3)</t>
        </is>
      </c>
      <c r="F30" s="1984">
        <f>SUM(F24:F26)</f>
        <v/>
      </c>
    </row>
    <row r="31">
      <c r="A31" s="2073" t="inlineStr">
        <is>
          <t>FEEDS  —  ke mana dissinergi ini mengalir</t>
        </is>
      </c>
    </row>
    <row r="32">
      <c r="A32" s="2076" t="inlineStr">
        <is>
          <t>D1–D3 recurring → Synergy_Schedule r29 · Returns Analysis r22 · Merger-Model r73   (yr1–3 penuh, yr4+ hanya D1–D2)</t>
        </is>
      </c>
      <c r="B32" s="2046" t="n"/>
      <c r="C32" s="2046" t="n"/>
      <c r="D32" s="2046" t="n"/>
      <c r="E32" s="2046" t="n"/>
      <c r="F32" s="2077">
        <f>F30</f>
        <v/>
      </c>
      <c r="G32" s="2046" t="n"/>
    </row>
    <row r="33">
      <c r="A33" s="2076" t="inlineStr">
        <is>
          <t>D4–D5 one-time  →  Returns Analysis value bridge (baris 44)</t>
        </is>
      </c>
      <c r="B33" s="2046" t="n"/>
      <c r="C33" s="2046" t="n"/>
      <c r="D33" s="2046" t="n"/>
      <c r="E33" s="2046" t="n"/>
      <c r="F33" s="2081">
        <f>F27+F28</f>
        <v/>
      </c>
      <c r="G33" s="2046" t="n"/>
    </row>
    <row r="34">
      <c r="A34" s="2046" t="n"/>
      <c r="B34" s="2046" t="n"/>
      <c r="C34" s="2046" t="n"/>
      <c r="D34" s="2046" t="n"/>
      <c r="E34" s="2046" t="n"/>
      <c r="F34" s="2046" t="n"/>
      <c r="G34" s="2046" t="n"/>
    </row>
    <row r="35">
      <c r="A35" s="2076" t="inlineStr">
        <is>
          <t>Hasil akhir (net value creation all-in) ada di Returns Analysis B43 →</t>
        </is>
      </c>
      <c r="F35" s="2078">
        <f>'Returns Analysis'!B43</f>
        <v/>
      </c>
    </row>
    <row r="36">
      <c r="A36" s="2079" t="inlineStr">
        <is>
          <t>Dissinergi kini menyatu di model inti: NPV, IRR, EPS accretion, Football Field, dan M&amp;A_Valuation semua sudah memperhitungkannya.</t>
        </is>
      </c>
      <c r="B36" s="2046" t="n"/>
      <c r="C36" s="2046" t="n"/>
      <c r="D36" s="2046" t="n"/>
      <c r="E36" s="2046" t="n"/>
      <c r="F36" s="2080" t="n"/>
      <c r="G36" s="2046" t="n"/>
    </row>
    <row r="37">
      <c r="A37" s="2079" t="inlineStr">
        <is>
          <t>Perlakuan D3: churn pasca-merger adalah efek TRANSISI (benchmark McKinsey 2–5% terjadi saat integrasi), sehingga tidak diberi terminal value. D1/D2 struktural → perpetuitas.</t>
        </is>
      </c>
      <c r="B37" s="2046" t="n"/>
      <c r="C37" s="2046" t="n"/>
      <c r="D37" s="2046" t="n"/>
      <c r="E37" s="2046" t="n"/>
      <c r="F37" s="2080" t="n"/>
      <c r="G37" s="2046" t="n"/>
    </row>
    <row r="38">
      <c r="A38" s="2048" t="n"/>
      <c r="B38" s="2046" t="n"/>
      <c r="C38" s="2046" t="n"/>
      <c r="D38" s="2046" t="n"/>
      <c r="E38" s="2046" t="n"/>
      <c r="F38" s="2080" t="n"/>
      <c r="G38" s="2046" t="n"/>
    </row>
    <row r="39">
      <c r="A39" s="2046" t="n"/>
      <c r="B39" s="2046" t="n"/>
      <c r="C39" s="2046" t="n"/>
      <c r="D39" s="2046" t="n"/>
      <c r="E39" s="2046" t="n"/>
      <c r="F39" s="2046" t="n"/>
      <c r="G39" s="2046" t="n"/>
    </row>
    <row r="40">
      <c r="A40" s="2056" t="n"/>
    </row>
    <row r="41">
      <c r="A41" s="2048" t="n"/>
      <c r="B41" s="2046" t="n"/>
      <c r="C41" s="2046" t="n"/>
      <c r="D41" s="2046" t="n"/>
      <c r="E41" s="2046" t="n"/>
      <c r="F41" s="2080" t="n"/>
      <c r="G41" s="2046" t="n"/>
    </row>
    <row r="42">
      <c r="A42" s="2048" t="n"/>
      <c r="B42" s="2046" t="n"/>
      <c r="C42" s="2046" t="n"/>
      <c r="D42" s="2046" t="n"/>
      <c r="E42" s="2046" t="n"/>
      <c r="F42" s="2080" t="n"/>
      <c r="G42" s="2046" t="n"/>
    </row>
    <row r="43">
      <c r="A43" s="2048" t="n"/>
      <c r="B43" s="2046" t="n"/>
      <c r="C43" s="2046" t="n"/>
      <c r="D43" s="2046" t="n"/>
      <c r="E43" s="2046" t="n"/>
      <c r="F43" s="2080" t="n"/>
      <c r="G43" s="2046" t="n"/>
    </row>
    <row r="44">
      <c r="A44" s="2046" t="n"/>
      <c r="B44" s="2046" t="n"/>
      <c r="C44" s="2046" t="n"/>
      <c r="D44" s="2046" t="n"/>
      <c r="E44" s="2046" t="n"/>
      <c r="F44" s="2080" t="n"/>
      <c r="G44" s="2046" t="n"/>
    </row>
    <row r="46">
      <c r="A46" s="1959" t="inlineStr">
        <is>
          <t>Sumber</t>
        </is>
      </c>
    </row>
    <row r="47">
      <c r="A47" s="1966" t="inlineStr">
        <is>
          <t>•  SMN (TOWR) Annual Report &amp; Laporan Keuangan Auditan 2025 — konsentrasi pelanggan 87%, 36.247 menara / 60.540 tenant, tenor sewa 10–13 thn</t>
        </is>
      </c>
    </row>
    <row r="48">
      <c r="A48" s="1966" t="inlineStr">
        <is>
          <t>•  PT Solusi Sinergi Digital (WIFI/Surge) Annual Report 2025 — pendapatan &amp; SG&amp;A</t>
        </is>
      </c>
    </row>
    <row r="49">
      <c r="A49" s="1966" t="inlineStr">
        <is>
          <t>•  McKinsey (via Transacted, "Dis-Synergies in M&amp;A") — merger rata-rata kehilangan 2–5% pelanggan gabungan</t>
        </is>
      </c>
    </row>
    <row r="50">
      <c r="A50" s="1966" t="inlineStr">
        <is>
          <t>•  PMI Stack, Post-Merger Integration Statistics — 59% deal cost overrun; turnover 47% tahun-1</t>
        </is>
      </c>
    </row>
    <row r="51">
      <c r="A51" s="1966" t="inlineStr">
        <is>
          <t>•  Avrist AM, Indonesian Tower Sector — MTEL 39.593 / TOWR 35.506 / TBIG 23.892 site; preseden merger ISAT-Hutch 2022</t>
        </is>
      </c>
    </row>
    <row r="52">
      <c r="A52" s="1966" t="inlineStr">
        <is>
          <t>•  Light Reading — konflik kepentingan towerco terintegrasi vertikal (Orange/Totem–Iliad; Vodafone/Vantage–1&amp;1)</t>
        </is>
      </c>
    </row>
    <row r="54">
      <c r="A54" s="1970" t="inlineStr">
        <is>
          <t>Legend:</t>
        </is>
      </c>
      <c r="B54" s="1971" t="inlineStr">
        <is>
          <t>Biru = input</t>
        </is>
      </c>
      <c r="C54" s="1972" t="inlineStr">
        <is>
          <t>Hijau = link</t>
        </is>
      </c>
      <c r="F54" s="1896" t="inlineStr">
        <is>
          <t>Hitam = rumus</t>
        </is>
      </c>
    </row>
  </sheetData>
  <mergeCells count="6">
    <mergeCell ref="A1:G1"/>
    <mergeCell ref="A31:G31"/>
    <mergeCell ref="A22:G22"/>
    <mergeCell ref="A4:G4"/>
    <mergeCell ref="A16:G16"/>
    <mergeCell ref="A46:G4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X60"/>
  <sheetViews>
    <sheetView topLeftCell="A14" zoomScale="70" zoomScaleNormal="70" workbookViewId="0">
      <selection activeCell="G17" sqref="G17"/>
    </sheetView>
  </sheetViews>
  <sheetFormatPr baseColWidth="8" defaultColWidth="10.5703125" defaultRowHeight="14.25"/>
  <cols>
    <col width="18.5703125" customWidth="1" min="2" max="2"/>
    <col width="26.140625" customWidth="1" min="3" max="3"/>
    <col width="16.28515625" customWidth="1" min="4" max="4"/>
    <col width="16" customWidth="1" min="5" max="5"/>
    <col width="17.42578125" customWidth="1" min="6" max="6"/>
    <col width="23.28515625" customWidth="1" min="7" max="8"/>
    <col width="9" customWidth="1" min="9" max="9"/>
    <col width="16.28515625" customWidth="1" min="10" max="10"/>
    <col width="46.85546875" customWidth="1" min="17" max="17"/>
    <col width="107.42578125" customWidth="1" min="18" max="18"/>
    <col width="48.140625" customWidth="1" min="19" max="19"/>
    <col width="34.140625" customWidth="1" min="20" max="20"/>
    <col width="32.140625" customWidth="1" min="21" max="21"/>
  </cols>
  <sheetData>
    <row r="1" ht="15" customHeight="1"/>
    <row r="2" ht="15" customHeight="1">
      <c r="B2" s="1500" t="inlineStr">
        <is>
          <t>TOWR Financial Ratio</t>
        </is>
      </c>
      <c r="C2" s="1067" t="n"/>
      <c r="D2" s="1501" t="n">
        <v>2021</v>
      </c>
      <c r="E2" s="1501" t="n">
        <v>2022</v>
      </c>
      <c r="F2" s="1501" t="n">
        <v>2023</v>
      </c>
      <c r="G2" s="1501" t="n">
        <v>2024</v>
      </c>
      <c r="H2" s="1502" t="n">
        <v>2025</v>
      </c>
      <c r="J2" s="1503" t="inlineStr">
        <is>
          <t>DuPont Analysis</t>
        </is>
      </c>
      <c r="K2" s="1501" t="n">
        <v>2021</v>
      </c>
      <c r="L2" s="1501" t="n">
        <v>2022</v>
      </c>
      <c r="M2" s="1501" t="n">
        <v>2023</v>
      </c>
      <c r="N2" s="1501" t="n">
        <v>2024</v>
      </c>
      <c r="O2" s="1502" t="n">
        <v>2025</v>
      </c>
      <c r="Q2" s="1371" t="inlineStr">
        <is>
          <t>M&amp;A Operating KPI/Peer Benchmark (latest disclosed)</t>
        </is>
      </c>
      <c r="R2" s="1371" t="inlineStr">
        <is>
          <t>TOWR</t>
        </is>
      </c>
      <c r="S2" s="1371" t="inlineStr">
        <is>
          <t>WIFI</t>
        </is>
      </c>
      <c r="T2" s="1371" t="inlineStr">
        <is>
          <t>TBIG</t>
        </is>
      </c>
      <c r="U2" s="1371" t="inlineStr">
        <is>
          <t>Source/Period</t>
        </is>
      </c>
      <c r="W2" s="100" t="n"/>
      <c r="X2" s="100" t="n"/>
    </row>
    <row r="3" ht="14.25" customHeight="1">
      <c r="B3" s="1504" t="inlineStr">
        <is>
          <t>Growth &amp; Scale</t>
        </is>
      </c>
      <c r="C3" s="1505" t="inlineStr">
        <is>
          <t>Revenue</t>
        </is>
      </c>
      <c r="D3" s="1506">
        <f>'SOURCE TOWR Income Statemen (2)'!C21/1000000</f>
        <v/>
      </c>
      <c r="E3" s="1506">
        <f>'SOURCE TOWR Income Statemen (2)'!D21/1000000</f>
        <v/>
      </c>
      <c r="F3" s="1506">
        <f>'SOURCE TOWR Income Statemen (2)'!E21/1000000</f>
        <v/>
      </c>
      <c r="G3" s="1506">
        <f>'SOURCE TOWR Income Statemen (2)'!F21/1000000</f>
        <v/>
      </c>
      <c r="H3" s="1507">
        <f>'SOURCE TOWR Income Statemen (2)'!G21/1000000</f>
        <v/>
      </c>
      <c r="J3" s="1508" t="inlineStr">
        <is>
          <t>NPM</t>
        </is>
      </c>
      <c r="K3" s="1259">
        <f>'SOURCE TOWR Income Statemen (2)'!C198/'SOURCE TOWR Income Statemen (2)'!C21</f>
        <v/>
      </c>
      <c r="L3" s="1259">
        <f>'SOURCE TOWR Income Statemen (2)'!D198/'SOURCE TOWR Income Statemen (2)'!D21</f>
        <v/>
      </c>
      <c r="M3" s="1259">
        <f>'SOURCE TOWR Income Statemen (2)'!E198/'SOURCE TOWR Income Statemen (2)'!E21</f>
        <v/>
      </c>
      <c r="N3" s="1259">
        <f>'SOURCE TOWR Income Statemen (2)'!F198/'SOURCE TOWR Income Statemen (2)'!F21</f>
        <v/>
      </c>
      <c r="O3" s="1509">
        <f>'SOURCE TOWR Income Statemen (2)'!G198/'SOURCE TOWR Income Statemen (2)'!G21</f>
        <v/>
      </c>
      <c r="Q3" s="1252" t="inlineStr">
        <is>
          <t>Tower/network scale</t>
        </is>
      </c>
      <c r="R3" s="1252" t="inlineStr">
        <is>
          <t>36,049 tower sites + ~170,500 km fiber</t>
        </is>
      </c>
      <c r="S3" s="1252" t="inlineStr">
        <is>
          <t>2.5m HomePass; 1.5m HomeConnect</t>
        </is>
      </c>
      <c r="T3" s="1252" t="inlineStr">
        <is>
          <t>24,321 sites; 24,212 towers + 109 DAS</t>
        </is>
      </c>
      <c r="U3" s="1252" t="inlineStr">
        <is>
          <t>TOWR 3Q25/WIFI FY25/TBIG FY25</t>
        </is>
      </c>
    </row>
    <row r="4" ht="14.25" customHeight="1">
      <c r="B4" s="294" t="n"/>
      <c r="C4" s="1510" t="inlineStr">
        <is>
          <t>Revenue Growth</t>
        </is>
      </c>
      <c r="D4" s="1070" t="n"/>
      <c r="E4" s="1511">
        <f>E3/D3-1</f>
        <v/>
      </c>
      <c r="F4" s="1511">
        <f>F3/E3-1</f>
        <v/>
      </c>
      <c r="G4" s="1511">
        <f>G3/F3-1</f>
        <v/>
      </c>
      <c r="H4" s="1512">
        <f>H3/G3-1</f>
        <v/>
      </c>
      <c r="J4" s="1508" t="inlineStr">
        <is>
          <t>Asset Turnover</t>
        </is>
      </c>
      <c r="K4" s="1513">
        <f>'SOURCE TOWR Income Statemen (2)'!C21/('SOURCE TOWR Balance Sheet (2)'!C167)</f>
        <v/>
      </c>
      <c r="L4" s="1513">
        <f>'SOURCE TOWR Income Statemen (2)'!D21/('SOURCE TOWR Balance Sheet (2)'!D167)</f>
        <v/>
      </c>
      <c r="M4" s="1513">
        <f>'SOURCE TOWR Income Statemen (2)'!E21/('SOURCE TOWR Balance Sheet (2)'!E167)</f>
        <v/>
      </c>
      <c r="N4" s="1513">
        <f>'SOURCE TOWR Income Statemen (2)'!F21/('SOURCE TOWR Balance Sheet (2)'!F167)</f>
        <v/>
      </c>
      <c r="O4" s="1514">
        <f>'SOURCE TOWR Income Statemen (2)'!G21/('SOURCE TOWR Balance Sheet (2)'!G167)</f>
        <v/>
      </c>
      <c r="Q4" s="1252" t="inlineStr">
        <is>
          <t>Tenancy/utilization</t>
        </is>
      </c>
      <c r="R4" s="1252" t="inlineStr">
        <is>
          <t>~1.64x tenancy (FY24); latest company disclosure</t>
        </is>
      </c>
      <c r="S4" s="1252" t="inlineStr">
        <is>
          <t>~60% FTTH take-up</t>
        </is>
      </c>
      <c r="T4" s="1252" t="inlineStr">
        <is>
          <t>1.73x tenancy</t>
        </is>
      </c>
      <c r="U4" s="1252" t="inlineStr">
        <is>
          <t>Official company disclosures</t>
        </is>
      </c>
    </row>
    <row r="5" ht="14.25" customHeight="1">
      <c r="B5" s="294" t="n"/>
      <c r="C5" s="1510" t="inlineStr">
        <is>
          <t>EBITDA</t>
        </is>
      </c>
      <c r="D5" s="1515">
        <f>'SOURCE TOWR Income Statemen (2)'!C277/1000000</f>
        <v/>
      </c>
      <c r="E5" s="1515">
        <f>'SOURCE TOWR Income Statemen (2)'!D277/1000000</f>
        <v/>
      </c>
      <c r="F5" s="1515">
        <f>'SOURCE TOWR Income Statemen (2)'!E277/1000000</f>
        <v/>
      </c>
      <c r="G5" s="1515">
        <f>'SOURCE TOWR Income Statemen (2)'!F277/1000000</f>
        <v/>
      </c>
      <c r="H5" s="1516">
        <f>'SOURCE TOWR Income Statemen (2)'!G277/1000000</f>
        <v/>
      </c>
      <c r="J5" s="1508" t="inlineStr">
        <is>
          <t>Equity Multiplier</t>
        </is>
      </c>
      <c r="K5" s="1513">
        <f>'SOURCE TOWR Balance Sheet (2)'!C167/('SOURCE TOWR Balance Sheet (2)'!C271)</f>
        <v/>
      </c>
      <c r="L5" s="1513">
        <f>'SOURCE TOWR Balance Sheet (2)'!D167/('SOURCE TOWR Balance Sheet (2)'!D271)</f>
        <v/>
      </c>
      <c r="M5" s="1513">
        <f>'SOURCE TOWR Balance Sheet (2)'!E167/('SOURCE TOWR Balance Sheet (2)'!E271)</f>
        <v/>
      </c>
      <c r="N5" s="1513">
        <f>'SOURCE TOWR Balance Sheet (2)'!F167/('SOURCE TOWR Balance Sheet (2)'!F271)</f>
        <v/>
      </c>
      <c r="O5" s="1514">
        <f>'SOURCE TOWR Balance Sheet (2)'!G167/('SOURCE TOWR Balance Sheet (2)'!G271)</f>
        <v/>
      </c>
      <c r="Q5" s="1252" t="inlineStr">
        <is>
          <t>Fiber/connectivity</t>
        </is>
      </c>
      <c r="R5" s="1252" t="inlineStr">
        <is>
          <t>~170,500 km fiber</t>
        </is>
      </c>
      <c r="S5" s="1252" t="inlineStr">
        <is>
          <t>FTTH revenue Rp541.06bn</t>
        </is>
      </c>
      <c r="T5" s="1252" t="inlineStr">
        <is>
          <t>N/A</t>
        </is>
      </c>
      <c r="U5" s="1252" t="inlineStr">
        <is>
          <t>Official company disclosures</t>
        </is>
      </c>
    </row>
    <row r="6" ht="15" customHeight="1">
      <c r="B6" s="294" t="n"/>
      <c r="C6" s="1510" t="inlineStr">
        <is>
          <t>EBITDA Growth</t>
        </is>
      </c>
      <c r="D6" s="1070" t="n"/>
      <c r="E6" s="1511">
        <f>E5/D5-1</f>
        <v/>
      </c>
      <c r="F6" s="1511">
        <f>F5/E5-1</f>
        <v/>
      </c>
      <c r="G6" s="1511">
        <f>G5/F5-1</f>
        <v/>
      </c>
      <c r="H6" s="1512">
        <f>H5/G5-1</f>
        <v/>
      </c>
      <c r="J6" s="1517" t="inlineStr">
        <is>
          <t>ROE</t>
        </is>
      </c>
      <c r="K6" s="1518">
        <f>K3*K4*K5</f>
        <v/>
      </c>
      <c r="L6" s="1518">
        <f>L3*L4*L5</f>
        <v/>
      </c>
      <c r="M6" s="1518">
        <f>M3*M4*M5</f>
        <v/>
      </c>
      <c r="N6" s="1518">
        <f>N3*N4*N5</f>
        <v/>
      </c>
      <c r="O6" s="1519">
        <f>O3*O4*O5</f>
        <v/>
      </c>
      <c r="Q6" s="1252" t="inlineStr">
        <is>
          <t>M&amp;A interpretation</t>
        </is>
      </c>
      <c r="R6" s="1252" t="inlineStr">
        <is>
          <t>Large tower + fiber scale; recurring contracted infrastructure</t>
        </is>
      </c>
      <c r="S6" s="1252" t="inlineStr">
        <is>
          <t>High-growth fiber connectivity platform with strong take-up</t>
        </is>
      </c>
      <c r="T6" s="1252" t="inlineStr">
        <is>
          <t>Domestic tower peer benchmark</t>
        </is>
      </c>
      <c r="U6" s="1252" t="inlineStr">
        <is>
          <t>Analyst interpretation</t>
        </is>
      </c>
    </row>
    <row r="7" ht="14.25" customHeight="1">
      <c r="B7" s="294" t="n"/>
      <c r="C7" s="1510" t="inlineStr">
        <is>
          <t>EBITDA Margin</t>
        </is>
      </c>
      <c r="D7" s="1511">
        <f>D5/D3</f>
        <v/>
      </c>
      <c r="E7" s="1511">
        <f>E5/E3</f>
        <v/>
      </c>
      <c r="F7" s="1511">
        <f>F5/F3</f>
        <v/>
      </c>
      <c r="G7" s="1511">
        <f>G5/G3</f>
        <v/>
      </c>
      <c r="H7" s="1512">
        <f>H5/H3</f>
        <v/>
      </c>
      <c r="Q7" s="1252" t="inlineStr">
        <is>
          <t>TOWR source URL</t>
        </is>
      </c>
      <c r="R7" s="1252" t="inlineStr">
        <is>
          <t>https://www.ptsmn.co.id/about-us/company-profile</t>
        </is>
      </c>
      <c r="U7" s="1252" t="inlineStr">
        <is>
          <t>TOWR 3Q25 company profile</t>
        </is>
      </c>
    </row>
    <row r="8" ht="15" customHeight="1">
      <c r="B8" s="304" t="n"/>
      <c r="C8" s="1510" t="inlineStr">
        <is>
          <t>Net Income Margin</t>
        </is>
      </c>
      <c r="D8" s="1520">
        <f>'SOURCE TOWR Income Statemen (2)'!C198/'SOURCE TOWR Income Statemen (2)'!C21</f>
        <v/>
      </c>
      <c r="E8" s="1520">
        <f>'SOURCE TOWR Income Statemen (2)'!D198/'SOURCE TOWR Income Statemen (2)'!D21</f>
        <v/>
      </c>
      <c r="F8" s="1520">
        <f>'SOURCE TOWR Income Statemen (2)'!E198/'SOURCE TOWR Income Statemen (2)'!E21</f>
        <v/>
      </c>
      <c r="G8" s="1520">
        <f>'SOURCE TOWR Income Statemen (2)'!F198/'SOURCE TOWR Income Statemen (2)'!F21</f>
        <v/>
      </c>
      <c r="H8" s="1521">
        <f>'SOURCE TOWR Income Statemen (2)'!G198/'SOURCE TOWR Income Statemen (2)'!G21</f>
        <v/>
      </c>
      <c r="Q8" s="1252" t="inlineStr">
        <is>
          <t>WIFI source URL</t>
        </is>
      </c>
      <c r="R8" s="1252" t="inlineStr">
        <is>
          <t>https://surge.co.id/pdf/Investor%20Relations/Annual%20Report%202025/Surge-AR_2025_020626.pdf</t>
        </is>
      </c>
      <c r="U8" s="1252" t="inlineStr">
        <is>
          <t>WIFI FY2025 Annual Report</t>
        </is>
      </c>
    </row>
    <row r="9" ht="15.75" customHeight="1">
      <c r="B9" s="1504" t="inlineStr">
        <is>
          <t>Cash Flow &amp; Capital Intensity</t>
        </is>
      </c>
      <c r="C9" s="1505" t="inlineStr">
        <is>
          <t>D&amp;A</t>
        </is>
      </c>
      <c r="D9" s="1506">
        <f>'SOURCE TOWR Income Statemen (2)'!C295/1000000</f>
        <v/>
      </c>
      <c r="E9" s="1506">
        <f>'SOURCE TOWR Income Statemen (2)'!D295/1000000</f>
        <v/>
      </c>
      <c r="F9" s="1506">
        <f>'SOURCE TOWR Income Statemen (2)'!E295/1000000</f>
        <v/>
      </c>
      <c r="G9" s="1506">
        <f>'SOURCE TOWR Income Statemen (2)'!F295/1000000</f>
        <v/>
      </c>
      <c r="H9" s="1507">
        <f>'SOURCE TOWR Income Statemen (2)'!G295/1000000</f>
        <v/>
      </c>
      <c r="Q9" s="1252" t="inlineStr">
        <is>
          <t>TBIG source URL</t>
        </is>
      </c>
      <c r="R9" s="1252" t="inlineStr">
        <is>
          <t>https://www.tower-bersama.com/en/news/pt-tower-bersama-infrastructuretbk-tbig-announces-its-full-year-2025-financial-performance</t>
        </is>
      </c>
      <c r="U9" s="1252" t="inlineStr">
        <is>
          <t>TBIG FY2025 official release</t>
        </is>
      </c>
    </row>
    <row r="10" ht="14.25" customHeight="1">
      <c r="B10" s="294" t="n"/>
      <c r="C10" s="1510" t="inlineStr">
        <is>
          <t>CapEx</t>
        </is>
      </c>
      <c r="D10" s="1515">
        <f>MAX(0,('SOURCE TOWR Balance Sheet (2)'!C71-'SOURCE TOWR Balance Sheet (2)'!B71)/1000000+D9)</f>
        <v/>
      </c>
      <c r="E10" s="1515">
        <f>MAX(0,('SOURCE TOWR Balance Sheet (2)'!D71-'SOURCE TOWR Balance Sheet (2)'!C71)/1000000+E9)</f>
        <v/>
      </c>
      <c r="F10" s="1515">
        <f>MAX(0,('SOURCE TOWR Balance Sheet (2)'!E71-'SOURCE TOWR Balance Sheet (2)'!D71)/1000000+F9)</f>
        <v/>
      </c>
      <c r="G10" s="1515">
        <f>MAX(0,('SOURCE TOWR Balance Sheet (2)'!F71-'SOURCE TOWR Balance Sheet (2)'!E71)/1000000+G9)</f>
        <v/>
      </c>
      <c r="H10" s="1516">
        <f>MAX(0,('SOURCE TOWR Balance Sheet (2)'!G71-'SOURCE TOWR Balance Sheet (2)'!F71)/1000000+H9)</f>
        <v/>
      </c>
    </row>
    <row r="11" ht="14.25" customHeight="1">
      <c r="B11" s="294" t="n"/>
      <c r="C11" s="1510" t="inlineStr">
        <is>
          <t>CapEx/Revenue</t>
        </is>
      </c>
      <c r="D11" s="1511">
        <f>D10/D3</f>
        <v/>
      </c>
      <c r="E11" s="1511">
        <f>E10/E3</f>
        <v/>
      </c>
      <c r="F11" s="1511">
        <f>F10/F3</f>
        <v/>
      </c>
      <c r="G11" s="1511">
        <f>G10/G3</f>
        <v/>
      </c>
      <c r="H11" s="1512">
        <f>H10/H3</f>
        <v/>
      </c>
    </row>
    <row r="12" ht="14.25" customHeight="1">
      <c r="B12" s="294" t="n"/>
      <c r="C12" s="1510" t="inlineStr">
        <is>
          <t>FCF Proxy</t>
        </is>
      </c>
      <c r="D12" s="1522">
        <f>D5-D10</f>
        <v/>
      </c>
      <c r="E12" s="1522">
        <f>E5-E10</f>
        <v/>
      </c>
      <c r="F12" s="1522">
        <f>F5-F10</f>
        <v/>
      </c>
      <c r="G12" s="1522">
        <f>G5-G10</f>
        <v/>
      </c>
      <c r="H12" s="1523">
        <f>H5-H10</f>
        <v/>
      </c>
    </row>
    <row r="13" ht="14.25" customHeight="1">
      <c r="B13" s="294" t="n"/>
      <c r="C13" s="1510" t="inlineStr">
        <is>
          <t>FCF Margin</t>
        </is>
      </c>
      <c r="D13" s="1511">
        <f>D12/D3</f>
        <v/>
      </c>
      <c r="E13" s="1511">
        <f>E12/E3</f>
        <v/>
      </c>
      <c r="F13" s="1511">
        <f>F12/F3</f>
        <v/>
      </c>
      <c r="G13" s="1511">
        <f>G12/G3</f>
        <v/>
      </c>
      <c r="H13" s="1512">
        <f>H12/H3</f>
        <v/>
      </c>
    </row>
    <row r="14" ht="15" customHeight="1">
      <c r="B14" s="304" t="n"/>
      <c r="C14" s="1510" t="inlineStr">
        <is>
          <t>FCF/EBITDA</t>
        </is>
      </c>
      <c r="D14" s="1511">
        <f>D12/D5</f>
        <v/>
      </c>
      <c r="E14" s="1511">
        <f>E12/E5</f>
        <v/>
      </c>
      <c r="F14" s="1511">
        <f>F12/F5</f>
        <v/>
      </c>
      <c r="G14" s="1511">
        <f>G12/G5</f>
        <v/>
      </c>
      <c r="H14" s="1512">
        <f>H12/H5</f>
        <v/>
      </c>
    </row>
    <row r="15" ht="14.25" customHeight="1">
      <c r="B15" s="1504" t="inlineStr">
        <is>
          <t>Leverage &amp; Financial Capacity</t>
        </is>
      </c>
      <c r="C15" s="1505" t="inlineStr">
        <is>
          <t>Total Debt</t>
        </is>
      </c>
      <c r="D15" s="1506">
        <f>('SOURCE TOWR Balance Sheet (2)'!C172+'SOURCE TOWR Balance Sheet (2)'!C198)/1000000</f>
        <v/>
      </c>
      <c r="E15" s="1506">
        <f>('SOURCE TOWR Balance Sheet (2)'!D172+'SOURCE TOWR Balance Sheet (2)'!D198)/1000000</f>
        <v/>
      </c>
      <c r="F15" s="1506">
        <f>('SOURCE TOWR Balance Sheet (2)'!E172+'SOURCE TOWR Balance Sheet (2)'!E198)/1000000</f>
        <v/>
      </c>
      <c r="G15" s="1506">
        <f>('SOURCE TOWR Balance Sheet (2)'!F172+'SOURCE TOWR Balance Sheet (2)'!F198)/1000000</f>
        <v/>
      </c>
      <c r="H15" s="1507">
        <f>('SOURCE TOWR Balance Sheet (2)'!G172+'SOURCE TOWR Balance Sheet (2)'!G198)/1000000</f>
        <v/>
      </c>
    </row>
    <row r="16" ht="14.25" customHeight="1">
      <c r="B16" s="294" t="n"/>
      <c r="C16" s="1510" t="inlineStr">
        <is>
          <t>Cash</t>
        </is>
      </c>
      <c r="D16" s="1515">
        <f>'SOURCE TOWR Balance Sheet (2)'!C21/1000000</f>
        <v/>
      </c>
      <c r="E16" s="1515">
        <f>'SOURCE TOWR Balance Sheet (2)'!D21/1000000</f>
        <v/>
      </c>
      <c r="F16" s="1515">
        <f>'SOURCE TOWR Balance Sheet (2)'!E21/1000000</f>
        <v/>
      </c>
      <c r="G16" s="1515">
        <f>'SOURCE TOWR Balance Sheet (2)'!F21/1000000</f>
        <v/>
      </c>
      <c r="H16" s="1516">
        <f>'SOURCE TOWR Balance Sheet (2)'!G21/1000000</f>
        <v/>
      </c>
    </row>
    <row r="17" ht="15" customHeight="1">
      <c r="B17" s="294" t="n"/>
      <c r="C17" s="1510" t="inlineStr">
        <is>
          <t>Net Debt/(Net Cash)</t>
        </is>
      </c>
      <c r="D17" s="1522">
        <f>D15-D16</f>
        <v/>
      </c>
      <c r="E17" s="1522">
        <f>E15-E16</f>
        <v/>
      </c>
      <c r="F17" s="1522">
        <f>F15-F16</f>
        <v/>
      </c>
      <c r="G17" s="1522">
        <f>G15-G16</f>
        <v/>
      </c>
      <c r="H17" s="1523">
        <f>H15-H16</f>
        <v/>
      </c>
    </row>
    <row r="18" ht="14.25" customHeight="1">
      <c r="B18" s="294" t="n"/>
      <c r="C18" s="1510" t="inlineStr">
        <is>
          <t>Debt/Equity</t>
        </is>
      </c>
      <c r="D18" s="1524">
        <f>D15/('SOURCE TOWR Balance Sheet (2)'!C271/1000000)</f>
        <v/>
      </c>
      <c r="E18" s="1524">
        <f>E15/('SOURCE TOWR Balance Sheet (2)'!D271/1000000)</f>
        <v/>
      </c>
      <c r="F18" s="1524">
        <f>F15/('SOURCE TOWR Balance Sheet (2)'!E271/1000000)</f>
        <v/>
      </c>
      <c r="G18" s="1524">
        <f>G15/('SOURCE TOWR Balance Sheet (2)'!F271/1000000)</f>
        <v/>
      </c>
      <c r="H18" s="1525">
        <f>H15/('SOURCE TOWR Balance Sheet (2)'!G271/1000000)</f>
        <v/>
      </c>
    </row>
    <row r="19" ht="14.25" customHeight="1">
      <c r="B19" s="294" t="n"/>
      <c r="C19" s="1510" t="inlineStr">
        <is>
          <t>Net Debt/EBITDA</t>
        </is>
      </c>
      <c r="D19" s="1526">
        <f>D17/D5</f>
        <v/>
      </c>
      <c r="E19" s="1526">
        <f>E17/E5</f>
        <v/>
      </c>
      <c r="F19" s="1526">
        <f>F17/F5</f>
        <v/>
      </c>
      <c r="G19" s="1526">
        <f>G17/G5</f>
        <v/>
      </c>
      <c r="H19" s="1527">
        <f>H17/H5</f>
        <v/>
      </c>
    </row>
    <row r="20" ht="14.25" customHeight="1">
      <c r="B20" s="294" t="n"/>
      <c r="C20" s="1510" t="inlineStr">
        <is>
          <t>EBITDA/Interest Expense</t>
        </is>
      </c>
      <c r="D20" s="1524">
        <f>D5/ABS('SOURCE TOWR Income Statemen (2)'!C93/1000000)</f>
        <v/>
      </c>
      <c r="E20" s="1524">
        <f>E5/ABS('SOURCE TOWR Income Statemen (2)'!D93/1000000)</f>
        <v/>
      </c>
      <c r="F20" s="1524">
        <f>F5/ABS('SOURCE TOWR Income Statemen (2)'!E93/1000000)</f>
        <v/>
      </c>
      <c r="G20" s="1524">
        <f>G5/ABS('SOURCE TOWR Income Statemen (2)'!F93/1000000)</f>
        <v/>
      </c>
      <c r="H20" s="1525">
        <f>H5/ABS('SOURCE TOWR Income Statemen (2)'!G93/1000000)</f>
        <v/>
      </c>
    </row>
    <row r="21" ht="14.25" customHeight="1">
      <c r="B21" s="294" t="n"/>
      <c r="C21" s="1510" t="inlineStr">
        <is>
          <t>Current Ratio</t>
        </is>
      </c>
      <c r="D21" s="1524">
        <f>'SOURCE TOWR Balance Sheet (2)'!C53/('SOURCE TOWR Balance Sheet (2)'!C193)</f>
        <v/>
      </c>
      <c r="E21" s="1524">
        <f>'SOURCE TOWR Balance Sheet (2)'!D53/('SOURCE TOWR Balance Sheet (2)'!D193)</f>
        <v/>
      </c>
      <c r="F21" s="1524">
        <f>'SOURCE TOWR Balance Sheet (2)'!E53/('SOURCE TOWR Balance Sheet (2)'!E193)</f>
        <v/>
      </c>
      <c r="G21" s="1524">
        <f>'SOURCE TOWR Balance Sheet (2)'!F53/('SOURCE TOWR Balance Sheet (2)'!F193)</f>
        <v/>
      </c>
      <c r="H21" s="1525">
        <f>'SOURCE TOWR Balance Sheet (2)'!G53/('SOURCE TOWR Balance Sheet (2)'!G193)</f>
        <v/>
      </c>
    </row>
    <row r="22" ht="15" customHeight="1">
      <c r="B22" s="304" t="n"/>
      <c r="C22" s="1510" t="inlineStr">
        <is>
          <t>Cash Ratio</t>
        </is>
      </c>
      <c r="D22" s="1524">
        <f>('SOURCE TOWR Balance Sheet (2)'!C21)/('SOURCE TOWR Balance Sheet (2)'!C193)</f>
        <v/>
      </c>
      <c r="E22" s="1524">
        <f>('SOURCE TOWR Balance Sheet (2)'!D21)/('SOURCE TOWR Balance Sheet (2)'!D193)</f>
        <v/>
      </c>
      <c r="F22" s="1524">
        <f>('SOURCE TOWR Balance Sheet (2)'!E21)/('SOURCE TOWR Balance Sheet (2)'!E193)</f>
        <v/>
      </c>
      <c r="G22" s="1524">
        <f>('SOURCE TOWR Balance Sheet (2)'!F21)/('SOURCE TOWR Balance Sheet (2)'!F193)</f>
        <v/>
      </c>
      <c r="H22" s="1525">
        <f>('SOURCE TOWR Balance Sheet (2)'!G21)/('SOURCE TOWR Balance Sheet (2)'!G193)</f>
        <v/>
      </c>
    </row>
    <row r="23" ht="15.75" customHeight="1">
      <c r="B23" s="1504" t="inlineStr">
        <is>
          <t>Telecom Infrastructure Operating Drivers</t>
        </is>
      </c>
      <c r="C23" s="1505" t="inlineStr">
        <is>
          <t>Network/Asset Scale</t>
        </is>
      </c>
      <c r="D23" s="1528" t="n">
        <v>28702</v>
      </c>
      <c r="E23" s="1528" t="n">
        <v>29799</v>
      </c>
      <c r="F23" s="1528" t="n">
        <v>30558</v>
      </c>
      <c r="G23" s="1528" t="n">
        <v>35400</v>
      </c>
      <c r="H23" s="1529" t="n">
        <v>36049</v>
      </c>
    </row>
    <row r="24" ht="14.25" customHeight="1">
      <c r="B24" s="294" t="n"/>
      <c r="C24" s="1510" t="inlineStr">
        <is>
          <t>Customer/Tenant Scale</t>
        </is>
      </c>
      <c r="D24" s="1530" t="n">
        <v>53975</v>
      </c>
      <c r="E24" s="1530" t="n">
        <v>53967</v>
      </c>
      <c r="F24" s="1530" t="n">
        <v>54284</v>
      </c>
      <c r="G24" s="1530" t="n">
        <v>58035</v>
      </c>
      <c r="H24" s="1531" t="n">
        <v>58035</v>
      </c>
    </row>
    <row r="25" ht="15.75" customHeight="1">
      <c r="B25" s="294" t="n"/>
      <c r="C25" s="1510" t="inlineStr">
        <is>
          <t>Utilization</t>
        </is>
      </c>
      <c r="D25" s="1532" t="n">
        <v>1.88053097345133</v>
      </c>
      <c r="E25" s="1532" t="n">
        <v>1.811033927313</v>
      </c>
      <c r="F25" s="1532" t="n">
        <v>1.77642515871458</v>
      </c>
      <c r="G25" s="1532" t="n">
        <v>1.63940677966102</v>
      </c>
      <c r="H25" s="1533" t="n">
        <v>1.60989209132015</v>
      </c>
    </row>
    <row r="26" ht="14.25" customHeight="1">
      <c r="B26" s="294" t="n"/>
      <c r="C26" s="1510" t="inlineStr">
        <is>
          <t>Primary Connectivity Revenue</t>
        </is>
      </c>
      <c r="D26" s="1530" t="n">
        <v>7101273000</v>
      </c>
      <c r="E26" s="1530" t="n">
        <v>8605930000</v>
      </c>
      <c r="F26" s="1530" t="n">
        <v>8346311000</v>
      </c>
      <c r="G26" s="1530" t="n">
        <v>8523045000</v>
      </c>
      <c r="H26" s="1531" t="n">
        <v>8725566000</v>
      </c>
    </row>
    <row r="27" ht="14.25" customHeight="1">
      <c r="B27" s="294" t="n"/>
      <c r="C27" s="1510" t="inlineStr">
        <is>
          <t>Asset/Customer Growth</t>
        </is>
      </c>
      <c r="D27" s="1534" t="inlineStr">
        <is>
          <t>-</t>
        </is>
      </c>
      <c r="E27" s="1534">
        <f>IFERROR(E23/D23-1,0)</f>
        <v/>
      </c>
      <c r="F27" s="1534">
        <f>IFERROR(F23/E23-1,0)</f>
        <v/>
      </c>
      <c r="G27" s="1534">
        <f>IFERROR(G23/F23-1,0)</f>
        <v/>
      </c>
      <c r="H27" s="1535">
        <f>IFERROR(H23/G23-1,0)</f>
        <v/>
      </c>
    </row>
    <row r="28" ht="14.25" customHeight="1">
      <c r="B28" s="294" t="n"/>
      <c r="C28" s="1510" t="inlineStr">
        <is>
          <t>Unit Economics</t>
        </is>
      </c>
      <c r="D28" s="1389">
        <f>IFERROR(D26/D23/1000,0)</f>
        <v/>
      </c>
      <c r="E28" s="1389">
        <f>IFERROR(E26/E23/1000,0)</f>
        <v/>
      </c>
      <c r="F28" s="1389">
        <f>IFERROR(F26/F23/1000,0)</f>
        <v/>
      </c>
      <c r="G28" s="1389">
        <f>IFERROR(G26/G23/1000,0)</f>
        <v/>
      </c>
      <c r="H28" s="1536">
        <f>IFERROR(H26/H23/1000,0)</f>
        <v/>
      </c>
    </row>
    <row r="29" ht="15" customHeight="1">
      <c r="B29" s="304" t="n"/>
      <c r="C29" s="1537" t="inlineStr">
        <is>
          <t>Backbone/Network Scale</t>
        </is>
      </c>
      <c r="D29" s="1538" t="n">
        <v>70465</v>
      </c>
      <c r="E29" s="1538" t="n">
        <v>88208</v>
      </c>
      <c r="F29" s="1538" t="n">
        <v>97994</v>
      </c>
      <c r="G29" s="1538" t="n">
        <v>170000</v>
      </c>
      <c r="H29" s="1539" t="n">
        <v>170500</v>
      </c>
    </row>
    <row r="32" ht="15" customHeight="1"/>
    <row r="33" ht="15" customHeight="1">
      <c r="B33" s="1540" t="inlineStr">
        <is>
          <t>WIFI Financial Ratio</t>
        </is>
      </c>
      <c r="C33" s="1067" t="n"/>
      <c r="D33" s="1541" t="n">
        <v>2021</v>
      </c>
      <c r="E33" s="1541" t="n">
        <v>2022</v>
      </c>
      <c r="F33" s="1541" t="n">
        <v>2023</v>
      </c>
      <c r="G33" s="1541" t="n">
        <v>2024</v>
      </c>
      <c r="H33" s="1542" t="n">
        <v>2025</v>
      </c>
      <c r="J33" s="1543" t="inlineStr">
        <is>
          <t>DuPont Analysis</t>
        </is>
      </c>
      <c r="K33" s="1541" t="n">
        <v>2021</v>
      </c>
      <c r="L33" s="1541" t="n">
        <v>2022</v>
      </c>
      <c r="M33" s="1541" t="n">
        <v>2023</v>
      </c>
      <c r="N33" s="1541" t="n">
        <v>2024</v>
      </c>
      <c r="O33" s="1542" t="n">
        <v>2025</v>
      </c>
    </row>
    <row r="34" ht="15.75" customHeight="1">
      <c r="B34" s="1544" t="inlineStr">
        <is>
          <t>Growth &amp; Scale</t>
        </is>
      </c>
      <c r="C34" s="1505" t="inlineStr">
        <is>
          <t>Revenue</t>
        </is>
      </c>
      <c r="D34" s="1506">
        <f>'SOURCE WIFI Income Statemen (2)'!B21/1000000</f>
        <v/>
      </c>
      <c r="E34" s="1506">
        <f>'SOURCE WIFI Income Statemen (2)'!C21/1000000</f>
        <v/>
      </c>
      <c r="F34" s="1506">
        <f>'SOURCE WIFI Income Statemen (2)'!D21/1000000</f>
        <v/>
      </c>
      <c r="G34" s="1506">
        <f>'SOURCE WIFI Income Statemen (2)'!E21/1000000</f>
        <v/>
      </c>
      <c r="H34" s="1507">
        <f>'SOURCE WIFI Income Statemen (2)'!F21/1000000</f>
        <v/>
      </c>
      <c r="J34" s="1508" t="inlineStr">
        <is>
          <t>NPM</t>
        </is>
      </c>
      <c r="K34" s="1259">
        <f>'SOURCE WIFI Income Statemen (2)'!B198/'SOURCE WIFI Income Statemen (2)'!B21</f>
        <v/>
      </c>
      <c r="L34" s="1259">
        <f>'SOURCE WIFI Income Statemen (2)'!C198/'SOURCE WIFI Income Statemen (2)'!C21</f>
        <v/>
      </c>
      <c r="M34" s="1259">
        <f>'SOURCE WIFI Income Statemen (2)'!D198/'SOURCE WIFI Income Statemen (2)'!D21</f>
        <v/>
      </c>
      <c r="N34" s="1259">
        <f>'SOURCE WIFI Income Statemen (2)'!E198/'SOURCE WIFI Income Statemen (2)'!E21</f>
        <v/>
      </c>
      <c r="O34" s="1509">
        <f>'SOURCE WIFI Income Statemen (2)'!F198/'SOURCE WIFI Income Statemen (2)'!F21</f>
        <v/>
      </c>
    </row>
    <row r="35" ht="14.25" customHeight="1">
      <c r="B35" s="294" t="n"/>
      <c r="C35" s="1510" t="inlineStr">
        <is>
          <t>Revenue Growth</t>
        </is>
      </c>
      <c r="D35" s="1070" t="n"/>
      <c r="E35" s="1511">
        <f>E34/D34-1</f>
        <v/>
      </c>
      <c r="F35" s="1511">
        <f>F34/E34-1</f>
        <v/>
      </c>
      <c r="G35" s="1511">
        <f>G34/F34-1</f>
        <v/>
      </c>
      <c r="H35" s="1512">
        <f>H34/G34-1</f>
        <v/>
      </c>
      <c r="J35" s="1508" t="inlineStr">
        <is>
          <t>Asset Turnover</t>
        </is>
      </c>
      <c r="K35" s="1513">
        <f>'SOURCE WIFI Income Statemen (2)'!B21/('SOURCE WIFI Balance Sheet (2)'!B167)</f>
        <v/>
      </c>
      <c r="L35" s="1513">
        <f>'SOURCE WIFI Income Statemen (2)'!C21/('SOURCE WIFI Balance Sheet (2)'!C167)</f>
        <v/>
      </c>
      <c r="M35" s="1513">
        <f>'SOURCE WIFI Income Statemen (2)'!D21/('SOURCE WIFI Balance Sheet (2)'!D167)</f>
        <v/>
      </c>
      <c r="N35" s="1513">
        <f>'SOURCE WIFI Income Statemen (2)'!E21/('SOURCE WIFI Balance Sheet (2)'!E167)</f>
        <v/>
      </c>
      <c r="O35" s="1514">
        <f>'SOURCE WIFI Income Statemen (2)'!F21/('SOURCE WIFI Balance Sheet (2)'!F167)</f>
        <v/>
      </c>
    </row>
    <row r="36" ht="14.25" customHeight="1">
      <c r="B36" s="294" t="n"/>
      <c r="C36" s="1510" t="inlineStr">
        <is>
          <t>EBITDA</t>
        </is>
      </c>
      <c r="D36" s="1515">
        <f>'SOURCE WIFI Income Statemen (2)'!B277/1000000</f>
        <v/>
      </c>
      <c r="E36" s="1515">
        <f>'SOURCE WIFI Income Statemen (2)'!C277/1000000</f>
        <v/>
      </c>
      <c r="F36" s="1515">
        <f>'SOURCE WIFI Income Statemen (2)'!D277/1000000</f>
        <v/>
      </c>
      <c r="G36" s="1515">
        <f>'SOURCE WIFI Income Statemen (2)'!E277/1000000</f>
        <v/>
      </c>
      <c r="H36" s="1516">
        <f>'SOURCE WIFI Income Statemen (2)'!F277/1000000</f>
        <v/>
      </c>
      <c r="J36" s="1508" t="inlineStr">
        <is>
          <t>Equity Multiplier</t>
        </is>
      </c>
      <c r="K36" s="1513">
        <f>'SOURCE WIFI Balance Sheet (2)'!B167/('SOURCE WIFI Balance Sheet (2)'!B271)</f>
        <v/>
      </c>
      <c r="L36" s="1513">
        <f>'SOURCE WIFI Balance Sheet (2)'!C167/('SOURCE WIFI Balance Sheet (2)'!C271)</f>
        <v/>
      </c>
      <c r="M36" s="1513">
        <f>'SOURCE WIFI Balance Sheet (2)'!D167/('SOURCE WIFI Balance Sheet (2)'!D271)</f>
        <v/>
      </c>
      <c r="N36" s="1513">
        <f>'SOURCE WIFI Balance Sheet (2)'!E167/('SOURCE WIFI Balance Sheet (2)'!E271)</f>
        <v/>
      </c>
      <c r="O36" s="1514">
        <f>'SOURCE WIFI Balance Sheet (2)'!F167/('SOURCE WIFI Balance Sheet (2)'!F271)</f>
        <v/>
      </c>
    </row>
    <row r="37" ht="15" customHeight="1">
      <c r="B37" s="294" t="n"/>
      <c r="C37" s="1510" t="inlineStr">
        <is>
          <t>EBITDA Growth</t>
        </is>
      </c>
      <c r="D37" s="1070" t="n"/>
      <c r="E37" s="1511">
        <f>E36/D36-1</f>
        <v/>
      </c>
      <c r="F37" s="1511">
        <f>F36/E36-1</f>
        <v/>
      </c>
      <c r="G37" s="1511">
        <f>G36/F36-1</f>
        <v/>
      </c>
      <c r="H37" s="1512">
        <f>H36/G36-1</f>
        <v/>
      </c>
      <c r="J37" s="1517" t="inlineStr">
        <is>
          <t>ROE</t>
        </is>
      </c>
      <c r="K37" s="1518">
        <f>K34*K35*K36</f>
        <v/>
      </c>
      <c r="L37" s="1518">
        <f>L34*L35*L36</f>
        <v/>
      </c>
      <c r="M37" s="1518">
        <f>M34*M35*M36</f>
        <v/>
      </c>
      <c r="N37" s="1518">
        <f>N34*N35*N36</f>
        <v/>
      </c>
      <c r="O37" s="1519">
        <f>O34*O35*O36</f>
        <v/>
      </c>
    </row>
    <row r="38" ht="14.25" customHeight="1">
      <c r="B38" s="294" t="n"/>
      <c r="C38" s="1510" t="inlineStr">
        <is>
          <t>EBITDA Margin</t>
        </is>
      </c>
      <c r="D38" s="1511">
        <f>D36/D34</f>
        <v/>
      </c>
      <c r="E38" s="1511">
        <f>E36/E34</f>
        <v/>
      </c>
      <c r="F38" s="1511">
        <f>F36/F34</f>
        <v/>
      </c>
      <c r="G38" s="1511">
        <f>G36/G34</f>
        <v/>
      </c>
      <c r="H38" s="1512">
        <f>H36/H34</f>
        <v/>
      </c>
    </row>
    <row r="39" ht="15" customHeight="1">
      <c r="B39" s="294" t="n"/>
      <c r="C39" s="1510" t="inlineStr">
        <is>
          <t>Net Income Margin</t>
        </is>
      </c>
      <c r="D39" s="1520">
        <f>'SOURCE WIFI Income Statemen (2)'!B198/'SOURCE WIFI Income Statemen (2)'!B21</f>
        <v/>
      </c>
      <c r="E39" s="1520">
        <f>'SOURCE WIFI Income Statemen (2)'!C198/'SOURCE WIFI Income Statemen (2)'!C21</f>
        <v/>
      </c>
      <c r="F39" s="1520">
        <f>'SOURCE WIFI Income Statemen (2)'!D198/'SOURCE WIFI Income Statemen (2)'!D21</f>
        <v/>
      </c>
      <c r="G39" s="1520">
        <f>'SOURCE WIFI Income Statemen (2)'!E198/'SOURCE WIFI Income Statemen (2)'!E21</f>
        <v/>
      </c>
      <c r="H39" s="1521">
        <f>'SOURCE WIFI Income Statemen (2)'!F198/'SOURCE WIFI Income Statemen (2)'!F21</f>
        <v/>
      </c>
    </row>
    <row r="40" ht="14.25" customHeight="1">
      <c r="B40" s="1544" t="inlineStr">
        <is>
          <t>Cash Flow &amp; Capital Intensity</t>
        </is>
      </c>
      <c r="C40" s="1505" t="inlineStr">
        <is>
          <t>D&amp;A</t>
        </is>
      </c>
      <c r="D40" s="1506">
        <f>'SOURCE WIFI Income Statemen (2)'!B295/1000000</f>
        <v/>
      </c>
      <c r="E40" s="1506">
        <f>'SOURCE WIFI Income Statemen (2)'!C295/1000000</f>
        <v/>
      </c>
      <c r="F40" s="1506">
        <f>'SOURCE WIFI Income Statemen (2)'!D295/1000000</f>
        <v/>
      </c>
      <c r="G40" s="1506">
        <f>'SOURCE WIFI Income Statemen (2)'!E295/1000000</f>
        <v/>
      </c>
      <c r="H40" s="1507">
        <f>'SOURCE WIFI Income Statemen (2)'!F295/1000000</f>
        <v/>
      </c>
    </row>
    <row r="41" ht="14.25" customHeight="1">
      <c r="B41" s="294" t="n"/>
      <c r="C41" s="1510" t="inlineStr">
        <is>
          <t>CapEx</t>
        </is>
      </c>
      <c r="D41" s="302" t="n"/>
      <c r="E41" s="1515">
        <f>MAX(0,('SOURCE WIFI Balance Sheet (2)'!C71-'SOURCE WIFI Balance Sheet (2)'!B71)/1000000+E40)</f>
        <v/>
      </c>
      <c r="F41" s="1515">
        <f>MAX(0,('SOURCE WIFI Balance Sheet (2)'!D71-'SOURCE WIFI Balance Sheet (2)'!C71)/1000000+F40)</f>
        <v/>
      </c>
      <c r="G41" s="1515">
        <f>MAX(0,('SOURCE WIFI Balance Sheet (2)'!E71-'SOURCE WIFI Balance Sheet (2)'!D71)/1000000+G40)</f>
        <v/>
      </c>
      <c r="H41" s="1516">
        <f>MAX(0,('SOURCE WIFI Balance Sheet (2)'!F71-'SOURCE WIFI Balance Sheet (2)'!E71)/1000000+H40)</f>
        <v/>
      </c>
    </row>
    <row r="42" ht="14.25" customHeight="1">
      <c r="B42" s="294" t="n"/>
      <c r="C42" s="1510" t="inlineStr">
        <is>
          <t>CapEx/Revenue</t>
        </is>
      </c>
      <c r="D42" s="1070" t="n"/>
      <c r="E42" s="1511">
        <f>E41/E34</f>
        <v/>
      </c>
      <c r="F42" s="1511">
        <f>F41/F34</f>
        <v/>
      </c>
      <c r="G42" s="1511">
        <f>G41/G34</f>
        <v/>
      </c>
      <c r="H42" s="1512">
        <f>H41/H34</f>
        <v/>
      </c>
    </row>
    <row r="43" ht="14.25" customHeight="1">
      <c r="B43" s="294" t="n"/>
      <c r="C43" s="1510" t="inlineStr">
        <is>
          <t>FCF Proxy</t>
        </is>
      </c>
      <c r="D43" s="302" t="n"/>
      <c r="E43" s="1522">
        <f>E36-E41</f>
        <v/>
      </c>
      <c r="F43" s="1522">
        <f>F36-F41</f>
        <v/>
      </c>
      <c r="G43" s="1522">
        <f>G36-G41</f>
        <v/>
      </c>
      <c r="H43" s="1523">
        <f>H36-H41</f>
        <v/>
      </c>
    </row>
    <row r="44" ht="14.25" customHeight="1">
      <c r="B44" s="294" t="n"/>
      <c r="C44" s="1510" t="inlineStr">
        <is>
          <t>FCF Margin</t>
        </is>
      </c>
      <c r="D44" s="1070" t="n"/>
      <c r="E44" s="1511">
        <f>E43/E34</f>
        <v/>
      </c>
      <c r="F44" s="1511">
        <f>F43/F34</f>
        <v/>
      </c>
      <c r="G44" s="1511">
        <f>G43/G34</f>
        <v/>
      </c>
      <c r="H44" s="1512">
        <f>H43/H34</f>
        <v/>
      </c>
    </row>
    <row r="45" ht="15" customHeight="1">
      <c r="B45" s="294" t="n"/>
      <c r="C45" s="1510" t="inlineStr">
        <is>
          <t>FCF/EBITDA</t>
        </is>
      </c>
      <c r="D45" s="1070" t="n"/>
      <c r="E45" s="1511">
        <f>E43/E36</f>
        <v/>
      </c>
      <c r="F45" s="1511">
        <f>F43/F36</f>
        <v/>
      </c>
      <c r="G45" s="1511">
        <f>G43/G36</f>
        <v/>
      </c>
      <c r="H45" s="1512">
        <f>H43/H36</f>
        <v/>
      </c>
    </row>
    <row r="46" ht="14.25" customHeight="1">
      <c r="B46" s="1545" t="inlineStr">
        <is>
          <t>Leverage &amp; Financial Capacity</t>
        </is>
      </c>
      <c r="C46" s="1505" t="inlineStr">
        <is>
          <t>Total Debt</t>
        </is>
      </c>
      <c r="D46" s="1506">
        <f>('SOURCE WIFI Balance Sheet (2)'!B172+'SOURCE WIFI Balance Sheet (2)'!B198)/1000000</f>
        <v/>
      </c>
      <c r="E46" s="1506">
        <f>('SOURCE WIFI Balance Sheet (2)'!C172+'SOURCE WIFI Balance Sheet (2)'!C198)/1000000</f>
        <v/>
      </c>
      <c r="F46" s="1506">
        <f>('SOURCE WIFI Balance Sheet (2)'!D172+'SOURCE WIFI Balance Sheet (2)'!D198)/1000000</f>
        <v/>
      </c>
      <c r="G46" s="1506">
        <f>('SOURCE WIFI Balance Sheet (2)'!E172+'SOURCE WIFI Balance Sheet (2)'!E198)/1000000</f>
        <v/>
      </c>
      <c r="H46" s="1507">
        <f>('SOURCE WIFI Balance Sheet (2)'!F172+'SOURCE WIFI Balance Sheet (2)'!F198)/1000000</f>
        <v/>
      </c>
    </row>
    <row r="47" ht="14.25" customHeight="1">
      <c r="B47" s="294" t="n"/>
      <c r="C47" s="1510" t="inlineStr">
        <is>
          <t>Cash</t>
        </is>
      </c>
      <c r="D47" s="1515">
        <f>'SOURCE WIFI Balance Sheet (2)'!B21/1000000</f>
        <v/>
      </c>
      <c r="E47" s="1515">
        <f>'SOURCE WIFI Balance Sheet (2)'!C21/1000000</f>
        <v/>
      </c>
      <c r="F47" s="1515">
        <f>'SOURCE WIFI Balance Sheet (2)'!D21/1000000</f>
        <v/>
      </c>
      <c r="G47" s="1515">
        <f>'SOURCE WIFI Balance Sheet (2)'!E21/1000000</f>
        <v/>
      </c>
      <c r="H47" s="1516">
        <f>'SOURCE WIFI Balance Sheet (2)'!F21/1000000</f>
        <v/>
      </c>
    </row>
    <row r="48" ht="15.75" customHeight="1">
      <c r="B48" s="294" t="n"/>
      <c r="C48" s="1510" t="inlineStr">
        <is>
          <t>Net Debt/(Net Cash)</t>
        </is>
      </c>
      <c r="D48" s="1522">
        <f>D46-D47</f>
        <v/>
      </c>
      <c r="E48" s="1522">
        <f>E46-E47</f>
        <v/>
      </c>
      <c r="F48" s="1522">
        <f>F46-F47</f>
        <v/>
      </c>
      <c r="G48" s="1522">
        <f>G46-G47</f>
        <v/>
      </c>
      <c r="H48" s="1523">
        <f>H46-H47</f>
        <v/>
      </c>
    </row>
    <row r="49" ht="14.25" customHeight="1">
      <c r="B49" s="294" t="n"/>
      <c r="C49" s="1510" t="inlineStr">
        <is>
          <t>Debt/Equity</t>
        </is>
      </c>
      <c r="D49" s="1524">
        <f>D46/('SOURCE WIFI Balance Sheet (2)'!B271/1000000)</f>
        <v/>
      </c>
      <c r="E49" s="1524">
        <f>E46/('SOURCE WIFI Balance Sheet (2)'!C271/1000000)</f>
        <v/>
      </c>
      <c r="F49" s="1524">
        <f>F46/('SOURCE WIFI Balance Sheet (2)'!D271/1000000)</f>
        <v/>
      </c>
      <c r="G49" s="1524">
        <f>G46/('SOURCE WIFI Balance Sheet (2)'!E271/1000000)</f>
        <v/>
      </c>
      <c r="H49" s="1525">
        <f>H46/('SOURCE WIFI Balance Sheet (2)'!F271/1000000)</f>
        <v/>
      </c>
    </row>
    <row r="50" ht="14.25" customHeight="1">
      <c r="B50" s="294" t="n"/>
      <c r="C50" s="1510" t="inlineStr">
        <is>
          <t>Net Debt/EBITDA</t>
        </is>
      </c>
      <c r="D50" s="1526">
        <f>D48/D36</f>
        <v/>
      </c>
      <c r="E50" s="1526">
        <f>E48/E36</f>
        <v/>
      </c>
      <c r="F50" s="1526">
        <f>F48/F36</f>
        <v/>
      </c>
      <c r="G50" s="1526">
        <f>G48/G36</f>
        <v/>
      </c>
      <c r="H50" s="1527">
        <f>H48/H36</f>
        <v/>
      </c>
    </row>
    <row r="51" ht="14.25" customHeight="1">
      <c r="B51" s="294" t="n"/>
      <c r="C51" s="1510" t="inlineStr">
        <is>
          <t>EBITDA/Interest Expense</t>
        </is>
      </c>
      <c r="D51" s="1546">
        <f>D36/ABS('SOURCE WIFI Income Statemen (2)'!B93/1000000)</f>
        <v/>
      </c>
      <c r="E51" s="1546">
        <f>E36/ABS('SOURCE WIFI Income Statemen (2)'!C93/1000000)</f>
        <v/>
      </c>
      <c r="F51" s="1546">
        <f>F36/ABS('SOURCE WIFI Income Statemen (2)'!D93/1000000)</f>
        <v/>
      </c>
      <c r="G51" s="1546">
        <f>G36/ABS('SOURCE WIFI Income Statemen (2)'!E93/1000000)</f>
        <v/>
      </c>
      <c r="H51" s="1547">
        <f>H36/ABS('SOURCE WIFI Income Statemen (2)'!F93/1000000)</f>
        <v/>
      </c>
    </row>
    <row r="52" ht="14.25" customHeight="1">
      <c r="B52" s="294" t="n"/>
      <c r="C52" s="1510" t="inlineStr">
        <is>
          <t>Current Ratio</t>
        </is>
      </c>
      <c r="D52" s="1524">
        <f>'SOURCE WIFI Balance Sheet (2)'!B53/('SOURCE WIFI Balance Sheet (2)'!B193)</f>
        <v/>
      </c>
      <c r="E52" s="1524">
        <f>'SOURCE WIFI Balance Sheet (2)'!C53/('SOURCE WIFI Balance Sheet (2)'!C193)</f>
        <v/>
      </c>
      <c r="F52" s="1524">
        <f>'SOURCE WIFI Balance Sheet (2)'!D53/('SOURCE WIFI Balance Sheet (2)'!D193)</f>
        <v/>
      </c>
      <c r="G52" s="1524">
        <f>'SOURCE WIFI Balance Sheet (2)'!E53/('SOURCE WIFI Balance Sheet (2)'!E193)</f>
        <v/>
      </c>
      <c r="H52" s="1525">
        <f>'SOURCE WIFI Balance Sheet (2)'!F53/('SOURCE WIFI Balance Sheet (2)'!F193)</f>
        <v/>
      </c>
    </row>
    <row r="53" ht="15" customHeight="1">
      <c r="B53" s="304" t="n"/>
      <c r="C53" s="1510" t="inlineStr">
        <is>
          <t>Cash Ratio</t>
        </is>
      </c>
      <c r="D53" s="1524">
        <f>('SOURCE WIFI Balance Sheet (2)'!B21)/('SOURCE WIFI Balance Sheet (2)'!B193)</f>
        <v/>
      </c>
      <c r="E53" s="1524">
        <f>('SOURCE WIFI Balance Sheet (2)'!C21)/('SOURCE WIFI Balance Sheet (2)'!C193)</f>
        <v/>
      </c>
      <c r="F53" s="1524">
        <f>('SOURCE WIFI Balance Sheet (2)'!D21)/('SOURCE WIFI Balance Sheet (2)'!D193)</f>
        <v/>
      </c>
      <c r="G53" s="1524">
        <f>('SOURCE WIFI Balance Sheet (2)'!E21)/('SOURCE WIFI Balance Sheet (2)'!E193)</f>
        <v/>
      </c>
      <c r="H53" s="1525">
        <f>('SOURCE WIFI Balance Sheet (2)'!F21)/('SOURCE WIFI Balance Sheet (2)'!F193)</f>
        <v/>
      </c>
    </row>
    <row r="54" ht="14.25" customHeight="1">
      <c r="B54" s="1545" t="inlineStr">
        <is>
          <t>Telecom Infrastructure Operating Drivers</t>
        </is>
      </c>
      <c r="C54" s="1505" t="inlineStr">
        <is>
          <t>Network/Asset Scale</t>
        </is>
      </c>
      <c r="D54" s="1548" t="inlineStr">
        <is>
          <t>0</t>
        </is>
      </c>
      <c r="E54" s="1548" t="inlineStr">
        <is>
          <t>0</t>
        </is>
      </c>
      <c r="F54" s="1548" t="inlineStr">
        <is>
          <t>0</t>
        </is>
      </c>
      <c r="G54" s="1528" t="n">
        <v>200000</v>
      </c>
      <c r="H54" s="1529" t="n">
        <v>2500000</v>
      </c>
    </row>
    <row r="55" ht="14.25" customHeight="1">
      <c r="B55" s="294" t="n"/>
      <c r="C55" s="1510" t="inlineStr">
        <is>
          <t>Customer/Tenant Scale</t>
        </is>
      </c>
      <c r="D55" s="1522" t="inlineStr">
        <is>
          <t>0</t>
        </is>
      </c>
      <c r="E55" s="1522" t="inlineStr">
        <is>
          <t>0</t>
        </is>
      </c>
      <c r="F55" s="1522" t="inlineStr">
        <is>
          <t>0</t>
        </is>
      </c>
      <c r="G55" s="1522" t="inlineStr">
        <is>
          <t>-</t>
        </is>
      </c>
      <c r="H55" s="1531" t="n">
        <v>1500000</v>
      </c>
    </row>
    <row r="56" ht="14.25" customHeight="1">
      <c r="B56" s="294" t="n"/>
      <c r="C56" s="1510" t="inlineStr">
        <is>
          <t>Utilization</t>
        </is>
      </c>
      <c r="D56" s="1549" t="inlineStr">
        <is>
          <t>-</t>
        </is>
      </c>
      <c r="E56" s="1549" t="inlineStr">
        <is>
          <t>-</t>
        </is>
      </c>
      <c r="F56" s="1549" t="inlineStr">
        <is>
          <t>-</t>
        </is>
      </c>
      <c r="G56" s="1549" t="inlineStr">
        <is>
          <t>-</t>
        </is>
      </c>
      <c r="H56" s="1533" t="n">
        <v>0.6</v>
      </c>
    </row>
    <row r="57" ht="14.25" customHeight="1">
      <c r="B57" s="294" t="n"/>
      <c r="C57" s="1510" t="inlineStr">
        <is>
          <t>Primary Connectivity Revenue</t>
        </is>
      </c>
      <c r="D57" s="1515">
        <f>'SOURCE WIFI Income Statemen (2)'!B21</f>
        <v/>
      </c>
      <c r="E57" s="1515">
        <f>'SOURCE WIFI Income Statemen (2)'!C21</f>
        <v/>
      </c>
      <c r="F57" s="1515">
        <f>'SOURCE WIFI Income Statemen (2)'!D21</f>
        <v/>
      </c>
      <c r="G57" s="1515">
        <f>'SOURCE WIFI Income Statemen (2)'!E21</f>
        <v/>
      </c>
      <c r="H57" s="1516">
        <f>'SOURCE WIFI Income Statemen (2)'!F21</f>
        <v/>
      </c>
    </row>
    <row r="58" ht="14.25" customHeight="1">
      <c r="B58" s="294" t="n"/>
      <c r="C58" s="1510" t="inlineStr">
        <is>
          <t>Asset/Customer Growth</t>
        </is>
      </c>
      <c r="D58" s="1550" t="inlineStr">
        <is>
          <t>0</t>
        </is>
      </c>
      <c r="E58" s="1550" t="inlineStr">
        <is>
          <t>0</t>
        </is>
      </c>
      <c r="F58" s="1550" t="inlineStr">
        <is>
          <t>0</t>
        </is>
      </c>
      <c r="G58" s="1550" t="inlineStr">
        <is>
          <t>-</t>
        </is>
      </c>
      <c r="H58" s="1551" t="n">
        <v>541060</v>
      </c>
    </row>
    <row r="59" ht="14.25" customHeight="1">
      <c r="B59" s="294" t="n"/>
      <c r="C59" s="1510" t="inlineStr">
        <is>
          <t>Unit Economics</t>
        </is>
      </c>
      <c r="D59" s="1534" t="inlineStr">
        <is>
          <t>-</t>
        </is>
      </c>
      <c r="E59" s="1534" t="inlineStr">
        <is>
          <t>-</t>
        </is>
      </c>
      <c r="F59" s="1534" t="inlineStr">
        <is>
          <t>-</t>
        </is>
      </c>
      <c r="G59" s="1534" t="inlineStr">
        <is>
          <t>-</t>
        </is>
      </c>
      <c r="H59" s="1552" t="n">
        <v>360706.666666667</v>
      </c>
    </row>
    <row r="60" ht="15" customHeight="1">
      <c r="B60" s="304" t="n"/>
      <c r="C60" s="1537" t="inlineStr">
        <is>
          <t>Backbone/Network Scale</t>
        </is>
      </c>
      <c r="D60" s="1553" t="inlineStr">
        <is>
          <t>-</t>
        </is>
      </c>
      <c r="E60" s="1553" t="inlineStr">
        <is>
          <t>-</t>
        </is>
      </c>
      <c r="F60" s="1538" t="n">
        <v>6927</v>
      </c>
      <c r="G60" s="1538" t="n">
        <v>6927</v>
      </c>
      <c r="H60" s="1539" t="n">
        <v>7357</v>
      </c>
    </row>
  </sheetData>
  <mergeCells count="10">
    <mergeCell ref="B40:B45"/>
    <mergeCell ref="B2:C2"/>
    <mergeCell ref="B9:B14"/>
    <mergeCell ref="B33:C33"/>
    <mergeCell ref="B3:B8"/>
    <mergeCell ref="B15:B22"/>
    <mergeCell ref="B23:B29"/>
    <mergeCell ref="B34:B39"/>
    <mergeCell ref="B46:B53"/>
    <mergeCell ref="B54:B60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P70"/>
  <sheetViews>
    <sheetView topLeftCell="A36" zoomScale="60" zoomScaleNormal="60" workbookViewId="0">
      <selection activeCell="E22" sqref="E22"/>
    </sheetView>
  </sheetViews>
  <sheetFormatPr baseColWidth="8" defaultColWidth="10.7109375" defaultRowHeight="14.25"/>
  <cols>
    <col width="5.140625" customWidth="1" style="151" min="1" max="1"/>
    <col width="4" customWidth="1" style="151" min="2" max="2"/>
    <col width="13.5703125" customWidth="1" style="151" min="3" max="3"/>
    <col width="38" customWidth="1" style="151" min="4" max="4"/>
    <col width="20" customWidth="1" style="151" min="5" max="7"/>
    <col width="9" customWidth="1" style="151" min="8" max="8"/>
    <col width="9" customWidth="1" style="333" min="9" max="9"/>
    <col width="9" customWidth="1" style="151" min="10" max="10"/>
    <col width="15.42578125" customWidth="1" style="151" min="11" max="11"/>
    <col width="43.5703125" customWidth="1" style="151" min="12" max="12"/>
    <col width="32.85546875" customWidth="1" style="151" min="13" max="13"/>
    <col width="20.140625" customWidth="1" style="151" min="14" max="14"/>
    <col width="21.42578125" customWidth="1" style="151" min="15" max="15"/>
    <col width="33" customWidth="1" style="151" min="16" max="16"/>
    <col width="9" customWidth="1" style="333" min="17" max="17"/>
    <col width="9" customWidth="1" style="151" min="18" max="18"/>
    <col width="18.28515625" customWidth="1" style="151" min="19" max="19"/>
    <col width="15.7109375" customWidth="1" style="151" min="20" max="20"/>
    <col width="18.140625" customWidth="1" style="151" min="21" max="21"/>
    <col width="15.7109375" customWidth="1" style="151" min="22" max="22"/>
    <col width="9" customWidth="1" style="151" min="23" max="23"/>
    <col width="10.42578125" customWidth="1" style="151" min="24" max="24"/>
    <col width="15.7109375" customWidth="1" style="151" min="25" max="25"/>
    <col width="9" customWidth="1" style="151" min="26" max="26"/>
    <col width="15.7109375" customWidth="1" style="151" min="27" max="27"/>
    <col width="9" customWidth="1" style="151" min="28" max="28"/>
    <col width="15.7109375" customWidth="1" style="151" min="29" max="29"/>
    <col width="10.7109375" customWidth="1" style="151" min="30" max="16384"/>
  </cols>
  <sheetData>
    <row r="1" ht="9.75" customHeight="1"/>
    <row r="2" ht="24.75" customHeight="1">
      <c r="C2" s="1554" t="inlineStr">
        <is>
          <t>COMPARABLE PEER ANALYSIS (TOWR)</t>
        </is>
      </c>
      <c r="D2" s="1067" t="n"/>
      <c r="E2" s="1067" t="n"/>
      <c r="F2" s="1067" t="n"/>
      <c r="G2" s="1080" t="n"/>
      <c r="K2" s="1555" t="inlineStr">
        <is>
          <t>Group 1 - Indonesian Tower Precedent Transactions: Benchmarks for TOWR</t>
        </is>
      </c>
      <c r="L2" s="1067" t="n"/>
      <c r="M2" s="1067" t="n"/>
      <c r="N2" s="1067" t="n"/>
      <c r="O2" s="1067" t="n"/>
      <c r="P2" s="1080" t="n"/>
    </row>
    <row r="3" ht="14.25" customHeight="1">
      <c r="B3" s="334" t="n"/>
      <c r="C3" s="1556" t="inlineStr">
        <is>
          <t>Ticker</t>
        </is>
      </c>
      <c r="D3" s="1557" t="inlineStr">
        <is>
          <t>Company</t>
        </is>
      </c>
      <c r="E3" s="1557" t="inlineStr">
        <is>
          <t>EV/EBITDA (TTM)</t>
        </is>
      </c>
      <c r="F3" s="1557" t="inlineStr">
        <is>
          <t>P/BV (TTM)</t>
        </is>
      </c>
      <c r="G3" s="1558" t="inlineStr">
        <is>
          <t>PE RATIO (TTM)</t>
        </is>
      </c>
      <c r="K3" s="1556" t="inlineStr">
        <is>
          <t>Year</t>
        </is>
      </c>
      <c r="L3" s="1557" t="inlineStr">
        <is>
          <t>Target</t>
        </is>
      </c>
      <c r="M3" s="1557" t="inlineStr">
        <is>
          <t>Acquiror</t>
        </is>
      </c>
      <c r="N3" s="1557" t="inlineStr">
        <is>
          <t>EV/EBITDA (Rp Billion)</t>
        </is>
      </c>
      <c r="O3" s="1557" t="inlineStr">
        <is>
          <t>EV/Tower</t>
        </is>
      </c>
      <c r="P3" s="1558" t="inlineStr">
        <is>
          <t>EV/Tenant</t>
        </is>
      </c>
    </row>
    <row r="4" ht="15.75" customHeight="1">
      <c r="C4" s="1559" t="inlineStr">
        <is>
          <t>Indonesia Peers</t>
        </is>
      </c>
      <c r="D4" s="1067" t="n"/>
      <c r="E4" s="1067" t="n"/>
      <c r="F4" s="1067" t="n"/>
      <c r="G4" s="1080" t="n"/>
      <c r="K4" s="1559" t="inlineStr">
        <is>
          <t>National Transaction</t>
        </is>
      </c>
      <c r="L4" s="1067" t="n"/>
      <c r="M4" s="1067" t="n"/>
      <c r="N4" s="1067" t="n"/>
      <c r="O4" s="1067" t="n"/>
      <c r="P4" s="1080" t="n"/>
    </row>
    <row r="5" ht="14.25" customHeight="1">
      <c r="C5" s="1560" t="inlineStr">
        <is>
          <t>MTEL.IJ</t>
        </is>
      </c>
      <c r="D5" s="1252" t="inlineStr">
        <is>
          <t>PT Dayamitra Telekomunikasi Tbk (Mitratel)</t>
        </is>
      </c>
      <c r="E5" s="1561" t="n">
        <v>8.6</v>
      </c>
      <c r="F5" s="1561" t="n">
        <v>1.1</v>
      </c>
      <c r="G5" s="1562" t="n">
        <v>16.5</v>
      </c>
      <c r="H5" s="341" t="n"/>
      <c r="J5" s="1563" t="n">
        <v>1</v>
      </c>
      <c r="K5" s="1564" t="n">
        <v>2021</v>
      </c>
      <c r="L5" s="1252" t="inlineStr">
        <is>
          <t>Solusi Tunas Pratama (SUPR) 94.03%</t>
        </is>
      </c>
      <c r="M5" s="1252" t="inlineStr">
        <is>
          <t>Protelindo (TOWR)</t>
        </is>
      </c>
      <c r="N5" s="1565">
        <f>17800/1900</f>
        <v/>
      </c>
      <c r="O5" s="1565">
        <f>17800/6780</f>
        <v/>
      </c>
      <c r="P5" s="1566">
        <f>17800/12500</f>
        <v/>
      </c>
    </row>
    <row r="6" ht="15.75" customHeight="1">
      <c r="C6" s="1560" t="inlineStr">
        <is>
          <t>TBIG.IJ</t>
        </is>
      </c>
      <c r="D6" s="1252" t="inlineStr">
        <is>
          <t>PT Tower Bersama Infrastructure Tbk</t>
        </is>
      </c>
      <c r="E6" s="1565" t="inlineStr">
        <is>
          <t>11.40 x</t>
        </is>
      </c>
      <c r="F6" s="1561" t="n">
        <v>2.5</v>
      </c>
      <c r="G6" s="1562" t="n">
        <v>22.1</v>
      </c>
      <c r="J6" s="1563" t="n">
        <v>2</v>
      </c>
      <c r="K6" s="1564" t="n">
        <v>2024</v>
      </c>
      <c r="L6" s="1252" t="inlineStr">
        <is>
          <t>Inti Bangun Sejahtera (IBST) 90.11%</t>
        </is>
      </c>
      <c r="M6" s="1252" t="inlineStr">
        <is>
          <t>iForte (TOWR)</t>
        </is>
      </c>
      <c r="N6" s="1561" t="n">
        <v>8</v>
      </c>
      <c r="O6" s="1565">
        <f>3800/3383</f>
        <v/>
      </c>
      <c r="P6" s="1566">
        <f>3800/5791</f>
        <v/>
      </c>
    </row>
    <row r="7" ht="14.25" customHeight="1">
      <c r="C7" s="1560" t="inlineStr">
        <is>
          <t>BALI.IJ</t>
        </is>
      </c>
      <c r="D7" s="1252" t="inlineStr">
        <is>
          <t>PT Bali Towerindo Sentra Tbk</t>
        </is>
      </c>
      <c r="E7" s="1561" t="n">
        <v>10.4</v>
      </c>
      <c r="F7" s="1561" t="n">
        <v>2</v>
      </c>
      <c r="G7" s="1567" t="inlineStr">
        <is>
          <t>27.80 x</t>
        </is>
      </c>
      <c r="H7" s="341" t="n"/>
      <c r="J7" s="1563" t="n">
        <v>3</v>
      </c>
      <c r="K7" s="1564" t="n">
        <v>2020</v>
      </c>
      <c r="L7" s="1252" t="inlineStr">
        <is>
          <t>3000 unit of IBST's Tower</t>
        </is>
      </c>
      <c r="M7" s="1252" t="inlineStr">
        <is>
          <t>TBIG</t>
        </is>
      </c>
      <c r="N7" s="1565">
        <f>3970/481</f>
        <v/>
      </c>
      <c r="O7" s="1565">
        <f>3970/3000</f>
        <v/>
      </c>
      <c r="P7" s="1568" t="n">
        <v>1.32</v>
      </c>
    </row>
    <row r="8" ht="14.25" customHeight="1">
      <c r="C8" s="1560" t="inlineStr">
        <is>
          <t>GHON.IJ</t>
        </is>
      </c>
      <c r="D8" s="1252" t="inlineStr">
        <is>
          <t>PT Gihon Telekomunikasi Indonesia Tbk</t>
        </is>
      </c>
      <c r="E8" s="1565" t="inlineStr">
        <is>
          <t>11.40 x</t>
        </is>
      </c>
      <c r="F8" s="1561" t="n">
        <v>1.3</v>
      </c>
      <c r="G8" s="1562" t="n">
        <v>12.8</v>
      </c>
      <c r="H8" s="341" t="n"/>
      <c r="J8" s="1563" t="n">
        <v>4</v>
      </c>
      <c r="K8" s="1564" t="n">
        <v>2021</v>
      </c>
      <c r="L8" s="1252" t="inlineStr">
        <is>
          <t>6000 unit of Telkomsel's Tower</t>
        </is>
      </c>
      <c r="M8" s="1252" t="inlineStr">
        <is>
          <t>Mitratel (MTEL)</t>
        </is>
      </c>
      <c r="N8" s="1561" t="n">
        <v>13.4</v>
      </c>
      <c r="O8" s="1565">
        <f>10280/6000</f>
        <v/>
      </c>
      <c r="P8" s="1568" t="n">
        <v>1.59</v>
      </c>
    </row>
    <row r="9" ht="14.25" customHeight="1">
      <c r="C9" s="1559" t="inlineStr">
        <is>
          <t>Regional Peers</t>
        </is>
      </c>
      <c r="D9" s="1067" t="n"/>
      <c r="E9" s="1067" t="n"/>
      <c r="F9" s="1067" t="n"/>
      <c r="G9" s="1080" t="n"/>
      <c r="H9" s="341" t="n"/>
      <c r="K9" s="1559" t="inlineStr">
        <is>
          <t>International Transaction</t>
        </is>
      </c>
      <c r="L9" s="1067" t="n"/>
      <c r="M9" s="1067" t="n"/>
      <c r="N9" s="1067" t="n"/>
      <c r="O9" s="1067" t="n"/>
      <c r="P9" s="1080" t="n"/>
    </row>
    <row r="10" ht="14.25" customHeight="1">
      <c r="C10" s="1560" t="inlineStr">
        <is>
          <t>788 HK</t>
        </is>
      </c>
      <c r="D10" s="1252" t="inlineStr">
        <is>
          <t>China Tower Corporation Limited</t>
        </is>
      </c>
      <c r="E10" s="1561" t="n">
        <v>4.5</v>
      </c>
      <c r="F10" s="1561" t="n">
        <v>0.7</v>
      </c>
      <c r="G10" s="1562" t="n">
        <v>10.3</v>
      </c>
      <c r="H10" s="341" t="n"/>
      <c r="J10" s="1563" t="n">
        <v>5</v>
      </c>
      <c r="K10" s="1564" t="n">
        <v>2024</v>
      </c>
      <c r="L10" s="1252" t="inlineStr">
        <is>
          <t>IHS Kuwait Tower</t>
        </is>
      </c>
      <c r="M10" s="1252" t="inlineStr">
        <is>
          <t>Zain</t>
        </is>
      </c>
      <c r="N10" s="1561" t="n">
        <v>14.2</v>
      </c>
      <c r="O10" s="1565">
        <f>3700/2345</f>
        <v/>
      </c>
      <c r="P10" s="1566" t="inlineStr">
        <is>
          <t>NA</t>
        </is>
      </c>
    </row>
    <row r="11" ht="14.25" customHeight="1">
      <c r="C11" s="1560" t="inlineStr">
        <is>
          <t>INDUSTOW IN</t>
        </is>
      </c>
      <c r="D11" s="1252" t="inlineStr">
        <is>
          <t>Indus Towers Ltd</t>
        </is>
      </c>
      <c r="E11" s="1561" t="n">
        <v>7.4</v>
      </c>
      <c r="F11" s="1561" t="n">
        <v>2.4</v>
      </c>
      <c r="G11" s="1562" t="n">
        <v>13.6</v>
      </c>
      <c r="H11" s="341" t="n"/>
      <c r="K11" s="1569" t="inlineStr">
        <is>
          <t>Quartile 1</t>
        </is>
      </c>
      <c r="L11" s="1081" t="n"/>
      <c r="M11" s="345" t="n"/>
      <c r="N11" s="1570">
        <f>_xlfn.QUARTILE.INC(N5:N10, 1)</f>
        <v/>
      </c>
      <c r="O11" s="1570">
        <f>_xlfn.QUARTILE.INC(O5:O10, 1)</f>
        <v/>
      </c>
      <c r="P11" s="1571">
        <f>_xlfn.QUARTILE.INC(P5:P10, 1)</f>
        <v/>
      </c>
    </row>
    <row r="12" ht="18.75" customHeight="1">
      <c r="C12" s="1572" t="inlineStr">
        <is>
          <t>Quartile 1 - Worst Case</t>
        </is>
      </c>
      <c r="D12" s="345" t="n"/>
      <c r="E12" s="1570">
        <f>_xlfn.QUARTILE.INC(E5:E11, 1)</f>
        <v/>
      </c>
      <c r="F12" s="1570">
        <f>_xlfn.QUARTILE.INC(F5:F11, 1)</f>
        <v/>
      </c>
      <c r="G12" s="1573">
        <f>_xlfn.QUARTILE.INC(G5:G11, 1)</f>
        <v/>
      </c>
      <c r="H12" s="341" t="n"/>
      <c r="K12" s="1574" t="inlineStr">
        <is>
          <t>Median</t>
        </is>
      </c>
      <c r="M12" s="350" t="n"/>
      <c r="N12" s="1575">
        <f>MEDIAN(N5:N10)</f>
        <v/>
      </c>
      <c r="O12" s="1575">
        <f>MEDIAN(O5:O10)</f>
        <v/>
      </c>
      <c r="P12" s="1576">
        <f>MEDIAN(P5:P10)</f>
        <v/>
      </c>
    </row>
    <row r="13" ht="14.25" customHeight="1">
      <c r="C13" s="1577" t="inlineStr">
        <is>
          <t>Median - Base Case</t>
        </is>
      </c>
      <c r="D13" s="354" t="n"/>
      <c r="E13" s="1578">
        <f>MEDIAN(E5:E11)</f>
        <v/>
      </c>
      <c r="F13" s="1578">
        <f>MEDIAN(F5:F11)</f>
        <v/>
      </c>
      <c r="G13" s="1579">
        <f>MEDIAN(G5:G11)</f>
        <v/>
      </c>
      <c r="H13" s="341" t="n"/>
      <c r="K13" s="1580" t="inlineStr">
        <is>
          <t>Quartile 3</t>
        </is>
      </c>
      <c r="L13" s="806" t="n"/>
      <c r="M13" s="357" t="n"/>
      <c r="N13" s="1581">
        <f>_xlfn.QUARTILE.EXC(N5:N10, 3)</f>
        <v/>
      </c>
      <c r="O13" s="1581">
        <f>_xlfn.QUARTILE.EXC(O5:O10, 3)</f>
        <v/>
      </c>
      <c r="P13" s="1582">
        <f>_xlfn.QUARTILE.INC(P5:P10, 3)</f>
        <v/>
      </c>
    </row>
    <row r="14" ht="15.75" customHeight="1">
      <c r="C14" s="1583" t="inlineStr">
        <is>
          <t>Quartile 3 - Best Case</t>
        </is>
      </c>
      <c r="D14" s="361" t="n"/>
      <c r="E14" s="1565">
        <f>_xlfn.QUARTILE.INC(E5:E11, 3)</f>
        <v/>
      </c>
      <c r="F14" s="1565">
        <f>_xlfn.QUARTILE.INC(F5:F11, 3)</f>
        <v/>
      </c>
      <c r="G14" s="1567">
        <f>_xlfn.QUARTILE.INC(G5:G11, 3)</f>
        <v/>
      </c>
      <c r="H14" s="341" t="n"/>
      <c r="K14" s="1252" t="inlineStr">
        <is>
          <t>Source:</t>
        </is>
      </c>
    </row>
    <row r="15" ht="14.25" customHeight="1">
      <c r="C15" s="1584" t="inlineStr">
        <is>
          <t>Mean</t>
        </is>
      </c>
      <c r="D15" s="357" t="n"/>
      <c r="E15" s="1581">
        <f>_xlfn.QUARTILE.INC(E5:E11, 3)</f>
        <v/>
      </c>
      <c r="F15" s="1581">
        <f>_xlfn.QUARTILE.INC(F5:F11, 3)</f>
        <v/>
      </c>
      <c r="G15" s="1585">
        <f>_xlfn.QUARTILE.INC(G5:G11, 3)</f>
        <v/>
      </c>
      <c r="K15" s="1252" t="inlineStr">
        <is>
          <t>1. https://market.bisnis.com/read/20211005/189/1450717/sukses-akuisisi-supr-saham-sarana-menara-towr-menuju-rp1540</t>
        </is>
      </c>
    </row>
    <row r="16" ht="14.25" customHeight="1">
      <c r="C16" s="1586" t="inlineStr">
        <is>
          <t>TOWR</t>
        </is>
      </c>
      <c r="E16" s="1565">
        <f>E29/E25</f>
        <v/>
      </c>
      <c r="F16" s="1565">
        <f>E21/(E24/E27)</f>
        <v/>
      </c>
      <c r="G16" s="1567">
        <f>E21/(E23/E27)</f>
        <v/>
      </c>
      <c r="K16" s="1252" t="inlineStr">
        <is>
          <t>2.https://samuel.co.id/news-events-ssi/towr-kuatkan-posisi-dengan-akuisisi-ibst/</t>
        </is>
      </c>
    </row>
    <row r="17" ht="14.25" customHeight="1">
      <c r="C17" s="1587" t="inlineStr">
        <is>
          <t>Implied Share Price - Worst Case</t>
        </is>
      </c>
      <c r="D17" s="367" t="n"/>
      <c r="E17" s="1588">
        <f>(($E$25*E12)-$E$22)/$E$27</f>
        <v/>
      </c>
      <c r="F17" s="1588">
        <f>F12*$E$32</f>
        <v/>
      </c>
      <c r="G17" s="1589">
        <f>G12*$E$31</f>
        <v/>
      </c>
      <c r="K17" s="1252" t="inlineStr">
        <is>
          <t>3.https://investor.id/market-and-corporate/242971/tower-bersama-segera-akuisisi-menara-rp-397-triliun</t>
        </is>
      </c>
    </row>
    <row r="18" ht="14.25" customHeight="1">
      <c r="C18" s="1586" t="inlineStr">
        <is>
          <t>Implied Share Price - Base Case</t>
        </is>
      </c>
      <c r="E18" s="1590">
        <f>(($E$25*E13)-$E$22)/$E$27</f>
        <v/>
      </c>
      <c r="F18" s="1590">
        <f>F13*$E$32</f>
        <v/>
      </c>
      <c r="G18" s="1576">
        <f>G13*$E$31</f>
        <v/>
      </c>
      <c r="H18" s="341" t="n"/>
      <c r="K18" s="1252" t="inlineStr">
        <is>
          <t>4.https://www.indopremier.com/ipotnews/newsDetail.php?jdl=Mitratel_(MTEL)_bakal_Akuisisi_Menara_Telekomunikasi_Rp_9_Triliun&amp;news_id=394832&amp;group_news=RESEARCHNEWS&amp;taging_subtype=PG002&amp;name=&amp;search=y_general&amp;q=,&amp;halaman=1</t>
        </is>
      </c>
    </row>
    <row r="19" ht="14.25" customHeight="1">
      <c r="C19" s="1591" t="inlineStr">
        <is>
          <t>Implied Share Price - Best Case</t>
        </is>
      </c>
      <c r="D19" s="372" t="n"/>
      <c r="E19" s="1592">
        <f>(($E$25*E14)-$E$22)/$E$27</f>
        <v/>
      </c>
      <c r="F19" s="1592">
        <f>F14*$E$32</f>
        <v/>
      </c>
      <c r="G19" s="1593">
        <f>G14*$E$31</f>
        <v/>
      </c>
      <c r="H19" s="341" t="n"/>
      <c r="K19" s="1252" t="inlineStr">
        <is>
          <t>5.https://www.fticonsulting.com/about/newsroom/press-releases/fti-capital-advisors-supports-zain-group-on-acquisition-of-the-ihs-tower-portfolio-in-kuwait</t>
        </is>
      </c>
    </row>
    <row r="20" ht="14.25" customHeight="1">
      <c r="F20" s="375" t="n"/>
      <c r="G20" s="375" t="n"/>
    </row>
    <row r="21" ht="21.75" customHeight="1">
      <c r="C21" s="1587" t="inlineStr">
        <is>
          <t>Price/Share - TOWR (21 Agt)</t>
        </is>
      </c>
      <c r="D21" s="367" t="n"/>
      <c r="E21" s="1594" t="n">
        <v>434</v>
      </c>
      <c r="K21" s="1595" t="inlineStr">
        <is>
          <t>Group 2. Indonesian Fiber and Broadband Precedent Transactions: Benchmarks for WIFI</t>
        </is>
      </c>
      <c r="L21" s="1067" t="n"/>
      <c r="M21" s="1067" t="n"/>
      <c r="N21" s="1067" t="n"/>
      <c r="O21" s="1067" t="n"/>
      <c r="P21" s="1080" t="n"/>
    </row>
    <row r="22" ht="14.25" customHeight="1">
      <c r="C22" s="1586" t="inlineStr">
        <is>
          <t>Net Debt</t>
        </is>
      </c>
      <c r="E22" s="1596" t="n">
        <v>44509580000000</v>
      </c>
      <c r="K22" s="1597" t="inlineStr">
        <is>
          <t>Year</t>
        </is>
      </c>
      <c r="L22" s="1598" t="inlineStr">
        <is>
          <t>Target</t>
        </is>
      </c>
      <c r="M22" s="1598" t="inlineStr">
        <is>
          <t>Acquiror</t>
        </is>
      </c>
      <c r="N22" s="1598" t="inlineStr">
        <is>
          <t>EV/EBITDA (Rp Billion)</t>
        </is>
      </c>
      <c r="O22" s="1598" t="inlineStr">
        <is>
          <t>EV/Homepass (Rp Million)</t>
        </is>
      </c>
      <c r="P22" s="1599" t="n"/>
    </row>
    <row r="23" ht="14.25" customHeight="1">
      <c r="C23" s="1586" t="inlineStr">
        <is>
          <t>Net Profit TOWR</t>
        </is>
      </c>
      <c r="E23" s="1596" t="n">
        <v>3678316000000</v>
      </c>
      <c r="K23" s="1600" t="inlineStr">
        <is>
          <t>National Transaction</t>
        </is>
      </c>
      <c r="L23" s="1067" t="n"/>
      <c r="M23" s="1067" t="n"/>
      <c r="N23" s="1067" t="n"/>
      <c r="O23" s="1067" t="n"/>
      <c r="P23" s="1080" t="n"/>
    </row>
    <row r="24" ht="14.25" customHeight="1">
      <c r="C24" s="1586" t="inlineStr">
        <is>
          <t>Book Value TOWR</t>
        </is>
      </c>
      <c r="E24" s="1596" t="n">
        <v>26972415000000</v>
      </c>
      <c r="J24" s="1563" t="n">
        <v>1</v>
      </c>
      <c r="K24" s="1564" t="n">
        <v>2022</v>
      </c>
      <c r="L24" s="1252" t="inlineStr">
        <is>
          <t>Link Net</t>
        </is>
      </c>
      <c r="M24" s="1252" t="inlineStr">
        <is>
          <t>Axiata dan XL Axiata</t>
        </is>
      </c>
      <c r="N24" s="1565">
        <f>13210/1870</f>
        <v/>
      </c>
      <c r="O24" s="1565">
        <f>13210/2800</f>
        <v/>
      </c>
      <c r="P24" s="342" t="n"/>
    </row>
    <row r="25" ht="14.25" customHeight="1">
      <c r="C25" s="1586" t="inlineStr">
        <is>
          <t>EBITDA TOWR</t>
        </is>
      </c>
      <c r="E25" s="1596" t="n">
        <v>10924099000000</v>
      </c>
      <c r="J25" s="1563" t="n">
        <v>2</v>
      </c>
      <c r="K25" s="1564" t="n">
        <v>2024</v>
      </c>
      <c r="L25" s="1252" t="inlineStr">
        <is>
          <t>PT Ultra Mandiri Telekomunikasi (UMT)</t>
        </is>
      </c>
      <c r="M25" s="1252" t="inlineStr">
        <is>
          <t>Mitratel (MTEL)</t>
        </is>
      </c>
      <c r="N25" s="1561" t="n">
        <v>7.7</v>
      </c>
      <c r="O25" s="1565" t="inlineStr">
        <is>
          <t>NA</t>
        </is>
      </c>
      <c r="P25" s="342" t="n"/>
    </row>
    <row r="26" ht="14.25" customHeight="1">
      <c r="C26" s="1586" t="inlineStr">
        <is>
          <t>Revenue TOWR</t>
        </is>
      </c>
      <c r="E26" s="1596" t="n">
        <v>13327907000000</v>
      </c>
      <c r="K26" s="1600" t="inlineStr">
        <is>
          <t>International Transaction</t>
        </is>
      </c>
      <c r="L26" s="1067" t="n"/>
      <c r="M26" s="1067" t="n"/>
      <c r="N26" s="1067" t="n"/>
      <c r="O26" s="1067" t="n"/>
      <c r="P26" s="1080" t="n"/>
    </row>
    <row r="27" ht="14.25" customHeight="1">
      <c r="C27" s="1586" t="inlineStr">
        <is>
          <t>Shares Outstanding</t>
        </is>
      </c>
      <c r="E27" s="1601">
        <f>58272885109</f>
        <v/>
      </c>
      <c r="J27" s="1563" t="n">
        <v>3</v>
      </c>
      <c r="K27" s="1564" t="n">
        <v>2024</v>
      </c>
      <c r="L27" s="1252" t="inlineStr">
        <is>
          <t>Frontier Communications</t>
        </is>
      </c>
      <c r="M27" s="1252" t="inlineStr">
        <is>
          <t>Verizon</t>
        </is>
      </c>
      <c r="N27" s="1561" t="n">
        <v>8.5</v>
      </c>
      <c r="O27" s="1561" t="n">
        <v>14.2</v>
      </c>
      <c r="P27" s="342" t="n"/>
    </row>
    <row r="28" ht="14.25" customHeight="1">
      <c r="C28" s="1586" t="inlineStr">
        <is>
          <t>Market Cap TOWR</t>
        </is>
      </c>
      <c r="E28" s="1601">
        <f>E27*E21</f>
        <v/>
      </c>
      <c r="J28" s="1563" t="n">
        <v>4</v>
      </c>
      <c r="K28" s="1564" t="n">
        <v>2025</v>
      </c>
      <c r="L28" s="1252" t="inlineStr">
        <is>
          <t>Quantum Fiber (Lumen)</t>
        </is>
      </c>
      <c r="M28" s="1252" t="inlineStr">
        <is>
          <t>AT&amp;T</t>
        </is>
      </c>
      <c r="N28" s="1565" t="inlineStr">
        <is>
          <t>NA</t>
        </is>
      </c>
      <c r="O28" s="1561" t="n">
        <v>25.4</v>
      </c>
      <c r="P28" s="342" t="n"/>
    </row>
    <row r="29" ht="14.25" customHeight="1">
      <c r="C29" s="1586" t="inlineStr">
        <is>
          <t>Enterprise Value TOWR</t>
        </is>
      </c>
      <c r="E29" s="1601">
        <f>E28+E22</f>
        <v/>
      </c>
      <c r="K29" s="1569" t="inlineStr">
        <is>
          <t>Quartile 1</t>
        </is>
      </c>
      <c r="L29" s="1081" t="n"/>
      <c r="M29" s="345" t="n"/>
      <c r="N29" s="1570">
        <f>_xlfn.QUARTILE.INC(N24:N28, 1)</f>
        <v/>
      </c>
      <c r="O29" s="1570">
        <f>_xlfn.QUARTILE.INC(O24:O28, 1)</f>
        <v/>
      </c>
      <c r="P29" s="347" t="n"/>
    </row>
    <row r="30" ht="14.25" customHeight="1">
      <c r="C30" s="365" t="n"/>
      <c r="E30" s="382" t="n"/>
      <c r="K30" s="1574" t="inlineStr">
        <is>
          <t>Median</t>
        </is>
      </c>
      <c r="M30" s="350" t="n"/>
      <c r="N30" s="1575">
        <f>MEDIAN(N24:N28)</f>
        <v/>
      </c>
      <c r="O30" s="1575">
        <f>MEDIAN(O24:O28)</f>
        <v/>
      </c>
      <c r="P30" s="352" t="n"/>
    </row>
    <row r="31" ht="14.25" customHeight="1">
      <c r="C31" s="1586" t="inlineStr">
        <is>
          <t>EPS TOWR</t>
        </is>
      </c>
      <c r="E31" s="1602">
        <f>E23/E27</f>
        <v/>
      </c>
      <c r="K31" s="1603" t="inlineStr">
        <is>
          <t>Quartile 3</t>
        </is>
      </c>
      <c r="M31" s="361" t="n"/>
      <c r="N31" s="1565">
        <f>_xlfn.QUARTILE.EXC(N24:N28, 3)</f>
        <v/>
      </c>
      <c r="O31" s="1565">
        <f>_xlfn.QUARTILE.EXC(O24:O28, 3)</f>
        <v/>
      </c>
      <c r="P31" s="342" t="n"/>
    </row>
    <row r="32" ht="14.25" customHeight="1">
      <c r="C32" s="1586" t="inlineStr">
        <is>
          <t>BVPS TOWR</t>
        </is>
      </c>
      <c r="E32" s="1602">
        <f>E24/E27</f>
        <v/>
      </c>
      <c r="K32" s="1367" t="inlineStr">
        <is>
          <t>Implied Share Price - Worst Case</t>
        </is>
      </c>
      <c r="L32" s="384" t="n"/>
      <c r="M32" s="384" t="n"/>
      <c r="N32" s="1604">
        <f>(($E$61*N29)-$E$58)/$E$63</f>
        <v/>
      </c>
      <c r="O32" s="1605">
        <f>((O29*M54*1000000)-M46)/M51</f>
        <v/>
      </c>
      <c r="P32" s="386" t="n"/>
    </row>
    <row r="33" ht="14.25" customHeight="1">
      <c r="C33" s="1591" t="inlineStr">
        <is>
          <t>EBITDA per Share</t>
        </is>
      </c>
      <c r="D33" s="372" t="n"/>
      <c r="E33" s="1606">
        <f>E25/E27</f>
        <v/>
      </c>
      <c r="K33" s="1274" t="inlineStr">
        <is>
          <t>Implied Share Price - Base Case</t>
        </is>
      </c>
      <c r="N33" s="1252">
        <f>(($E$61*N30)-$E$58)/$E$63</f>
        <v/>
      </c>
      <c r="O33" s="1607">
        <f>((O30*M54*1000000)-M46)/M51</f>
        <v/>
      </c>
      <c r="P33" s="333" t="n"/>
    </row>
    <row r="34" ht="14.25" customHeight="1">
      <c r="C34" s="1372" t="inlineStr">
        <is>
          <t>*in Rupiah</t>
        </is>
      </c>
      <c r="K34" s="1362" t="inlineStr">
        <is>
          <t>Implied Share Price - Best Case</t>
        </is>
      </c>
      <c r="L34" s="391" t="n"/>
      <c r="M34" s="391" t="n"/>
      <c r="N34" s="1283">
        <f>(($E$61*N31)-$E$58)/$E$63</f>
        <v/>
      </c>
      <c r="O34" s="1283">
        <f>((O31*M54*1000000)-M46)/M51</f>
        <v/>
      </c>
      <c r="P34" s="392" t="n"/>
    </row>
    <row r="35" ht="14.25" customHeight="1">
      <c r="O35" s="1044" t="n"/>
    </row>
    <row r="36" ht="14.25" customHeight="1">
      <c r="O36" s="1044" t="n"/>
    </row>
    <row r="37" ht="14.25" customHeight="1">
      <c r="C37" s="1608" t="inlineStr">
        <is>
          <t>COMPARABLE PEER ANALYSIS (WIFI)</t>
        </is>
      </c>
      <c r="D37" s="1067" t="n"/>
      <c r="E37" s="1067" t="n"/>
      <c r="F37" s="1067" t="n"/>
      <c r="G37" s="1080" t="n"/>
      <c r="O37" s="1044" t="n"/>
    </row>
    <row r="38" ht="14.25" customHeight="1">
      <c r="C38" s="1597" t="inlineStr">
        <is>
          <t>Ticker</t>
        </is>
      </c>
      <c r="D38" s="1598" t="inlineStr">
        <is>
          <t>Company</t>
        </is>
      </c>
      <c r="E38" s="1598" t="inlineStr">
        <is>
          <t>EV/EBITDA (TTM)</t>
        </is>
      </c>
      <c r="F38" s="1598" t="inlineStr">
        <is>
          <t>P/BV (TTM)</t>
        </is>
      </c>
      <c r="G38" s="1609" t="inlineStr">
        <is>
          <t>PE RATIO (TTM)</t>
        </is>
      </c>
    </row>
    <row r="39" ht="14.25" customHeight="1">
      <c r="C39" s="1610" t="inlineStr">
        <is>
          <t>Indonesia Peers</t>
        </is>
      </c>
      <c r="D39" s="394" t="n"/>
      <c r="E39" s="394" t="n"/>
      <c r="F39" s="394" t="n"/>
      <c r="G39" s="395" t="n"/>
      <c r="K39" s="1252" t="inlineStr">
        <is>
          <t>Source:</t>
        </is>
      </c>
    </row>
    <row r="40" ht="14.25" customHeight="1">
      <c r="C40" s="1560" t="inlineStr">
        <is>
          <t>LINK.JK</t>
        </is>
      </c>
      <c r="D40" s="1252" t="inlineStr">
        <is>
          <t>PT Link Net Tbk</t>
        </is>
      </c>
      <c r="E40" s="1561" t="n">
        <v>4.9</v>
      </c>
      <c r="F40" s="1561" t="n">
        <v>1.4</v>
      </c>
      <c r="G40" s="1567" t="inlineStr">
        <is>
          <t>-2.8 x</t>
        </is>
      </c>
      <c r="K40" s="1252" t="inlineStr">
        <is>
          <t>1.https://www.cnbcindonesia.com/market/20220623101848-17-349579/tok-axiata-dan-xl--excl--resmi-caplok-link-net-dari-lippo</t>
        </is>
      </c>
    </row>
    <row r="41" ht="14.25" customHeight="1">
      <c r="C41" s="1560" t="inlineStr">
        <is>
          <t>DATA.JK</t>
        </is>
      </c>
      <c r="D41" s="1252" t="inlineStr">
        <is>
          <t>PT Remala Abadi Tbk</t>
        </is>
      </c>
      <c r="E41" s="1561" t="n">
        <v>12.9</v>
      </c>
      <c r="F41" s="1565" t="inlineStr">
        <is>
          <t>6.40 x</t>
        </is>
      </c>
      <c r="G41" s="1562" t="n">
        <v>20.8</v>
      </c>
      <c r="K41" s="1252" t="inlineStr">
        <is>
          <t>2. https://www.cnbcindonesia.com/market/20241206112118-17-593886/caplok-bisnis-fiber-ptpp-rp650-m-saham-mitratel-ditarget-segini</t>
        </is>
      </c>
    </row>
    <row r="42" ht="14.25" customHeight="1">
      <c r="C42" s="1560" t="inlineStr">
        <is>
          <t>INET</t>
        </is>
      </c>
      <c r="D42" s="1252" t="inlineStr">
        <is>
          <t>PT Sinergi Inti Andalan Prima Tbk</t>
        </is>
      </c>
      <c r="E42" s="1561" t="n">
        <v>64.40000000000001</v>
      </c>
      <c r="F42" s="1561" t="n">
        <v>1.9</v>
      </c>
      <c r="G42" s="1567" t="inlineStr">
        <is>
          <t>189.4 x</t>
        </is>
      </c>
      <c r="K42" s="1252" t="inlineStr">
        <is>
          <t>3.https://www.sec.gov/Archives/edgar/data/20520/000110465924111034/tm2426760d1_ex99-2.htm</t>
        </is>
      </c>
    </row>
    <row r="43" ht="14.25" customHeight="1">
      <c r="C43" s="1560" t="inlineStr">
        <is>
          <t>EDGE</t>
        </is>
      </c>
      <c r="D43" s="1252" t="inlineStr">
        <is>
          <t>PT Jasnita Telekomindo Tbk</t>
        </is>
      </c>
      <c r="E43" s="1561" t="n">
        <v>28.5</v>
      </c>
      <c r="F43" s="1561" t="n">
        <v>5.4</v>
      </c>
      <c r="G43" s="1567" t="inlineStr">
        <is>
          <t>159.4 x</t>
        </is>
      </c>
      <c r="K43" s="1252" t="inlineStr">
        <is>
          <t>4.https://ir.lumen.com/news/news-details/2026/Lumen-Completes-Sale-of-Consumer-Fiber-to-the-Home-Business-to-ATT/default.aspx</t>
        </is>
      </c>
    </row>
    <row r="44" ht="14.25" customHeight="1">
      <c r="C44" s="1610" t="inlineStr">
        <is>
          <t>Regional Peers</t>
        </is>
      </c>
      <c r="D44" s="394" t="n"/>
      <c r="E44" s="394" t="n"/>
      <c r="F44" s="394" t="n"/>
      <c r="G44" s="395" t="n"/>
    </row>
    <row r="45" ht="14.25" customHeight="1">
      <c r="C45" s="1560" t="inlineStr">
        <is>
          <t>CNVRG PM</t>
        </is>
      </c>
      <c r="D45" s="1252" t="inlineStr">
        <is>
          <t>Converage ICT</t>
        </is>
      </c>
      <c r="E45" s="1561" t="n">
        <v>3.8</v>
      </c>
      <c r="F45" s="1561" t="n">
        <v>1.1</v>
      </c>
      <c r="G45" s="1562" t="n">
        <v>6.2</v>
      </c>
      <c r="K45" s="1367" t="inlineStr">
        <is>
          <t>Price/Share - TOWR (21 Agt)</t>
        </is>
      </c>
      <c r="L45" s="384" t="n"/>
      <c r="M45" s="1611">
        <f>E57</f>
        <v/>
      </c>
    </row>
    <row r="46" ht="14.25" customHeight="1">
      <c r="C46" s="1560" t="inlineStr">
        <is>
          <t>NETLINK SP</t>
        </is>
      </c>
      <c r="D46" s="1252" t="inlineStr">
        <is>
          <t>NetLink NBN Trust</t>
        </is>
      </c>
      <c r="E46" s="1561" t="n">
        <v>16.4</v>
      </c>
      <c r="F46" s="1561" t="n">
        <v>1.7</v>
      </c>
      <c r="G46" s="1562" t="n">
        <v>45.8</v>
      </c>
      <c r="K46" s="1274" t="inlineStr">
        <is>
          <t>Net Debt</t>
        </is>
      </c>
      <c r="M46" s="1612">
        <f>-565153097.16*1000</f>
        <v/>
      </c>
    </row>
    <row r="47" ht="14.25" customHeight="1">
      <c r="C47" s="1560" t="inlineStr">
        <is>
          <t>TDC MK</t>
        </is>
      </c>
      <c r="D47" s="1252" t="inlineStr">
        <is>
          <t>TIME dotCom</t>
        </is>
      </c>
      <c r="E47" s="1561" t="n">
        <v>12.7</v>
      </c>
      <c r="F47" s="1561" t="n">
        <v>3.9</v>
      </c>
      <c r="G47" s="1562" t="n">
        <v>25.5</v>
      </c>
      <c r="K47" s="1274" t="inlineStr">
        <is>
          <t>Net Profit WIFI</t>
        </is>
      </c>
      <c r="M47" s="1612">
        <f>E59</f>
        <v/>
      </c>
    </row>
    <row r="48" ht="14.25" customHeight="1">
      <c r="C48" s="1572" t="inlineStr">
        <is>
          <t>Quartile 1 - Worst Case</t>
        </is>
      </c>
      <c r="D48" s="345" t="n"/>
      <c r="E48" s="1570">
        <f>_xlfn.QUARTILE.INC(E40:E47, 1)</f>
        <v/>
      </c>
      <c r="F48" s="1570">
        <f>_xlfn.QUARTILE.INC(F40:F47, 1)</f>
        <v/>
      </c>
      <c r="G48" s="1573">
        <f>_xlfn.QUARTILE.INC(G40:G47, 1)</f>
        <v/>
      </c>
      <c r="K48" s="1274" t="inlineStr">
        <is>
          <t>Book Value WIFI</t>
        </is>
      </c>
      <c r="M48" s="1612">
        <f>E60</f>
        <v/>
      </c>
    </row>
    <row r="49" ht="14.25" customHeight="1">
      <c r="C49" s="1577" t="inlineStr">
        <is>
          <t>Median - Base Case</t>
        </is>
      </c>
      <c r="D49" s="354" t="n"/>
      <c r="E49" s="1578">
        <f>MEDIAN(E40:E47)</f>
        <v/>
      </c>
      <c r="F49" s="1578">
        <f>MEDIAN(F40:F47)</f>
        <v/>
      </c>
      <c r="G49" s="1579">
        <f>MEDIAN(G40:G47)</f>
        <v/>
      </c>
      <c r="K49" s="1274" t="inlineStr">
        <is>
          <t>EBITDA WIFI</t>
        </is>
      </c>
      <c r="M49" s="1612">
        <f>E61</f>
        <v/>
      </c>
    </row>
    <row r="50" ht="14.25" customHeight="1">
      <c r="C50" s="1583" t="inlineStr">
        <is>
          <t>Quartile 3 - Best Case</t>
        </is>
      </c>
      <c r="D50" s="361" t="n"/>
      <c r="E50" s="1565">
        <f>_xlfn.QUARTILE.INC(E40:E47, 3)</f>
        <v/>
      </c>
      <c r="F50" s="1565">
        <f>_xlfn.QUARTILE.INC(F40:F47, 3)</f>
        <v/>
      </c>
      <c r="G50" s="1567">
        <f>_xlfn.QUARTILE.INC(G40:G47, 3)</f>
        <v/>
      </c>
      <c r="K50" s="1274" t="inlineStr">
        <is>
          <t>Revenue WIFI</t>
        </is>
      </c>
      <c r="M50" s="1612">
        <f>E62</f>
        <v/>
      </c>
    </row>
    <row r="51" ht="14.25" customHeight="1">
      <c r="C51" s="1584" t="inlineStr">
        <is>
          <t>Mean</t>
        </is>
      </c>
      <c r="D51" s="357" t="n"/>
      <c r="E51" s="1581">
        <f>_xlfn.QUARTILE.INC(E40:E47, 3)</f>
        <v/>
      </c>
      <c r="F51" s="1581">
        <f>_xlfn.QUARTILE.INC(F40:F47, 3)</f>
        <v/>
      </c>
      <c r="G51" s="1585">
        <f>_xlfn.QUARTILE.INC(G40:G47, 3)</f>
        <v/>
      </c>
      <c r="K51" s="1274" t="inlineStr">
        <is>
          <t>Shares Outstanding</t>
        </is>
      </c>
      <c r="M51" s="1612">
        <f>E63</f>
        <v/>
      </c>
    </row>
    <row r="52" ht="14.25" customHeight="1">
      <c r="C52" s="1586" t="inlineStr">
        <is>
          <t>WIFI</t>
        </is>
      </c>
      <c r="E52" s="1565">
        <f>E65/E61</f>
        <v/>
      </c>
      <c r="F52" s="1565">
        <f>E57/(E60/E63)</f>
        <v/>
      </c>
      <c r="G52" s="1567">
        <f>E57/(E59/E63)</f>
        <v/>
      </c>
      <c r="K52" s="1274" t="inlineStr">
        <is>
          <t>Market Cap WIFI</t>
        </is>
      </c>
      <c r="M52" s="1612">
        <f>E64</f>
        <v/>
      </c>
    </row>
    <row r="53" ht="14.25" customHeight="1">
      <c r="C53" s="1587" t="inlineStr">
        <is>
          <t>Implied Share Price - Worst Case</t>
        </is>
      </c>
      <c r="D53" s="398" t="n"/>
      <c r="E53" s="1613">
        <f>(($E$61*E48)-$E$58)/$E$63</f>
        <v/>
      </c>
      <c r="F53" s="1613">
        <f>F48*$E$68</f>
        <v/>
      </c>
      <c r="G53" s="1614">
        <f>G48*$E$67</f>
        <v/>
      </c>
      <c r="K53" s="1274" t="inlineStr">
        <is>
          <t>Enterprise Value WIFI</t>
        </is>
      </c>
      <c r="M53" s="1612">
        <f>E65</f>
        <v/>
      </c>
    </row>
    <row r="54" ht="14.25" customHeight="1">
      <c r="C54" s="1586" t="inlineStr">
        <is>
          <t>Implied Share Price - Base Case</t>
        </is>
      </c>
      <c r="D54" s="401" t="n"/>
      <c r="E54" s="1615">
        <f>(($E$61*E49)-$E$58)/$E$63</f>
        <v/>
      </c>
      <c r="F54" s="1615">
        <f>F49*$E$68</f>
        <v/>
      </c>
      <c r="G54" s="1616">
        <f>G49*$E$67</f>
        <v/>
      </c>
      <c r="K54" s="1274" t="inlineStr">
        <is>
          <t>Homepass WIFI</t>
        </is>
      </c>
      <c r="M54" s="1617" t="n">
        <v>2500000</v>
      </c>
    </row>
    <row r="55" ht="14.25" customHeight="1">
      <c r="C55" s="1591" t="inlineStr">
        <is>
          <t>Implied Share Price - Best Case</t>
        </is>
      </c>
      <c r="D55" s="404" t="n"/>
      <c r="E55" s="1618">
        <f>(($E$61*E50)-$E$58)/$E$63</f>
        <v/>
      </c>
      <c r="F55" s="1618">
        <f>F50*$E$68</f>
        <v/>
      </c>
      <c r="G55" s="1619">
        <f>G50*$E$67</f>
        <v/>
      </c>
      <c r="K55" s="1274" t="inlineStr">
        <is>
          <t>EPS WIFI</t>
        </is>
      </c>
      <c r="M55" s="1612">
        <f>E67</f>
        <v/>
      </c>
    </row>
    <row r="56" ht="14.25" customHeight="1">
      <c r="F56" s="375" t="n"/>
      <c r="G56" s="375" t="n"/>
      <c r="K56" s="1274" t="inlineStr">
        <is>
          <t>BVPS WIFI</t>
        </is>
      </c>
      <c r="M56" s="1612">
        <f>E68</f>
        <v/>
      </c>
    </row>
    <row r="57" ht="14.25" customHeight="1">
      <c r="C57" s="1587" t="inlineStr">
        <is>
          <t>Price/Share - TOWR (21 Agt)</t>
        </is>
      </c>
      <c r="D57" s="367" t="n"/>
      <c r="E57" s="1594" t="n">
        <v>2090</v>
      </c>
      <c r="K57" s="1362" t="inlineStr">
        <is>
          <t>EBITDA per Share</t>
        </is>
      </c>
      <c r="L57" s="391" t="n"/>
      <c r="M57" s="1620">
        <f>E69</f>
        <v/>
      </c>
    </row>
    <row r="58" ht="14.25" customHeight="1">
      <c r="C58" s="1586" t="inlineStr">
        <is>
          <t>Net Debt</t>
        </is>
      </c>
      <c r="E58" s="1621">
        <f>-565153097.16*1000</f>
        <v/>
      </c>
    </row>
    <row r="59" ht="14.25" customHeight="1">
      <c r="C59" s="1586" t="inlineStr">
        <is>
          <t>Net Profit WIFI</t>
        </is>
      </c>
      <c r="E59" s="1621">
        <f>408551231.77*1000</f>
        <v/>
      </c>
    </row>
    <row r="60" ht="14.25" customHeight="1">
      <c r="C60" s="1586" t="inlineStr">
        <is>
          <t>Book Value WIFI</t>
        </is>
      </c>
      <c r="E60" s="1621">
        <f>7299442709.11*1000</f>
        <v/>
      </c>
    </row>
    <row r="61" ht="14.25" customHeight="1">
      <c r="C61" s="1586" t="inlineStr">
        <is>
          <t>EBITDA WIFI</t>
        </is>
      </c>
      <c r="E61" s="1621">
        <f>1106232966.57*1000</f>
        <v/>
      </c>
    </row>
    <row r="62" ht="14.25" customHeight="1">
      <c r="C62" s="1586" t="inlineStr">
        <is>
          <t>Revenue WIFI</t>
        </is>
      </c>
      <c r="E62" s="1621">
        <f>1659396069.86*1000</f>
        <v/>
      </c>
    </row>
    <row r="63" ht="14.25" customHeight="1">
      <c r="C63" s="1586" t="inlineStr">
        <is>
          <t>Shares Outstanding</t>
        </is>
      </c>
      <c r="E63" s="1601">
        <f>5308549015</f>
        <v/>
      </c>
    </row>
    <row r="64" ht="14.25" customHeight="1">
      <c r="C64" s="1586" t="inlineStr">
        <is>
          <t>Market Cap WIFI</t>
        </is>
      </c>
      <c r="E64" s="1601">
        <f>E63*E57</f>
        <v/>
      </c>
    </row>
    <row r="65" ht="14.25" customHeight="1">
      <c r="C65" s="1586" t="inlineStr">
        <is>
          <t>Enterprise Value WIFI</t>
        </is>
      </c>
      <c r="E65" s="1601">
        <f>E64-E58</f>
        <v/>
      </c>
    </row>
    <row r="66" ht="14.25" customHeight="1">
      <c r="C66" s="365" t="n"/>
      <c r="E66" s="382" t="n"/>
    </row>
    <row r="67" ht="14.25" customHeight="1">
      <c r="C67" s="1586" t="inlineStr">
        <is>
          <t>EPS WIFI</t>
        </is>
      </c>
      <c r="E67" s="1602">
        <f>E59/E63</f>
        <v/>
      </c>
    </row>
    <row r="68" ht="14.25" customHeight="1">
      <c r="C68" s="1586" t="inlineStr">
        <is>
          <t>BVPS WIFI</t>
        </is>
      </c>
      <c r="E68" s="1602">
        <f>E60/E63</f>
        <v/>
      </c>
    </row>
    <row r="69" ht="14.25" customHeight="1">
      <c r="C69" s="1591" t="inlineStr">
        <is>
          <t>EBITDA per Share</t>
        </is>
      </c>
      <c r="D69" s="372" t="n"/>
      <c r="E69" s="1606">
        <f>E61/E63</f>
        <v/>
      </c>
    </row>
    <row r="70" ht="14.25" customHeight="1">
      <c r="C70" s="1372" t="inlineStr">
        <is>
          <t>*in Rupiah</t>
        </is>
      </c>
    </row>
  </sheetData>
  <mergeCells count="16">
    <mergeCell ref="K2:P2"/>
    <mergeCell ref="K29:L29"/>
    <mergeCell ref="C4:G4"/>
    <mergeCell ref="K11:L11"/>
    <mergeCell ref="K30:L30"/>
    <mergeCell ref="K9:P9"/>
    <mergeCell ref="K12:L12"/>
    <mergeCell ref="C2:G2"/>
    <mergeCell ref="K4:P4"/>
    <mergeCell ref="C37:G37"/>
    <mergeCell ref="K23:P23"/>
    <mergeCell ref="K21:P21"/>
    <mergeCell ref="K26:P26"/>
    <mergeCell ref="K31:L31"/>
    <mergeCell ref="K13:L13"/>
    <mergeCell ref="C9:G9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34"/>
  <sheetViews>
    <sheetView topLeftCell="B156" zoomScale="70" zoomScaleNormal="70" workbookViewId="0">
      <selection activeCell="M52" sqref="M52"/>
    </sheetView>
  </sheetViews>
  <sheetFormatPr baseColWidth="8" defaultColWidth="8.85546875" defaultRowHeight="15" outlineLevelRow="1"/>
  <cols>
    <col width="70.28515625" customWidth="1" style="408" min="1" max="1"/>
    <col width="25.5703125" customWidth="1" style="408" min="2" max="2"/>
    <col width="23.7109375" customWidth="1" style="408" min="3" max="3"/>
    <col width="20.28515625" customWidth="1" style="408" min="4" max="10"/>
    <col width="20.42578125" customWidth="1" style="408" min="11" max="11"/>
    <col width="22.42578125" customWidth="1" style="408" min="12" max="12"/>
    <col width="20.28515625" customWidth="1" style="408" min="13" max="13"/>
    <col width="8.85546875" customWidth="1" style="408" min="14" max="16384"/>
  </cols>
  <sheetData>
    <row r="1" ht="15" customHeight="1">
      <c r="A1" s="1622" t="inlineStr">
        <is>
          <t>TOWR | Financial Model</t>
        </is>
      </c>
      <c r="C1" s="1623" t="inlineStr">
        <is>
          <t>Historical Period</t>
        </is>
      </c>
      <c r="H1" s="1624" t="inlineStr">
        <is>
          <t>Forecast Period</t>
        </is>
      </c>
    </row>
    <row r="2" ht="15" customHeight="1">
      <c r="C2" s="1452" t="n">
        <v>2021</v>
      </c>
      <c r="D2" s="1452" t="n">
        <v>2022</v>
      </c>
      <c r="E2" s="1452" t="n">
        <v>2023</v>
      </c>
      <c r="F2" s="1452" t="n">
        <v>2024</v>
      </c>
      <c r="G2" s="1452" t="n">
        <v>2025</v>
      </c>
      <c r="H2" s="1625" t="n">
        <v>2026</v>
      </c>
      <c r="I2" s="1625" t="n">
        <v>2027</v>
      </c>
      <c r="J2" s="1625" t="n">
        <v>2028</v>
      </c>
      <c r="K2" s="1625" t="n">
        <v>2029</v>
      </c>
      <c r="L2" s="1625" t="n">
        <v>2030</v>
      </c>
    </row>
    <row r="3" ht="17.25" customFormat="1" customHeight="1" s="412">
      <c r="A3" s="1626" t="inlineStr">
        <is>
          <t>End of Period</t>
        </is>
      </c>
      <c r="C3" s="1627" t="n">
        <v>44561</v>
      </c>
      <c r="D3" s="1628">
        <f>EOMONTH(C3,12)</f>
        <v/>
      </c>
      <c r="E3" s="1628">
        <f>EOMONTH(D3,12)</f>
        <v/>
      </c>
      <c r="F3" s="1628">
        <f>EOMONTH(E3,12)</f>
        <v/>
      </c>
      <c r="G3" s="1628">
        <f>EOMONTH(F3,12)</f>
        <v/>
      </c>
      <c r="H3" s="1628">
        <f>EOMONTH(G3,12)</f>
        <v/>
      </c>
      <c r="I3" s="1628">
        <f>EOMONTH(H3,12)</f>
        <v/>
      </c>
      <c r="J3" s="1628">
        <f>EOMONTH(I3,12)</f>
        <v/>
      </c>
      <c r="K3" s="1628">
        <f>EOMONTH(J3,12)</f>
        <v/>
      </c>
      <c r="L3" s="1628">
        <f>EOMONTH(K3,12)</f>
        <v/>
      </c>
      <c r="O3" s="414" t="n"/>
      <c r="P3" s="415" t="n"/>
    </row>
    <row r="4" ht="17.25" customFormat="1" customHeight="1" s="412">
      <c r="A4" s="1626" t="inlineStr">
        <is>
          <t>Days in Period</t>
        </is>
      </c>
      <c r="C4" s="1629" t="n">
        <v>365</v>
      </c>
      <c r="D4" s="1630">
        <f>D3-C3</f>
        <v/>
      </c>
      <c r="E4" s="1630">
        <f>E3-D3</f>
        <v/>
      </c>
      <c r="F4" s="1630">
        <f>F3-E3</f>
        <v/>
      </c>
      <c r="G4" s="1630">
        <f>G3-F3</f>
        <v/>
      </c>
      <c r="H4" s="1630">
        <f>H3-G3</f>
        <v/>
      </c>
      <c r="I4" s="1630">
        <f>I3-H3</f>
        <v/>
      </c>
      <c r="J4" s="1630">
        <f>J3-I3</f>
        <v/>
      </c>
      <c r="K4" s="1630">
        <f>K3-J3</f>
        <v/>
      </c>
      <c r="L4" s="1630">
        <f>L3-K3</f>
        <v/>
      </c>
      <c r="O4" s="417" t="n"/>
      <c r="P4" s="415" t="n"/>
    </row>
    <row r="5" ht="15" customHeight="1">
      <c r="A5" s="884" t="n"/>
    </row>
    <row r="6" ht="25.5" customHeight="1">
      <c r="A6" s="1631" t="inlineStr">
        <is>
          <t>Assumptions</t>
        </is>
      </c>
      <c r="B6" s="1632" t="n"/>
      <c r="C6" s="1632" t="n"/>
      <c r="D6" s="1632" t="n"/>
      <c r="E6" s="1632" t="n"/>
      <c r="F6" s="1632" t="n"/>
      <c r="G6" s="1632" t="n"/>
      <c r="H6" s="1632" t="n"/>
      <c r="I6" s="1632" t="n"/>
      <c r="J6" s="1632" t="n"/>
      <c r="K6" s="1632" t="n"/>
      <c r="L6" s="1632" t="n"/>
      <c r="M6" s="419" t="n"/>
    </row>
    <row r="7" ht="15" customHeight="1">
      <c r="A7" s="880" t="n"/>
      <c r="D7" s="1086" t="n"/>
      <c r="E7" s="1086" t="n"/>
      <c r="F7" s="1086" t="n"/>
      <c r="G7" s="1086" t="n"/>
      <c r="H7" s="1086" t="n"/>
      <c r="I7" s="421" t="n"/>
      <c r="J7" s="421" t="n"/>
      <c r="K7" s="421" t="n"/>
      <c r="L7" s="421" t="n"/>
      <c r="M7" s="421" t="n"/>
    </row>
    <row r="8" ht="22.5" customFormat="1" customHeight="1" s="1087">
      <c r="A8" s="1633" t="inlineStr">
        <is>
          <t>Scenario Switch</t>
        </is>
      </c>
      <c r="B8" s="1634" t="n">
        <v>2</v>
      </c>
      <c r="C8" s="1635" t="inlineStr">
        <is>
          <t>=CHOOSE($B$8."BEAR (konservatif)"."BASE"."BULL (agresif)")</t>
        </is>
      </c>
    </row>
    <row r="9" ht="15" customFormat="1" customHeight="1" s="1087"/>
    <row r="10" ht="15" customFormat="1" customHeight="1" s="1087">
      <c r="A10" s="1636" t="inlineStr">
        <is>
          <t>Lever</t>
        </is>
      </c>
      <c r="B10" s="1637" t="inlineStr">
        <is>
          <t>Unit</t>
        </is>
      </c>
      <c r="C10" s="1638" t="inlineStr">
        <is>
          <t>Bear</t>
        </is>
      </c>
      <c r="D10" s="1638" t="inlineStr">
        <is>
          <t>Base</t>
        </is>
      </c>
      <c r="E10" s="1638" t="inlineStr">
        <is>
          <t>Bull</t>
        </is>
      </c>
      <c r="F10" s="1639" t="inlineStr">
        <is>
          <t>Active</t>
        </is>
      </c>
    </row>
    <row r="11" ht="15" customFormat="1" customHeight="1" s="1087">
      <c r="A11" s="1640" t="inlineStr">
        <is>
          <t>XLSmart overlap / at-risk rate</t>
        </is>
      </c>
      <c r="B11" s="1641" t="inlineStr">
        <is>
          <t>% of XLS tenancy</t>
        </is>
      </c>
      <c r="C11" s="1642" t="n">
        <v>0.18</v>
      </c>
      <c r="D11" s="1642" t="n">
        <v>0.12</v>
      </c>
      <c r="E11" s="1642" t="n">
        <v>0.06</v>
      </c>
      <c r="F11" s="1643">
        <f>CHOOSE($B$8,C11,D11,E11)</f>
        <v/>
      </c>
    </row>
    <row r="12" ht="15" customFormat="1" customHeight="1" s="1087">
      <c r="A12" s="1640" t="inlineStr">
        <is>
          <t>5G densification rate (volume)</t>
        </is>
      </c>
      <c r="B12" s="1641" t="inlineStr">
        <is>
          <t>% tower/yr</t>
        </is>
      </c>
      <c r="C12" s="1644" t="n">
        <v>0</v>
      </c>
      <c r="D12" s="1644" t="n">
        <v>0.011</v>
      </c>
      <c r="E12" s="1644" t="n">
        <v>0.028</v>
      </c>
      <c r="F12" s="1643">
        <f>CHOOSE($B$8,C12,D12,E12)</f>
        <v/>
      </c>
    </row>
    <row r="13" ht="15" customFormat="1" customHeight="1" s="1087">
      <c r="A13" s="1640" t="inlineStr">
        <is>
          <t>XLSmart renegotiation pressure</t>
        </is>
      </c>
      <c r="B13" s="1641" t="inlineStr">
        <is>
          <t>%/yr</t>
        </is>
      </c>
      <c r="C13" s="1644" t="n">
        <v>-0.025</v>
      </c>
      <c r="D13" s="1644" t="n">
        <v>-0.018</v>
      </c>
      <c r="E13" s="1644" t="n">
        <v>-0.01</v>
      </c>
      <c r="F13" s="1643">
        <f>CHOOSE($B$8,C13,D13,E13)</f>
        <v/>
      </c>
    </row>
    <row r="14" ht="15" customFormat="1" customHeight="1" s="1087">
      <c r="A14" s="1640" t="inlineStr">
        <is>
          <t>5G amendment uplift</t>
        </is>
      </c>
      <c r="B14" s="1641" t="inlineStr">
        <is>
          <t>%/yr</t>
        </is>
      </c>
      <c r="C14" s="1644" t="n">
        <v>0.005</v>
      </c>
      <c r="D14" s="1644" t="n">
        <v>0.013</v>
      </c>
      <c r="E14" s="1644" t="n">
        <v>0.025</v>
      </c>
      <c r="F14" s="1643">
        <f>CHOOSE($B$8,C14,D14,E14)</f>
        <v/>
      </c>
    </row>
    <row r="15" ht="15" customHeight="1">
      <c r="A15" s="1645" t="inlineStr">
        <is>
          <t>Fiber lease / FTTT growth</t>
        </is>
      </c>
      <c r="B15" s="1641" t="inlineStr">
        <is>
          <t>%/yr</t>
        </is>
      </c>
      <c r="C15" s="1644" t="n">
        <v>0.03</v>
      </c>
      <c r="D15" s="1644" t="n">
        <v>0.08</v>
      </c>
      <c r="E15" s="1644" t="n">
        <v>0.14</v>
      </c>
      <c r="F15" s="1643">
        <f>CHOOSE($B$8,C15,D15,E15)</f>
        <v/>
      </c>
      <c r="G15" s="436" t="n"/>
      <c r="H15" s="436" t="n"/>
      <c r="I15" s="437" t="n"/>
      <c r="J15" s="437" t="n"/>
      <c r="K15" s="437" t="n"/>
      <c r="L15" s="437" t="n"/>
      <c r="M15" s="437" t="n"/>
    </row>
    <row r="16" ht="15" customHeight="1">
      <c r="A16" s="1646" t="inlineStr">
        <is>
          <t>Other connectivity growth</t>
        </is>
      </c>
      <c r="B16" s="1647" t="inlineStr">
        <is>
          <t>%/yr</t>
        </is>
      </c>
      <c r="C16" s="1648" t="n">
        <v>0.1</v>
      </c>
      <c r="D16" s="1648" t="n">
        <v>0.15</v>
      </c>
      <c r="E16" s="1648" t="n">
        <v>0.2</v>
      </c>
      <c r="F16" s="1643">
        <f>CHOOSE($B$8,C16,D16,E16)</f>
        <v/>
      </c>
      <c r="G16" s="436" t="n"/>
      <c r="H16" s="436" t="n"/>
      <c r="I16" s="437" t="n"/>
      <c r="J16" s="437" t="n"/>
      <c r="K16" s="437" t="n"/>
      <c r="L16" s="437" t="n"/>
      <c r="M16" s="437" t="n"/>
    </row>
    <row r="17" ht="15" customFormat="1" customHeight="1" s="1087">
      <c r="B17" s="1101" t="n"/>
      <c r="C17" s="442" t="n"/>
      <c r="D17" s="442" t="n"/>
      <c r="E17" s="442" t="n"/>
    </row>
    <row r="18" ht="15" customFormat="1" customHeight="1" s="1087">
      <c r="A18" s="1636" t="inlineStr">
        <is>
          <t>Other Inputs</t>
        </is>
      </c>
      <c r="B18" s="1649" t="n"/>
      <c r="C18" s="1650" t="n"/>
      <c r="D18" s="442" t="n"/>
      <c r="E18" s="442" t="n"/>
    </row>
    <row r="19" ht="15" customFormat="1" customHeight="1" s="1087">
      <c r="A19" s="1640" t="inlineStr">
        <is>
          <t>Tower site growth</t>
        </is>
      </c>
      <c r="B19" s="1651" t="inlineStr">
        <is>
          <t>%/yr</t>
        </is>
      </c>
      <c r="C19" s="1652" t="n">
        <v>0.015</v>
      </c>
      <c r="D19" s="442" t="n"/>
      <c r="E19" s="442" t="n"/>
    </row>
    <row r="20" ht="15" customFormat="1" customHeight="1" s="1087">
      <c r="A20" s="1640" t="inlineStr">
        <is>
          <t>XLSmart share of tenants (2025)</t>
        </is>
      </c>
      <c r="B20" s="1651" t="inlineStr">
        <is>
          <t>%</t>
        </is>
      </c>
      <c r="C20" s="1652" t="n">
        <v>0.478</v>
      </c>
      <c r="D20" s="442" t="n"/>
      <c r="E20" s="442" t="n"/>
    </row>
    <row r="21" ht="15" customFormat="1" customHeight="1" s="1087">
      <c r="A21" s="1640" t="inlineStr">
        <is>
          <t>Baseline organic churn (non-XLS)</t>
        </is>
      </c>
      <c r="B21" s="1651" t="inlineStr">
        <is>
          <t>%/yr</t>
        </is>
      </c>
      <c r="C21" s="1652" t="n">
        <v>0.01</v>
      </c>
      <c r="D21" s="442" t="n"/>
      <c r="E21" s="442" t="n"/>
    </row>
    <row r="22" ht="15" customHeight="1">
      <c r="A22" s="1640" t="inlineStr">
        <is>
          <t>Capex for new tower (Industry Benchmark)</t>
        </is>
      </c>
      <c r="B22" s="1651" t="inlineStr">
        <is>
          <t>Rp .000 / tower</t>
        </is>
      </c>
      <c r="C22" s="1653" t="n">
        <v>1250000</v>
      </c>
      <c r="D22" s="436" t="n"/>
      <c r="E22" s="436" t="n"/>
      <c r="F22" s="436" t="n"/>
      <c r="G22" s="436" t="n"/>
      <c r="H22" s="436" t="n"/>
      <c r="I22" s="449" t="n"/>
      <c r="J22" s="449" t="n"/>
      <c r="K22" s="449" t="n"/>
      <c r="L22" s="449" t="n"/>
      <c r="M22" s="449" t="n"/>
    </row>
    <row r="23" ht="15" customHeight="1">
      <c r="A23" s="1640" t="inlineStr">
        <is>
          <t>Capex for FTTH</t>
        </is>
      </c>
      <c r="B23" s="1651" t="inlineStr">
        <is>
          <t>% of FTTH Revenue</t>
        </is>
      </c>
      <c r="C23" s="1654" t="n">
        <v>0.3</v>
      </c>
      <c r="D23" s="451" t="n"/>
      <c r="E23" s="451" t="n"/>
      <c r="F23" s="451" t="n"/>
      <c r="G23" s="451" t="n"/>
      <c r="H23" s="451" t="n"/>
      <c r="I23" s="452" t="n"/>
      <c r="J23" s="452" t="n"/>
      <c r="K23" s="452" t="n"/>
      <c r="L23" s="452" t="n"/>
      <c r="M23" s="452" t="n"/>
    </row>
    <row r="24" ht="15" customHeight="1">
      <c r="A24" s="1655" t="inlineStr">
        <is>
          <t>Tax Rate</t>
        </is>
      </c>
      <c r="B24" s="454" t="n"/>
      <c r="C24" s="1656" t="n">
        <v>0.22</v>
      </c>
      <c r="D24" s="436" t="n"/>
      <c r="E24" s="436" t="n"/>
      <c r="F24" s="436" t="n"/>
      <c r="G24" s="436" t="n"/>
      <c r="H24" s="436" t="n"/>
      <c r="I24" s="437" t="n"/>
      <c r="J24" s="437" t="n"/>
      <c r="K24" s="437" t="n"/>
      <c r="L24" s="437" t="n"/>
      <c r="M24" s="437" t="n"/>
    </row>
    <row r="25" ht="15" customHeight="1">
      <c r="A25" s="456" t="n"/>
      <c r="B25" s="456" t="n"/>
      <c r="C25" s="456" t="n"/>
      <c r="D25" s="436" t="n"/>
      <c r="E25" s="436" t="n"/>
      <c r="F25" s="436" t="n"/>
      <c r="G25" s="436" t="n"/>
      <c r="H25" s="436" t="n"/>
      <c r="I25" s="437" t="n"/>
      <c r="J25" s="437" t="n"/>
      <c r="K25" s="437" t="n"/>
      <c r="L25" s="437" t="n"/>
      <c r="M25" s="437" t="n"/>
    </row>
    <row r="26" ht="15" customHeight="1">
      <c r="A26" s="880" t="n"/>
      <c r="I26" s="457" t="n"/>
      <c r="J26" s="457" t="n"/>
      <c r="K26" s="457" t="n"/>
      <c r="L26" s="457" t="n"/>
      <c r="M26" s="457" t="n"/>
    </row>
    <row r="29" ht="25.5" customHeight="1">
      <c r="A29" s="1631" t="inlineStr">
        <is>
          <t>Income Statement (In Thousands Rupiah)</t>
        </is>
      </c>
      <c r="B29" s="1632" t="n"/>
      <c r="C29" s="1632" t="n"/>
      <c r="D29" s="1632" t="n"/>
      <c r="E29" s="1632" t="n"/>
      <c r="F29" s="1632" t="n"/>
      <c r="G29" s="1632" t="n"/>
      <c r="H29" s="1632" t="n"/>
      <c r="I29" s="1632" t="n"/>
      <c r="J29" s="1632" t="n"/>
      <c r="K29" s="1632" t="n"/>
      <c r="L29" s="1632" t="n"/>
    </row>
    <row r="30" outlineLevel="1" ht="15" customHeight="1">
      <c r="A30" s="1657" t="inlineStr">
        <is>
          <t>Revenue</t>
        </is>
      </c>
      <c r="C30" s="1658">
        <f>'SOURCE TOWR Income Statement'!C21</f>
        <v/>
      </c>
      <c r="D30" s="1658">
        <f>'SOURCE TOWR Income Statement'!D21</f>
        <v/>
      </c>
      <c r="E30" s="1658">
        <f>'SOURCE TOWR Income Statement'!E21</f>
        <v/>
      </c>
      <c r="F30" s="1658">
        <f>'SOURCE TOWR Income Statement'!F21</f>
        <v/>
      </c>
      <c r="G30" s="1659">
        <f>'SOURCE TOWR Income Statement'!G21</f>
        <v/>
      </c>
      <c r="H30" s="1660">
        <f>H163</f>
        <v/>
      </c>
      <c r="I30" s="1660">
        <f>I163</f>
        <v/>
      </c>
      <c r="J30" s="1660">
        <f>J163</f>
        <v/>
      </c>
      <c r="K30" s="1660">
        <f>K163</f>
        <v/>
      </c>
      <c r="L30" s="1660">
        <f>L163</f>
        <v/>
      </c>
    </row>
    <row r="31" outlineLevel="1" ht="15" customHeight="1">
      <c r="A31" s="1661">
        <f>A40</f>
        <v/>
      </c>
      <c r="C31" s="1662">
        <f>-C40</f>
        <v/>
      </c>
      <c r="D31" s="1662">
        <f>-D40</f>
        <v/>
      </c>
      <c r="E31" s="1662">
        <f>-E40</f>
        <v/>
      </c>
      <c r="F31" s="1662">
        <f>-F40</f>
        <v/>
      </c>
      <c r="G31" s="1663">
        <f>-G40</f>
        <v/>
      </c>
      <c r="H31" s="1660">
        <f>H167</f>
        <v/>
      </c>
      <c r="I31" s="1660">
        <f>I167</f>
        <v/>
      </c>
      <c r="J31" s="1660">
        <f>J167</f>
        <v/>
      </c>
      <c r="K31" s="1660">
        <f>K167</f>
        <v/>
      </c>
      <c r="L31" s="1660">
        <f>L167</f>
        <v/>
      </c>
    </row>
    <row r="32" outlineLevel="1" ht="15" customHeight="1">
      <c r="A32" s="1664" t="inlineStr">
        <is>
          <t>Other cost of revenues</t>
        </is>
      </c>
      <c r="B32" s="462" t="n"/>
      <c r="C32" s="1665">
        <f>-'SOURCE TOWR Income Statement'!C48</f>
        <v/>
      </c>
      <c r="D32" s="1665">
        <f>-'SOURCE TOWR Income Statement'!D48</f>
        <v/>
      </c>
      <c r="E32" s="1665">
        <f>-'SOURCE TOWR Income Statement'!E48</f>
        <v/>
      </c>
      <c r="F32" s="1665">
        <f>-'SOURCE TOWR Income Statement'!F48</f>
        <v/>
      </c>
      <c r="G32" s="1666">
        <f>-'SOURCE TOWR Income Statement'!G48</f>
        <v/>
      </c>
      <c r="H32" s="1667">
        <f>H169</f>
        <v/>
      </c>
      <c r="I32" s="1667">
        <f>I169</f>
        <v/>
      </c>
      <c r="J32" s="1667">
        <f>J169</f>
        <v/>
      </c>
      <c r="K32" s="1667">
        <f>K169</f>
        <v/>
      </c>
      <c r="L32" s="1667">
        <f>L169</f>
        <v/>
      </c>
    </row>
    <row r="33" outlineLevel="1" ht="15" customFormat="1" customHeight="1" s="458">
      <c r="A33" s="1657" t="inlineStr">
        <is>
          <t>Gross Profit</t>
        </is>
      </c>
      <c r="C33" s="1668">
        <f>SUM(C30:C32)</f>
        <v/>
      </c>
      <c r="D33" s="1668">
        <f>SUM(D30:D32)</f>
        <v/>
      </c>
      <c r="E33" s="1668">
        <f>SUM(E30:E32)</f>
        <v/>
      </c>
      <c r="F33" s="1668">
        <f>SUM(F30:F32)</f>
        <v/>
      </c>
      <c r="G33" s="1669">
        <f>SUM(G30:G32)</f>
        <v/>
      </c>
      <c r="H33" s="1668">
        <f>SUM(H30:H32)</f>
        <v/>
      </c>
      <c r="I33" s="1668">
        <f>SUM(I30:I32)</f>
        <v/>
      </c>
      <c r="J33" s="1668">
        <f>SUM(J30:J32)</f>
        <v/>
      </c>
      <c r="K33" s="1668">
        <f>SUM(K30:K32)</f>
        <v/>
      </c>
      <c r="L33" s="1668">
        <f>SUM(L30:L32)</f>
        <v/>
      </c>
    </row>
    <row r="34" outlineLevel="1" ht="15" customHeight="1">
      <c r="A34" s="458" t="n"/>
      <c r="C34" s="1113" t="n"/>
      <c r="D34" s="1113" t="n"/>
      <c r="E34" s="1113" t="n"/>
      <c r="F34" s="1113" t="n"/>
      <c r="G34" s="1114" t="n"/>
    </row>
    <row r="35" outlineLevel="1" ht="15" customHeight="1">
      <c r="A35" s="1657" t="inlineStr">
        <is>
          <t xml:space="preserve">Operating Expenses </t>
        </is>
      </c>
      <c r="C35" s="1113" t="n"/>
      <c r="D35" s="1113" t="n"/>
      <c r="E35" s="1113" t="n"/>
      <c r="F35" s="1113" t="n"/>
      <c r="G35" s="1114" t="n"/>
    </row>
    <row r="36" outlineLevel="1" ht="15" customHeight="1">
      <c r="A36" s="1661" t="inlineStr">
        <is>
          <t>Selling. General &amp; Administrative Expense</t>
        </is>
      </c>
      <c r="C36" s="1658">
        <f>-'SOURCE TOWR Income Statement'!C65</f>
        <v/>
      </c>
      <c r="D36" s="1658">
        <f>-'SOURCE TOWR Income Statement'!D65</f>
        <v/>
      </c>
      <c r="E36" s="1658">
        <f>-'SOURCE TOWR Income Statement'!E65</f>
        <v/>
      </c>
      <c r="F36" s="1658">
        <f>-'SOURCE TOWR Income Statement'!F65</f>
        <v/>
      </c>
      <c r="G36" s="1659">
        <f>-'SOURCE TOWR Income Statement'!G65</f>
        <v/>
      </c>
      <c r="H36" s="1670">
        <f>H171</f>
        <v/>
      </c>
      <c r="I36" s="1670">
        <f>I171</f>
        <v/>
      </c>
      <c r="J36" s="1670">
        <f>J171</f>
        <v/>
      </c>
      <c r="K36" s="1670">
        <f>K171</f>
        <v/>
      </c>
      <c r="L36" s="1670">
        <f>L171</f>
        <v/>
      </c>
    </row>
    <row r="37" outlineLevel="1" ht="15" customHeight="1">
      <c r="A37" s="1664" t="inlineStr">
        <is>
          <t>Other Operating Expense/(Income) - Net</t>
        </is>
      </c>
      <c r="B37" s="462" t="n"/>
      <c r="C37" s="1671">
        <f>-'SOURCE TOWR Income Statement'!C81</f>
        <v/>
      </c>
      <c r="D37" s="1671">
        <f>-'SOURCE TOWR Income Statement'!D81</f>
        <v/>
      </c>
      <c r="E37" s="1671">
        <f>-'SOURCE TOWR Income Statement'!E81</f>
        <v/>
      </c>
      <c r="F37" s="1671">
        <f>-'SOURCE TOWR Income Statement'!F81</f>
        <v/>
      </c>
      <c r="G37" s="1672">
        <f>-'SOURCE TOWR Income Statement'!G81</f>
        <v/>
      </c>
      <c r="H37" s="1673">
        <f>H173</f>
        <v/>
      </c>
      <c r="I37" s="1673">
        <f>I173</f>
        <v/>
      </c>
      <c r="J37" s="1673">
        <f>J173</f>
        <v/>
      </c>
      <c r="K37" s="1673">
        <f>K173</f>
        <v/>
      </c>
      <c r="L37" s="1673">
        <f>L173</f>
        <v/>
      </c>
    </row>
    <row r="38" outlineLevel="1" ht="15" customHeight="1">
      <c r="A38" s="1657" t="inlineStr">
        <is>
          <t>EBIT</t>
        </is>
      </c>
      <c r="C38" s="1668">
        <f>SUM(C33:C37)</f>
        <v/>
      </c>
      <c r="D38" s="1668">
        <f>SUM(D33:D37)</f>
        <v/>
      </c>
      <c r="E38" s="1668">
        <f>SUM(E33:E37)</f>
        <v/>
      </c>
      <c r="F38" s="1668">
        <f>SUM(F33:F37)</f>
        <v/>
      </c>
      <c r="G38" s="1669">
        <f>SUM(G33:G37)</f>
        <v/>
      </c>
      <c r="H38" s="1668">
        <f>SUM(H33:H37)</f>
        <v/>
      </c>
      <c r="I38" s="1668">
        <f>SUM(I33:I37)</f>
        <v/>
      </c>
      <c r="J38" s="1668">
        <f>SUM(J33:J37)</f>
        <v/>
      </c>
      <c r="K38" s="1668">
        <f>SUM(K33:K37)</f>
        <v/>
      </c>
      <c r="L38" s="1668">
        <f>SUM(L33:L37)</f>
        <v/>
      </c>
    </row>
    <row r="39" outlineLevel="1" ht="15" customHeight="1">
      <c r="A39" s="458" t="n"/>
      <c r="C39" s="1111" t="n"/>
      <c r="D39" s="1111" t="n"/>
      <c r="E39" s="1111" t="n"/>
      <c r="F39" s="1111" t="n"/>
      <c r="G39" s="1112" t="n"/>
      <c r="H39" s="1111" t="n"/>
      <c r="I39" s="1111" t="n"/>
      <c r="J39" s="1111" t="n"/>
      <c r="K39" s="1111" t="n"/>
      <c r="L39" s="1111" t="n"/>
    </row>
    <row r="40" outlineLevel="1" ht="15" customHeight="1">
      <c r="A40" s="1664" t="inlineStr">
        <is>
          <t>Depreciation &amp; Amortization</t>
        </is>
      </c>
      <c r="B40" s="462" t="n"/>
      <c r="C40" s="1665">
        <f>'SOURCE TOWR Income Statement'!C295</f>
        <v/>
      </c>
      <c r="D40" s="1665">
        <f>'SOURCE TOWR Income Statement'!D295</f>
        <v/>
      </c>
      <c r="E40" s="1665">
        <f>'SOURCE TOWR Income Statement'!E295</f>
        <v/>
      </c>
      <c r="F40" s="1665">
        <f>'SOURCE TOWR Income Statement'!F295</f>
        <v/>
      </c>
      <c r="G40" s="1666">
        <f>'SOURCE TOWR Income Statement'!G295</f>
        <v/>
      </c>
      <c r="H40" s="1674">
        <f>H210*-1</f>
        <v/>
      </c>
      <c r="I40" s="1674">
        <f>I210*-1</f>
        <v/>
      </c>
      <c r="J40" s="1674">
        <f>J210*-1</f>
        <v/>
      </c>
      <c r="K40" s="1674">
        <f>K210*-1</f>
        <v/>
      </c>
      <c r="L40" s="1674">
        <f>L210*-1</f>
        <v/>
      </c>
    </row>
    <row r="41" outlineLevel="1" ht="15" customHeight="1">
      <c r="A41" s="1657" t="inlineStr">
        <is>
          <t>EBITDA</t>
        </is>
      </c>
      <c r="C41" s="1668">
        <f>C38+C40</f>
        <v/>
      </c>
      <c r="D41" s="1668">
        <f>D38+D40</f>
        <v/>
      </c>
      <c r="E41" s="1668">
        <f>E38+E40</f>
        <v/>
      </c>
      <c r="F41" s="1668">
        <f>F38+F40</f>
        <v/>
      </c>
      <c r="G41" s="1669">
        <f>G38+G40</f>
        <v/>
      </c>
      <c r="H41" s="1668">
        <f>H40+H38</f>
        <v/>
      </c>
      <c r="I41" s="1668">
        <f>I40+I38</f>
        <v/>
      </c>
      <c r="J41" s="1668">
        <f>J40+J38</f>
        <v/>
      </c>
      <c r="K41" s="1668">
        <f>K40+K38</f>
        <v/>
      </c>
      <c r="L41" s="1668">
        <f>L40+L38</f>
        <v/>
      </c>
    </row>
    <row r="42" outlineLevel="1" ht="15" customHeight="1">
      <c r="A42" s="458" t="n"/>
      <c r="C42" s="1111" t="n"/>
      <c r="D42" s="1111" t="n"/>
      <c r="E42" s="1111" t="n"/>
      <c r="F42" s="1111" t="n"/>
      <c r="G42" s="1112" t="n"/>
      <c r="H42" s="1111" t="n"/>
      <c r="I42" s="1111" t="n"/>
      <c r="J42" s="1111" t="n"/>
      <c r="K42" s="1111" t="n"/>
      <c r="L42" s="1111" t="n"/>
    </row>
    <row r="43" outlineLevel="1" ht="15" customHeight="1">
      <c r="A43" s="1657" t="inlineStr">
        <is>
          <t>Non Operating Expenses</t>
        </is>
      </c>
      <c r="C43" s="1111" t="n"/>
      <c r="D43" s="1111" t="n"/>
      <c r="E43" s="1111" t="n"/>
      <c r="F43" s="1111" t="n"/>
      <c r="G43" s="1112" t="n"/>
      <c r="H43" s="1111" t="n"/>
      <c r="I43" s="1111" t="n"/>
      <c r="J43" s="1111" t="n"/>
      <c r="K43" s="1111" t="n"/>
      <c r="L43" s="1111" t="n"/>
    </row>
    <row r="44" outlineLevel="1" ht="15" customHeight="1">
      <c r="A44" s="1675" t="inlineStr">
        <is>
          <t>Finance Income/(Expense) - Net</t>
        </is>
      </c>
      <c r="C44" s="1658">
        <f>'SOURCE TOWR Income Statement'!C92</f>
        <v/>
      </c>
      <c r="D44" s="1658">
        <f>'SOURCE TOWR Income Statement'!D92</f>
        <v/>
      </c>
      <c r="E44" s="1658">
        <f>'SOURCE TOWR Income Statement'!E92</f>
        <v/>
      </c>
      <c r="F44" s="1658">
        <f>'SOURCE TOWR Income Statement'!F92</f>
        <v/>
      </c>
      <c r="G44" s="1659">
        <f>'SOURCE TOWR Income Statement'!G92</f>
        <v/>
      </c>
      <c r="H44" s="1670">
        <f>H221</f>
        <v/>
      </c>
      <c r="I44" s="1670">
        <f>I221</f>
        <v/>
      </c>
      <c r="J44" s="1670">
        <f>J221</f>
        <v/>
      </c>
      <c r="K44" s="1670">
        <f>K221</f>
        <v/>
      </c>
      <c r="L44" s="1670">
        <f>L221</f>
        <v/>
      </c>
    </row>
    <row r="45" outlineLevel="1" ht="15" customHeight="1">
      <c r="A45" s="1675" t="inlineStr">
        <is>
          <t>Sale of Tangible &amp; Intangible Fixed Assets - Gain/(Loss)</t>
        </is>
      </c>
      <c r="C45" s="1658">
        <f>'SOURCE TOWR Income Statement'!C107</f>
        <v/>
      </c>
      <c r="D45" s="1658">
        <f>'SOURCE TOWR Income Statement'!D107</f>
        <v/>
      </c>
      <c r="E45" s="1658">
        <f>'SOURCE TOWR Income Statement'!E107</f>
        <v/>
      </c>
      <c r="F45" s="1658">
        <f>'SOURCE TOWR Income Statement'!F107</f>
        <v/>
      </c>
      <c r="G45" s="1659">
        <f>'SOURCE TOWR Income Statement'!G107</f>
        <v/>
      </c>
      <c r="H45" s="1670">
        <f>AVERAGE(C45:G45)</f>
        <v/>
      </c>
      <c r="I45" s="1670">
        <f>H45</f>
        <v/>
      </c>
      <c r="J45" s="1670">
        <f>I45</f>
        <v/>
      </c>
      <c r="K45" s="1670">
        <f>J45</f>
        <v/>
      </c>
      <c r="L45" s="1670">
        <f>K45</f>
        <v/>
      </c>
    </row>
    <row r="46" outlineLevel="1" ht="15" customHeight="1">
      <c r="A46" s="1675" t="inlineStr">
        <is>
          <t>Other Non-Operating Income/(Expense)</t>
        </is>
      </c>
      <c r="B46" s="474" t="n"/>
      <c r="C46" s="1676">
        <f>'SOURCE TOWR Income Statement'!C111</f>
        <v/>
      </c>
      <c r="D46" s="1676">
        <f>'SOURCE TOWR Income Statement'!D111</f>
        <v/>
      </c>
      <c r="E46" s="1676">
        <f>'SOURCE TOWR Income Statement'!E111</f>
        <v/>
      </c>
      <c r="F46" s="1676">
        <f>'SOURCE TOWR Income Statement'!F111</f>
        <v/>
      </c>
      <c r="G46" s="1677">
        <f>'SOURCE TOWR Income Statement'!G111</f>
        <v/>
      </c>
      <c r="H46" s="1670">
        <f>AVERAGE(C46:G46)</f>
        <v/>
      </c>
      <c r="I46" s="1678">
        <f>H46</f>
        <v/>
      </c>
      <c r="J46" s="1678">
        <f>I46</f>
        <v/>
      </c>
      <c r="K46" s="1678">
        <f>J46</f>
        <v/>
      </c>
      <c r="L46" s="1678">
        <f>K46</f>
        <v/>
      </c>
    </row>
    <row r="47" outlineLevel="1" ht="15" customHeight="1">
      <c r="A47" s="1679" t="inlineStr">
        <is>
          <t>Non-Recurring Income/(Expense)</t>
        </is>
      </c>
      <c r="B47" s="479" t="n"/>
      <c r="C47" s="1680">
        <f>'SOURCE TOWR Income Statement'!C121</f>
        <v/>
      </c>
      <c r="D47" s="1680">
        <f>'SOURCE TOWR Income Statement'!D121</f>
        <v/>
      </c>
      <c r="E47" s="1680">
        <f>'SOURCE TOWR Income Statement'!E121</f>
        <v/>
      </c>
      <c r="F47" s="1680">
        <f>'SOURCE TOWR Income Statement'!F121</f>
        <v/>
      </c>
      <c r="G47" s="1681">
        <f>'SOURCE TOWR Income Statement'!G121</f>
        <v/>
      </c>
      <c r="H47" s="1682">
        <f>AVERAGE(C47:G47)</f>
        <v/>
      </c>
      <c r="I47" s="1683">
        <f>H47</f>
        <v/>
      </c>
      <c r="J47" s="1683">
        <f>I47</f>
        <v/>
      </c>
      <c r="K47" s="1683">
        <f>J47</f>
        <v/>
      </c>
      <c r="L47" s="1683">
        <f>K47</f>
        <v/>
      </c>
    </row>
    <row r="48" outlineLevel="1" ht="15" customHeight="1">
      <c r="A48" s="1657" t="inlineStr">
        <is>
          <t>EBT</t>
        </is>
      </c>
      <c r="B48" s="484" t="n"/>
      <c r="C48" s="1684">
        <f>C38+SUM(C44:C47)</f>
        <v/>
      </c>
      <c r="D48" s="1684">
        <f>D38+SUM(D44:D47)</f>
        <v/>
      </c>
      <c r="E48" s="1684">
        <f>E38+SUM(E44:E47)</f>
        <v/>
      </c>
      <c r="F48" s="1684">
        <f>F38+SUM(F44:F47)</f>
        <v/>
      </c>
      <c r="G48" s="1684">
        <f>G38+SUM(G44:G47)</f>
        <v/>
      </c>
      <c r="H48" s="1685">
        <f>H38+SUM(H44:H47)</f>
        <v/>
      </c>
      <c r="I48" s="1684">
        <f>I38+SUM(I44:I47)</f>
        <v/>
      </c>
      <c r="J48" s="1684">
        <f>J38+SUM(J44:J47)</f>
        <v/>
      </c>
      <c r="K48" s="1684">
        <f>K38+SUM(K44:K47)</f>
        <v/>
      </c>
      <c r="L48" s="1684">
        <f>L38+SUM(L44:L47)</f>
        <v/>
      </c>
      <c r="M48" s="458" t="n"/>
    </row>
    <row r="49" outlineLevel="1" ht="15" customHeight="1">
      <c r="A49" s="458" t="n"/>
      <c r="B49" s="474" t="n"/>
      <c r="C49" s="487" t="n"/>
      <c r="D49" s="487" t="n"/>
      <c r="E49" s="487" t="n"/>
      <c r="F49" s="487" t="n"/>
      <c r="G49" s="487" t="n"/>
      <c r="H49" s="488" t="n"/>
    </row>
    <row r="50" outlineLevel="1" ht="15" customHeight="1">
      <c r="A50" s="1661" t="inlineStr">
        <is>
          <t>Income Taxes</t>
        </is>
      </c>
      <c r="C50" s="1658">
        <f>-'SOURCE TOWR Income Statement'!C159</f>
        <v/>
      </c>
      <c r="D50" s="1658">
        <f>-'SOURCE TOWR Income Statement'!D159</f>
        <v/>
      </c>
      <c r="E50" s="1658">
        <f>-'SOURCE TOWR Income Statement'!E159</f>
        <v/>
      </c>
      <c r="F50" s="1658">
        <f>-'SOURCE TOWR Income Statement'!F159</f>
        <v/>
      </c>
      <c r="G50" s="1665">
        <f>-'SOURCE TOWR Income Statement'!G159</f>
        <v/>
      </c>
      <c r="H50" s="1686">
        <f>H175</f>
        <v/>
      </c>
      <c r="I50" s="1687">
        <f>I175</f>
        <v/>
      </c>
      <c r="J50" s="1687">
        <f>J175</f>
        <v/>
      </c>
      <c r="K50" s="1687">
        <f>K175</f>
        <v/>
      </c>
      <c r="L50" s="1687">
        <f>L175</f>
        <v/>
      </c>
    </row>
    <row r="51" outlineLevel="1" ht="15" customHeight="1">
      <c r="A51" s="1688" t="inlineStr">
        <is>
          <t>Net Income</t>
        </is>
      </c>
      <c r="B51" s="491" t="n"/>
      <c r="C51" s="1689">
        <f>C48+C50</f>
        <v/>
      </c>
      <c r="D51" s="1689">
        <f>D48+D50</f>
        <v/>
      </c>
      <c r="E51" s="1689">
        <f>E48+E50</f>
        <v/>
      </c>
      <c r="F51" s="1689">
        <f>F48+F50</f>
        <v/>
      </c>
      <c r="G51" s="1689">
        <f>G48+G50</f>
        <v/>
      </c>
      <c r="H51" s="1690">
        <f>H48+H50</f>
        <v/>
      </c>
      <c r="I51" s="1691">
        <f>+I50+I48</f>
        <v/>
      </c>
      <c r="J51" s="1691">
        <f>+J50+J48</f>
        <v/>
      </c>
      <c r="K51" s="1691">
        <f>+K50+K48</f>
        <v/>
      </c>
      <c r="L51" s="1691">
        <f>+L50+L48</f>
        <v/>
      </c>
    </row>
    <row r="52" outlineLevel="1" ht="15" customHeight="1">
      <c r="A52" s="458" t="n"/>
      <c r="C52" s="1111" t="n"/>
      <c r="D52" s="1111" t="n"/>
      <c r="E52" s="1111" t="n"/>
      <c r="F52" s="1111" t="n"/>
      <c r="G52" s="1111" t="n"/>
      <c r="H52" s="495" t="n"/>
      <c r="I52" s="496" t="n"/>
      <c r="J52" s="496" t="n"/>
      <c r="K52" s="496" t="n"/>
      <c r="L52" s="496" t="n"/>
    </row>
    <row r="53" outlineLevel="1" ht="15" customHeight="1">
      <c r="A53" s="1692" t="inlineStr">
        <is>
          <t>Dividend Paid</t>
        </is>
      </c>
      <c r="B53" s="497" t="n"/>
      <c r="C53" s="1693" t="n">
        <v>0</v>
      </c>
      <c r="D53" s="1693" t="n">
        <v>0</v>
      </c>
      <c r="E53" s="1693" t="n">
        <v>0</v>
      </c>
      <c r="F53" s="1693" t="n">
        <v>0</v>
      </c>
      <c r="G53" s="1693" t="n">
        <v>0</v>
      </c>
      <c r="H53" s="1693" t="n">
        <v>0</v>
      </c>
      <c r="I53" s="1693" t="n">
        <v>0</v>
      </c>
      <c r="J53" s="1693" t="n">
        <v>0</v>
      </c>
      <c r="K53" s="1693" t="n">
        <v>0</v>
      </c>
      <c r="L53" s="1693" t="n">
        <v>0</v>
      </c>
    </row>
    <row r="55" ht="25.5" customHeight="1">
      <c r="A55" s="1631" t="inlineStr">
        <is>
          <t>Balance Sheet</t>
        </is>
      </c>
      <c r="B55" s="1694" t="n"/>
      <c r="C55" s="1695" t="n"/>
      <c r="D55" s="1695" t="n"/>
      <c r="E55" s="1695" t="n"/>
      <c r="F55" s="1695" t="n"/>
      <c r="G55" s="1695" t="n"/>
      <c r="H55" s="1695" t="n"/>
      <c r="I55" s="1695" t="n"/>
      <c r="J55" s="1695" t="n"/>
      <c r="K55" s="1695" t="n"/>
      <c r="L55" s="1695" t="n"/>
    </row>
    <row r="56" outlineLevel="1" ht="15" customHeight="1">
      <c r="H56" s="488" t="n"/>
    </row>
    <row r="57" outlineLevel="1" ht="15" customHeight="1">
      <c r="A57" s="1657" t="inlineStr">
        <is>
          <t>Assets</t>
        </is>
      </c>
      <c r="H57" s="488" t="n"/>
    </row>
    <row r="58" outlineLevel="1" ht="15" customHeight="1">
      <c r="A58" s="1657" t="inlineStr">
        <is>
          <t>Current Assets</t>
        </is>
      </c>
      <c r="C58" s="477" t="n"/>
      <c r="D58" s="477" t="n"/>
      <c r="E58" s="477" t="n"/>
      <c r="F58" s="477" t="n"/>
      <c r="H58" s="488" t="n"/>
    </row>
    <row r="59" outlineLevel="1" ht="15" customFormat="1" customHeight="1" s="1087">
      <c r="A59" s="1635" t="inlineStr">
        <is>
          <t>Cash &amp; Short-Term Investments</t>
        </is>
      </c>
      <c r="C59" s="1696">
        <f>'SOURCE TOWR Balance Sheet'!C21</f>
        <v/>
      </c>
      <c r="D59" s="1696">
        <f>'SOURCE TOWR Balance Sheet'!D21</f>
        <v/>
      </c>
      <c r="E59" s="1696">
        <f>'SOURCE TOWR Balance Sheet'!E21</f>
        <v/>
      </c>
      <c r="F59" s="1696">
        <f>'SOURCE TOWR Balance Sheet'!F21</f>
        <v/>
      </c>
      <c r="G59" s="1696">
        <f>'SOURCE TOWR Balance Sheet'!G21</f>
        <v/>
      </c>
      <c r="H59" s="1697">
        <f>H126</f>
        <v/>
      </c>
      <c r="I59" s="1698">
        <f>I126</f>
        <v/>
      </c>
      <c r="J59" s="1698">
        <f>J126</f>
        <v/>
      </c>
      <c r="K59" s="1698">
        <f>K126</f>
        <v/>
      </c>
      <c r="L59" s="1698">
        <f>L126</f>
        <v/>
      </c>
    </row>
    <row r="60" outlineLevel="1" ht="15" customFormat="1" customHeight="1" s="1087">
      <c r="A60" s="1635" t="inlineStr">
        <is>
          <t>Loans &amp; Receivables - Net - Short-Term</t>
        </is>
      </c>
      <c r="C60" s="1696">
        <f>'SOURCE TOWR Balance Sheet'!C26</f>
        <v/>
      </c>
      <c r="D60" s="1696">
        <f>'SOURCE TOWR Balance Sheet'!D26</f>
        <v/>
      </c>
      <c r="E60" s="1696">
        <f>'SOURCE TOWR Balance Sheet'!E26</f>
        <v/>
      </c>
      <c r="F60" s="1696">
        <f>'SOURCE TOWR Balance Sheet'!F26</f>
        <v/>
      </c>
      <c r="G60" s="1696">
        <f>'SOURCE TOWR Balance Sheet'!G26</f>
        <v/>
      </c>
      <c r="H60" s="1699">
        <f>H187</f>
        <v/>
      </c>
      <c r="I60" s="1670">
        <f>I187</f>
        <v/>
      </c>
      <c r="J60" s="1670">
        <f>J187</f>
        <v/>
      </c>
      <c r="K60" s="1670">
        <f>K187</f>
        <v/>
      </c>
      <c r="L60" s="1670">
        <f>L187</f>
        <v/>
      </c>
    </row>
    <row r="61" outlineLevel="1" ht="15" customFormat="1" customHeight="1" s="1087">
      <c r="A61" s="1635" t="inlineStr">
        <is>
          <t>Inventories</t>
        </is>
      </c>
      <c r="C61" s="1696">
        <f>'SOURCE TOWR Balance Sheet'!C36</f>
        <v/>
      </c>
      <c r="D61" s="1696">
        <f>'SOURCE TOWR Balance Sheet'!D36</f>
        <v/>
      </c>
      <c r="E61" s="1696">
        <f>'SOURCE TOWR Balance Sheet'!E36</f>
        <v/>
      </c>
      <c r="F61" s="1696">
        <f>'SOURCE TOWR Balance Sheet'!F36</f>
        <v/>
      </c>
      <c r="G61" s="1696">
        <f>'SOURCE TOWR Balance Sheet'!G36</f>
        <v/>
      </c>
      <c r="H61" s="1699">
        <f>H184</f>
        <v/>
      </c>
      <c r="I61" s="1670">
        <f>I184</f>
        <v/>
      </c>
      <c r="J61" s="1670">
        <f>J184</f>
        <v/>
      </c>
      <c r="K61" s="1670">
        <f>K184</f>
        <v/>
      </c>
      <c r="L61" s="1670">
        <f>L184</f>
        <v/>
      </c>
    </row>
    <row r="62" outlineLevel="1" ht="15" customFormat="1" customHeight="1" s="1087">
      <c r="A62" s="1635" t="inlineStr">
        <is>
          <t>Prepaid Expenses - Short-Term</t>
        </is>
      </c>
      <c r="C62" s="1696">
        <f>'SOURCE TOWR Balance Sheet'!C45</f>
        <v/>
      </c>
      <c r="D62" s="1696">
        <f>'SOURCE TOWR Balance Sheet'!D45</f>
        <v/>
      </c>
      <c r="E62" s="1696">
        <f>'SOURCE TOWR Balance Sheet'!E45</f>
        <v/>
      </c>
      <c r="F62" s="1696">
        <f>'SOURCE TOWR Balance Sheet'!F45</f>
        <v/>
      </c>
      <c r="G62" s="1696">
        <f>'SOURCE TOWR Balance Sheet'!G45</f>
        <v/>
      </c>
      <c r="H62" s="1699">
        <f>H193</f>
        <v/>
      </c>
      <c r="I62" s="1670">
        <f>I193</f>
        <v/>
      </c>
      <c r="J62" s="1670">
        <f>J193</f>
        <v/>
      </c>
      <c r="K62" s="1670">
        <f>K193</f>
        <v/>
      </c>
      <c r="L62" s="1670">
        <f>L193</f>
        <v/>
      </c>
    </row>
    <row r="63" outlineLevel="1" ht="15" customFormat="1" customHeight="1" s="1087">
      <c r="A63" s="1700" t="inlineStr">
        <is>
          <t>Other Current Assets - Total</t>
        </is>
      </c>
      <c r="B63" s="1117" t="n"/>
      <c r="C63" s="1671">
        <f>'SOURCE TOWR Balance Sheet'!C47</f>
        <v/>
      </c>
      <c r="D63" s="1671">
        <f>'SOURCE TOWR Balance Sheet'!D47</f>
        <v/>
      </c>
      <c r="E63" s="1671">
        <f>'SOURCE TOWR Balance Sheet'!E47</f>
        <v/>
      </c>
      <c r="F63" s="1671">
        <f>'SOURCE TOWR Balance Sheet'!F47</f>
        <v/>
      </c>
      <c r="G63" s="1671">
        <f>'SOURCE TOWR Balance Sheet'!G47</f>
        <v/>
      </c>
      <c r="H63" s="1682">
        <f>G63</f>
        <v/>
      </c>
      <c r="I63" s="1673">
        <f>H63</f>
        <v/>
      </c>
      <c r="J63" s="1673">
        <f>I63</f>
        <v/>
      </c>
      <c r="K63" s="1673">
        <f>J63</f>
        <v/>
      </c>
      <c r="L63" s="1673">
        <f>K63</f>
        <v/>
      </c>
    </row>
    <row r="64" outlineLevel="1" ht="15" customHeight="1">
      <c r="A64" s="1657" t="inlineStr">
        <is>
          <t>Total Current Assets</t>
        </is>
      </c>
      <c r="C64" s="1701">
        <f>SUM(C58:C63)</f>
        <v/>
      </c>
      <c r="D64" s="1701">
        <f>SUM(D58:D63)</f>
        <v/>
      </c>
      <c r="E64" s="1701">
        <f>SUM(E58:E63)</f>
        <v/>
      </c>
      <c r="F64" s="1701">
        <f>SUM(F58:F63)</f>
        <v/>
      </c>
      <c r="G64" s="1701">
        <f>SUM(G58:G63)</f>
        <v/>
      </c>
      <c r="H64" s="1702">
        <f>SUM(H59:H63)</f>
        <v/>
      </c>
      <c r="I64" s="1701">
        <f>SUM(I59:I63)</f>
        <v/>
      </c>
      <c r="J64" s="1701">
        <f>SUM(J59:J63)</f>
        <v/>
      </c>
      <c r="K64" s="1701">
        <f>SUM(K59:K63)</f>
        <v/>
      </c>
      <c r="L64" s="1701">
        <f>SUM(L59:L63)</f>
        <v/>
      </c>
    </row>
    <row r="65" outlineLevel="1" ht="15" customHeight="1">
      <c r="A65" s="458" t="n"/>
      <c r="C65" s="1087" t="n"/>
      <c r="D65" s="1087" t="n"/>
      <c r="E65" s="1087" t="n"/>
      <c r="F65" s="1087" t="n"/>
      <c r="G65" s="1087" t="n"/>
      <c r="H65" s="1135" t="n"/>
      <c r="I65" s="1136" t="n"/>
      <c r="J65" s="1136" t="n"/>
      <c r="K65" s="1136" t="n"/>
      <c r="L65" s="1136" t="n"/>
    </row>
    <row r="66" outlineLevel="1" ht="15" customHeight="1">
      <c r="A66" s="1657" t="inlineStr">
        <is>
          <t>Non-Current Assets</t>
        </is>
      </c>
      <c r="C66" s="1087" t="n"/>
      <c r="D66" s="1087" t="n"/>
      <c r="E66" s="1087" t="n"/>
      <c r="F66" s="1087" t="n"/>
      <c r="G66" s="1087" t="n"/>
      <c r="H66" s="1131" t="n"/>
      <c r="I66" s="1087" t="n"/>
      <c r="J66" s="1087" t="n"/>
      <c r="K66" s="1087" t="n"/>
      <c r="L66" s="1087" t="n"/>
    </row>
    <row r="67" outlineLevel="1" ht="15" customHeight="1">
      <c r="A67" s="1635" t="inlineStr">
        <is>
          <t>Long-Term Investment</t>
        </is>
      </c>
      <c r="C67" s="1696">
        <f>'SOURCE TOWR Balance Sheet'!C55</f>
        <v/>
      </c>
      <c r="D67" s="1696">
        <f>'SOURCE TOWR Balance Sheet'!D55</f>
        <v/>
      </c>
      <c r="E67" s="1696">
        <f>'SOURCE TOWR Balance Sheet'!E55</f>
        <v/>
      </c>
      <c r="F67" s="1696">
        <f>'SOURCE TOWR Balance Sheet'!F55</f>
        <v/>
      </c>
      <c r="G67" s="1696">
        <f>'SOURCE TOWR Balance Sheet'!G55</f>
        <v/>
      </c>
      <c r="H67" s="1699">
        <f>G67</f>
        <v/>
      </c>
      <c r="I67" s="1670">
        <f>H67</f>
        <v/>
      </c>
      <c r="J67" s="1670">
        <f>I67</f>
        <v/>
      </c>
      <c r="K67" s="1670">
        <f>J67</f>
        <v/>
      </c>
      <c r="L67" s="1670">
        <f>K67</f>
        <v/>
      </c>
    </row>
    <row r="68" outlineLevel="1" ht="15" customHeight="1">
      <c r="A68" s="1635" t="inlineStr">
        <is>
          <t>Investments in Associates. Joint Ventures and Unconsolidated Subsidiaries</t>
        </is>
      </c>
      <c r="C68" s="1696">
        <f>'SOURCE TOWR Balance Sheet'!C62</f>
        <v/>
      </c>
      <c r="D68" s="1696">
        <f>'SOURCE TOWR Balance Sheet'!D62</f>
        <v/>
      </c>
      <c r="E68" s="1696">
        <f>'SOURCE TOWR Balance Sheet'!E62</f>
        <v/>
      </c>
      <c r="F68" s="1696">
        <f>'SOURCE TOWR Balance Sheet'!F62</f>
        <v/>
      </c>
      <c r="G68" s="1696">
        <f>'SOURCE TOWR Balance Sheet'!G62</f>
        <v/>
      </c>
      <c r="H68" s="1699">
        <f>G68</f>
        <v/>
      </c>
      <c r="I68" s="1670">
        <f>H68</f>
        <v/>
      </c>
      <c r="J68" s="1670">
        <f>I68</f>
        <v/>
      </c>
      <c r="K68" s="1670">
        <f>J68</f>
        <v/>
      </c>
      <c r="L68" s="1670">
        <f>K68</f>
        <v/>
      </c>
    </row>
    <row r="69" outlineLevel="1" ht="15" customHeight="1">
      <c r="A69" s="1635" t="inlineStr">
        <is>
          <t>Receivables &amp; Loans - Long-Term</t>
        </is>
      </c>
      <c r="C69" s="1696">
        <f>'SOURCE TOWR Balance Sheet'!C63</f>
        <v/>
      </c>
      <c r="D69" s="1696">
        <f>'SOURCE TOWR Balance Sheet'!D63</f>
        <v/>
      </c>
      <c r="E69" s="1696">
        <f>'SOURCE TOWR Balance Sheet'!E63</f>
        <v/>
      </c>
      <c r="F69" s="1696">
        <f>'SOURCE TOWR Balance Sheet'!F63</f>
        <v/>
      </c>
      <c r="G69" s="1696">
        <f>'SOURCE TOWR Balance Sheet'!G63</f>
        <v/>
      </c>
      <c r="H69" s="1699">
        <f>G69</f>
        <v/>
      </c>
      <c r="I69" s="1670">
        <f>H69</f>
        <v/>
      </c>
      <c r="J69" s="1670">
        <f>I69</f>
        <v/>
      </c>
      <c r="K69" s="1670">
        <f>J69</f>
        <v/>
      </c>
      <c r="L69" s="1670">
        <f>K69</f>
        <v/>
      </c>
    </row>
    <row r="70" outlineLevel="1" ht="15" customHeight="1">
      <c r="A70" s="1635" t="inlineStr">
        <is>
          <t>Derivative Financial Instruments - Hedging - Long-Term</t>
        </is>
      </c>
      <c r="C70" s="1696">
        <f>'SOURCE TOWR Balance Sheet'!C70</f>
        <v/>
      </c>
      <c r="D70" s="1696">
        <f>'SOURCE TOWR Balance Sheet'!D70</f>
        <v/>
      </c>
      <c r="E70" s="1696">
        <f>'SOURCE TOWR Balance Sheet'!E70</f>
        <v/>
      </c>
      <c r="F70" s="1696">
        <f>'SOURCE TOWR Balance Sheet'!F70</f>
        <v/>
      </c>
      <c r="G70" s="1696">
        <f>'SOURCE TOWR Balance Sheet'!G70</f>
        <v/>
      </c>
      <c r="H70" s="1699">
        <f>G70</f>
        <v/>
      </c>
      <c r="I70" s="1670">
        <f>H70</f>
        <v/>
      </c>
      <c r="J70" s="1670">
        <f>I70</f>
        <v/>
      </c>
      <c r="K70" s="1670">
        <f>J70</f>
        <v/>
      </c>
      <c r="L70" s="1670">
        <f>K70</f>
        <v/>
      </c>
    </row>
    <row r="71" outlineLevel="1" ht="15" customHeight="1">
      <c r="A71" s="1635" t="inlineStr">
        <is>
          <t>Property. Plant &amp; Equipment - Net - Total</t>
        </is>
      </c>
      <c r="C71" s="1696">
        <f>'SOURCE TOWR Balance Sheet'!C71</f>
        <v/>
      </c>
      <c r="D71" s="1696">
        <f>'SOURCE TOWR Balance Sheet'!D71</f>
        <v/>
      </c>
      <c r="E71" s="1696">
        <f>'SOURCE TOWR Balance Sheet'!E71</f>
        <v/>
      </c>
      <c r="F71" s="1696">
        <f>'SOURCE TOWR Balance Sheet'!F71</f>
        <v/>
      </c>
      <c r="G71" s="1696">
        <f>'SOURCE TOWR Balance Sheet'!G71</f>
        <v/>
      </c>
      <c r="H71" s="1699">
        <f>H202</f>
        <v/>
      </c>
      <c r="I71" s="1670">
        <f>I202</f>
        <v/>
      </c>
      <c r="J71" s="1670">
        <f>J202</f>
        <v/>
      </c>
      <c r="K71" s="1670">
        <f>K202</f>
        <v/>
      </c>
      <c r="L71" s="1670">
        <f>L202</f>
        <v/>
      </c>
    </row>
    <row r="72" outlineLevel="1" ht="15" customHeight="1">
      <c r="A72" s="1635" t="inlineStr">
        <is>
          <t>Other Non-Current Assets - Total</t>
        </is>
      </c>
      <c r="C72" s="1696">
        <f>'SOURCE TOWR Balance Sheet'!C129</f>
        <v/>
      </c>
      <c r="D72" s="1696">
        <f>'SOURCE TOWR Balance Sheet'!D129</f>
        <v/>
      </c>
      <c r="E72" s="1696">
        <f>'SOURCE TOWR Balance Sheet'!E129</f>
        <v/>
      </c>
      <c r="F72" s="1696">
        <f>'SOURCE TOWR Balance Sheet'!F129</f>
        <v/>
      </c>
      <c r="G72" s="1696">
        <f>'SOURCE TOWR Balance Sheet'!G129</f>
        <v/>
      </c>
      <c r="H72" s="1699">
        <f>G72</f>
        <v/>
      </c>
      <c r="I72" s="1670">
        <f>H72</f>
        <v/>
      </c>
      <c r="J72" s="1670">
        <f>I72</f>
        <v/>
      </c>
      <c r="K72" s="1670">
        <f>J72</f>
        <v/>
      </c>
      <c r="L72" s="1670">
        <f>K72</f>
        <v/>
      </c>
    </row>
    <row r="73" outlineLevel="1" ht="15" customHeight="1">
      <c r="A73" s="1700" t="inlineStr">
        <is>
          <t>Intangible Assets</t>
        </is>
      </c>
      <c r="B73" s="462" t="n"/>
      <c r="C73" s="1671">
        <f>'SOURCE TOWR Balance Sheet'!C138</f>
        <v/>
      </c>
      <c r="D73" s="1671">
        <f>'SOURCE TOWR Balance Sheet'!D138</f>
        <v/>
      </c>
      <c r="E73" s="1671">
        <f>'SOURCE TOWR Balance Sheet'!E138</f>
        <v/>
      </c>
      <c r="F73" s="1671">
        <f>'SOURCE TOWR Balance Sheet'!F138</f>
        <v/>
      </c>
      <c r="G73" s="1671">
        <f>'SOURCE TOWR Balance Sheet'!G138</f>
        <v/>
      </c>
      <c r="H73" s="1682">
        <f>G73</f>
        <v/>
      </c>
      <c r="I73" s="1673">
        <f>H73</f>
        <v/>
      </c>
      <c r="J73" s="1673">
        <f>I73</f>
        <v/>
      </c>
      <c r="K73" s="1673">
        <f>J73</f>
        <v/>
      </c>
      <c r="L73" s="1673">
        <f>K73</f>
        <v/>
      </c>
    </row>
    <row r="74" outlineLevel="1" ht="15" customHeight="1">
      <c r="A74" s="1657" t="inlineStr">
        <is>
          <t>Total Non-Current Assets</t>
        </is>
      </c>
      <c r="C74" s="1703">
        <f>SUM(C67:C73)</f>
        <v/>
      </c>
      <c r="D74" s="1703">
        <f>SUM(D67:D73)</f>
        <v/>
      </c>
      <c r="E74" s="1703">
        <f>SUM(E67:E73)</f>
        <v/>
      </c>
      <c r="F74" s="1703">
        <f>SUM(F67:F73)</f>
        <v/>
      </c>
      <c r="G74" s="1703">
        <f>SUM(G67:G73)</f>
        <v/>
      </c>
      <c r="H74" s="1704">
        <f>SUM(H67:H73)</f>
        <v/>
      </c>
      <c r="I74" s="1703">
        <f>SUM(I67:I73)</f>
        <v/>
      </c>
      <c r="J74" s="1703">
        <f>SUM(J67:J73)</f>
        <v/>
      </c>
      <c r="K74" s="1703">
        <f>SUM(K67:K73)</f>
        <v/>
      </c>
      <c r="L74" s="1703">
        <f>SUM(L67:L73)</f>
        <v/>
      </c>
    </row>
    <row r="75" outlineLevel="1" ht="15" customHeight="1">
      <c r="A75" s="1688" t="inlineStr">
        <is>
          <t>Total Assets</t>
        </is>
      </c>
      <c r="B75" s="491" t="n"/>
      <c r="C75" s="1705">
        <f>C64+C74</f>
        <v/>
      </c>
      <c r="D75" s="1705">
        <f>D64+D74</f>
        <v/>
      </c>
      <c r="E75" s="1705">
        <f>E64+E74</f>
        <v/>
      </c>
      <c r="F75" s="1705">
        <f>F64+F74</f>
        <v/>
      </c>
      <c r="G75" s="1705">
        <f>G64+G74</f>
        <v/>
      </c>
      <c r="H75" s="1706">
        <f>H64+H74</f>
        <v/>
      </c>
      <c r="I75" s="1705">
        <f>I64+I74</f>
        <v/>
      </c>
      <c r="J75" s="1705">
        <f>J64+J74</f>
        <v/>
      </c>
      <c r="K75" s="1705">
        <f>K64+K74</f>
        <v/>
      </c>
      <c r="L75" s="1705">
        <f>L64+L74</f>
        <v/>
      </c>
    </row>
    <row r="76" outlineLevel="1" ht="15" customHeight="1">
      <c r="C76" s="1087" t="n"/>
      <c r="D76" s="1087" t="n"/>
      <c r="E76" s="1087" t="n"/>
      <c r="F76" s="1087" t="n"/>
      <c r="G76" s="1139" t="n"/>
      <c r="H76" s="1087" t="n"/>
      <c r="I76" s="1087" t="n"/>
      <c r="J76" s="1087" t="n"/>
      <c r="K76" s="1087" t="n"/>
      <c r="L76" s="1087" t="n"/>
    </row>
    <row r="77" outlineLevel="1" ht="15" customHeight="1">
      <c r="A77" s="1657" t="inlineStr">
        <is>
          <t>Liabilities</t>
        </is>
      </c>
      <c r="C77" s="1087" t="n"/>
      <c r="D77" s="1087" t="n"/>
      <c r="E77" s="1087" t="n"/>
      <c r="F77" s="1087" t="n"/>
      <c r="G77" s="1087" t="n"/>
      <c r="H77" s="1131" t="n"/>
      <c r="I77" s="1087" t="n"/>
      <c r="J77" s="1087" t="n"/>
      <c r="K77" s="1087" t="n"/>
      <c r="L77" s="1087" t="n"/>
    </row>
    <row r="78" outlineLevel="1" ht="15" customHeight="1">
      <c r="A78" s="1657" t="inlineStr">
        <is>
          <t>Current Liabilities</t>
        </is>
      </c>
      <c r="C78" s="1087" t="n"/>
      <c r="D78" s="1087" t="n"/>
      <c r="E78" s="1087" t="n"/>
      <c r="F78" s="1087" t="n"/>
      <c r="G78" s="1087" t="n"/>
      <c r="H78" s="1131" t="n"/>
      <c r="I78" s="1087" t="n"/>
      <c r="J78" s="1087" t="n"/>
      <c r="K78" s="1087" t="n"/>
      <c r="L78" s="1087" t="n"/>
    </row>
    <row r="79" outlineLevel="1" ht="15" customHeight="1">
      <c r="A79" s="1635" t="inlineStr">
        <is>
          <t>Trade Accounts Payable &amp; Accruals - Short-Term</t>
        </is>
      </c>
      <c r="C79" s="1696">
        <f>'SOURCE TOWR Balance Sheet'!C169</f>
        <v/>
      </c>
      <c r="D79" s="1696">
        <f>'SOURCE TOWR Balance Sheet'!D169</f>
        <v/>
      </c>
      <c r="E79" s="1696">
        <f>'SOURCE TOWR Balance Sheet'!E169</f>
        <v/>
      </c>
      <c r="F79" s="1696">
        <f>'SOURCE TOWR Balance Sheet'!F169</f>
        <v/>
      </c>
      <c r="G79" s="1696">
        <f>'SOURCE TOWR Balance Sheet'!G169</f>
        <v/>
      </c>
      <c r="H79" s="1699">
        <f>H190</f>
        <v/>
      </c>
      <c r="I79" s="1670">
        <f>I190</f>
        <v/>
      </c>
      <c r="J79" s="1670">
        <f>J190</f>
        <v/>
      </c>
      <c r="K79" s="1670">
        <f>K190</f>
        <v/>
      </c>
      <c r="L79" s="1670">
        <f>L190</f>
        <v/>
      </c>
    </row>
    <row r="80" outlineLevel="1" ht="15" customHeight="1">
      <c r="A80" s="1635" t="inlineStr">
        <is>
          <t>Short-Term Debt &amp; Current Portion of Long-Term Debt</t>
        </is>
      </c>
      <c r="C80" s="1696">
        <f>'SOURCE TOWR Balance Sheet'!C172</f>
        <v/>
      </c>
      <c r="D80" s="1696">
        <f>'SOURCE TOWR Balance Sheet'!D172</f>
        <v/>
      </c>
      <c r="E80" s="1696">
        <f>'SOURCE TOWR Balance Sheet'!E172</f>
        <v/>
      </c>
      <c r="F80" s="1696">
        <f>'SOURCE TOWR Balance Sheet'!F172</f>
        <v/>
      </c>
      <c r="G80" s="1696">
        <f>'SOURCE TOWR Balance Sheet'!G172</f>
        <v/>
      </c>
      <c r="H80" s="1699">
        <f>H228</f>
        <v/>
      </c>
      <c r="I80" s="1670">
        <f>I228</f>
        <v/>
      </c>
      <c r="J80" s="1670">
        <f>J228</f>
        <v/>
      </c>
      <c r="K80" s="1670">
        <f>K228</f>
        <v/>
      </c>
      <c r="L80" s="1670">
        <f>L228</f>
        <v/>
      </c>
    </row>
    <row r="81" outlineLevel="1" ht="15" customHeight="1">
      <c r="A81" s="1635" t="inlineStr">
        <is>
          <t>Derivative Liabilities - Hedging - Short-Term</t>
        </is>
      </c>
      <c r="C81" s="1696">
        <f>'SOURCE TOWR Balance Sheet'!C179</f>
        <v/>
      </c>
      <c r="D81" s="1696">
        <f>'SOURCE TOWR Balance Sheet'!D179</f>
        <v/>
      </c>
      <c r="E81" s="1696">
        <f>'SOURCE TOWR Balance Sheet'!E179</f>
        <v/>
      </c>
      <c r="F81" s="1696">
        <f>'SOURCE TOWR Balance Sheet'!F179</f>
        <v/>
      </c>
      <c r="G81" s="1696">
        <f>'SOURCE TOWR Balance Sheet'!G179</f>
        <v/>
      </c>
      <c r="H81" s="1699">
        <f>G81</f>
        <v/>
      </c>
      <c r="I81" s="1670">
        <f>H81</f>
        <v/>
      </c>
      <c r="J81" s="1670">
        <f>I81</f>
        <v/>
      </c>
      <c r="K81" s="1670">
        <f>J81</f>
        <v/>
      </c>
      <c r="L81" s="1670">
        <f>K81</f>
        <v/>
      </c>
    </row>
    <row r="82" outlineLevel="1" ht="15" customHeight="1">
      <c r="A82" s="1635" t="inlineStr">
        <is>
          <t>Income Taxes - Payable - Short-Term</t>
        </is>
      </c>
      <c r="C82" s="1696">
        <f>'SOURCE TOWR Balance Sheet'!C181</f>
        <v/>
      </c>
      <c r="D82" s="1696">
        <f>'SOURCE TOWR Balance Sheet'!D181</f>
        <v/>
      </c>
      <c r="E82" s="1696">
        <f>'SOURCE TOWR Balance Sheet'!E181</f>
        <v/>
      </c>
      <c r="F82" s="1696">
        <f>'SOURCE TOWR Balance Sheet'!F181</f>
        <v/>
      </c>
      <c r="G82" s="1696">
        <f>'SOURCE TOWR Balance Sheet'!G181</f>
        <v/>
      </c>
      <c r="H82" s="1699">
        <f>G82</f>
        <v/>
      </c>
      <c r="I82" s="1670">
        <f>H82</f>
        <v/>
      </c>
      <c r="J82" s="1670">
        <f>I82</f>
        <v/>
      </c>
      <c r="K82" s="1670">
        <f>J82</f>
        <v/>
      </c>
      <c r="L82" s="1670">
        <f>K82</f>
        <v/>
      </c>
    </row>
    <row r="83" outlineLevel="1" ht="15" customHeight="1">
      <c r="A83" s="1700" t="inlineStr">
        <is>
          <t>Other Current Liabilities - Total</t>
        </is>
      </c>
      <c r="B83" s="462" t="n"/>
      <c r="C83" s="1671">
        <f>'SOURCE TOWR Balance Sheet'!C184</f>
        <v/>
      </c>
      <c r="D83" s="1671">
        <f>'SOURCE TOWR Balance Sheet'!D184</f>
        <v/>
      </c>
      <c r="E83" s="1671">
        <f>'SOURCE TOWR Balance Sheet'!E184</f>
        <v/>
      </c>
      <c r="F83" s="1671">
        <f>'SOURCE TOWR Balance Sheet'!F184</f>
        <v/>
      </c>
      <c r="G83" s="1671">
        <f>'SOURCE TOWR Balance Sheet'!G184</f>
        <v/>
      </c>
      <c r="H83" s="1699">
        <f>G83</f>
        <v/>
      </c>
      <c r="I83" s="1670">
        <f>H83</f>
        <v/>
      </c>
      <c r="J83" s="1670">
        <f>I83</f>
        <v/>
      </c>
      <c r="K83" s="1670">
        <f>J83</f>
        <v/>
      </c>
      <c r="L83" s="1670">
        <f>K83</f>
        <v/>
      </c>
    </row>
    <row r="84" outlineLevel="1" ht="15" customHeight="1">
      <c r="A84" s="1657" t="inlineStr">
        <is>
          <t>Total Current Liabilities</t>
        </is>
      </c>
      <c r="C84" s="1703">
        <f>SUM(C78:C83)</f>
        <v/>
      </c>
      <c r="D84" s="1703">
        <f>SUM(D78:D83)</f>
        <v/>
      </c>
      <c r="E84" s="1703">
        <f>SUM(E78:E83)</f>
        <v/>
      </c>
      <c r="F84" s="1703">
        <f>SUM(F78:F83)</f>
        <v/>
      </c>
      <c r="G84" s="1703">
        <f>SUM(G78:G83)</f>
        <v/>
      </c>
      <c r="H84" s="1704">
        <f>SUM(H79:H83)</f>
        <v/>
      </c>
      <c r="I84" s="1703">
        <f>SUM(I79:I83)</f>
        <v/>
      </c>
      <c r="J84" s="1703">
        <f>SUM(J79:J83)</f>
        <v/>
      </c>
      <c r="K84" s="1703">
        <f>SUM(K79:K83)</f>
        <v/>
      </c>
      <c r="L84" s="1703">
        <f>SUM(L79:L83)</f>
        <v/>
      </c>
    </row>
    <row r="85" outlineLevel="1" ht="15" customHeight="1">
      <c r="A85" s="458" t="n"/>
      <c r="C85" s="1087" t="n"/>
      <c r="D85" s="1087" t="n"/>
      <c r="E85" s="1087" t="n"/>
      <c r="F85" s="1087" t="n"/>
      <c r="G85" s="1087" t="n"/>
      <c r="H85" s="1135" t="n"/>
      <c r="I85" s="1136" t="n"/>
      <c r="J85" s="1136" t="n"/>
      <c r="K85" s="1136" t="n"/>
      <c r="L85" s="1136" t="n"/>
    </row>
    <row r="86" outlineLevel="1" ht="15" customHeight="1">
      <c r="A86" s="1657" t="inlineStr">
        <is>
          <t>Non Current Liabilities</t>
        </is>
      </c>
      <c r="C86" s="1087" t="n"/>
      <c r="D86" s="1087" t="n"/>
      <c r="E86" s="1087" t="n"/>
      <c r="F86" s="1087" t="n"/>
      <c r="G86" s="1087" t="n"/>
      <c r="H86" s="1131" t="n"/>
      <c r="I86" s="1087" t="n"/>
      <c r="J86" s="1087" t="n"/>
      <c r="K86" s="1087" t="n"/>
      <c r="L86" s="1087" t="n"/>
    </row>
    <row r="87" outlineLevel="1" ht="15" customHeight="1">
      <c r="A87" s="1635" t="inlineStr">
        <is>
          <t>Debt - Long-Term - Total</t>
        </is>
      </c>
      <c r="C87" s="1696">
        <f>'SOURCE TOWR Balance Sheet'!C198</f>
        <v/>
      </c>
      <c r="D87" s="1696">
        <f>'SOURCE TOWR Balance Sheet'!D198</f>
        <v/>
      </c>
      <c r="E87" s="1696">
        <f>'SOURCE TOWR Balance Sheet'!E198</f>
        <v/>
      </c>
      <c r="F87" s="1696">
        <f>'SOURCE TOWR Balance Sheet'!F198</f>
        <v/>
      </c>
      <c r="G87" s="1696">
        <f>'SOURCE TOWR Balance Sheet'!G198</f>
        <v/>
      </c>
      <c r="H87" s="1699">
        <f>H233</f>
        <v/>
      </c>
      <c r="I87" s="1670">
        <f>I233</f>
        <v/>
      </c>
      <c r="J87" s="1670">
        <f>J233</f>
        <v/>
      </c>
      <c r="K87" s="1670">
        <f>K233</f>
        <v/>
      </c>
      <c r="L87" s="1670">
        <f>L233</f>
        <v/>
      </c>
    </row>
    <row r="88" outlineLevel="1" ht="15" customHeight="1">
      <c r="A88" s="1635" t="inlineStr">
        <is>
          <t>Derivative Liabilities - Hedging - Long-Term</t>
        </is>
      </c>
      <c r="C88" s="1696">
        <f>'SOURCE TOWR Balance Sheet'!C208</f>
        <v/>
      </c>
      <c r="D88" s="1696">
        <f>'SOURCE TOWR Balance Sheet'!D208</f>
        <v/>
      </c>
      <c r="E88" s="1696">
        <f>'SOURCE TOWR Balance Sheet'!E208</f>
        <v/>
      </c>
      <c r="F88" s="1696">
        <f>'SOURCE TOWR Balance Sheet'!F208</f>
        <v/>
      </c>
      <c r="G88" s="1696">
        <f>'SOURCE TOWR Balance Sheet'!G208</f>
        <v/>
      </c>
      <c r="H88" s="1699">
        <f>G88</f>
        <v/>
      </c>
      <c r="I88" s="1670">
        <f>H88</f>
        <v/>
      </c>
      <c r="J88" s="1670">
        <f>I88</f>
        <v/>
      </c>
      <c r="K88" s="1670">
        <f>J88</f>
        <v/>
      </c>
      <c r="L88" s="1670">
        <f>K88</f>
        <v/>
      </c>
    </row>
    <row r="89" outlineLevel="1" ht="15" customHeight="1">
      <c r="A89" s="1635" t="inlineStr">
        <is>
          <t>Deferred Tax &amp; Investment Tax Credits - Long-Term</t>
        </is>
      </c>
      <c r="C89" s="1696">
        <f>'SOURCE TOWR Balance Sheet'!C210</f>
        <v/>
      </c>
      <c r="D89" s="1696">
        <f>'SOURCE TOWR Balance Sheet'!D210</f>
        <v/>
      </c>
      <c r="E89" s="1696">
        <f>'SOURCE TOWR Balance Sheet'!E210</f>
        <v/>
      </c>
      <c r="F89" s="1696">
        <f>'SOURCE TOWR Balance Sheet'!F210</f>
        <v/>
      </c>
      <c r="G89" s="1696">
        <f>'SOURCE TOWR Balance Sheet'!G210</f>
        <v/>
      </c>
      <c r="H89" s="1699">
        <f>G89</f>
        <v/>
      </c>
      <c r="I89" s="1670">
        <f>H89</f>
        <v/>
      </c>
      <c r="J89" s="1670">
        <f>I89</f>
        <v/>
      </c>
      <c r="K89" s="1670">
        <f>J89</f>
        <v/>
      </c>
      <c r="L89" s="1670">
        <f>K89</f>
        <v/>
      </c>
    </row>
    <row r="90" outlineLevel="1" ht="15" customHeight="1">
      <c r="A90" s="1700" t="inlineStr">
        <is>
          <t>Other Non-Current Liabilities - Total</t>
        </is>
      </c>
      <c r="B90" s="462" t="n"/>
      <c r="C90" s="1671">
        <f>'SOURCE TOWR Balance Sheet'!C214</f>
        <v/>
      </c>
      <c r="D90" s="1671">
        <f>'SOURCE TOWR Balance Sheet'!D214</f>
        <v/>
      </c>
      <c r="E90" s="1671">
        <f>'SOURCE TOWR Balance Sheet'!E214</f>
        <v/>
      </c>
      <c r="F90" s="1671">
        <f>'SOURCE TOWR Balance Sheet'!F214</f>
        <v/>
      </c>
      <c r="G90" s="1671">
        <f>'SOURCE TOWR Balance Sheet'!G214</f>
        <v/>
      </c>
      <c r="H90" s="1699">
        <f>G90</f>
        <v/>
      </c>
      <c r="I90" s="1670">
        <f>H90</f>
        <v/>
      </c>
      <c r="J90" s="1670">
        <f>I90</f>
        <v/>
      </c>
      <c r="K90" s="1670">
        <f>J90</f>
        <v/>
      </c>
      <c r="L90" s="1670">
        <f>K90</f>
        <v/>
      </c>
    </row>
    <row r="91" outlineLevel="1" ht="15" customHeight="1">
      <c r="A91" s="1657" t="inlineStr">
        <is>
          <t>Total Non-Current Liabilities</t>
        </is>
      </c>
      <c r="C91" s="1703">
        <f>SUM(C87:C90)</f>
        <v/>
      </c>
      <c r="D91" s="1703">
        <f>SUM(D87:D90)</f>
        <v/>
      </c>
      <c r="E91" s="1703">
        <f>SUM(E87:E90)</f>
        <v/>
      </c>
      <c r="F91" s="1703">
        <f>SUM(F87:F90)</f>
        <v/>
      </c>
      <c r="G91" s="1703">
        <f>SUM(G87:G90)</f>
        <v/>
      </c>
      <c r="H91" s="1704">
        <f>SUM(H87:H90)</f>
        <v/>
      </c>
      <c r="I91" s="1703">
        <f>SUM(I87:I90)</f>
        <v/>
      </c>
      <c r="J91" s="1703">
        <f>SUM(J87:J90)</f>
        <v/>
      </c>
      <c r="K91" s="1703">
        <f>SUM(K87:K90)</f>
        <v/>
      </c>
      <c r="L91" s="1703">
        <f>SUM(L87:L90)</f>
        <v/>
      </c>
    </row>
    <row r="92" outlineLevel="1" ht="15" customHeight="1">
      <c r="A92" s="1688" t="inlineStr">
        <is>
          <t>Total Liabilities</t>
        </is>
      </c>
      <c r="B92" s="491" t="n"/>
      <c r="C92" s="1705">
        <f>C84+C91</f>
        <v/>
      </c>
      <c r="D92" s="1705">
        <f>D84+D91</f>
        <v/>
      </c>
      <c r="E92" s="1705">
        <f>E84+E91</f>
        <v/>
      </c>
      <c r="F92" s="1705">
        <f>F84+F91</f>
        <v/>
      </c>
      <c r="G92" s="1705">
        <f>G84+G91</f>
        <v/>
      </c>
      <c r="H92" s="1706">
        <f>H84+H91</f>
        <v/>
      </c>
      <c r="I92" s="1705">
        <f>I84+I91</f>
        <v/>
      </c>
      <c r="J92" s="1705">
        <f>J84+J91</f>
        <v/>
      </c>
      <c r="K92" s="1705">
        <f>K84+K91</f>
        <v/>
      </c>
      <c r="L92" s="1705">
        <f>L84+L91</f>
        <v/>
      </c>
    </row>
    <row r="93" outlineLevel="1" ht="15" customHeight="1">
      <c r="C93" s="1087" t="n"/>
      <c r="D93" s="1087" t="n"/>
      <c r="E93" s="1087" t="n"/>
      <c r="F93" s="1087" t="n"/>
      <c r="G93" s="1087" t="n"/>
      <c r="H93" s="1131" t="n"/>
      <c r="I93" s="1087" t="n"/>
      <c r="J93" s="1087" t="n"/>
      <c r="K93" s="1087" t="n"/>
      <c r="L93" s="1087" t="n"/>
    </row>
    <row r="94" outlineLevel="1" ht="15" customHeight="1">
      <c r="A94" s="1657" t="inlineStr">
        <is>
          <t>Equity</t>
        </is>
      </c>
      <c r="C94" s="1087" t="n"/>
      <c r="D94" s="1087" t="n"/>
      <c r="E94" s="1087" t="n"/>
      <c r="F94" s="1087" t="n"/>
      <c r="G94" s="1087" t="n"/>
      <c r="H94" s="1131" t="n"/>
      <c r="I94" s="1087" t="n"/>
      <c r="J94" s="1087" t="n"/>
      <c r="K94" s="1087" t="n"/>
      <c r="L94" s="1087" t="n"/>
    </row>
    <row r="95" outlineLevel="1" ht="15" customHeight="1">
      <c r="A95" s="1661" t="inlineStr">
        <is>
          <t>Retained Earnings</t>
        </is>
      </c>
      <c r="C95" s="1696">
        <f>'SOURCE TOWR Balance Sheet'!C250</f>
        <v/>
      </c>
      <c r="D95" s="1696">
        <f>'SOURCE TOWR Balance Sheet'!D250</f>
        <v/>
      </c>
      <c r="E95" s="1696">
        <f>'SOURCE TOWR Balance Sheet'!E250</f>
        <v/>
      </c>
      <c r="F95" s="1696">
        <f>'SOURCE TOWR Balance Sheet'!F250</f>
        <v/>
      </c>
      <c r="G95" s="1696">
        <f>'SOURCE TOWR Balance Sheet'!G250</f>
        <v/>
      </c>
      <c r="H95" s="1699">
        <f>SUM(G95,G51,G53)</f>
        <v/>
      </c>
      <c r="I95" s="1670">
        <f>SUM(H95,H51,H53)</f>
        <v/>
      </c>
      <c r="J95" s="1670">
        <f>SUM(I95,I51,I53)</f>
        <v/>
      </c>
      <c r="K95" s="1670">
        <f>SUM(J95,J51,J53)</f>
        <v/>
      </c>
      <c r="L95" s="1670">
        <f>SUM(K95,K51,K53)</f>
        <v/>
      </c>
    </row>
    <row r="96" outlineLevel="1" ht="15" customHeight="1">
      <c r="A96" s="1661" t="inlineStr">
        <is>
          <t>Common Equity</t>
        </is>
      </c>
      <c r="C96" s="1696">
        <f>'SOURCE TOWR Balance Sheet'!C245</f>
        <v/>
      </c>
      <c r="D96" s="1696">
        <f>'SOURCE TOWR Balance Sheet'!D245</f>
        <v/>
      </c>
      <c r="E96" s="1696">
        <f>'SOURCE TOWR Balance Sheet'!E245</f>
        <v/>
      </c>
      <c r="F96" s="1696">
        <f>'SOURCE TOWR Balance Sheet'!F245</f>
        <v/>
      </c>
      <c r="G96" s="1696">
        <f>'SOURCE TOWR Balance Sheet'!G245</f>
        <v/>
      </c>
      <c r="H96" s="1699">
        <f>G96</f>
        <v/>
      </c>
      <c r="I96" s="1670">
        <f>H96</f>
        <v/>
      </c>
      <c r="J96" s="1670">
        <f>I96</f>
        <v/>
      </c>
      <c r="K96" s="1670">
        <f>J96</f>
        <v/>
      </c>
      <c r="L96" s="1670">
        <f>K96</f>
        <v/>
      </c>
    </row>
    <row r="97" outlineLevel="1" ht="15" customHeight="1">
      <c r="A97" s="1661" t="inlineStr">
        <is>
          <t>Treasury Shares</t>
        </is>
      </c>
      <c r="C97" s="1696">
        <f>-'SOURCE TOWR Balance Sheet'!C243</f>
        <v/>
      </c>
      <c r="D97" s="1696">
        <f>-'SOURCE TOWR Balance Sheet'!D243</f>
        <v/>
      </c>
      <c r="E97" s="1696">
        <f>-'SOURCE TOWR Balance Sheet'!E243</f>
        <v/>
      </c>
      <c r="F97" s="1696">
        <f>-'SOURCE TOWR Balance Sheet'!F243</f>
        <v/>
      </c>
      <c r="G97" s="1696">
        <f>-'SOURCE TOWR Balance Sheet'!G243</f>
        <v/>
      </c>
      <c r="H97" s="1699">
        <f>G97</f>
        <v/>
      </c>
      <c r="I97" s="1670">
        <f>H97</f>
        <v/>
      </c>
      <c r="J97" s="1670">
        <f>I97</f>
        <v/>
      </c>
      <c r="K97" s="1670">
        <f>J97</f>
        <v/>
      </c>
      <c r="L97" s="1670">
        <f>K97</f>
        <v/>
      </c>
    </row>
    <row r="98" outlineLevel="1" ht="15" customHeight="1">
      <c r="A98" s="1661" t="inlineStr">
        <is>
          <t>Minority Interest - Equity</t>
        </is>
      </c>
      <c r="C98" s="1696">
        <f>'SOURCE TOWR Balance Sheet'!C268</f>
        <v/>
      </c>
      <c r="D98" s="1696">
        <f>'SOURCE TOWR Balance Sheet'!D268</f>
        <v/>
      </c>
      <c r="E98" s="1696">
        <f>'SOURCE TOWR Balance Sheet'!E268</f>
        <v/>
      </c>
      <c r="F98" s="1696">
        <f>'SOURCE TOWR Balance Sheet'!F268</f>
        <v/>
      </c>
      <c r="G98" s="1696">
        <f>'SOURCE TOWR Balance Sheet'!G268</f>
        <v/>
      </c>
      <c r="H98" s="1699">
        <f>G98</f>
        <v/>
      </c>
      <c r="I98" s="1670">
        <f>H98</f>
        <v/>
      </c>
      <c r="J98" s="1670">
        <f>I98</f>
        <v/>
      </c>
      <c r="K98" s="1670">
        <f>J98</f>
        <v/>
      </c>
      <c r="L98" s="1670">
        <f>K98</f>
        <v/>
      </c>
    </row>
    <row r="99" outlineLevel="1" ht="15" customHeight="1">
      <c r="A99" s="1688" t="inlineStr">
        <is>
          <t>Total Equity</t>
        </is>
      </c>
      <c r="B99" s="491" t="n"/>
      <c r="C99" s="1705">
        <f>SUM(C95:C98)</f>
        <v/>
      </c>
      <c r="D99" s="1705">
        <f>SUM(D95:D98)</f>
        <v/>
      </c>
      <c r="E99" s="1705">
        <f>SUM(E95:E98)</f>
        <v/>
      </c>
      <c r="F99" s="1705">
        <f>SUM(F95:F98)</f>
        <v/>
      </c>
      <c r="G99" s="1705">
        <f>SUM(G95:G98)</f>
        <v/>
      </c>
      <c r="H99" s="1706">
        <f>H95+H96+H98+H97</f>
        <v/>
      </c>
      <c r="I99" s="1705">
        <f>SUM(I95:I98)</f>
        <v/>
      </c>
      <c r="J99" s="1705">
        <f>SUM(J95:J98)</f>
        <v/>
      </c>
      <c r="K99" s="1705">
        <f>SUM(K95:K98)</f>
        <v/>
      </c>
      <c r="L99" s="1705">
        <f>SUM(L95:L98)</f>
        <v/>
      </c>
    </row>
    <row r="100" outlineLevel="1" ht="15" customHeight="1">
      <c r="C100" s="1087" t="n"/>
      <c r="D100" s="1087" t="n"/>
      <c r="E100" s="1087" t="n"/>
      <c r="F100" s="1087" t="n"/>
      <c r="G100" s="1087" t="n"/>
      <c r="H100" s="1131" t="n"/>
      <c r="I100" s="1087" t="n"/>
      <c r="J100" s="1087" t="n"/>
      <c r="K100" s="1087" t="n"/>
      <c r="L100" s="1087" t="n"/>
    </row>
    <row r="101" outlineLevel="1" ht="15" customHeight="1">
      <c r="A101" s="1707" t="inlineStr">
        <is>
          <t>Total Liabilities &amp; Equity</t>
        </is>
      </c>
      <c r="B101" s="462" t="n"/>
      <c r="C101" s="1708">
        <f>C92+C99</f>
        <v/>
      </c>
      <c r="D101" s="1708">
        <f>D92+D99</f>
        <v/>
      </c>
      <c r="E101" s="1708">
        <f>E92+E99</f>
        <v/>
      </c>
      <c r="F101" s="1708">
        <f>F92+F99</f>
        <v/>
      </c>
      <c r="G101" s="1708">
        <f>G92+G99</f>
        <v/>
      </c>
      <c r="H101" s="1709">
        <f>H92+H99</f>
        <v/>
      </c>
      <c r="I101" s="1708">
        <f>I92+I99</f>
        <v/>
      </c>
      <c r="J101" s="1708">
        <f>J92+J99</f>
        <v/>
      </c>
      <c r="K101" s="1708">
        <f>K92+K99</f>
        <v/>
      </c>
      <c r="L101" s="1708">
        <f>L92+L99</f>
        <v/>
      </c>
    </row>
    <row r="102" outlineLevel="1" ht="15" customHeight="1">
      <c r="H102" s="516" t="n"/>
    </row>
    <row r="103" outlineLevel="1" ht="15" customHeight="1">
      <c r="A103" s="1710" t="inlineStr">
        <is>
          <t>Check</t>
        </is>
      </c>
      <c r="C103" s="1711">
        <f>C75-C101</f>
        <v/>
      </c>
      <c r="D103" s="1711">
        <f>D75-D101</f>
        <v/>
      </c>
      <c r="E103" s="1711">
        <f>E75-E101</f>
        <v/>
      </c>
      <c r="F103" s="1711">
        <f>F75-F101</f>
        <v/>
      </c>
      <c r="G103" s="1711">
        <f>G75-G101</f>
        <v/>
      </c>
      <c r="H103" s="1712">
        <f>H75-H101</f>
        <v/>
      </c>
      <c r="I103" s="1711">
        <f>I75-I101</f>
        <v/>
      </c>
      <c r="J103" s="1711">
        <f>J75-J101</f>
        <v/>
      </c>
      <c r="K103" s="1711">
        <f>K75-K101</f>
        <v/>
      </c>
      <c r="L103" s="1711">
        <f>L75-L101</f>
        <v/>
      </c>
    </row>
    <row r="104" ht="15" customHeight="1">
      <c r="H104" s="488" t="n"/>
    </row>
    <row r="105" ht="25.5" customHeight="1">
      <c r="A105" s="1631" t="inlineStr">
        <is>
          <t>Cash Flow</t>
        </is>
      </c>
      <c r="B105" s="1694" t="n"/>
      <c r="C105" s="1695" t="n"/>
      <c r="D105" s="1695" t="n"/>
      <c r="E105" s="1695" t="n"/>
      <c r="F105" s="1695" t="n"/>
      <c r="G105" s="1695" t="n"/>
      <c r="H105" s="1695" t="n"/>
      <c r="I105" s="1695" t="n"/>
      <c r="J105" s="1695" t="n"/>
      <c r="K105" s="1695" t="n"/>
      <c r="L105" s="1695" t="n"/>
    </row>
    <row r="106" outlineLevel="1" ht="15" customHeight="1">
      <c r="A106" s="458" t="n"/>
      <c r="H106" s="488" t="n"/>
    </row>
    <row r="107" ht="15" customFormat="1" customHeight="1" s="412">
      <c r="A107" s="1713" t="inlineStr">
        <is>
          <t>Operating Cash Flow</t>
        </is>
      </c>
      <c r="B107" s="1087" t="n"/>
      <c r="C107" s="1113" t="n"/>
      <c r="D107" s="1143" t="n"/>
      <c r="E107" s="1143" t="n"/>
      <c r="F107" s="1143" t="n"/>
      <c r="G107" s="1143" t="n"/>
      <c r="H107" s="1144" t="n"/>
      <c r="I107" s="1143" t="n"/>
      <c r="J107" s="1143" t="n"/>
      <c r="K107" s="1143" t="n"/>
      <c r="L107" s="1143" t="n"/>
      <c r="M107" s="523" t="n"/>
      <c r="O107" s="415" t="n"/>
    </row>
    <row r="108" ht="15" customFormat="1" customHeight="1" s="412">
      <c r="A108" s="1713" t="inlineStr">
        <is>
          <t>Net Earnings</t>
        </is>
      </c>
      <c r="B108" s="1087" t="n"/>
      <c r="C108" s="1113" t="n"/>
      <c r="D108" s="1143" t="n"/>
      <c r="E108" s="1143" t="n"/>
      <c r="F108" s="1143" t="n"/>
      <c r="G108" s="1143" t="n"/>
      <c r="H108" s="1714">
        <f>G51</f>
        <v/>
      </c>
      <c r="I108" s="1715">
        <f>H51</f>
        <v/>
      </c>
      <c r="J108" s="1715">
        <f>I51</f>
        <v/>
      </c>
      <c r="K108" s="1715">
        <f>J51</f>
        <v/>
      </c>
      <c r="L108" s="1715">
        <f>K51</f>
        <v/>
      </c>
      <c r="M108" s="524" t="n"/>
      <c r="N108" s="525" t="n"/>
      <c r="O108" s="415" t="n"/>
    </row>
    <row r="109" ht="15" customFormat="1" customHeight="1" s="412">
      <c r="A109" s="1713" t="inlineStr">
        <is>
          <t>Plus: Depreciation &amp; Amortization</t>
        </is>
      </c>
      <c r="B109" s="1087" t="n"/>
      <c r="C109" s="1113" t="n"/>
      <c r="D109" s="1143" t="n"/>
      <c r="E109" s="1143" t="n"/>
      <c r="F109" s="1143" t="n"/>
      <c r="G109" s="1143" t="n"/>
      <c r="H109" s="1714">
        <f>H201*-1</f>
        <v/>
      </c>
      <c r="I109" s="1715">
        <f>I201*-1</f>
        <v/>
      </c>
      <c r="J109" s="1715">
        <f>J201*-1</f>
        <v/>
      </c>
      <c r="K109" s="1715">
        <f>K201*-1</f>
        <v/>
      </c>
      <c r="L109" s="1715">
        <f>L201*-1</f>
        <v/>
      </c>
      <c r="M109" s="524" t="n"/>
      <c r="N109" s="525" t="n"/>
      <c r="O109" s="415" t="n"/>
    </row>
    <row r="110" ht="15" customFormat="1" customHeight="1" s="412">
      <c r="A110" s="1713" t="inlineStr">
        <is>
          <t>Less: Changes in Working Capital</t>
        </is>
      </c>
      <c r="B110" s="1087" t="n"/>
      <c r="C110" s="1113" t="n"/>
      <c r="D110" s="1143" t="n"/>
      <c r="E110" s="1143" t="n"/>
      <c r="F110" s="1143" t="n"/>
      <c r="G110" s="1143" t="n"/>
      <c r="H110" s="1716">
        <f t="array" ref="H110">(SUM(H79:H83)-SUM(G79:G83))-((SUM(H60:H63-G60:G63)))</f>
        <v/>
      </c>
      <c r="I110" s="1717">
        <f t="array" ref="I110">(SUM(I79:I83)-SUM(H79:H83))-((SUM(I60:I63-H60:H63)))</f>
        <v/>
      </c>
      <c r="J110" s="1717">
        <f t="array" ref="J110">(SUM(J79:J83)-SUM(I79:I83))-((SUM(J60:J63-I60:I63)))</f>
        <v/>
      </c>
      <c r="K110" s="1717">
        <f t="array" ref="K110">(SUM(K79:K83)-SUM(J79:J83))-((SUM(K60:K63-J60:J63)))</f>
        <v/>
      </c>
      <c r="L110" s="1717">
        <f t="array" ref="L110">(SUM(L79:L83)-SUM(K79:K83))-((SUM(L60:L63-K60:K63)))</f>
        <v/>
      </c>
      <c r="M110" s="524" t="n"/>
      <c r="N110" s="525" t="n"/>
      <c r="O110" s="415" t="n"/>
    </row>
    <row r="111" ht="15" customFormat="1" customHeight="1" s="537">
      <c r="A111" s="1718" t="inlineStr">
        <is>
          <t>Cash from Operations</t>
        </is>
      </c>
      <c r="B111" s="1148" t="n"/>
      <c r="C111" s="1149" t="n"/>
      <c r="D111" s="1150" t="n"/>
      <c r="E111" s="1150" t="n"/>
      <c r="F111" s="1150" t="n"/>
      <c r="G111" s="1150" t="n"/>
      <c r="H111" s="1719">
        <f>SUM(H108:H110)</f>
        <v/>
      </c>
      <c r="I111" s="1720">
        <f>SUM(I108:I110)</f>
        <v/>
      </c>
      <c r="J111" s="1720">
        <f>SUM(J108:J110)</f>
        <v/>
      </c>
      <c r="K111" s="1720">
        <f>SUM(K108:K110)</f>
        <v/>
      </c>
      <c r="L111" s="1720">
        <f>SUM(L108:L110)</f>
        <v/>
      </c>
      <c r="M111" s="534" t="n"/>
      <c r="N111" s="535" t="n"/>
      <c r="O111" s="536" t="n"/>
    </row>
    <row r="112" ht="15" customFormat="1" customHeight="1" s="412">
      <c r="A112" s="1142" t="n"/>
      <c r="B112" s="1087" t="n"/>
      <c r="C112" s="1113" t="n"/>
      <c r="D112" s="1143" t="n"/>
      <c r="E112" s="1143" t="n"/>
      <c r="F112" s="1143" t="n"/>
      <c r="G112" s="1143" t="n"/>
      <c r="H112" s="1144" t="n"/>
      <c r="I112" s="1143" t="n"/>
      <c r="J112" s="1143" t="n"/>
      <c r="K112" s="1143" t="n"/>
      <c r="L112" s="1143" t="n"/>
      <c r="M112" s="538" t="n"/>
      <c r="N112" s="537" t="n"/>
      <c r="O112" s="415" t="n"/>
    </row>
    <row r="113" ht="15" customFormat="1" customHeight="1" s="412">
      <c r="A113" s="1713" t="inlineStr">
        <is>
          <t>Investing Cash Flow</t>
        </is>
      </c>
      <c r="B113" s="1087" t="n"/>
      <c r="C113" s="1113" t="n"/>
      <c r="D113" s="1143" t="n"/>
      <c r="E113" s="1143" t="n"/>
      <c r="F113" s="1143" t="n"/>
      <c r="G113" s="1143" t="n"/>
      <c r="H113" s="1144" t="n"/>
      <c r="I113" s="1143" t="n"/>
      <c r="J113" s="1143" t="n"/>
      <c r="K113" s="1143" t="n"/>
      <c r="L113" s="1143" t="n"/>
      <c r="M113" s="539" t="n"/>
      <c r="O113" s="415" t="n"/>
    </row>
    <row r="114" ht="15" customFormat="1" customHeight="1" s="412">
      <c r="A114" s="1713" t="inlineStr">
        <is>
          <t>Investments in Property &amp; Equipment (CapEx)</t>
        </is>
      </c>
      <c r="B114" s="1087" t="n"/>
      <c r="C114" s="1113" t="n"/>
      <c r="D114" s="1143" t="n"/>
      <c r="E114" s="1143" t="n"/>
      <c r="F114" s="1143" t="n"/>
      <c r="G114" s="1143" t="n"/>
      <c r="H114" s="1714">
        <f>H200*-1</f>
        <v/>
      </c>
      <c r="I114" s="1715">
        <f>I200*-1</f>
        <v/>
      </c>
      <c r="J114" s="1715">
        <f>J200*-1</f>
        <v/>
      </c>
      <c r="K114" s="1715">
        <f>K200*-1</f>
        <v/>
      </c>
      <c r="L114" s="1715">
        <f>L200*-1</f>
        <v/>
      </c>
      <c r="M114" s="524" t="n"/>
      <c r="N114" s="525" t="n"/>
      <c r="O114" s="415" t="n"/>
    </row>
    <row r="115" ht="15" customFormat="1" customHeight="1" s="412">
      <c r="A115" s="1713" t="inlineStr">
        <is>
          <t>Investments in Businesses</t>
        </is>
      </c>
      <c r="B115" s="1087" t="n"/>
      <c r="C115" s="1113" t="n"/>
      <c r="D115" s="1143" t="n"/>
      <c r="E115" s="1143" t="n"/>
      <c r="F115" s="1143" t="n"/>
      <c r="G115" s="1143" t="n"/>
      <c r="H115" s="1721" t="n">
        <v>0</v>
      </c>
      <c r="I115" s="1722" t="n">
        <v>0</v>
      </c>
      <c r="J115" s="1722" t="n">
        <v>0</v>
      </c>
      <c r="K115" s="1722" t="n">
        <v>0</v>
      </c>
      <c r="L115" s="1722" t="n">
        <v>0</v>
      </c>
      <c r="M115" s="524" t="n"/>
      <c r="N115" s="525" t="n"/>
      <c r="O115" s="415" t="n"/>
    </row>
    <row r="116" ht="15" customFormat="1" customHeight="1" s="537">
      <c r="A116" s="1718" t="inlineStr">
        <is>
          <t>Cash from Investing</t>
        </is>
      </c>
      <c r="B116" s="1148" t="n"/>
      <c r="C116" s="1149" t="n"/>
      <c r="D116" s="1150" t="n"/>
      <c r="E116" s="1150" t="n"/>
      <c r="F116" s="1150" t="n"/>
      <c r="G116" s="1150" t="n"/>
      <c r="H116" s="1719">
        <f>SUM(H114:H115)</f>
        <v/>
      </c>
      <c r="I116" s="1720">
        <f>SUM(I114:I115)</f>
        <v/>
      </c>
      <c r="J116" s="1720">
        <f>SUM(J114:J115)</f>
        <v/>
      </c>
      <c r="K116" s="1720">
        <f>SUM(K114:K115)</f>
        <v/>
      </c>
      <c r="L116" s="1720">
        <f>SUM(L114:L115)</f>
        <v/>
      </c>
      <c r="M116" s="534" t="n"/>
      <c r="N116" s="535" t="n"/>
      <c r="O116" s="536" t="n"/>
    </row>
    <row r="117" ht="15" customFormat="1" customHeight="1" s="412">
      <c r="A117" s="1142" t="n"/>
      <c r="B117" s="1087" t="n"/>
      <c r="C117" s="1113" t="n"/>
      <c r="D117" s="1143" t="n"/>
      <c r="E117" s="1143" t="n"/>
      <c r="F117" s="1143" t="n"/>
      <c r="G117" s="1143" t="n"/>
      <c r="H117" s="1144" t="n"/>
      <c r="I117" s="1143" t="n"/>
      <c r="J117" s="1143" t="n"/>
      <c r="K117" s="1143" t="n"/>
      <c r="L117" s="1143" t="n"/>
      <c r="M117" s="538" t="n"/>
      <c r="N117" s="537" t="n"/>
      <c r="O117" s="415" t="n"/>
    </row>
    <row r="118" ht="15" customFormat="1" customHeight="1" s="412">
      <c r="A118" s="1713" t="inlineStr">
        <is>
          <t>Financing Cash Flow</t>
        </is>
      </c>
      <c r="B118" s="1087" t="n"/>
      <c r="C118" s="1113" t="n"/>
      <c r="D118" s="1143" t="n"/>
      <c r="E118" s="1143" t="n"/>
      <c r="F118" s="1143" t="n"/>
      <c r="G118" s="1143" t="n"/>
      <c r="H118" s="1144" t="n"/>
      <c r="I118" s="1143" t="n"/>
      <c r="J118" s="1143" t="n"/>
      <c r="K118" s="1143" t="n"/>
      <c r="L118" s="1143" t="n"/>
      <c r="M118" s="539" t="n"/>
      <c r="O118" s="415" t="n"/>
    </row>
    <row r="119" ht="15" customFormat="1" customHeight="1" s="412">
      <c r="A119" s="1713" t="inlineStr">
        <is>
          <t>Issuance (repayment) of debt - net</t>
        </is>
      </c>
      <c r="B119" s="1087" t="n"/>
      <c r="C119" s="1113" t="n"/>
      <c r="D119" s="1143" t="n"/>
      <c r="E119" s="1143" t="n"/>
      <c r="F119" s="1143" t="n"/>
      <c r="G119" s="1143" t="n"/>
      <c r="H119" s="1714">
        <f>H231-H232</f>
        <v/>
      </c>
      <c r="I119" s="1715">
        <f>I231-I232</f>
        <v/>
      </c>
      <c r="J119" s="1715">
        <f>J231-J232</f>
        <v/>
      </c>
      <c r="K119" s="1715">
        <f>K231-K232</f>
        <v/>
      </c>
      <c r="L119" s="1715">
        <f>L231-L232</f>
        <v/>
      </c>
      <c r="M119" s="539" t="n"/>
      <c r="O119" s="415" t="n"/>
    </row>
    <row r="120" ht="15" customFormat="1" customHeight="1" s="412">
      <c r="A120" s="1713" t="inlineStr">
        <is>
          <t>Issuance (repayment) of equity</t>
        </is>
      </c>
      <c r="B120" s="1087" t="n"/>
      <c r="C120" s="1113" t="n"/>
      <c r="D120" s="1143" t="n"/>
      <c r="E120" s="1143" t="n"/>
      <c r="F120" s="1143" t="n"/>
      <c r="G120" s="1143" t="n"/>
      <c r="H120" s="1723" t="n">
        <v>0</v>
      </c>
      <c r="I120" s="1724" t="n">
        <v>0</v>
      </c>
      <c r="J120" s="1724" t="n">
        <v>0</v>
      </c>
      <c r="K120" s="1724" t="n">
        <v>0</v>
      </c>
      <c r="L120" s="1724" t="n">
        <v>0</v>
      </c>
      <c r="M120" s="539" t="n"/>
      <c r="O120" s="415" t="n"/>
    </row>
    <row r="121" ht="15" customFormat="1" customHeight="1" s="412">
      <c r="A121" s="1713" t="inlineStr">
        <is>
          <t>Payment of Dividends</t>
        </is>
      </c>
      <c r="B121" s="1087" t="n"/>
      <c r="C121" s="1113" t="n"/>
      <c r="D121" s="1143" t="n"/>
      <c r="E121" s="1143" t="n"/>
      <c r="F121" s="1143" t="n"/>
      <c r="G121" s="1143" t="n"/>
      <c r="H121" s="1721" t="n">
        <v>0</v>
      </c>
      <c r="I121" s="1722" t="n">
        <v>0</v>
      </c>
      <c r="J121" s="1722" t="n">
        <v>0</v>
      </c>
      <c r="K121" s="1722" t="n">
        <v>0</v>
      </c>
      <c r="L121" s="1722" t="n">
        <v>0</v>
      </c>
      <c r="M121" s="539" t="n"/>
      <c r="O121" s="415" t="n"/>
    </row>
    <row r="122" ht="15" customFormat="1" customHeight="1" s="537">
      <c r="A122" s="1718" t="inlineStr">
        <is>
          <t>Cash from Financing</t>
        </is>
      </c>
      <c r="B122" s="1148" t="n"/>
      <c r="C122" s="1149" t="n"/>
      <c r="D122" s="1150" t="n"/>
      <c r="E122" s="1150" t="n"/>
      <c r="F122" s="1150" t="n"/>
      <c r="G122" s="1150" t="n"/>
      <c r="H122" s="1719">
        <f>SUM(H119:H121)</f>
        <v/>
      </c>
      <c r="I122" s="1720">
        <f>SUM(I119:I121)</f>
        <v/>
      </c>
      <c r="J122" s="1720">
        <f>SUM(J119:J121)</f>
        <v/>
      </c>
      <c r="K122" s="1720">
        <f>SUM(K119:K121)</f>
        <v/>
      </c>
      <c r="L122" s="1720">
        <f>SUM(L119:L121)</f>
        <v/>
      </c>
      <c r="M122" s="534" t="n"/>
      <c r="N122" s="535" t="n"/>
      <c r="O122" s="536" t="n"/>
    </row>
    <row r="123" ht="15" customFormat="1" customHeight="1" s="412">
      <c r="A123" s="1142" t="n"/>
      <c r="B123" s="1087" t="n"/>
      <c r="C123" s="1113" t="n"/>
      <c r="D123" s="1143" t="n"/>
      <c r="E123" s="1143" t="n"/>
      <c r="F123" s="1143" t="n"/>
      <c r="G123" s="1143" t="n"/>
      <c r="H123" s="1144" t="n"/>
      <c r="I123" s="1143" t="n"/>
      <c r="J123" s="1143" t="n"/>
      <c r="K123" s="1143" t="n"/>
      <c r="L123" s="1143" t="n"/>
      <c r="M123" s="538" t="n"/>
      <c r="N123" s="537" t="n"/>
      <c r="O123" s="415" t="n"/>
    </row>
    <row r="124" ht="15" customFormat="1" customHeight="1" s="412">
      <c r="A124" s="1725" t="inlineStr">
        <is>
          <t>Net Increase (decrease) in Cash</t>
        </is>
      </c>
      <c r="B124" s="1136" t="n"/>
      <c r="C124" s="1111" t="n"/>
      <c r="D124" s="1152" t="n"/>
      <c r="E124" s="1152" t="n"/>
      <c r="F124" s="1152" t="n"/>
      <c r="G124" s="1152" t="n"/>
      <c r="H124" s="1719">
        <f>SUM(H122,H116,H111)</f>
        <v/>
      </c>
      <c r="I124" s="1720">
        <f>SUM(I122,I116,I111)</f>
        <v/>
      </c>
      <c r="J124" s="1720">
        <f>SUM(J122,J116,J111)</f>
        <v/>
      </c>
      <c r="K124" s="1720">
        <f>SUM(K122,K116,K111)</f>
        <v/>
      </c>
      <c r="L124" s="1720">
        <f>SUM(L122,L116,L111)</f>
        <v/>
      </c>
      <c r="M124" s="524" t="n"/>
      <c r="N124" s="525" t="n"/>
      <c r="O124" s="415" t="n"/>
    </row>
    <row r="125" ht="15" customFormat="1" customHeight="1" s="412">
      <c r="A125" s="1713" t="inlineStr">
        <is>
          <t>Opening Cash Balance</t>
        </is>
      </c>
      <c r="B125" s="1087" t="n"/>
      <c r="C125" s="1113" t="n"/>
      <c r="D125" s="1146" t="n"/>
      <c r="E125" s="1146" t="n"/>
      <c r="F125" s="1146" t="n"/>
      <c r="G125" s="1154" t="n"/>
      <c r="H125" s="1717">
        <f>G59</f>
        <v/>
      </c>
      <c r="I125" s="1717">
        <f>H59</f>
        <v/>
      </c>
      <c r="J125" s="1717">
        <f>I59</f>
        <v/>
      </c>
      <c r="K125" s="1717">
        <f>J59</f>
        <v/>
      </c>
      <c r="L125" s="1717">
        <f>K59</f>
        <v/>
      </c>
      <c r="M125" s="524" t="n"/>
      <c r="N125" s="525" t="n"/>
      <c r="O125" s="415" t="n"/>
    </row>
    <row r="126" ht="15" customFormat="1" customHeight="1" s="412">
      <c r="A126" s="1726" t="inlineStr">
        <is>
          <t>Closing Cash Balance</t>
        </is>
      </c>
      <c r="B126" s="1156" t="n"/>
      <c r="C126" s="1157" t="n"/>
      <c r="D126" s="1143" t="n"/>
      <c r="E126" s="1143" t="n"/>
      <c r="F126" s="1143" t="n"/>
      <c r="G126" s="1143" t="n"/>
      <c r="H126" s="1714">
        <f>H124+H125</f>
        <v/>
      </c>
      <c r="I126" s="1715">
        <f>I124+I125</f>
        <v/>
      </c>
      <c r="J126" s="1715">
        <f>J124+J125</f>
        <v/>
      </c>
      <c r="K126" s="1715">
        <f>K124+K125</f>
        <v/>
      </c>
      <c r="L126" s="1715">
        <f>L124+L125</f>
        <v/>
      </c>
      <c r="M126" s="534" t="n"/>
      <c r="N126" s="535" t="n"/>
      <c r="O126" s="415" t="n"/>
    </row>
    <row r="127" ht="15" customHeight="1">
      <c r="A127" s="1661" t="inlineStr">
        <is>
          <t xml:space="preserve"> </t>
        </is>
      </c>
      <c r="C127" s="477" t="n"/>
      <c r="D127" s="477" t="n"/>
      <c r="E127" s="477" t="n"/>
      <c r="F127" s="477" t="n"/>
      <c r="H127" s="488" t="n"/>
    </row>
    <row r="128" ht="25.5" customHeight="1">
      <c r="A128" s="1727" t="inlineStr">
        <is>
          <t>Revenue Schedule</t>
        </is>
      </c>
      <c r="B128" s="1728" t="n"/>
      <c r="C128" s="1729" t="n"/>
      <c r="D128" s="1729" t="n"/>
      <c r="E128" s="1729" t="n"/>
      <c r="F128" s="1729" t="n"/>
      <c r="G128" s="1729" t="n"/>
      <c r="H128" s="1729" t="n"/>
      <c r="I128" s="1729" t="n"/>
      <c r="J128" s="1729" t="n"/>
      <c r="K128" s="1729" t="n"/>
      <c r="L128" s="1729" t="n"/>
    </row>
    <row r="129" ht="15" customHeight="1">
      <c r="A129" s="458" t="n"/>
    </row>
    <row r="130" ht="15" customHeight="1">
      <c r="A130" s="909" t="inlineStr">
        <is>
          <t>Tower Revenue</t>
        </is>
      </c>
      <c r="B130" s="1730" t="n"/>
      <c r="C130" s="1730" t="n"/>
      <c r="D130" s="1730" t="n"/>
      <c r="E130" s="1731" t="n"/>
      <c r="F130" s="1731" t="n"/>
      <c r="G130" s="1731" t="n"/>
      <c r="H130" s="1731" t="n"/>
      <c r="I130" s="1731" t="n"/>
      <c r="J130" s="1731" t="n"/>
      <c r="K130" s="1731" t="n"/>
      <c r="L130" s="1731" t="n"/>
      <c r="M130" s="550" t="n"/>
      <c r="N130" s="550" t="n"/>
      <c r="O130" s="550" t="n"/>
      <c r="P130" s="550" t="n"/>
    </row>
    <row r="131" ht="15" customFormat="1" customHeight="1" s="1087">
      <c r="A131" s="1703" t="inlineStr">
        <is>
          <t>Tower sites</t>
        </is>
      </c>
      <c r="B131" s="1158" t="n"/>
      <c r="C131" s="1732" t="n">
        <v>28698</v>
      </c>
      <c r="D131" s="1732" t="n">
        <v>29794</v>
      </c>
      <c r="E131" s="1732" t="n">
        <v>30558</v>
      </c>
      <c r="F131" s="1732" t="n">
        <v>35400</v>
      </c>
      <c r="G131" s="1732" t="n">
        <v>36228</v>
      </c>
      <c r="H131" s="1733">
        <f>G131*(1+$C$19)</f>
        <v/>
      </c>
      <c r="I131" s="1734">
        <f>H131*(1+$C$19)</f>
        <v/>
      </c>
      <c r="J131" s="1734">
        <f>I131*(1+$C$19)</f>
        <v/>
      </c>
      <c r="K131" s="1734">
        <f>J131*(1+$C$19)</f>
        <v/>
      </c>
      <c r="L131" s="1734">
        <f>K131*(1+$C$19)</f>
        <v/>
      </c>
      <c r="M131" s="550" t="n"/>
      <c r="N131" s="550" t="n"/>
      <c r="O131" s="550" t="n"/>
      <c r="P131" s="550" t="n"/>
    </row>
    <row r="132" ht="15" customFormat="1" customHeight="1" s="1087">
      <c r="A132" s="1635" t="inlineStr">
        <is>
          <t>% Growth</t>
        </is>
      </c>
      <c r="B132" s="1163" t="n"/>
      <c r="C132" s="1164" t="n"/>
      <c r="D132" s="1735">
        <f>D131/C131-1</f>
        <v/>
      </c>
      <c r="E132" s="1735">
        <f>E131/D131-1</f>
        <v/>
      </c>
      <c r="F132" s="1735">
        <f>F131/E131-1</f>
        <v/>
      </c>
      <c r="G132" s="1735">
        <f>G131/F131-1</f>
        <v/>
      </c>
      <c r="H132" s="1736">
        <f>H131/G131-1</f>
        <v/>
      </c>
      <c r="I132" s="1735">
        <f>I131/H131-1</f>
        <v/>
      </c>
      <c r="J132" s="1735">
        <f>J131/I131-1</f>
        <v/>
      </c>
      <c r="K132" s="1735">
        <f>K131/J131-1</f>
        <v/>
      </c>
      <c r="L132" s="1735">
        <f>L131/K131-1</f>
        <v/>
      </c>
      <c r="M132" s="550" t="n"/>
      <c r="N132" s="550" t="n"/>
      <c r="O132" s="550" t="n"/>
      <c r="P132" s="550" t="n"/>
    </row>
    <row r="133" ht="15" customFormat="1" customHeight="1" s="1087">
      <c r="A133" s="1162" t="n"/>
      <c r="B133" s="1163" t="n"/>
      <c r="C133" s="1164" t="n"/>
      <c r="D133" s="1165" t="n"/>
      <c r="E133" s="1165" t="n"/>
      <c r="F133" s="1165" t="n"/>
      <c r="G133" s="1165" t="n"/>
      <c r="H133" s="1166" t="n"/>
      <c r="I133" s="1165" t="n"/>
      <c r="J133" s="1165" t="n"/>
      <c r="K133" s="1165" t="n"/>
      <c r="L133" s="1165" t="n"/>
      <c r="M133" s="550" t="n"/>
      <c r="N133" s="550" t="n"/>
      <c r="O133" s="550" t="n"/>
      <c r="P133" s="550" t="n"/>
    </row>
    <row r="134" ht="15" customFormat="1" customHeight="1" s="1087">
      <c r="A134" s="1737" t="inlineStr">
        <is>
          <t>Tenants (period-end)</t>
        </is>
      </c>
      <c r="B134" s="1158" t="n"/>
      <c r="C134" s="1732" t="n">
        <v>53952</v>
      </c>
      <c r="D134" s="1732" t="n">
        <v>53967</v>
      </c>
      <c r="E134" s="1732" t="n">
        <v>54284</v>
      </c>
      <c r="F134" s="1732" t="n">
        <v>58035</v>
      </c>
      <c r="G134" s="1732" t="n">
        <v>60500</v>
      </c>
      <c r="H134" s="1733">
        <f>SUM(H135:H137)+G134</f>
        <v/>
      </c>
      <c r="I134" s="1734">
        <f>SUM(I135:I137)+H134</f>
        <v/>
      </c>
      <c r="J134" s="1734">
        <f>SUM(J135:J137)+I134</f>
        <v/>
      </c>
      <c r="K134" s="1734">
        <f>SUM(K135:K137)+J134</f>
        <v/>
      </c>
      <c r="L134" s="1734">
        <f>SUM(L135:L137)+K134</f>
        <v/>
      </c>
      <c r="M134" s="550" t="n"/>
      <c r="N134" s="550" t="n"/>
      <c r="O134" s="550" t="n"/>
      <c r="P134" s="550" t="n"/>
    </row>
    <row r="135" ht="15" customFormat="1" customHeight="1" s="1087">
      <c r="A135" s="1635" t="inlineStr">
        <is>
          <t xml:space="preserve">  (+) New-site anchor tenancies</t>
        </is>
      </c>
      <c r="B135" s="1163" t="n"/>
      <c r="C135" s="1168" t="n"/>
      <c r="D135" s="1738">
        <f>D131-C131</f>
        <v/>
      </c>
      <c r="E135" s="1738">
        <f>E131-D131</f>
        <v/>
      </c>
      <c r="F135" s="1738">
        <f>F131-E131</f>
        <v/>
      </c>
      <c r="G135" s="1738">
        <f>G131-F131</f>
        <v/>
      </c>
      <c r="H135" s="1739">
        <f>H131-G131</f>
        <v/>
      </c>
      <c r="I135" s="1738">
        <f>I131-H131</f>
        <v/>
      </c>
      <c r="J135" s="1738">
        <f>J131-I131</f>
        <v/>
      </c>
      <c r="K135" s="1738">
        <f>K131-J131</f>
        <v/>
      </c>
      <c r="L135" s="1738">
        <f>L131-K131</f>
        <v/>
      </c>
      <c r="M135" s="550" t="n"/>
      <c r="N135" s="550" t="n"/>
      <c r="O135" s="550" t="n"/>
      <c r="P135" s="550" t="n"/>
    </row>
    <row r="136" ht="15" customFormat="1" customHeight="1" s="1087">
      <c r="A136" s="1635" t="inlineStr">
        <is>
          <t xml:space="preserve">  (+) 5G colocation uplift</t>
        </is>
      </c>
      <c r="B136" s="1163" t="n"/>
      <c r="C136" s="1087" t="n"/>
      <c r="D136" s="1087" t="n"/>
      <c r="E136" s="1087" t="n"/>
      <c r="F136" s="1087" t="n"/>
      <c r="G136" s="1128" t="n"/>
      <c r="H136" s="1739">
        <f>H131*$F$12</f>
        <v/>
      </c>
      <c r="I136" s="1738">
        <f>I131*$F$12</f>
        <v/>
      </c>
      <c r="J136" s="1738">
        <f>J131*$F$12</f>
        <v/>
      </c>
      <c r="K136" s="1738">
        <f>K131*$F$12</f>
        <v/>
      </c>
      <c r="L136" s="1738">
        <f>L131*$F$12</f>
        <v/>
      </c>
      <c r="M136" s="550" t="n"/>
      <c r="N136" s="550" t="n"/>
      <c r="O136" s="550" t="n"/>
      <c r="P136" s="550" t="n"/>
    </row>
    <row r="137" ht="15" customFormat="1" customHeight="1" s="1087">
      <c r="A137" s="1635" t="inlineStr">
        <is>
          <t xml:space="preserve">  (–) Total churn </t>
        </is>
      </c>
      <c r="B137" s="1163" t="n"/>
      <c r="C137" s="1087" t="n"/>
      <c r="D137" s="1087" t="n"/>
      <c r="E137" s="1087" t="n"/>
      <c r="F137" s="1087" t="n"/>
      <c r="G137" s="1128" t="n"/>
      <c r="H137" s="1739">
        <f>-H147</f>
        <v/>
      </c>
      <c r="I137" s="1738">
        <f>-I147</f>
        <v/>
      </c>
      <c r="J137" s="1738">
        <f>-J147</f>
        <v/>
      </c>
      <c r="K137" s="1738">
        <f>-K147</f>
        <v/>
      </c>
      <c r="L137" s="1738">
        <f>-L147</f>
        <v/>
      </c>
      <c r="M137" s="550" t="n"/>
      <c r="N137" s="550" t="n"/>
      <c r="O137" s="550" t="n"/>
      <c r="P137" s="550" t="n"/>
    </row>
    <row r="138" ht="15" customFormat="1" customHeight="1" s="1087">
      <c r="H138" s="1131" t="n"/>
      <c r="M138" s="550" t="n"/>
      <c r="N138" s="550" t="n"/>
      <c r="O138" s="550" t="n"/>
      <c r="P138" s="550" t="n"/>
    </row>
    <row r="139" ht="15" customFormat="1" customHeight="1" s="1087">
      <c r="A139" s="1703" t="inlineStr">
        <is>
          <t>Churn Build  (XLSmart merger decommissioning)</t>
        </is>
      </c>
      <c r="C139" s="1087" t="n"/>
      <c r="D139" s="1087" t="n"/>
      <c r="E139" s="1087" t="n"/>
      <c r="F139" s="1087" t="n"/>
      <c r="G139" s="1087" t="n"/>
      <c r="H139" s="1131" t="n"/>
      <c r="M139" s="550" t="n"/>
      <c r="N139" s="550" t="n"/>
      <c r="O139" s="550" t="n"/>
      <c r="P139" s="550" t="n"/>
    </row>
    <row r="140" ht="15" customFormat="1" customHeight="1" s="1087">
      <c r="A140" s="1635" t="inlineStr">
        <is>
          <t>XLSmart tenancy base (2025)</t>
        </is>
      </c>
      <c r="B140" s="1090" t="n"/>
      <c r="C140" s="1087" t="n"/>
      <c r="D140" s="1087" t="n"/>
      <c r="E140" s="1087" t="n"/>
      <c r="F140" s="1087" t="n"/>
      <c r="G140" s="1738">
        <f>G134*C20</f>
        <v/>
      </c>
      <c r="H140" s="1131" t="n"/>
      <c r="M140" s="550" t="n"/>
      <c r="N140" s="550" t="n"/>
      <c r="O140" s="550" t="n"/>
      <c r="P140" s="550" t="n"/>
    </row>
    <row r="141" ht="15" customFormat="1" customHeight="1" s="1087">
      <c r="A141" s="1635" t="inlineStr">
        <is>
          <t>XLSmart at-risk overlap (scenario)</t>
        </is>
      </c>
      <c r="B141" s="1090" t="n"/>
      <c r="C141" s="1087" t="n"/>
      <c r="D141" s="1087" t="n"/>
      <c r="E141" s="1087" t="n"/>
      <c r="F141" s="1087" t="n"/>
      <c r="G141" s="1740">
        <f>F11</f>
        <v/>
      </c>
      <c r="H141" s="1131" t="n"/>
      <c r="M141" s="550" t="n"/>
      <c r="N141" s="550" t="n"/>
      <c r="O141" s="550" t="n"/>
      <c r="P141" s="550" t="n"/>
    </row>
    <row r="142" ht="15" customFormat="1" customHeight="1" s="1087">
      <c r="A142" s="1635" t="inlineStr">
        <is>
          <t>Total at-risk decommissioning (program)</t>
        </is>
      </c>
      <c r="B142" s="1090" t="n"/>
      <c r="C142" s="1087" t="n"/>
      <c r="D142" s="1087" t="n"/>
      <c r="E142" s="1087" t="n"/>
      <c r="F142" s="1087" t="n"/>
      <c r="G142" s="1738">
        <f>G140*G141</f>
        <v/>
      </c>
      <c r="H142" s="1131" t="n"/>
      <c r="M142" s="550" t="n"/>
      <c r="N142" s="550" t="n"/>
      <c r="O142" s="550" t="n"/>
      <c r="P142" s="550" t="n"/>
    </row>
    <row r="143" ht="15" customFormat="1" customHeight="1" s="1087">
      <c r="A143" s="1635" t="inlineStr">
        <is>
          <t xml:space="preserve">  Phasing % of program</t>
        </is>
      </c>
      <c r="B143" s="1090" t="n"/>
      <c r="C143" s="1087" t="n"/>
      <c r="D143" s="1087" t="n"/>
      <c r="E143" s="1087" t="n"/>
      <c r="F143" s="1087" t="n"/>
      <c r="G143" s="1087" t="n"/>
      <c r="H143" s="1741" t="n">
        <v>0.25</v>
      </c>
      <c r="I143" s="1642" t="n">
        <v>0.3</v>
      </c>
      <c r="J143" s="1642" t="n">
        <v>0.25</v>
      </c>
      <c r="K143" s="1642" t="n">
        <v>0.12</v>
      </c>
      <c r="L143" s="1642" t="n">
        <v>0.08</v>
      </c>
      <c r="M143" s="550" t="n"/>
      <c r="N143" s="550" t="n"/>
      <c r="O143" s="550" t="n"/>
      <c r="P143" s="550" t="n"/>
    </row>
    <row r="144" ht="15" customFormat="1" customHeight="1" s="1087">
      <c r="A144" s="1635" t="inlineStr">
        <is>
          <t xml:space="preserve">  XLSmart decommissioning churn</t>
        </is>
      </c>
      <c r="B144" s="1090" t="n"/>
      <c r="C144" s="1087" t="n"/>
      <c r="D144" s="1087" t="n"/>
      <c r="E144" s="1087" t="n"/>
      <c r="F144" s="1087" t="n"/>
      <c r="G144" s="1087" t="n"/>
      <c r="H144" s="1739">
        <f>H143*$G$142</f>
        <v/>
      </c>
      <c r="I144" s="1738">
        <f>I143*$G$142</f>
        <v/>
      </c>
      <c r="J144" s="1738">
        <f>J143*$G$142</f>
        <v/>
      </c>
      <c r="K144" s="1738">
        <f>K143*$G$142</f>
        <v/>
      </c>
      <c r="L144" s="1738">
        <f>L143*$G$142</f>
        <v/>
      </c>
      <c r="M144" s="550" t="n"/>
      <c r="N144" s="550" t="n"/>
      <c r="O144" s="550" t="n"/>
      <c r="P144" s="550" t="n"/>
    </row>
    <row r="145" ht="15" customFormat="1" customHeight="1" s="1087">
      <c r="A145" s="1635" t="inlineStr">
        <is>
          <t xml:space="preserve">  Baseline organic churn (non-XLS)</t>
        </is>
      </c>
      <c r="B145" s="1090" t="n"/>
      <c r="C145" s="1087" t="n"/>
      <c r="D145" s="1087" t="n"/>
      <c r="E145" s="1087" t="n"/>
      <c r="F145" s="1087" t="n"/>
      <c r="G145" s="1087" t="n"/>
      <c r="H145" s="1739">
        <f>$C$21*(1-$C$20)*$G$134</f>
        <v/>
      </c>
      <c r="I145" s="1738">
        <f>$C$21*(1-$C$20)*$G$134</f>
        <v/>
      </c>
      <c r="J145" s="1738">
        <f>$C$21*(1-$C$20)*$G$134</f>
        <v/>
      </c>
      <c r="K145" s="1738">
        <f>$C$21*(1-$C$20)*$G$134</f>
        <v/>
      </c>
      <c r="L145" s="1738">
        <f>$C$21*(1-$C$20)*$G$134</f>
        <v/>
      </c>
      <c r="M145" s="550" t="n"/>
      <c r="N145" s="550" t="n"/>
      <c r="O145" s="550" t="n"/>
      <c r="P145" s="550" t="n"/>
    </row>
    <row r="146" ht="15" customFormat="1" customHeight="1" s="1087">
      <c r="A146" s="1090" t="n"/>
      <c r="B146" s="1090" t="n"/>
      <c r="C146" s="1087" t="n"/>
      <c r="D146" s="1087" t="n"/>
      <c r="E146" s="1087" t="n"/>
      <c r="F146" s="1087" t="n"/>
      <c r="G146" s="1087" t="n"/>
      <c r="H146" s="1169" t="n"/>
      <c r="I146" s="1168" t="n"/>
      <c r="J146" s="1168" t="n"/>
      <c r="K146" s="1168" t="n"/>
      <c r="L146" s="1168" t="n"/>
      <c r="M146" s="550" t="n"/>
      <c r="N146" s="550" t="n"/>
      <c r="O146" s="550" t="n"/>
      <c r="P146" s="550" t="n"/>
    </row>
    <row r="147" ht="15" customFormat="1" customHeight="1" s="1087">
      <c r="A147" s="1742" t="inlineStr">
        <is>
          <t>Total churn</t>
        </is>
      </c>
      <c r="B147" s="1172" t="n"/>
      <c r="C147" s="1137" t="n"/>
      <c r="D147" s="1137" t="n"/>
      <c r="E147" s="1137" t="n"/>
      <c r="F147" s="1137" t="n"/>
      <c r="G147" s="1137" t="n"/>
      <c r="H147" s="1743">
        <f>SUM(H144:H145)</f>
        <v/>
      </c>
      <c r="I147" s="1744">
        <f>SUM(I144:I145)</f>
        <v/>
      </c>
      <c r="J147" s="1744">
        <f>SUM(J144:J145)</f>
        <v/>
      </c>
      <c r="K147" s="1744">
        <f>SUM(K144:K145)</f>
        <v/>
      </c>
      <c r="L147" s="1744">
        <f>SUM(L144:L145)</f>
        <v/>
      </c>
      <c r="M147" s="550" t="n"/>
      <c r="N147" s="550" t="n"/>
      <c r="O147" s="550" t="n"/>
      <c r="P147" s="550" t="n"/>
    </row>
    <row r="148" ht="15" customFormat="1" customHeight="1" s="1087">
      <c r="H148" s="1131" t="n"/>
      <c r="M148" s="550" t="n"/>
      <c r="N148" s="550" t="n"/>
      <c r="O148" s="550" t="n"/>
      <c r="P148" s="550" t="n"/>
    </row>
    <row r="149" ht="15" customFormat="1" customHeight="1" s="1087">
      <c r="A149" s="1745" t="inlineStr">
        <is>
          <t>Tenancy ratio</t>
        </is>
      </c>
      <c r="B149" s="1177" t="n"/>
      <c r="C149" s="1746">
        <f>C134/C131</f>
        <v/>
      </c>
      <c r="D149" s="1746">
        <f>D134/D131</f>
        <v/>
      </c>
      <c r="E149" s="1746">
        <f>E134/E131</f>
        <v/>
      </c>
      <c r="F149" s="1746">
        <f>F134/F131</f>
        <v/>
      </c>
      <c r="G149" s="1746">
        <f>G134/G131</f>
        <v/>
      </c>
      <c r="H149" s="1747">
        <f>H134/H131</f>
        <v/>
      </c>
      <c r="I149" s="1746">
        <f>I134/I131</f>
        <v/>
      </c>
      <c r="J149" s="1746">
        <f>J134/J131</f>
        <v/>
      </c>
      <c r="K149" s="1746">
        <f>K134/K131</f>
        <v/>
      </c>
      <c r="L149" s="1746">
        <f>L134/L131</f>
        <v/>
      </c>
      <c r="M149" s="550" t="n"/>
      <c r="N149" s="550" t="n"/>
      <c r="O149" s="550" t="n"/>
      <c r="P149" s="550" t="n"/>
    </row>
    <row r="150" ht="15" customHeight="1">
      <c r="A150" s="458" t="n"/>
      <c r="B150" s="458" t="n"/>
      <c r="C150" s="496" t="n"/>
      <c r="D150" s="496" t="n"/>
      <c r="E150" s="496" t="n"/>
      <c r="F150" s="496" t="n"/>
      <c r="G150" s="496" t="n"/>
      <c r="H150" s="495" t="n"/>
      <c r="I150" s="496" t="n"/>
      <c r="J150" s="496" t="n"/>
      <c r="K150" s="496" t="n"/>
      <c r="L150" s="496" t="n"/>
      <c r="M150" s="550" t="n"/>
      <c r="N150" s="550" t="n"/>
      <c r="O150" s="550" t="n"/>
      <c r="P150" s="550" t="n"/>
    </row>
    <row r="151" ht="15" customHeight="1">
      <c r="A151" s="1661" t="inlineStr">
        <is>
          <t>Average Lease Revenue / tenant</t>
        </is>
      </c>
      <c r="C151" s="1670">
        <f>C154/C134</f>
        <v/>
      </c>
      <c r="D151" s="1670">
        <f>D154/D134</f>
        <v/>
      </c>
      <c r="E151" s="1670">
        <f>E154/E134</f>
        <v/>
      </c>
      <c r="F151" s="1670">
        <f>F154/F134</f>
        <v/>
      </c>
      <c r="G151" s="1670">
        <f>G154/G134</f>
        <v/>
      </c>
      <c r="H151" s="1748">
        <f>G151*(1+H152)</f>
        <v/>
      </c>
      <c r="I151" s="1749">
        <f>H151*(1+I152)</f>
        <v/>
      </c>
      <c r="J151" s="1749">
        <f>I151*(1+J152)</f>
        <v/>
      </c>
      <c r="K151" s="1749">
        <f>J151*(1+K152)</f>
        <v/>
      </c>
      <c r="L151" s="1749">
        <f>K151*(1+L152)</f>
        <v/>
      </c>
      <c r="M151" s="550" t="n"/>
      <c r="N151" s="550" t="n"/>
      <c r="O151" s="550" t="n"/>
      <c r="P151" s="550" t="n"/>
    </row>
    <row r="152" ht="15" customHeight="1">
      <c r="A152" s="1635" t="inlineStr">
        <is>
          <t>% Growth</t>
        </is>
      </c>
      <c r="B152" s="1163" t="n"/>
      <c r="C152" s="1164" t="n"/>
      <c r="D152" s="1735">
        <f>D151/C151-1</f>
        <v/>
      </c>
      <c r="E152" s="1735">
        <f>E151/D151-1</f>
        <v/>
      </c>
      <c r="F152" s="1735">
        <f>F151/E151-1</f>
        <v/>
      </c>
      <c r="G152" s="1750">
        <f>G151/F151-1</f>
        <v/>
      </c>
      <c r="H152" s="1735">
        <f>$F$13+$F$14</f>
        <v/>
      </c>
      <c r="I152" s="1735">
        <f>$F$13+$F$14</f>
        <v/>
      </c>
      <c r="J152" s="1735">
        <f>$F$13+$F$14</f>
        <v/>
      </c>
      <c r="K152" s="1735">
        <f>$F$13+$F$14</f>
        <v/>
      </c>
      <c r="L152" s="1735">
        <f>$F$13+$F$14</f>
        <v/>
      </c>
      <c r="M152" s="550" t="n"/>
      <c r="N152" s="550" t="n"/>
      <c r="O152" s="550" t="n"/>
      <c r="P152" s="550" t="n"/>
    </row>
    <row r="153" ht="15" customHeight="1">
      <c r="A153" s="1162" t="n"/>
      <c r="B153" s="1163" t="n"/>
      <c r="C153" s="1164" t="n"/>
      <c r="D153" s="1165" t="n"/>
      <c r="E153" s="1165" t="n"/>
      <c r="F153" s="1165" t="n"/>
      <c r="G153" s="1178" t="n"/>
      <c r="H153" s="1165" t="n"/>
      <c r="I153" s="1165" t="n"/>
      <c r="J153" s="1165" t="n"/>
      <c r="K153" s="1165" t="n"/>
      <c r="L153" s="1165" t="n"/>
      <c r="M153" s="550" t="n"/>
      <c r="N153" s="550" t="n"/>
      <c r="O153" s="550" t="n"/>
      <c r="P153" s="550" t="n"/>
    </row>
    <row r="154" ht="15" customHeight="1">
      <c r="A154" s="1688" t="inlineStr">
        <is>
          <t>Total Tower Rental Revenue</t>
        </is>
      </c>
      <c r="B154" s="490" t="n"/>
      <c r="C154" s="1751" t="n">
        <v>7101273000</v>
      </c>
      <c r="D154" s="1751" t="n">
        <v>8605930000</v>
      </c>
      <c r="E154" s="1751" t="n">
        <v>8346311000</v>
      </c>
      <c r="F154" s="1751" t="n">
        <v>8523045000</v>
      </c>
      <c r="G154" s="1752" t="n">
        <v>8725566000</v>
      </c>
      <c r="H154" s="1753">
        <f>H151*H134</f>
        <v/>
      </c>
      <c r="I154" s="1753">
        <f>I151*I134</f>
        <v/>
      </c>
      <c r="J154" s="1753">
        <f>J151*J134</f>
        <v/>
      </c>
      <c r="K154" s="1753">
        <f>K151*K134</f>
        <v/>
      </c>
      <c r="L154" s="1753">
        <f>L151*L134</f>
        <v/>
      </c>
      <c r="M154" s="550" t="n"/>
      <c r="N154" s="550" t="n"/>
      <c r="O154" s="550" t="n"/>
      <c r="P154" s="550" t="n"/>
    </row>
    <row r="155" ht="15" customHeight="1">
      <c r="G155" s="581" t="n"/>
      <c r="M155" s="550" t="n"/>
      <c r="N155" s="550" t="n"/>
      <c r="O155" s="550" t="n"/>
      <c r="P155" s="550" t="n"/>
    </row>
    <row r="156" ht="15" customHeight="1">
      <c r="A156" s="909" t="inlineStr">
        <is>
          <t>Other Segment Revenue</t>
        </is>
      </c>
      <c r="B156" s="1730" t="n"/>
      <c r="C156" s="1730" t="n"/>
      <c r="D156" s="1730" t="n"/>
      <c r="E156" s="1731" t="n"/>
      <c r="F156" s="1731" t="n"/>
      <c r="G156" s="1754" t="n"/>
      <c r="H156" s="1731" t="n"/>
      <c r="I156" s="1731" t="n"/>
      <c r="J156" s="1731" t="n"/>
      <c r="K156" s="1731" t="n"/>
      <c r="L156" s="1731" t="n"/>
      <c r="M156" s="550" t="n"/>
      <c r="N156" s="550" t="n"/>
      <c r="O156" s="550" t="n"/>
      <c r="P156" s="550" t="n"/>
    </row>
    <row r="157" ht="15" customHeight="1">
      <c r="A157" s="1657" t="inlineStr">
        <is>
          <t>Fiber lease / FTTT revenue</t>
        </is>
      </c>
      <c r="B157" s="477" t="n"/>
      <c r="C157" s="1755" t="n">
        <v>916023000</v>
      </c>
      <c r="D157" s="1755" t="n">
        <v>1606388000</v>
      </c>
      <c r="E157" s="1755" t="n">
        <v>2187736000</v>
      </c>
      <c r="F157" s="1755" t="n">
        <v>2953811000</v>
      </c>
      <c r="G157" s="1756" t="n">
        <v>2948868000</v>
      </c>
      <c r="H157" s="1757">
        <f>G157*(1+H158)</f>
        <v/>
      </c>
      <c r="I157" s="1757">
        <f>H157*(1+I158)</f>
        <v/>
      </c>
      <c r="J157" s="1757">
        <f>I157*(1+J158)</f>
        <v/>
      </c>
      <c r="K157" s="1757">
        <f>J157*(1+K158)</f>
        <v/>
      </c>
      <c r="L157" s="1757">
        <f>K157*(1+L158)</f>
        <v/>
      </c>
      <c r="M157" s="550" t="n"/>
      <c r="N157" s="550" t="n"/>
      <c r="O157" s="550" t="n"/>
      <c r="P157" s="550" t="n"/>
    </row>
    <row r="158" ht="15" customHeight="1">
      <c r="A158" s="1635" t="inlineStr">
        <is>
          <t>% Growth</t>
        </is>
      </c>
      <c r="B158" s="1163" t="n"/>
      <c r="C158" s="1164" t="n"/>
      <c r="D158" s="1735">
        <f>D157/C157-1</f>
        <v/>
      </c>
      <c r="E158" s="1735">
        <f>E157/D157-1</f>
        <v/>
      </c>
      <c r="F158" s="1735">
        <f>F157/E157-1</f>
        <v/>
      </c>
      <c r="G158" s="1750">
        <f>G157/F157-1</f>
        <v/>
      </c>
      <c r="H158" s="1735">
        <f>$F$15</f>
        <v/>
      </c>
      <c r="I158" s="1735">
        <f>H158</f>
        <v/>
      </c>
      <c r="J158" s="1735">
        <f>I158</f>
        <v/>
      </c>
      <c r="K158" s="1735">
        <f>J158</f>
        <v/>
      </c>
      <c r="L158" s="1735">
        <f>K158</f>
        <v/>
      </c>
      <c r="M158" s="550" t="n"/>
      <c r="N158" s="550" t="n"/>
      <c r="O158" s="550" t="n"/>
      <c r="P158" s="550" t="n"/>
    </row>
    <row r="159" ht="15" customHeight="1">
      <c r="A159" s="1661" t="inlineStr">
        <is>
          <t>Other revenues</t>
        </is>
      </c>
      <c r="C159" s="1670">
        <f>C161-C157</f>
        <v/>
      </c>
      <c r="D159" s="1670">
        <f>D161-D157</f>
        <v/>
      </c>
      <c r="E159" s="1670">
        <f>E161-E157</f>
        <v/>
      </c>
      <c r="F159" s="1670">
        <f>F161-F157</f>
        <v/>
      </c>
      <c r="G159" s="1758">
        <f>G161-G157</f>
        <v/>
      </c>
      <c r="H159" s="1757">
        <f>G159*(1+H160)</f>
        <v/>
      </c>
      <c r="I159" s="1757">
        <f>H159*(1+I160)</f>
        <v/>
      </c>
      <c r="J159" s="1757">
        <f>I159*(1+J160)</f>
        <v/>
      </c>
      <c r="K159" s="1757">
        <f>J159*(1+K160)</f>
        <v/>
      </c>
      <c r="L159" s="1757">
        <f>K159*(1+L160)</f>
        <v/>
      </c>
      <c r="M159" s="550" t="n"/>
      <c r="N159" s="550" t="n"/>
      <c r="O159" s="550" t="n"/>
      <c r="P159" s="550" t="n"/>
    </row>
    <row r="160" ht="15" customHeight="1">
      <c r="A160" s="1635" t="inlineStr">
        <is>
          <t>% Growth</t>
        </is>
      </c>
      <c r="B160" s="1163" t="n"/>
      <c r="C160" s="1164" t="n"/>
      <c r="D160" s="1735">
        <f>D159/C159-1</f>
        <v/>
      </c>
      <c r="E160" s="1735">
        <f>E159/D159-1</f>
        <v/>
      </c>
      <c r="F160" s="1735">
        <f>F159/E159-1</f>
        <v/>
      </c>
      <c r="G160" s="1750">
        <f>G159/F159-1</f>
        <v/>
      </c>
      <c r="H160" s="1735">
        <f>$F$16</f>
        <v/>
      </c>
      <c r="I160" s="1735">
        <f>H160</f>
        <v/>
      </c>
      <c r="J160" s="1735">
        <f>I160</f>
        <v/>
      </c>
      <c r="K160" s="1735">
        <f>J160</f>
        <v/>
      </c>
      <c r="L160" s="1735">
        <f>K160</f>
        <v/>
      </c>
      <c r="M160" s="550" t="n"/>
      <c r="N160" s="550" t="n"/>
      <c r="O160" s="550" t="n"/>
      <c r="P160" s="550" t="n"/>
    </row>
    <row r="161" ht="15" customHeight="1">
      <c r="A161" s="1688" t="inlineStr">
        <is>
          <t>Total Other Segment Revenue</t>
        </is>
      </c>
      <c r="B161" s="490" t="n"/>
      <c r="C161" s="1751" t="n">
        <v>1534073000</v>
      </c>
      <c r="D161" s="1751" t="n">
        <v>2429720000</v>
      </c>
      <c r="E161" s="1751" t="n">
        <v>3394034000</v>
      </c>
      <c r="F161" s="1751" t="n">
        <v>4212771000</v>
      </c>
      <c r="G161" s="1752" t="n">
        <v>4602341000</v>
      </c>
      <c r="H161" s="1753">
        <f>SUM(H159,H157)</f>
        <v/>
      </c>
      <c r="I161" s="1753">
        <f>SUM(I159,I157)</f>
        <v/>
      </c>
      <c r="J161" s="1753">
        <f>SUM(J159,J157)</f>
        <v/>
      </c>
      <c r="K161" s="1753">
        <f>SUM(K159,K157)</f>
        <v/>
      </c>
      <c r="L161" s="1753">
        <f>SUM(L159,L157)</f>
        <v/>
      </c>
      <c r="M161" s="550" t="n"/>
      <c r="N161" s="550" t="n"/>
      <c r="O161" s="550" t="n"/>
      <c r="P161" s="550" t="n"/>
    </row>
    <row r="162" ht="15" customHeight="1">
      <c r="B162" s="477" t="n"/>
      <c r="C162" s="477" t="n"/>
      <c r="D162" s="477" t="n"/>
      <c r="E162" s="477" t="n"/>
      <c r="F162" s="477" t="n"/>
      <c r="G162" s="585" t="n"/>
      <c r="M162" s="550" t="n"/>
      <c r="N162" s="550" t="n"/>
      <c r="O162" s="550" t="n"/>
      <c r="P162" s="550" t="n"/>
    </row>
    <row r="163" ht="15" customHeight="1">
      <c r="A163" s="1688" t="inlineStr">
        <is>
          <t>Total Revenue</t>
        </is>
      </c>
      <c r="B163" s="586" t="n"/>
      <c r="C163" s="1759">
        <f>C161+C154</f>
        <v/>
      </c>
      <c r="D163" s="1759">
        <f>D161+D154</f>
        <v/>
      </c>
      <c r="E163" s="1759">
        <f>E161+E154</f>
        <v/>
      </c>
      <c r="F163" s="1759">
        <f>F161+F154</f>
        <v/>
      </c>
      <c r="G163" s="1760">
        <f>G161+G154</f>
        <v/>
      </c>
      <c r="H163" s="1759">
        <f>H161+H154</f>
        <v/>
      </c>
      <c r="I163" s="1759">
        <f>I161+I154</f>
        <v/>
      </c>
      <c r="J163" s="1759">
        <f>J161+J154</f>
        <v/>
      </c>
      <c r="K163" s="1759">
        <f>K161+K154</f>
        <v/>
      </c>
      <c r="L163" s="1759">
        <f>L161+L154</f>
        <v/>
      </c>
      <c r="M163" s="550" t="n"/>
      <c r="N163" s="550" t="n"/>
      <c r="O163" s="550" t="n"/>
      <c r="P163" s="550" t="n"/>
    </row>
    <row r="164" ht="15" customHeight="1">
      <c r="A164" s="458" t="n"/>
      <c r="B164" s="477" t="n"/>
      <c r="C164" s="496" t="n"/>
      <c r="D164" s="496" t="n"/>
      <c r="E164" s="496" t="n"/>
      <c r="F164" s="496" t="n"/>
      <c r="G164" s="587" t="n"/>
      <c r="H164" s="496" t="n"/>
      <c r="I164" s="496" t="n"/>
      <c r="J164" s="496" t="n"/>
      <c r="K164" s="496" t="n"/>
      <c r="L164" s="496" t="n"/>
      <c r="M164" s="550" t="n"/>
      <c r="N164" s="550" t="n"/>
      <c r="O164" s="550" t="n"/>
      <c r="P164" s="550" t="n"/>
    </row>
    <row r="165" ht="25.5" customHeight="1">
      <c r="A165" s="1727" t="inlineStr">
        <is>
          <t>Other schedules</t>
        </is>
      </c>
      <c r="B165" s="1728" t="n"/>
      <c r="C165" s="1729" t="n"/>
      <c r="D165" s="1729" t="n"/>
      <c r="E165" s="1729" t="n"/>
      <c r="F165" s="1729" t="n"/>
      <c r="G165" s="1729" t="n"/>
      <c r="H165" s="1729" t="n"/>
      <c r="I165" s="1729" t="n"/>
      <c r="J165" s="1729" t="n"/>
      <c r="K165" s="1729" t="n"/>
      <c r="L165" s="1729" t="n"/>
      <c r="M165" s="550" t="n"/>
      <c r="N165" s="550" t="n"/>
      <c r="O165" s="550" t="n"/>
      <c r="P165" s="550" t="n"/>
    </row>
    <row r="166" ht="15" customHeight="1">
      <c r="H166" s="844" t="n"/>
      <c r="M166" s="550" t="n"/>
      <c r="N166" s="550" t="n"/>
      <c r="O166" s="550" t="n"/>
      <c r="P166" s="550" t="n"/>
    </row>
    <row r="167" ht="15" customHeight="1">
      <c r="A167" s="1661" t="inlineStr">
        <is>
          <t>Cost of Revenue from Depreciation and Amortization</t>
        </is>
      </c>
      <c r="C167" s="1670">
        <f>C31</f>
        <v/>
      </c>
      <c r="D167" s="1670">
        <f>D31</f>
        <v/>
      </c>
      <c r="E167" s="1670">
        <f>E31</f>
        <v/>
      </c>
      <c r="F167" s="1670">
        <f>F31</f>
        <v/>
      </c>
      <c r="G167" s="1670">
        <f>G31</f>
        <v/>
      </c>
      <c r="H167" s="1761">
        <f>-H168*H30</f>
        <v/>
      </c>
      <c r="I167" s="1670">
        <f>-I168*I30</f>
        <v/>
      </c>
      <c r="J167" s="1670">
        <f>-J168*J30</f>
        <v/>
      </c>
      <c r="K167" s="1670">
        <f>-K168*K30</f>
        <v/>
      </c>
      <c r="L167" s="1670">
        <f>-L168*L30</f>
        <v/>
      </c>
      <c r="M167" s="550" t="n"/>
      <c r="N167" s="550" t="n"/>
      <c r="O167" s="550" t="n"/>
      <c r="P167" s="550" t="n"/>
    </row>
    <row r="168" ht="15" customHeight="1">
      <c r="A168" s="1635" t="inlineStr">
        <is>
          <t>% of revenue</t>
        </is>
      </c>
      <c r="B168" s="1163" t="n"/>
      <c r="C168" s="1735">
        <f>-C167/C30</f>
        <v/>
      </c>
      <c r="D168" s="1735">
        <f>-D167/D30</f>
        <v/>
      </c>
      <c r="E168" s="1735">
        <f>-E167/E30</f>
        <v/>
      </c>
      <c r="F168" s="1735">
        <f>-F167/F30</f>
        <v/>
      </c>
      <c r="G168" s="1735">
        <f>-G167/G30</f>
        <v/>
      </c>
      <c r="H168" s="1762">
        <f>AVERAGE(C168:G168)</f>
        <v/>
      </c>
      <c r="I168" s="1735">
        <f>H168</f>
        <v/>
      </c>
      <c r="J168" s="1735">
        <f>I168</f>
        <v/>
      </c>
      <c r="K168" s="1735">
        <f>J168</f>
        <v/>
      </c>
      <c r="L168" s="1735">
        <f>K168</f>
        <v/>
      </c>
      <c r="M168" s="550" t="n"/>
      <c r="N168" s="550" t="n"/>
      <c r="O168" s="550" t="n"/>
      <c r="P168" s="550" t="n"/>
    </row>
    <row r="169" ht="15" customHeight="1">
      <c r="A169" s="1661" t="inlineStr">
        <is>
          <t>Other cost of revenues</t>
        </is>
      </c>
      <c r="C169" s="1670">
        <f>C32</f>
        <v/>
      </c>
      <c r="D169" s="1670">
        <f>D32</f>
        <v/>
      </c>
      <c r="E169" s="1670">
        <f>E32</f>
        <v/>
      </c>
      <c r="F169" s="1670">
        <f>F32</f>
        <v/>
      </c>
      <c r="G169" s="1670">
        <f>G32</f>
        <v/>
      </c>
      <c r="H169" s="1761">
        <f>-H170*H30</f>
        <v/>
      </c>
      <c r="I169" s="1670">
        <f>-I170*I30</f>
        <v/>
      </c>
      <c r="J169" s="1670">
        <f>-J170*J30</f>
        <v/>
      </c>
      <c r="K169" s="1670">
        <f>-K170*K30</f>
        <v/>
      </c>
      <c r="L169" s="1670">
        <f>-L170*L30</f>
        <v/>
      </c>
      <c r="M169" s="550" t="n"/>
      <c r="N169" s="550" t="n"/>
      <c r="O169" s="550" t="n"/>
      <c r="P169" s="550" t="n"/>
    </row>
    <row r="170" ht="15" customHeight="1">
      <c r="A170" s="1635" t="inlineStr">
        <is>
          <t>% of revenue</t>
        </is>
      </c>
      <c r="B170" s="1163" t="n"/>
      <c r="C170" s="1735">
        <f>-C169/C30</f>
        <v/>
      </c>
      <c r="D170" s="1735">
        <f>-D169/D30</f>
        <v/>
      </c>
      <c r="E170" s="1735">
        <f>-E169/E30</f>
        <v/>
      </c>
      <c r="F170" s="1735">
        <f>-F169/F30</f>
        <v/>
      </c>
      <c r="G170" s="1735">
        <f>-G169/G30</f>
        <v/>
      </c>
      <c r="H170" s="1762">
        <f>AVERAGE(C170:G170)</f>
        <v/>
      </c>
      <c r="I170" s="1735">
        <f>H170</f>
        <v/>
      </c>
      <c r="J170" s="1735">
        <f>I170</f>
        <v/>
      </c>
      <c r="K170" s="1735">
        <f>J170</f>
        <v/>
      </c>
      <c r="L170" s="1735">
        <f>K170</f>
        <v/>
      </c>
      <c r="M170" s="550" t="n"/>
      <c r="N170" s="550" t="n"/>
      <c r="O170" s="550" t="n"/>
      <c r="P170" s="550" t="n"/>
    </row>
    <row r="171" ht="15" customHeight="1">
      <c r="A171" s="1661" t="inlineStr">
        <is>
          <t>Selling, General &amp; Administrative Expense</t>
        </is>
      </c>
      <c r="C171" s="1670">
        <f>C36</f>
        <v/>
      </c>
      <c r="D171" s="1670">
        <f>D36</f>
        <v/>
      </c>
      <c r="E171" s="1670">
        <f>E36</f>
        <v/>
      </c>
      <c r="F171" s="1670">
        <f>F36</f>
        <v/>
      </c>
      <c r="G171" s="1670">
        <f>G36</f>
        <v/>
      </c>
      <c r="H171" s="1761">
        <f>-H172*H30</f>
        <v/>
      </c>
      <c r="I171" s="1670">
        <f>-I172*I30</f>
        <v/>
      </c>
      <c r="J171" s="1670">
        <f>-J172*J30</f>
        <v/>
      </c>
      <c r="K171" s="1670">
        <f>-K172*K30</f>
        <v/>
      </c>
      <c r="L171" s="1670">
        <f>-L172*L30</f>
        <v/>
      </c>
      <c r="M171" s="550" t="n"/>
      <c r="N171" s="550" t="n"/>
      <c r="O171" s="550" t="n"/>
      <c r="P171" s="550" t="n"/>
    </row>
    <row r="172" ht="15" customHeight="1">
      <c r="A172" s="1635" t="inlineStr">
        <is>
          <t>% of revenue</t>
        </is>
      </c>
      <c r="B172" s="1163" t="n"/>
      <c r="C172" s="1735">
        <f>-C171/C30</f>
        <v/>
      </c>
      <c r="D172" s="1735">
        <f>-D171/D30</f>
        <v/>
      </c>
      <c r="E172" s="1735">
        <f>-E171/E30</f>
        <v/>
      </c>
      <c r="F172" s="1735">
        <f>-F171/F30</f>
        <v/>
      </c>
      <c r="G172" s="1735">
        <f>-G171/G30</f>
        <v/>
      </c>
      <c r="H172" s="1762">
        <f>AVERAGE(C172:G172)</f>
        <v/>
      </c>
      <c r="I172" s="1735">
        <f>H172</f>
        <v/>
      </c>
      <c r="J172" s="1735">
        <f>I172</f>
        <v/>
      </c>
      <c r="K172" s="1735">
        <f>J172</f>
        <v/>
      </c>
      <c r="L172" s="1735">
        <f>K172</f>
        <v/>
      </c>
      <c r="M172" s="550" t="n"/>
      <c r="N172" s="550" t="n"/>
      <c r="O172" s="550" t="n"/>
      <c r="P172" s="550" t="n"/>
    </row>
    <row r="173" ht="15" customHeight="1">
      <c r="A173" s="1661">
        <f>A37</f>
        <v/>
      </c>
      <c r="C173" s="1670">
        <f>C37</f>
        <v/>
      </c>
      <c r="D173" s="1670">
        <f>D37</f>
        <v/>
      </c>
      <c r="E173" s="1670">
        <f>E37</f>
        <v/>
      </c>
      <c r="F173" s="1670">
        <f>F37</f>
        <v/>
      </c>
      <c r="G173" s="1670">
        <f>G37</f>
        <v/>
      </c>
      <c r="H173" s="1761">
        <f>H174*-H30</f>
        <v/>
      </c>
      <c r="I173" s="1670">
        <f>I174*-I30</f>
        <v/>
      </c>
      <c r="J173" s="1670">
        <f>J174*-J30</f>
        <v/>
      </c>
      <c r="K173" s="1670">
        <f>K174*-K30</f>
        <v/>
      </c>
      <c r="L173" s="1670">
        <f>L174*-L30</f>
        <v/>
      </c>
      <c r="M173" s="550" t="n"/>
      <c r="N173" s="550" t="n"/>
      <c r="O173" s="550" t="n"/>
      <c r="P173" s="550" t="n"/>
    </row>
    <row r="174" ht="15" customHeight="1">
      <c r="A174" s="1635" t="inlineStr">
        <is>
          <t>% of revenue</t>
        </is>
      </c>
      <c r="B174" s="1163" t="n"/>
      <c r="C174" s="1735">
        <f>-C173/C30</f>
        <v/>
      </c>
      <c r="D174" s="1735">
        <f>-D173/D30</f>
        <v/>
      </c>
      <c r="E174" s="1735">
        <f>-E173/E30</f>
        <v/>
      </c>
      <c r="F174" s="1735">
        <f>-F173/F30</f>
        <v/>
      </c>
      <c r="G174" s="1735">
        <f>-G173/G30</f>
        <v/>
      </c>
      <c r="H174" s="1762">
        <f>AVERAGE(C174:G174)</f>
        <v/>
      </c>
      <c r="I174" s="1735">
        <f>H174</f>
        <v/>
      </c>
      <c r="J174" s="1735">
        <f>I174</f>
        <v/>
      </c>
      <c r="K174" s="1735">
        <f>J174</f>
        <v/>
      </c>
      <c r="L174" s="1735">
        <f>K174</f>
        <v/>
      </c>
      <c r="M174" s="550" t="n"/>
      <c r="N174" s="550" t="n"/>
      <c r="O174" s="550" t="n"/>
      <c r="P174" s="550" t="n"/>
    </row>
    <row r="175" ht="15" customHeight="1">
      <c r="A175" s="1661" t="inlineStr">
        <is>
          <t>Income Taxes</t>
        </is>
      </c>
      <c r="B175" s="1163" t="n"/>
      <c r="C175" s="1763">
        <f>C50</f>
        <v/>
      </c>
      <c r="D175" s="1763">
        <f>D50</f>
        <v/>
      </c>
      <c r="E175" s="1763">
        <f>E50</f>
        <v/>
      </c>
      <c r="F175" s="1763">
        <f>F50</f>
        <v/>
      </c>
      <c r="G175" s="1763">
        <f>G50</f>
        <v/>
      </c>
      <c r="H175" s="1764">
        <f>H176*H48</f>
        <v/>
      </c>
      <c r="I175" s="1764">
        <f>I176*I48</f>
        <v/>
      </c>
      <c r="J175" s="1764">
        <f>J176*J48</f>
        <v/>
      </c>
      <c r="K175" s="1764">
        <f>K176*K48</f>
        <v/>
      </c>
      <c r="L175" s="1764">
        <f>L176*L48</f>
        <v/>
      </c>
      <c r="M175" s="550" t="n"/>
      <c r="N175" s="550" t="n"/>
      <c r="O175" s="550" t="n"/>
      <c r="P175" s="550" t="n"/>
    </row>
    <row r="176" ht="15" customHeight="1">
      <c r="A176" s="1635" t="inlineStr">
        <is>
          <t>% of EBT</t>
        </is>
      </c>
      <c r="B176" s="1163" t="n"/>
      <c r="C176" s="1735">
        <f>C175/C48</f>
        <v/>
      </c>
      <c r="D176" s="1735">
        <f>D175/D48</f>
        <v/>
      </c>
      <c r="E176" s="1735">
        <f>E175/E48</f>
        <v/>
      </c>
      <c r="F176" s="1735">
        <f>F175/F48</f>
        <v/>
      </c>
      <c r="G176" s="1735">
        <f>G175/G48</f>
        <v/>
      </c>
      <c r="H176" s="1762">
        <f>AVERAGE(C176:G176)</f>
        <v/>
      </c>
      <c r="I176" s="1735">
        <f>H176</f>
        <v/>
      </c>
      <c r="J176" s="1735">
        <f>I176</f>
        <v/>
      </c>
      <c r="K176" s="1735">
        <f>J176</f>
        <v/>
      </c>
      <c r="L176" s="1735">
        <f>K176</f>
        <v/>
      </c>
      <c r="M176" s="550" t="n"/>
      <c r="N176" s="550" t="n"/>
      <c r="O176" s="550" t="n"/>
      <c r="P176" s="550" t="n"/>
    </row>
    <row r="177" ht="15" customHeight="1">
      <c r="M177" s="550" t="n"/>
      <c r="N177" s="550" t="n"/>
      <c r="O177" s="550" t="n"/>
      <c r="P177" s="550" t="n"/>
    </row>
    <row r="178" ht="25.5" customHeight="1">
      <c r="A178" s="1727" t="inlineStr">
        <is>
          <t>Working Capital Schedule</t>
        </is>
      </c>
      <c r="B178" s="1729" t="n"/>
      <c r="C178" s="1729" t="n"/>
      <c r="D178" s="1729" t="n"/>
      <c r="E178" s="1729" t="n"/>
      <c r="F178" s="1729" t="n"/>
      <c r="G178" s="1729" t="n"/>
      <c r="H178" s="1729" t="n"/>
      <c r="I178" s="1729" t="n"/>
      <c r="J178" s="1729" t="n"/>
      <c r="K178" s="1729" t="n"/>
      <c r="L178" s="1729" t="n"/>
      <c r="M178" s="550" t="n"/>
      <c r="N178" s="550" t="n"/>
      <c r="O178" s="550" t="n"/>
      <c r="P178" s="550" t="n"/>
    </row>
    <row r="179" ht="15" customHeight="1">
      <c r="M179" s="550" t="n"/>
      <c r="N179" s="550" t="n"/>
      <c r="O179" s="550" t="n"/>
      <c r="P179" s="550" t="n"/>
    </row>
    <row r="180" ht="15" customFormat="1" customHeight="1" s="458">
      <c r="A180" s="1657" t="inlineStr">
        <is>
          <t>Revenue</t>
        </is>
      </c>
      <c r="C180" s="1703">
        <f>C30</f>
        <v/>
      </c>
      <c r="D180" s="1703">
        <f>D30</f>
        <v/>
      </c>
      <c r="E180" s="1703">
        <f>E30</f>
        <v/>
      </c>
      <c r="F180" s="1703">
        <f>F30</f>
        <v/>
      </c>
      <c r="G180" s="1765">
        <f>G30</f>
        <v/>
      </c>
      <c r="H180" s="1703">
        <f>H30</f>
        <v/>
      </c>
      <c r="I180" s="1703">
        <f>I30</f>
        <v/>
      </c>
      <c r="J180" s="1703">
        <f>J30</f>
        <v/>
      </c>
      <c r="K180" s="1703">
        <f>K30</f>
        <v/>
      </c>
      <c r="L180" s="1703">
        <f>L30</f>
        <v/>
      </c>
      <c r="M180" s="591" t="n"/>
      <c r="N180" s="591" t="n"/>
      <c r="O180" s="591" t="n"/>
      <c r="P180" s="591" t="n"/>
    </row>
    <row r="181" ht="15" customFormat="1" customHeight="1" s="458">
      <c r="A181" s="1657" t="inlineStr">
        <is>
          <t>Cost of Revenue</t>
        </is>
      </c>
      <c r="C181" s="1703">
        <f>SUM(C31:C32)</f>
        <v/>
      </c>
      <c r="D181" s="1703">
        <f>SUM(D31:D32)</f>
        <v/>
      </c>
      <c r="E181" s="1703">
        <f>SUM(E31:E32)</f>
        <v/>
      </c>
      <c r="F181" s="1703">
        <f>SUM(F31:F32)</f>
        <v/>
      </c>
      <c r="G181" s="1765">
        <f>SUM(G31:G32)</f>
        <v/>
      </c>
      <c r="H181" s="1703">
        <f>SUM(H31:H32)</f>
        <v/>
      </c>
      <c r="I181" s="1703">
        <f>SUM(I31:I32)</f>
        <v/>
      </c>
      <c r="J181" s="1703">
        <f>SUM(J31:J32)</f>
        <v/>
      </c>
      <c r="K181" s="1703">
        <f>SUM(K31:K32)</f>
        <v/>
      </c>
      <c r="L181" s="1703">
        <f>SUM(L31:L32)</f>
        <v/>
      </c>
      <c r="M181" s="591" t="n"/>
      <c r="N181" s="591" t="n"/>
      <c r="O181" s="591" t="n"/>
      <c r="P181" s="591" t="n"/>
    </row>
    <row r="182" ht="15" customHeight="1">
      <c r="A182" s="1661" t="inlineStr">
        <is>
          <t>Days in period</t>
        </is>
      </c>
      <c r="C182" s="1766">
        <f>C4</f>
        <v/>
      </c>
      <c r="D182" s="1766">
        <f>D4</f>
        <v/>
      </c>
      <c r="E182" s="1766">
        <f>E4</f>
        <v/>
      </c>
      <c r="F182" s="1766">
        <f>F4</f>
        <v/>
      </c>
      <c r="G182" s="1767">
        <f>G4</f>
        <v/>
      </c>
      <c r="H182" s="1766">
        <f>H4</f>
        <v/>
      </c>
      <c r="I182" s="1766">
        <f>I4</f>
        <v/>
      </c>
      <c r="J182" s="1766">
        <f>J4</f>
        <v/>
      </c>
      <c r="K182" s="1766">
        <f>K4</f>
        <v/>
      </c>
      <c r="L182" s="1766">
        <f>L4</f>
        <v/>
      </c>
      <c r="M182" s="550" t="n"/>
      <c r="N182" s="550" t="n"/>
      <c r="O182" s="550" t="n"/>
      <c r="P182" s="550" t="n"/>
    </row>
    <row r="183" ht="15" customHeight="1">
      <c r="G183" s="581" t="n"/>
      <c r="M183" s="550" t="n"/>
      <c r="N183" s="550" t="n"/>
      <c r="O183" s="550" t="n"/>
      <c r="P183" s="550" t="n"/>
    </row>
    <row r="184" ht="15" customHeight="1">
      <c r="A184" s="1657" t="inlineStr">
        <is>
          <t>Inventories</t>
        </is>
      </c>
      <c r="C184" s="1703">
        <f>C61</f>
        <v/>
      </c>
      <c r="D184" s="1703">
        <f>D61</f>
        <v/>
      </c>
      <c r="E184" s="1703">
        <f>E61</f>
        <v/>
      </c>
      <c r="F184" s="1703">
        <f>F61</f>
        <v/>
      </c>
      <c r="G184" s="1765">
        <f>G61</f>
        <v/>
      </c>
      <c r="H184" s="1720">
        <f>H185/H182*H181*-1</f>
        <v/>
      </c>
      <c r="I184" s="1720">
        <f>I185/I182*I181*-1</f>
        <v/>
      </c>
      <c r="J184" s="1720">
        <f>J185/J182*J181*-1</f>
        <v/>
      </c>
      <c r="K184" s="1720">
        <f>K185/K182*K181*-1</f>
        <v/>
      </c>
      <c r="L184" s="1720">
        <f>L185/L182*L181*-1</f>
        <v/>
      </c>
      <c r="M184" s="550" t="n"/>
      <c r="N184" s="550" t="n"/>
      <c r="O184" s="550" t="n"/>
      <c r="P184" s="550" t="n"/>
    </row>
    <row r="185" ht="15" customHeight="1">
      <c r="A185" s="1661" t="inlineStr">
        <is>
          <t>Inventory days</t>
        </is>
      </c>
      <c r="C185" s="1766">
        <f>C184/C181*C182*-1</f>
        <v/>
      </c>
      <c r="D185" s="1766">
        <f>D184/D181*D182*-1</f>
        <v/>
      </c>
      <c r="E185" s="1766">
        <f>E184/E181*E182*-1</f>
        <v/>
      </c>
      <c r="F185" s="1766">
        <f>F184/F181*F182*-1</f>
        <v/>
      </c>
      <c r="G185" s="1767">
        <f>G184/G181*G182*-1</f>
        <v/>
      </c>
      <c r="H185" s="1766">
        <f>G185</f>
        <v/>
      </c>
      <c r="I185" s="1766">
        <f>H185</f>
        <v/>
      </c>
      <c r="J185" s="1766">
        <f>I185</f>
        <v/>
      </c>
      <c r="K185" s="1766">
        <f>J185</f>
        <v/>
      </c>
      <c r="L185" s="1766">
        <f>K185</f>
        <v/>
      </c>
      <c r="M185" s="550" t="n"/>
      <c r="N185" s="550" t="n"/>
      <c r="O185" s="550" t="n"/>
      <c r="P185" s="550" t="n"/>
    </row>
    <row r="186" ht="15" customHeight="1">
      <c r="G186" s="581" t="n"/>
      <c r="M186" s="550" t="n"/>
      <c r="N186" s="550" t="n"/>
      <c r="O186" s="550" t="n"/>
      <c r="P186" s="550" t="n"/>
    </row>
    <row r="187" ht="15" customHeight="1">
      <c r="A187" s="1657" t="inlineStr">
        <is>
          <t>Receivables</t>
        </is>
      </c>
      <c r="C187" s="1703">
        <f>C60</f>
        <v/>
      </c>
      <c r="D187" s="1703">
        <f>D60</f>
        <v/>
      </c>
      <c r="E187" s="1703">
        <f>E60</f>
        <v/>
      </c>
      <c r="F187" s="1703">
        <f>F60</f>
        <v/>
      </c>
      <c r="G187" s="1765">
        <f>G60</f>
        <v/>
      </c>
      <c r="H187" s="1720">
        <f>H188/H182*H180</f>
        <v/>
      </c>
      <c r="I187" s="1720">
        <f>I188/I182*I180</f>
        <v/>
      </c>
      <c r="J187" s="1720">
        <f>J188/J182*J180</f>
        <v/>
      </c>
      <c r="K187" s="1720">
        <f>K188/K182*K180</f>
        <v/>
      </c>
      <c r="L187" s="1720">
        <f>L188/L182*L180</f>
        <v/>
      </c>
      <c r="M187" s="550" t="n"/>
      <c r="N187" s="550" t="n"/>
      <c r="O187" s="550" t="n"/>
      <c r="P187" s="550" t="n"/>
    </row>
    <row r="188" ht="15" customHeight="1">
      <c r="A188" s="1661" t="inlineStr">
        <is>
          <t>Receivable days</t>
        </is>
      </c>
      <c r="C188" s="1766">
        <f>C187/C180*C182</f>
        <v/>
      </c>
      <c r="D188" s="1766">
        <f>D187/D180*D182</f>
        <v/>
      </c>
      <c r="E188" s="1766">
        <f>E187/E180*E182</f>
        <v/>
      </c>
      <c r="F188" s="1766">
        <f>F187/F180*F182</f>
        <v/>
      </c>
      <c r="G188" s="1767">
        <f>G187/G180*G182</f>
        <v/>
      </c>
      <c r="H188" s="1766">
        <f>AVERAGE(E188:G188)</f>
        <v/>
      </c>
      <c r="I188" s="1766">
        <f>H188</f>
        <v/>
      </c>
      <c r="J188" s="1766">
        <f>I188</f>
        <v/>
      </c>
      <c r="K188" s="1766">
        <f>J188</f>
        <v/>
      </c>
      <c r="L188" s="1766">
        <f>K188</f>
        <v/>
      </c>
      <c r="M188" s="550" t="n"/>
      <c r="N188" s="550" t="n"/>
      <c r="O188" s="550" t="n"/>
      <c r="P188" s="550" t="n"/>
    </row>
    <row r="189" ht="15" customHeight="1">
      <c r="G189" s="581" t="n"/>
      <c r="M189" s="550" t="n"/>
      <c r="N189" s="550" t="n"/>
      <c r="O189" s="550" t="n"/>
      <c r="P189" s="550" t="n"/>
    </row>
    <row r="190" ht="15" customHeight="1">
      <c r="A190" s="1657" t="inlineStr">
        <is>
          <t>Payables</t>
        </is>
      </c>
      <c r="C190" s="1703">
        <f>C79</f>
        <v/>
      </c>
      <c r="D190" s="1703">
        <f>D79</f>
        <v/>
      </c>
      <c r="E190" s="1703">
        <f>E79</f>
        <v/>
      </c>
      <c r="F190" s="1703">
        <f>F79</f>
        <v/>
      </c>
      <c r="G190" s="1765">
        <f>G79</f>
        <v/>
      </c>
      <c r="H190" s="1720">
        <f>H191/H182*H181*-1</f>
        <v/>
      </c>
      <c r="I190" s="1720">
        <f>I191/I182*I181*-1</f>
        <v/>
      </c>
      <c r="J190" s="1720">
        <f>J191/J182*J181*-1</f>
        <v/>
      </c>
      <c r="K190" s="1720">
        <f>K191/K182*K181*-1</f>
        <v/>
      </c>
      <c r="L190" s="1720">
        <f>L191/L182*L181*-1</f>
        <v/>
      </c>
      <c r="M190" s="550" t="n"/>
      <c r="N190" s="550" t="n"/>
      <c r="O190" s="550" t="n"/>
      <c r="P190" s="550" t="n"/>
    </row>
    <row r="191" ht="15" customHeight="1">
      <c r="A191" s="1661" t="inlineStr">
        <is>
          <t>Payables days</t>
        </is>
      </c>
      <c r="C191" s="1766">
        <f>C190/-C181*C182</f>
        <v/>
      </c>
      <c r="D191" s="1766">
        <f>D190/-D181*D182-1</f>
        <v/>
      </c>
      <c r="E191" s="1766">
        <f>E190/-E181*E182-1</f>
        <v/>
      </c>
      <c r="F191" s="1766">
        <f>F190/-F181*F182-1</f>
        <v/>
      </c>
      <c r="G191" s="1767">
        <f>G190/-G181*G182-1</f>
        <v/>
      </c>
      <c r="H191" s="1766">
        <f>AVERAGE(E191:G191)</f>
        <v/>
      </c>
      <c r="I191" s="1766">
        <f>H191</f>
        <v/>
      </c>
      <c r="J191" s="1766">
        <f>I191</f>
        <v/>
      </c>
      <c r="K191" s="1766">
        <f>J191</f>
        <v/>
      </c>
      <c r="L191" s="1766">
        <f>K191</f>
        <v/>
      </c>
      <c r="M191" s="550" t="n"/>
      <c r="N191" s="550" t="n"/>
      <c r="O191" s="550" t="n"/>
      <c r="P191" s="550" t="n"/>
    </row>
    <row r="192" ht="15" customHeight="1">
      <c r="G192" s="581" t="n"/>
      <c r="M192" s="550" t="n"/>
      <c r="N192" s="550" t="n"/>
      <c r="O192" s="550" t="n"/>
      <c r="P192" s="550" t="n"/>
    </row>
    <row r="193" ht="15" customHeight="1">
      <c r="A193" s="1657" t="inlineStr">
        <is>
          <t>Prepaid expenses</t>
        </is>
      </c>
      <c r="C193" s="1703">
        <f>C62</f>
        <v/>
      </c>
      <c r="D193" s="1703">
        <f>D62</f>
        <v/>
      </c>
      <c r="E193" s="1703">
        <f>E62</f>
        <v/>
      </c>
      <c r="F193" s="1703">
        <f>F62</f>
        <v/>
      </c>
      <c r="G193" s="1765">
        <f>G62</f>
        <v/>
      </c>
      <c r="H193" s="1720">
        <f>H194/H182*H180</f>
        <v/>
      </c>
      <c r="I193" s="1720">
        <f>I194/I182*I180</f>
        <v/>
      </c>
      <c r="J193" s="1720">
        <f>J194/J182*J180</f>
        <v/>
      </c>
      <c r="K193" s="1720">
        <f>K194/K182*K180</f>
        <v/>
      </c>
      <c r="L193" s="1720">
        <f>L194/L182*L180</f>
        <v/>
      </c>
      <c r="M193" s="550" t="n"/>
      <c r="N193" s="550" t="n"/>
      <c r="O193" s="550" t="n"/>
      <c r="P193" s="550" t="n"/>
    </row>
    <row r="194" ht="15" customHeight="1">
      <c r="A194" s="1661" t="inlineStr">
        <is>
          <t>Prepaid expenses days</t>
        </is>
      </c>
      <c r="C194" s="1766">
        <f>C193/C180*C182</f>
        <v/>
      </c>
      <c r="D194" s="1766">
        <f>D193/D180*D182</f>
        <v/>
      </c>
      <c r="E194" s="1766">
        <f>E193/E180*E182</f>
        <v/>
      </c>
      <c r="F194" s="1766">
        <f>F193/F180*F182</f>
        <v/>
      </c>
      <c r="G194" s="1767">
        <f>G193/G180*G182</f>
        <v/>
      </c>
      <c r="H194" s="1766">
        <f>AVERAGE(E194:G194)</f>
        <v/>
      </c>
      <c r="I194" s="1766">
        <f>H194</f>
        <v/>
      </c>
      <c r="J194" s="1766">
        <f>I194</f>
        <v/>
      </c>
      <c r="K194" s="1766">
        <f>J194</f>
        <v/>
      </c>
      <c r="L194" s="1766">
        <f>K194</f>
        <v/>
      </c>
      <c r="M194" s="550" t="n"/>
      <c r="N194" s="550" t="n"/>
      <c r="O194" s="550" t="n"/>
      <c r="P194" s="550" t="n"/>
    </row>
    <row r="195" ht="15" customHeight="1">
      <c r="M195" s="550" t="n"/>
      <c r="N195" s="550" t="n"/>
      <c r="O195" s="550" t="n"/>
      <c r="P195" s="550" t="n"/>
    </row>
    <row r="196" ht="25.5" customHeight="1">
      <c r="A196" s="1727" t="inlineStr">
        <is>
          <t>PPE Roll Forward &amp; Depreciation Schedule</t>
        </is>
      </c>
      <c r="B196" s="1728" t="n"/>
      <c r="C196" s="1729" t="n"/>
      <c r="D196" s="1729" t="n"/>
      <c r="E196" s="1729" t="n"/>
      <c r="F196" s="1729" t="n"/>
      <c r="G196" s="1729" t="n"/>
      <c r="H196" s="1729" t="n"/>
      <c r="I196" s="1729" t="n"/>
      <c r="J196" s="1729" t="n"/>
      <c r="K196" s="1729" t="n"/>
      <c r="L196" s="1729" t="n"/>
      <c r="M196" s="550" t="n"/>
      <c r="N196" s="550" t="n"/>
      <c r="O196" s="550" t="n"/>
      <c r="P196" s="550" t="n"/>
    </row>
    <row r="197" ht="15" customHeight="1">
      <c r="M197" s="550" t="n"/>
      <c r="N197" s="550" t="n"/>
      <c r="O197" s="550" t="n"/>
      <c r="P197" s="550" t="n"/>
    </row>
    <row r="198" ht="15" customHeight="1">
      <c r="A198" s="1657" t="inlineStr">
        <is>
          <t>PPE</t>
        </is>
      </c>
      <c r="M198" s="550" t="n"/>
      <c r="N198" s="550" t="n"/>
      <c r="O198" s="550" t="n"/>
      <c r="P198" s="550" t="n"/>
    </row>
    <row r="199" ht="15" customHeight="1">
      <c r="A199" s="1661" t="inlineStr">
        <is>
          <t>PPE Opening</t>
        </is>
      </c>
      <c r="C199" s="408" t="n"/>
      <c r="D199" s="1670">
        <f>C71</f>
        <v/>
      </c>
      <c r="E199" s="1670">
        <f>D71</f>
        <v/>
      </c>
      <c r="F199" s="1670">
        <f>E71</f>
        <v/>
      </c>
      <c r="G199" s="1670">
        <f>F71</f>
        <v/>
      </c>
      <c r="H199" s="1699">
        <f>G202</f>
        <v/>
      </c>
      <c r="I199" s="1670">
        <f>H202</f>
        <v/>
      </c>
      <c r="J199" s="1670">
        <f>I202</f>
        <v/>
      </c>
      <c r="K199" s="1670">
        <f>J202</f>
        <v/>
      </c>
      <c r="L199" s="1670">
        <f>K202</f>
        <v/>
      </c>
      <c r="M199" s="550" t="n"/>
      <c r="N199" s="550" t="n"/>
      <c r="O199" s="550" t="n"/>
      <c r="P199" s="550" t="n"/>
    </row>
    <row r="200" ht="15" customHeight="1">
      <c r="A200" s="1661" t="inlineStr">
        <is>
          <t>Plus: CapEx</t>
        </is>
      </c>
      <c r="C200" s="408" t="n"/>
      <c r="D200" s="1670">
        <f>D202-D199-D201</f>
        <v/>
      </c>
      <c r="E200" s="1670">
        <f>E202-E199-E201</f>
        <v/>
      </c>
      <c r="F200" s="1670">
        <f>F202-F199-F201</f>
        <v/>
      </c>
      <c r="G200" s="1670">
        <f>G202-G199-G201</f>
        <v/>
      </c>
      <c r="H200" s="1686">
        <f>SUM(H205:H207)</f>
        <v/>
      </c>
      <c r="I200" s="1670">
        <f>SUM(I205:I207)</f>
        <v/>
      </c>
      <c r="J200" s="1670">
        <f>SUM(J205:J207)</f>
        <v/>
      </c>
      <c r="K200" s="1670">
        <f>SUM(K205:K207)</f>
        <v/>
      </c>
      <c r="L200" s="1670">
        <f>SUM(L205:L207)</f>
        <v/>
      </c>
      <c r="M200" s="550" t="n"/>
      <c r="N200" s="550" t="n"/>
      <c r="O200" s="550" t="n"/>
      <c r="P200" s="550" t="n"/>
    </row>
    <row r="201" ht="15" customHeight="1">
      <c r="A201" s="1664" t="inlineStr">
        <is>
          <t>Less: Depreciation</t>
        </is>
      </c>
      <c r="B201" s="462" t="n"/>
      <c r="C201" s="462" t="n"/>
      <c r="D201" s="1673">
        <f>-D40</f>
        <v/>
      </c>
      <c r="E201" s="1673">
        <f>-E40</f>
        <v/>
      </c>
      <c r="F201" s="1673">
        <f>-F40</f>
        <v/>
      </c>
      <c r="G201" s="1673">
        <f>-G40</f>
        <v/>
      </c>
      <c r="H201" s="1768">
        <f>H210</f>
        <v/>
      </c>
      <c r="I201" s="1683">
        <f>I210</f>
        <v/>
      </c>
      <c r="J201" s="1683">
        <f>J210</f>
        <v/>
      </c>
      <c r="K201" s="1683">
        <f>K210</f>
        <v/>
      </c>
      <c r="L201" s="1683">
        <f>L210</f>
        <v/>
      </c>
      <c r="M201" s="550" t="n"/>
      <c r="N201" s="550" t="n"/>
      <c r="O201" s="550" t="n"/>
      <c r="P201" s="550" t="n"/>
    </row>
    <row r="202" ht="15" customHeight="1">
      <c r="A202" s="1657" t="inlineStr">
        <is>
          <t>PPE Closing</t>
        </is>
      </c>
      <c r="C202" s="408" t="n"/>
      <c r="D202" s="1769" t="n">
        <v>43374481000</v>
      </c>
      <c r="E202" s="1769" t="n">
        <v>45743956000</v>
      </c>
      <c r="F202" s="1769" t="n">
        <v>53256586000</v>
      </c>
      <c r="G202" s="1769" t="n">
        <v>53906900000</v>
      </c>
      <c r="H202" s="1704">
        <f>SUM(H199:H201)</f>
        <v/>
      </c>
      <c r="I202" s="1703">
        <f>SUM(I199:I201)</f>
        <v/>
      </c>
      <c r="J202" s="1703">
        <f>SUM(J199:J201)</f>
        <v/>
      </c>
      <c r="K202" s="1703">
        <f>SUM(K199:K201)</f>
        <v/>
      </c>
      <c r="L202" s="1703">
        <f>SUM(L199:L201)</f>
        <v/>
      </c>
      <c r="M202" s="550" t="n"/>
      <c r="N202" s="550" t="n"/>
      <c r="O202" s="550" t="n"/>
      <c r="P202" s="550" t="n"/>
    </row>
    <row r="203" ht="15" customHeight="1">
      <c r="H203" s="488" t="n"/>
      <c r="M203" s="550" t="n"/>
      <c r="N203" s="550" t="n"/>
      <c r="O203" s="550" t="n"/>
      <c r="P203" s="550" t="n"/>
    </row>
    <row r="204" ht="15" customHeight="1">
      <c r="A204" s="1657" t="inlineStr">
        <is>
          <t>Capex</t>
        </is>
      </c>
      <c r="H204" s="488" t="n"/>
      <c r="M204" s="550" t="n"/>
      <c r="N204" s="550" t="n"/>
      <c r="O204" s="550" t="n"/>
      <c r="P204" s="550" t="n"/>
    </row>
    <row r="205" ht="15" customHeight="1">
      <c r="A205" s="1661" t="inlineStr">
        <is>
          <t>Maintenance Capex</t>
        </is>
      </c>
      <c r="C205" s="408" t="n"/>
      <c r="D205" s="1670">
        <f>D200</f>
        <v/>
      </c>
      <c r="E205" s="1670">
        <f>E200</f>
        <v/>
      </c>
      <c r="F205" s="1670">
        <f>F200</f>
        <v/>
      </c>
      <c r="G205" s="1670">
        <f>G200</f>
        <v/>
      </c>
      <c r="H205" s="1699">
        <f>AVERAGE($D$205:$G$205)</f>
        <v/>
      </c>
      <c r="I205" s="1670">
        <f>H205</f>
        <v/>
      </c>
      <c r="J205" s="1670">
        <f>I205</f>
        <v/>
      </c>
      <c r="K205" s="1670">
        <f>J205</f>
        <v/>
      </c>
      <c r="L205" s="1670">
        <f>K205</f>
        <v/>
      </c>
      <c r="M205" s="550" t="n"/>
      <c r="N205" s="550" t="n"/>
      <c r="O205" s="550" t="n"/>
      <c r="P205" s="550" t="n"/>
    </row>
    <row r="206" ht="15" customHeight="1">
      <c r="A206" s="1661" t="inlineStr">
        <is>
          <t>Growth Capex (Tower)</t>
        </is>
      </c>
      <c r="C206" s="408" t="n"/>
      <c r="D206" s="1087" t="n"/>
      <c r="E206" s="1087" t="n"/>
      <c r="F206" s="1087" t="n"/>
      <c r="G206" s="1087" t="n"/>
      <c r="H206" s="1686">
        <f>(H131-G131)*$C$22</f>
        <v/>
      </c>
      <c r="I206" s="1660">
        <f>(I131-H131)*$C$22</f>
        <v/>
      </c>
      <c r="J206" s="1660">
        <f>(J131-I131)*$C$22</f>
        <v/>
      </c>
      <c r="K206" s="1660">
        <f>(K131-J131)*$C$22</f>
        <v/>
      </c>
      <c r="L206" s="1660">
        <f>(L131-K131)*$C$22</f>
        <v/>
      </c>
      <c r="M206" s="550" t="n"/>
      <c r="N206" s="550" t="n"/>
      <c r="O206" s="550" t="n"/>
      <c r="P206" s="550" t="n"/>
    </row>
    <row r="207" ht="15" customHeight="1">
      <c r="A207" s="1664" t="inlineStr">
        <is>
          <t>Growth Capex (FTTH)</t>
        </is>
      </c>
      <c r="B207" s="462" t="n"/>
      <c r="C207" s="462" t="n"/>
      <c r="D207" s="1117" t="n"/>
      <c r="E207" s="1117" t="n"/>
      <c r="F207" s="1117" t="n"/>
      <c r="G207" s="1190" t="n"/>
      <c r="H207" s="1770">
        <f>$C$23*H157</f>
        <v/>
      </c>
      <c r="I207" s="1667">
        <f>$C$23*I157</f>
        <v/>
      </c>
      <c r="J207" s="1667">
        <f>$C$23*J157</f>
        <v/>
      </c>
      <c r="K207" s="1667">
        <f>$C$23*K157</f>
        <v/>
      </c>
      <c r="L207" s="1667">
        <f>$C$23*L157</f>
        <v/>
      </c>
      <c r="M207" s="550" t="n"/>
      <c r="N207" s="550" t="n"/>
      <c r="O207" s="550" t="n"/>
      <c r="P207" s="550" t="n"/>
    </row>
    <row r="208" ht="15" customHeight="1">
      <c r="A208" s="1657" t="inlineStr">
        <is>
          <t>Total</t>
        </is>
      </c>
      <c r="D208" s="1703">
        <f>SUM(D205:D207)</f>
        <v/>
      </c>
      <c r="E208" s="1703">
        <f>SUM(E205:E207)</f>
        <v/>
      </c>
      <c r="F208" s="1703">
        <f>SUM(F205:F207)</f>
        <v/>
      </c>
      <c r="G208" s="1703">
        <f>SUM(G205:G207)</f>
        <v/>
      </c>
      <c r="H208" s="1771">
        <f>SUM(H205:H207)</f>
        <v/>
      </c>
      <c r="I208" s="1703">
        <f>SUM(I205:I207)</f>
        <v/>
      </c>
      <c r="J208" s="1703">
        <f>SUM(J205:J207)</f>
        <v/>
      </c>
      <c r="K208" s="1703">
        <f>SUM(K205:K207)</f>
        <v/>
      </c>
      <c r="L208" s="1703">
        <f>SUM(L205:L207)</f>
        <v/>
      </c>
      <c r="M208" s="550" t="n"/>
      <c r="N208" s="550" t="n"/>
      <c r="O208" s="550" t="n"/>
      <c r="P208" s="550" t="n"/>
    </row>
    <row r="209" ht="15" customHeight="1">
      <c r="H209" s="488" t="n"/>
      <c r="M209" s="550" t="n"/>
      <c r="N209" s="550" t="n"/>
      <c r="O209" s="550" t="n"/>
      <c r="P209" s="550" t="n"/>
    </row>
    <row r="210" ht="15" customHeight="1">
      <c r="A210" s="1657" t="inlineStr">
        <is>
          <t>Depreciation</t>
        </is>
      </c>
      <c r="C210" s="606" t="n"/>
      <c r="D210" s="1660">
        <f>D40*-1</f>
        <v/>
      </c>
      <c r="E210" s="1660">
        <f>E40*-1</f>
        <v/>
      </c>
      <c r="F210" s="1660">
        <f>F40*-1</f>
        <v/>
      </c>
      <c r="G210" s="1660">
        <f>G40*-1</f>
        <v/>
      </c>
      <c r="H210" s="1772">
        <f>H211*H212</f>
        <v/>
      </c>
      <c r="I210" s="1773">
        <f>I211*I212</f>
        <v/>
      </c>
      <c r="J210" s="1773">
        <f>J211*J212</f>
        <v/>
      </c>
      <c r="K210" s="1773">
        <f>K211*K212</f>
        <v/>
      </c>
      <c r="L210" s="1773">
        <f>L211*L212</f>
        <v/>
      </c>
      <c r="M210" s="550" t="n"/>
      <c r="N210" s="550" t="n"/>
      <c r="O210" s="550" t="n"/>
      <c r="P210" s="550" t="n"/>
    </row>
    <row r="211" ht="15" customHeight="1">
      <c r="A211" s="1661" t="inlineStr">
        <is>
          <t>PPE Opening</t>
        </is>
      </c>
      <c r="C211" s="408" t="n"/>
      <c r="D211" s="1774" t="n">
        <v>39802265000</v>
      </c>
      <c r="E211" s="1774" t="n">
        <v>43374481000</v>
      </c>
      <c r="F211" s="1774" t="n">
        <v>45743956000</v>
      </c>
      <c r="G211" s="1774" t="n">
        <v>53256586000</v>
      </c>
      <c r="H211" s="1775" t="n">
        <v>53906900000</v>
      </c>
      <c r="I211" s="1678">
        <f>H202</f>
        <v/>
      </c>
      <c r="J211" s="1678">
        <f>I202</f>
        <v/>
      </c>
      <c r="K211" s="1678">
        <f>J202</f>
        <v/>
      </c>
      <c r="L211" s="1678">
        <f>K202</f>
        <v/>
      </c>
      <c r="M211" s="550" t="n"/>
      <c r="N211" s="550" t="n"/>
      <c r="O211" s="550" t="n"/>
      <c r="P211" s="550" t="n"/>
    </row>
    <row r="212" ht="15" customHeight="1">
      <c r="A212" s="1635" t="inlineStr">
        <is>
          <t>% of PPE</t>
        </is>
      </c>
      <c r="B212" s="1163" t="n"/>
      <c r="C212" s="1165" t="n"/>
      <c r="D212" s="1735">
        <f>D210/D211</f>
        <v/>
      </c>
      <c r="E212" s="1735">
        <f>E210/E211</f>
        <v/>
      </c>
      <c r="F212" s="1735">
        <f>F210/F211</f>
        <v/>
      </c>
      <c r="G212" s="1735">
        <f>G210/G211</f>
        <v/>
      </c>
      <c r="H212" s="1736">
        <f>AVERAGE(C212:G212)</f>
        <v/>
      </c>
      <c r="I212" s="1735">
        <f>H212</f>
        <v/>
      </c>
      <c r="J212" s="1735">
        <f>I212</f>
        <v/>
      </c>
      <c r="K212" s="1735">
        <f>J212</f>
        <v/>
      </c>
      <c r="L212" s="1735">
        <f>K212</f>
        <v/>
      </c>
      <c r="M212" s="550" t="n"/>
      <c r="N212" s="550" t="n"/>
      <c r="O212" s="550" t="n"/>
      <c r="P212" s="550" t="n"/>
    </row>
    <row r="213" ht="15" customHeight="1">
      <c r="H213" s="488" t="n"/>
      <c r="M213" s="550" t="n"/>
      <c r="N213" s="550" t="n"/>
      <c r="O213" s="550" t="n"/>
      <c r="P213" s="550" t="n"/>
    </row>
    <row r="214" ht="25.5" customHeight="1">
      <c r="A214" s="1727" t="inlineStr">
        <is>
          <t>Financing Schedule</t>
        </is>
      </c>
      <c r="B214" s="1728" t="n"/>
      <c r="C214" s="1729" t="n"/>
      <c r="D214" s="1729" t="n"/>
      <c r="E214" s="1729" t="n"/>
      <c r="F214" s="1729" t="n"/>
      <c r="G214" s="1729" t="n"/>
      <c r="H214" s="1729" t="n"/>
      <c r="I214" s="1729" t="n"/>
      <c r="J214" s="1729" t="n"/>
      <c r="K214" s="1729" t="n"/>
      <c r="L214" s="1729" t="n"/>
      <c r="M214" s="550" t="n"/>
      <c r="N214" s="550" t="n"/>
      <c r="O214" s="550" t="n"/>
      <c r="P214" s="550" t="n"/>
    </row>
    <row r="215" ht="15" customHeight="1">
      <c r="C215" s="612" t="n"/>
      <c r="H215" s="488" t="n"/>
      <c r="M215" s="550" t="n"/>
      <c r="N215" s="550" t="n"/>
      <c r="O215" s="550" t="n"/>
      <c r="P215" s="550" t="n"/>
    </row>
    <row r="216" ht="15" customHeight="1">
      <c r="A216" s="1661" t="inlineStr">
        <is>
          <t>Interest Income</t>
        </is>
      </c>
      <c r="C216" s="1755" t="n">
        <v>30866000</v>
      </c>
      <c r="D216" s="1755" t="n">
        <v>29265000</v>
      </c>
      <c r="E216" s="1755" t="n">
        <v>25649000</v>
      </c>
      <c r="F216" s="1755" t="n">
        <v>84309000</v>
      </c>
      <c r="G216" s="1755" t="n">
        <v>44354000</v>
      </c>
      <c r="H216" s="1776" t="n">
        <v>40389495.4869339</v>
      </c>
      <c r="I216" s="1777" t="n">
        <v>18615344.0859314</v>
      </c>
      <c r="J216" s="1777" t="n">
        <v>72329727.69263069</v>
      </c>
      <c r="K216" s="1777" t="n">
        <v>150938594.24556</v>
      </c>
      <c r="L216" s="1777" t="n">
        <v>261182557.468066</v>
      </c>
      <c r="M216" s="612" t="n"/>
      <c r="N216" s="550" t="n"/>
      <c r="O216" s="550" t="n"/>
      <c r="P216" s="550" t="n"/>
    </row>
    <row r="217" ht="15" customHeight="1">
      <c r="A217" s="1635" t="inlineStr">
        <is>
          <t>Interest Income as % of Prior Year Cash and Short-Term Investment</t>
        </is>
      </c>
      <c r="C217" s="615" t="n"/>
      <c r="D217" s="1778" t="n">
        <v>0.00650034411852166</v>
      </c>
      <c r="E217" s="1778" t="n">
        <v>0.0853946420078027</v>
      </c>
      <c r="F217" s="1778" t="n">
        <v>0.0495991305793946</v>
      </c>
      <c r="G217" s="1778" t="n">
        <v>0.08609785513616409</v>
      </c>
      <c r="H217" s="1779">
        <f>AVERAGE(D217:G217)</f>
        <v/>
      </c>
      <c r="I217" s="1780">
        <f>H217</f>
        <v/>
      </c>
      <c r="J217" s="1780">
        <f>I217</f>
        <v/>
      </c>
      <c r="K217" s="1780">
        <f>J217</f>
        <v/>
      </c>
      <c r="L217" s="1780">
        <f>K217</f>
        <v/>
      </c>
      <c r="M217" s="617" t="n"/>
      <c r="N217" s="550" t="n"/>
      <c r="O217" s="550" t="n"/>
      <c r="P217" s="550" t="n"/>
    </row>
    <row r="218" ht="15" customHeight="1">
      <c r="A218" s="1661" t="inlineStr">
        <is>
          <t>Interest Expense</t>
        </is>
      </c>
      <c r="C218" s="1755" t="n">
        <v>-1050842000</v>
      </c>
      <c r="D218" s="1755" t="n">
        <v>-1254452000</v>
      </c>
      <c r="E218" s="1755" t="n">
        <v>-2280344000</v>
      </c>
      <c r="F218" s="1755" t="n">
        <v>-2694489000</v>
      </c>
      <c r="G218" s="1755" t="n">
        <v>-2940697000</v>
      </c>
      <c r="H218" s="1699">
        <f>H219*SUM(H80,H87)</f>
        <v/>
      </c>
      <c r="I218" s="1670">
        <f>I219*SUM(I80,I87)</f>
        <v/>
      </c>
      <c r="J218" s="1670">
        <f>J219*SUM(J80,J87)</f>
        <v/>
      </c>
      <c r="K218" s="1670">
        <f>K219*SUM(K80,K87)</f>
        <v/>
      </c>
      <c r="L218" s="1670">
        <f>L219*SUM(L80,L87)</f>
        <v/>
      </c>
      <c r="M218" s="550" t="n"/>
      <c r="N218" s="550" t="n"/>
      <c r="O218" s="550" t="n"/>
      <c r="P218" s="550" t="n"/>
    </row>
    <row r="219" ht="15" customHeight="1">
      <c r="A219" s="1635" t="inlineStr">
        <is>
          <t>Interest Expense as Cost of Debt</t>
        </is>
      </c>
      <c r="C219" s="1780">
        <f>C218/SUM(C80,C87)</f>
        <v/>
      </c>
      <c r="D219" s="1780">
        <f>D218/SUM(D80,D87)</f>
        <v/>
      </c>
      <c r="E219" s="1780">
        <f>E218/SUM(E80,E87)</f>
        <v/>
      </c>
      <c r="F219" s="1780">
        <f>F218/SUM(F80,F87)</f>
        <v/>
      </c>
      <c r="G219" s="1780">
        <f>G218/SUM(G80,G87)</f>
        <v/>
      </c>
      <c r="H219" s="1781" t="n">
        <v>-0.0693730986338697</v>
      </c>
      <c r="I219" s="1780">
        <f>H219</f>
        <v/>
      </c>
      <c r="J219" s="1780">
        <f>I219</f>
        <v/>
      </c>
      <c r="K219" s="1780">
        <f>J219</f>
        <v/>
      </c>
      <c r="L219" s="1780">
        <f>K219</f>
        <v/>
      </c>
      <c r="M219" s="550" t="n"/>
      <c r="N219" s="550" t="n"/>
      <c r="O219" s="550" t="n"/>
      <c r="P219" s="550" t="n"/>
    </row>
    <row r="220" ht="15" customHeight="1">
      <c r="A220" s="1664" t="inlineStr">
        <is>
          <t>Non-Interest Financial Income/(Expense)</t>
        </is>
      </c>
      <c r="B220" s="462" t="n"/>
      <c r="C220" s="1782" t="n">
        <v>-215900000</v>
      </c>
      <c r="D220" s="1782" t="n">
        <v>-26779000</v>
      </c>
      <c r="E220" s="1782" t="n">
        <v>-123864000</v>
      </c>
      <c r="F220" s="1782" t="n">
        <v>-102524000</v>
      </c>
      <c r="G220" s="1782" t="n">
        <v>-81276000</v>
      </c>
      <c r="H220" s="1682">
        <f>G220</f>
        <v/>
      </c>
      <c r="I220" s="1673">
        <f>H220</f>
        <v/>
      </c>
      <c r="J220" s="1673">
        <f>I220</f>
        <v/>
      </c>
      <c r="K220" s="1673">
        <f>J220</f>
        <v/>
      </c>
      <c r="L220" s="1673">
        <f>K220</f>
        <v/>
      </c>
      <c r="M220" s="550" t="n"/>
      <c r="N220" s="550" t="n"/>
      <c r="O220" s="550" t="n"/>
      <c r="P220" s="550" t="n"/>
    </row>
    <row r="221" ht="15" customHeight="1">
      <c r="A221" s="1657" t="inlineStr">
        <is>
          <t>Finance Income/(Expense) - Net</t>
        </is>
      </c>
      <c r="C221" s="1703">
        <f>SUM(C216,C218,C220)</f>
        <v/>
      </c>
      <c r="D221" s="1703">
        <f>SUM(D216,D218,D220)</f>
        <v/>
      </c>
      <c r="E221" s="1703">
        <f>SUM(E216,E218,E220)</f>
        <v/>
      </c>
      <c r="F221" s="1703">
        <f>SUM(F216,F218,F220)</f>
        <v/>
      </c>
      <c r="G221" s="1703">
        <f>SUM(G216,G218,G220)</f>
        <v/>
      </c>
      <c r="H221" s="1704">
        <f>SUM(H216,H218,H220)</f>
        <v/>
      </c>
      <c r="I221" s="1704">
        <f>SUM(I216,I218,I220)</f>
        <v/>
      </c>
      <c r="J221" s="1704">
        <f>SUM(J216,J218,J220)</f>
        <v/>
      </c>
      <c r="K221" s="1704">
        <f>SUM(K216,K218,K220)</f>
        <v/>
      </c>
      <c r="L221" s="1704">
        <f>SUM(L216,L218,L220)</f>
        <v/>
      </c>
      <c r="M221" s="550" t="n"/>
      <c r="N221" s="550" t="n"/>
      <c r="O221" s="550" t="n"/>
      <c r="P221" s="550" t="n"/>
    </row>
    <row r="222" ht="15" customHeight="1">
      <c r="H222" s="488" t="n"/>
      <c r="M222" s="550" t="n"/>
      <c r="N222" s="550" t="n"/>
      <c r="O222" s="550" t="n"/>
      <c r="P222" s="550" t="n"/>
    </row>
    <row r="223" ht="25.5" customHeight="1">
      <c r="A223" s="1727" t="inlineStr">
        <is>
          <t>Debt Schedule</t>
        </is>
      </c>
      <c r="B223" s="1728" t="n"/>
      <c r="C223" s="1729" t="n"/>
      <c r="D223" s="1729" t="n"/>
      <c r="E223" s="1729" t="n"/>
      <c r="F223" s="1729" t="n"/>
      <c r="G223" s="1729" t="n"/>
      <c r="H223" s="1729" t="n"/>
      <c r="I223" s="1729" t="n"/>
      <c r="J223" s="1729" t="n"/>
      <c r="K223" s="1729" t="n"/>
      <c r="L223" s="1729" t="n"/>
      <c r="M223" s="550" t="n"/>
      <c r="N223" s="550" t="n"/>
      <c r="O223" s="550" t="n"/>
      <c r="P223" s="550" t="n"/>
    </row>
    <row r="224" ht="15" customHeight="1">
      <c r="G224" s="581" t="n"/>
      <c r="M224" s="550" t="n"/>
      <c r="N224" s="550" t="n"/>
      <c r="O224" s="550" t="n"/>
      <c r="P224" s="550" t="n"/>
    </row>
    <row r="225" ht="15" customHeight="1">
      <c r="A225" s="1670" t="inlineStr">
        <is>
          <t>Short-Term Debt Opening</t>
        </is>
      </c>
      <c r="B225" s="1087" t="n"/>
      <c r="C225" s="1087" t="n"/>
      <c r="D225" s="1670">
        <f>C228</f>
        <v/>
      </c>
      <c r="E225" s="1670">
        <f>D228</f>
        <v/>
      </c>
      <c r="F225" s="1670">
        <f>E228</f>
        <v/>
      </c>
      <c r="G225" s="1758">
        <f>F228</f>
        <v/>
      </c>
      <c r="H225" s="1670">
        <f>G228</f>
        <v/>
      </c>
      <c r="I225" s="1670">
        <f>H228</f>
        <v/>
      </c>
      <c r="J225" s="1670">
        <f>I228</f>
        <v/>
      </c>
      <c r="K225" s="1670">
        <f>J228</f>
        <v/>
      </c>
      <c r="L225" s="1670">
        <f>K228</f>
        <v/>
      </c>
      <c r="M225" s="550" t="n"/>
      <c r="N225" s="550" t="n"/>
      <c r="O225" s="550" t="n"/>
      <c r="P225" s="550" t="n"/>
    </row>
    <row r="226" ht="15" customHeight="1">
      <c r="A226" s="1670" t="inlineStr">
        <is>
          <t>Issuance</t>
        </is>
      </c>
      <c r="B226" s="1087" t="n"/>
      <c r="C226" s="1087" t="n"/>
      <c r="D226" s="1755" t="n">
        <v>0</v>
      </c>
      <c r="E226" s="1670">
        <f>E228-D228</f>
        <v/>
      </c>
      <c r="F226" s="1755" t="n">
        <v>0</v>
      </c>
      <c r="G226" s="1758">
        <f>G228-F228</f>
        <v/>
      </c>
      <c r="H226" s="1670">
        <f>H228-G228</f>
        <v/>
      </c>
      <c r="I226" s="1670">
        <f>I228-H228</f>
        <v/>
      </c>
      <c r="J226" s="1670">
        <f>J228-I228</f>
        <v/>
      </c>
      <c r="K226" s="1670">
        <f>K228-J228</f>
        <v/>
      </c>
      <c r="L226" s="1670">
        <f>L228-K228</f>
        <v/>
      </c>
      <c r="M226" s="550" t="n"/>
      <c r="N226" s="550" t="n"/>
      <c r="O226" s="550" t="n"/>
      <c r="P226" s="550" t="n"/>
    </row>
    <row r="227" ht="15" customHeight="1">
      <c r="A227" s="1673" t="inlineStr">
        <is>
          <t>Repayment</t>
        </is>
      </c>
      <c r="B227" s="1117" t="n"/>
      <c r="C227" s="1117" t="n"/>
      <c r="D227" s="1673">
        <f>C228-D228</f>
        <v/>
      </c>
      <c r="E227" s="1782" t="n">
        <v>0</v>
      </c>
      <c r="F227" s="1673">
        <f>E228-F228</f>
        <v/>
      </c>
      <c r="G227" s="1783" t="n">
        <v>0</v>
      </c>
      <c r="H227" s="1782" t="n">
        <v>0</v>
      </c>
      <c r="I227" s="1782" t="n">
        <v>0</v>
      </c>
      <c r="J227" s="1782" t="n">
        <v>0</v>
      </c>
      <c r="K227" s="1782" t="n">
        <v>0</v>
      </c>
      <c r="L227" s="1782" t="n">
        <v>0</v>
      </c>
      <c r="M227" s="550" t="n"/>
      <c r="N227" s="550" t="n"/>
      <c r="O227" s="550" t="n"/>
      <c r="P227" s="550" t="n"/>
    </row>
    <row r="228" ht="15" customFormat="1" customHeight="1" s="458">
      <c r="A228" s="1703" t="inlineStr">
        <is>
          <t>Short-Term Debt Closing</t>
        </is>
      </c>
      <c r="B228" s="1136" t="n"/>
      <c r="C228" s="1703">
        <f>C80</f>
        <v/>
      </c>
      <c r="D228" s="1703">
        <f>D80</f>
        <v/>
      </c>
      <c r="E228" s="1703">
        <f>E80</f>
        <v/>
      </c>
      <c r="F228" s="1703">
        <f>F80</f>
        <v/>
      </c>
      <c r="G228" s="1765">
        <f>G80</f>
        <v/>
      </c>
      <c r="H228" s="1703">
        <f>G228*(1+(H30/G30-1))</f>
        <v/>
      </c>
      <c r="I228" s="1703">
        <f>H228*(1+(I30/H30-1))</f>
        <v/>
      </c>
      <c r="J228" s="1703">
        <f>I228*(1+(J30/I30-1))</f>
        <v/>
      </c>
      <c r="K228" s="1703">
        <f>J228*(1+(K30/J30-1))</f>
        <v/>
      </c>
      <c r="L228" s="1703">
        <f>K228*(1+(L30/K30-1))</f>
        <v/>
      </c>
      <c r="M228" s="591" t="n"/>
      <c r="N228" s="591" t="n"/>
      <c r="O228" s="591" t="n"/>
      <c r="P228" s="591" t="n"/>
    </row>
    <row r="229" ht="15" customHeight="1">
      <c r="A229" s="1087" t="n"/>
      <c r="B229" s="1087" t="n"/>
      <c r="C229" s="1087" t="n"/>
      <c r="D229" s="1087" t="n"/>
      <c r="E229" s="1087" t="n"/>
      <c r="F229" s="1087" t="n"/>
      <c r="G229" s="1139" t="n"/>
      <c r="H229" s="1087" t="n"/>
      <c r="I229" s="1087" t="n"/>
      <c r="J229" s="1087" t="n"/>
      <c r="K229" s="1087" t="n"/>
      <c r="L229" s="1087" t="n"/>
      <c r="M229" s="550" t="n"/>
      <c r="N229" s="550" t="n"/>
      <c r="O229" s="550" t="n"/>
      <c r="P229" s="550" t="n"/>
    </row>
    <row r="230" ht="15" customHeight="1">
      <c r="A230" s="1670" t="inlineStr">
        <is>
          <t>Long-Term Debt Opening</t>
        </is>
      </c>
      <c r="B230" s="1087" t="n"/>
      <c r="C230" s="1087" t="n"/>
      <c r="D230" s="1670">
        <f>C233</f>
        <v/>
      </c>
      <c r="E230" s="1670">
        <f>D233</f>
        <v/>
      </c>
      <c r="F230" s="1670">
        <f>E233</f>
        <v/>
      </c>
      <c r="G230" s="1758">
        <f>F233</f>
        <v/>
      </c>
      <c r="H230" s="1670">
        <f>G233</f>
        <v/>
      </c>
      <c r="I230" s="1670">
        <f>H233</f>
        <v/>
      </c>
      <c r="J230" s="1670">
        <f>I233</f>
        <v/>
      </c>
      <c r="K230" s="1670">
        <f>J233</f>
        <v/>
      </c>
      <c r="L230" s="1670">
        <f>K233</f>
        <v/>
      </c>
      <c r="M230" s="550" t="n"/>
      <c r="N230" s="550" t="n"/>
      <c r="O230" s="550" t="n"/>
      <c r="P230" s="550" t="n"/>
    </row>
    <row r="231" ht="15" customHeight="1">
      <c r="A231" s="1670" t="inlineStr">
        <is>
          <t>Issuance</t>
        </is>
      </c>
      <c r="B231" s="1087" t="n"/>
      <c r="C231" s="1087" t="n"/>
      <c r="D231" s="1670">
        <f>D233-C233</f>
        <v/>
      </c>
      <c r="E231" s="1755" t="n">
        <v>0</v>
      </c>
      <c r="F231" s="1670">
        <f>F233-E233</f>
        <v/>
      </c>
      <c r="G231" s="1756" t="n">
        <v>0</v>
      </c>
      <c r="H231" s="1670">
        <f>H208*50%</f>
        <v/>
      </c>
      <c r="I231" s="1670">
        <f>I208*50%</f>
        <v/>
      </c>
      <c r="J231" s="1670">
        <f>J208*50%</f>
        <v/>
      </c>
      <c r="K231" s="1670">
        <f>K208*50%</f>
        <v/>
      </c>
      <c r="L231" s="1670">
        <f>L208*50%</f>
        <v/>
      </c>
      <c r="M231" s="550" t="n"/>
      <c r="N231" s="550" t="n"/>
      <c r="O231" s="550" t="n"/>
      <c r="P231" s="550" t="n"/>
    </row>
    <row r="232" ht="15" customHeight="1">
      <c r="A232" s="1673" t="inlineStr">
        <is>
          <t>Repayment</t>
        </is>
      </c>
      <c r="B232" s="1117" t="n"/>
      <c r="C232" s="1117" t="n"/>
      <c r="D232" s="1782" t="n">
        <v>0</v>
      </c>
      <c r="E232" s="1673">
        <f>D233-E233</f>
        <v/>
      </c>
      <c r="F232" s="1782" t="n">
        <v>0</v>
      </c>
      <c r="G232" s="1784">
        <f>F233-G233</f>
        <v/>
      </c>
      <c r="H232" s="1673">
        <f>$G$233/10</f>
        <v/>
      </c>
      <c r="I232" s="1673">
        <f>$G$233/10</f>
        <v/>
      </c>
      <c r="J232" s="1673">
        <f>$G$233/10</f>
        <v/>
      </c>
      <c r="K232" s="1673">
        <f>$G$233/10</f>
        <v/>
      </c>
      <c r="L232" s="1673">
        <f>$G$233/10</f>
        <v/>
      </c>
      <c r="M232" s="550" t="n"/>
      <c r="N232" s="550" t="n"/>
      <c r="O232" s="550" t="n"/>
      <c r="P232" s="550" t="n"/>
    </row>
    <row r="233" ht="15" customFormat="1" customHeight="1" s="458">
      <c r="A233" s="1703" t="inlineStr">
        <is>
          <t>Long-Term Debt Closing</t>
        </is>
      </c>
      <c r="B233" s="1136" t="n"/>
      <c r="C233" s="1703">
        <f>C87</f>
        <v/>
      </c>
      <c r="D233" s="1703">
        <f>D87</f>
        <v/>
      </c>
      <c r="E233" s="1703">
        <f>E87</f>
        <v/>
      </c>
      <c r="F233" s="1703">
        <f>F87</f>
        <v/>
      </c>
      <c r="G233" s="1765">
        <f>G87</f>
        <v/>
      </c>
      <c r="H233" s="1703">
        <f>H230+H231-H232</f>
        <v/>
      </c>
      <c r="I233" s="1703">
        <f>I230+I231-I232</f>
        <v/>
      </c>
      <c r="J233" s="1703">
        <f>J230+J231-J232</f>
        <v/>
      </c>
      <c r="K233" s="1703">
        <f>K230+K231-K232</f>
        <v/>
      </c>
      <c r="L233" s="1703">
        <f>L230+L231-L232</f>
        <v/>
      </c>
      <c r="M233" s="591" t="n"/>
      <c r="N233" s="591" t="n"/>
      <c r="O233" s="591" t="n"/>
      <c r="P233" s="591" t="n"/>
    </row>
    <row r="234" ht="15" customHeight="1">
      <c r="A234" s="1087" t="n"/>
      <c r="B234" s="1087" t="n"/>
      <c r="C234" s="1087" t="n"/>
      <c r="D234" s="1087" t="n"/>
      <c r="E234" s="1087" t="n"/>
      <c r="F234" s="1087" t="n"/>
      <c r="G234" s="1087" t="n"/>
      <c r="H234" s="1087" t="n"/>
      <c r="I234" s="1087" t="n"/>
      <c r="J234" s="1087" t="n"/>
      <c r="K234" s="1087" t="n"/>
      <c r="L234" s="1087" t="n"/>
    </row>
  </sheetData>
  <mergeCells count="6">
    <mergeCell ref="A5:C5"/>
    <mergeCell ref="C1:G1"/>
    <mergeCell ref="H1:L1"/>
    <mergeCell ref="A1:B2"/>
    <mergeCell ref="A7:C7"/>
    <mergeCell ref="A26:C26"/>
  </mergeCells>
  <conditionalFormatting sqref="C3:L4 O3:O4">
    <cfRule type="containsText" priority="2" operator="containsText" dxfId="1" text="OK">
      <formula>NOT(ISERROR(SEARCH("OK",C3)))</formula>
    </cfRule>
    <cfRule type="containsText" priority="3" operator="containsText" dxfId="0" text="ERROR">
      <formula>NOT(ISERROR(SEARCH("ERROR",C3)))</formula>
    </cfRule>
  </conditionalFormatting>
  <dataValidations count="1">
    <dataValidation sqref="B8" showDropDown="0" showInputMessage="0" showErrorMessage="0" allowBlank="0" type="list">
      <formula1>"1,2,3"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P70"/>
  <sheetViews>
    <sheetView zoomScaleNormal="100" workbookViewId="0">
      <selection activeCell="F25" sqref="F25"/>
    </sheetView>
  </sheetViews>
  <sheetFormatPr baseColWidth="8" defaultColWidth="10.7109375" defaultRowHeight="14.25"/>
  <cols>
    <col width="5.140625" customWidth="1" style="151" min="1" max="1"/>
    <col width="4" customWidth="1" style="151" min="2" max="2"/>
    <col width="13.5703125" customWidth="1" style="151" min="3" max="3"/>
    <col width="38" customWidth="1" style="151" min="4" max="4"/>
    <col width="20" customWidth="1" style="151" min="5" max="7"/>
    <col width="9" customWidth="1" style="151" min="8" max="8"/>
    <col width="9" customWidth="1" style="333" min="9" max="9"/>
    <col width="9" customWidth="1" style="151" min="10" max="10"/>
    <col width="15.42578125" customWidth="1" style="151" min="11" max="11"/>
    <col width="43.5703125" customWidth="1" style="151" min="12" max="12"/>
    <col width="32.85546875" customWidth="1" style="151" min="13" max="13"/>
    <col width="20.140625" customWidth="1" style="151" min="14" max="14"/>
    <col width="21.42578125" customWidth="1" style="151" min="15" max="15"/>
    <col width="33" customWidth="1" style="151" min="16" max="16"/>
    <col width="9" customWidth="1" style="333" min="17" max="17"/>
    <col width="9" customWidth="1" style="151" min="18" max="18"/>
    <col width="18.28515625" customWidth="1" style="151" min="19" max="19"/>
    <col width="15.7109375" customWidth="1" style="151" min="20" max="20"/>
    <col width="18.140625" customWidth="1" style="151" min="21" max="21"/>
    <col width="15.7109375" customWidth="1" style="151" min="22" max="22"/>
    <col width="9" customWidth="1" style="151" min="23" max="23"/>
    <col width="10.42578125" customWidth="1" style="151" min="24" max="24"/>
    <col width="15.7109375" customWidth="1" style="151" min="25" max="25"/>
    <col width="9" customWidth="1" style="151" min="26" max="26"/>
    <col width="15.7109375" customWidth="1" style="151" min="27" max="27"/>
    <col width="9" customWidth="1" style="151" min="28" max="28"/>
    <col width="15.7109375" customWidth="1" style="151" min="29" max="29"/>
    <col width="10.7109375" customWidth="1" style="151" min="30" max="16384"/>
  </cols>
  <sheetData>
    <row r="1" ht="9.75" customHeight="1"/>
    <row r="2" ht="24.75" customHeight="1">
      <c r="C2" s="1554" t="inlineStr">
        <is>
          <t>COMPARABLE PEER ANALYSIS (TOWR)</t>
        </is>
      </c>
      <c r="D2" s="1067" t="n"/>
      <c r="E2" s="1067" t="n"/>
      <c r="F2" s="1067" t="n"/>
      <c r="G2" s="1080" t="n"/>
      <c r="K2" s="1555" t="inlineStr">
        <is>
          <t>Group 1 - Indonesian Tower Precedent Transactions: Benchmarks for TOWR</t>
        </is>
      </c>
      <c r="L2" s="1067" t="n"/>
      <c r="M2" s="1067" t="n"/>
      <c r="N2" s="1067" t="n"/>
      <c r="O2" s="1067" t="n"/>
      <c r="P2" s="1080" t="n"/>
    </row>
    <row r="3" ht="14.25" customHeight="1">
      <c r="B3" s="334" t="n"/>
      <c r="C3" s="1556" t="inlineStr">
        <is>
          <t>Ticker</t>
        </is>
      </c>
      <c r="D3" s="1557" t="inlineStr">
        <is>
          <t>Company</t>
        </is>
      </c>
      <c r="E3" s="1557" t="inlineStr">
        <is>
          <t>EV/EBITDA (TTM)</t>
        </is>
      </c>
      <c r="F3" s="1557" t="inlineStr">
        <is>
          <t>P/BV (TTM)</t>
        </is>
      </c>
      <c r="G3" s="1558" t="inlineStr">
        <is>
          <t>PE RATIO (TTM)</t>
        </is>
      </c>
      <c r="K3" s="1556" t="inlineStr">
        <is>
          <t>Year</t>
        </is>
      </c>
      <c r="L3" s="1557" t="inlineStr">
        <is>
          <t>Target</t>
        </is>
      </c>
      <c r="M3" s="1557" t="inlineStr">
        <is>
          <t>Acquiror</t>
        </is>
      </c>
      <c r="N3" s="1557" t="inlineStr">
        <is>
          <t>EV/EBITDA (Rp Billion)</t>
        </is>
      </c>
      <c r="O3" s="1557" t="inlineStr">
        <is>
          <t>EV/Tower</t>
        </is>
      </c>
      <c r="P3" s="1558" t="inlineStr">
        <is>
          <t>EV/Tenant</t>
        </is>
      </c>
    </row>
    <row r="4" ht="15.75" customHeight="1">
      <c r="C4" s="1559" t="inlineStr">
        <is>
          <t>Indonesia Peers</t>
        </is>
      </c>
      <c r="D4" s="1067" t="n"/>
      <c r="E4" s="1067" t="n"/>
      <c r="F4" s="1067" t="n"/>
      <c r="G4" s="1080" t="n"/>
      <c r="K4" s="1559" t="inlineStr">
        <is>
          <t>National Transaction</t>
        </is>
      </c>
      <c r="L4" s="1067" t="n"/>
      <c r="M4" s="1067" t="n"/>
      <c r="N4" s="1067" t="n"/>
      <c r="O4" s="1067" t="n"/>
      <c r="P4" s="1080" t="n"/>
    </row>
    <row r="5" ht="14.25" customHeight="1">
      <c r="C5" s="1560" t="inlineStr">
        <is>
          <t>MTEL.IJ</t>
        </is>
      </c>
      <c r="D5" s="1252" t="inlineStr">
        <is>
          <t>PT Dayamitra Telekomunikasi Tbk (Mitratel)</t>
        </is>
      </c>
      <c r="E5" s="1561" t="n">
        <v>8.6</v>
      </c>
      <c r="F5" s="1561" t="n">
        <v>1.1</v>
      </c>
      <c r="G5" s="1562" t="n">
        <v>16.5</v>
      </c>
      <c r="H5" s="341" t="n"/>
      <c r="J5" s="1563" t="n">
        <v>1</v>
      </c>
      <c r="K5" s="1564" t="n">
        <v>2021</v>
      </c>
      <c r="L5" s="1252" t="inlineStr">
        <is>
          <t>Solusi Tunas Pratama (SUPR) 94.03%</t>
        </is>
      </c>
      <c r="M5" s="1252" t="inlineStr">
        <is>
          <t>Protelindo (TOWR)</t>
        </is>
      </c>
      <c r="N5" s="1565">
        <f>17800/1900</f>
        <v/>
      </c>
      <c r="O5" s="1565">
        <f>17800/6780</f>
        <v/>
      </c>
      <c r="P5" s="1566">
        <f>17800/12500</f>
        <v/>
      </c>
    </row>
    <row r="6" ht="15.75" customHeight="1">
      <c r="C6" s="1560" t="inlineStr">
        <is>
          <t>TBIG.IJ</t>
        </is>
      </c>
      <c r="D6" s="1252" t="inlineStr">
        <is>
          <t>PT Tower Bersama Infrastructure Tbk</t>
        </is>
      </c>
      <c r="E6" s="1565" t="inlineStr">
        <is>
          <t>11.40 x</t>
        </is>
      </c>
      <c r="F6" s="1561" t="n">
        <v>2.5</v>
      </c>
      <c r="G6" s="1562" t="n">
        <v>22.1</v>
      </c>
      <c r="J6" s="1563" t="n">
        <v>2</v>
      </c>
      <c r="K6" s="1564" t="n">
        <v>2024</v>
      </c>
      <c r="L6" s="1252" t="inlineStr">
        <is>
          <t>Inti Bangun Sejahtera (IBST) 90.11%</t>
        </is>
      </c>
      <c r="M6" s="1252" t="inlineStr">
        <is>
          <t>iForte (TOWR)</t>
        </is>
      </c>
      <c r="N6" s="1561" t="n">
        <v>8</v>
      </c>
      <c r="O6" s="1565">
        <f>3800/3383</f>
        <v/>
      </c>
      <c r="P6" s="1566">
        <f>3800/5791</f>
        <v/>
      </c>
    </row>
    <row r="7" ht="14.25" customHeight="1">
      <c r="C7" s="1560" t="inlineStr">
        <is>
          <t>BALI.IJ</t>
        </is>
      </c>
      <c r="D7" s="1252" t="inlineStr">
        <is>
          <t>PT Bali Towerindo Sentra Tbk</t>
        </is>
      </c>
      <c r="E7" s="1561" t="n">
        <v>10.4</v>
      </c>
      <c r="F7" s="1561" t="n">
        <v>2</v>
      </c>
      <c r="G7" s="1567" t="inlineStr">
        <is>
          <t>27.80 x</t>
        </is>
      </c>
      <c r="H7" s="341" t="n"/>
      <c r="J7" s="1563" t="n">
        <v>3</v>
      </c>
      <c r="K7" s="1564" t="n">
        <v>2020</v>
      </c>
      <c r="L7" s="1252" t="inlineStr">
        <is>
          <t>3000 unit of IBST's Tower</t>
        </is>
      </c>
      <c r="M7" s="1252" t="inlineStr">
        <is>
          <t>TBIG</t>
        </is>
      </c>
      <c r="N7" s="1565">
        <f>3970/481</f>
        <v/>
      </c>
      <c r="O7" s="1565">
        <f>3970/3000</f>
        <v/>
      </c>
      <c r="P7" s="1568" t="n">
        <v>1.32</v>
      </c>
    </row>
    <row r="8" ht="14.25" customHeight="1">
      <c r="C8" s="1560" t="inlineStr">
        <is>
          <t>GHON.IJ</t>
        </is>
      </c>
      <c r="D8" s="1252" t="inlineStr">
        <is>
          <t>PT Gihon Telekomunikasi Indonesia Tbk</t>
        </is>
      </c>
      <c r="E8" s="1565" t="inlineStr">
        <is>
          <t>11.40 x</t>
        </is>
      </c>
      <c r="F8" s="1561" t="n">
        <v>1.3</v>
      </c>
      <c r="G8" s="1562" t="n">
        <v>12.8</v>
      </c>
      <c r="H8" s="341" t="n"/>
      <c r="J8" s="1563" t="n">
        <v>4</v>
      </c>
      <c r="K8" s="1564" t="n">
        <v>2021</v>
      </c>
      <c r="L8" s="1252" t="inlineStr">
        <is>
          <t>6000 unit of Telkomsel's Tower</t>
        </is>
      </c>
      <c r="M8" s="1252" t="inlineStr">
        <is>
          <t>Mitratel (MTEL)</t>
        </is>
      </c>
      <c r="N8" s="1561" t="n">
        <v>13.4</v>
      </c>
      <c r="O8" s="1565">
        <f>10280/6000</f>
        <v/>
      </c>
      <c r="P8" s="1568" t="n">
        <v>1.59</v>
      </c>
    </row>
    <row r="9" ht="14.25" customHeight="1">
      <c r="C9" s="1559" t="inlineStr">
        <is>
          <t>Regional Peers</t>
        </is>
      </c>
      <c r="D9" s="1067" t="n"/>
      <c r="E9" s="1067" t="n"/>
      <c r="F9" s="1067" t="n"/>
      <c r="G9" s="1080" t="n"/>
      <c r="H9" s="341" t="n"/>
      <c r="K9" s="1559" t="inlineStr">
        <is>
          <t>International Transaction</t>
        </is>
      </c>
      <c r="L9" s="1067" t="n"/>
      <c r="M9" s="1067" t="n"/>
      <c r="N9" s="1067" t="n"/>
      <c r="O9" s="1067" t="n"/>
      <c r="P9" s="1080" t="n"/>
    </row>
    <row r="10" ht="14.25" customHeight="1">
      <c r="C10" s="1560" t="inlineStr">
        <is>
          <t>788 HK</t>
        </is>
      </c>
      <c r="D10" s="1252" t="inlineStr">
        <is>
          <t>China Tower Corporation Limited</t>
        </is>
      </c>
      <c r="E10" s="1561" t="n">
        <v>4.5</v>
      </c>
      <c r="F10" s="1561" t="n">
        <v>0.7</v>
      </c>
      <c r="G10" s="1562" t="n">
        <v>10.3</v>
      </c>
      <c r="H10" s="341" t="n"/>
      <c r="J10" s="1563" t="n">
        <v>5</v>
      </c>
      <c r="K10" s="1564" t="n">
        <v>2024</v>
      </c>
      <c r="L10" s="1252" t="inlineStr">
        <is>
          <t>IHS Kuwait Tower</t>
        </is>
      </c>
      <c r="M10" s="1252" t="inlineStr">
        <is>
          <t>Zain</t>
        </is>
      </c>
      <c r="N10" s="1561" t="n">
        <v>14.2</v>
      </c>
      <c r="O10" s="1565">
        <f>3700/2345</f>
        <v/>
      </c>
      <c r="P10" s="1566" t="inlineStr">
        <is>
          <t>NA</t>
        </is>
      </c>
    </row>
    <row r="11" ht="14.25" customHeight="1">
      <c r="C11" s="1560" t="inlineStr">
        <is>
          <t>INDUSTOW IN</t>
        </is>
      </c>
      <c r="D11" s="1252" t="inlineStr">
        <is>
          <t>Indus Towers Ltd</t>
        </is>
      </c>
      <c r="E11" s="1561" t="n">
        <v>7.4</v>
      </c>
      <c r="F11" s="1561" t="n">
        <v>2.4</v>
      </c>
      <c r="G11" s="1562" t="n">
        <v>13.6</v>
      </c>
      <c r="H11" s="341" t="n"/>
      <c r="K11" s="1569" t="inlineStr">
        <is>
          <t>Quartile 1</t>
        </is>
      </c>
      <c r="L11" s="1081" t="n"/>
      <c r="M11" s="345" t="n"/>
      <c r="N11" s="1570">
        <f>_xlfn.QUARTILE.INC(N5:N10, 1)</f>
        <v/>
      </c>
      <c r="O11" s="1570">
        <f>_xlfn.QUARTILE.INC(O5:O10, 1)</f>
        <v/>
      </c>
      <c r="P11" s="1571">
        <f>_xlfn.QUARTILE.INC(P5:P10, 1)</f>
        <v/>
      </c>
    </row>
    <row r="12" ht="18.75" customHeight="1">
      <c r="C12" s="1572" t="inlineStr">
        <is>
          <t>Quartile 1 - Worst Case</t>
        </is>
      </c>
      <c r="D12" s="345" t="n"/>
      <c r="E12" s="1570">
        <f>_xlfn.QUARTILE.INC(E5:E11, 1)</f>
        <v/>
      </c>
      <c r="F12" s="1570">
        <f>_xlfn.QUARTILE.INC(F5:F11, 1)</f>
        <v/>
      </c>
      <c r="G12" s="1573">
        <f>_xlfn.QUARTILE.INC(G5:G11, 1)</f>
        <v/>
      </c>
      <c r="H12" s="341" t="n"/>
      <c r="K12" s="1574" t="inlineStr">
        <is>
          <t>Median</t>
        </is>
      </c>
      <c r="M12" s="350" t="n"/>
      <c r="N12" s="1575">
        <f>MEDIAN(N5:N10)</f>
        <v/>
      </c>
      <c r="O12" s="1575">
        <f>MEDIAN(O5:O10)</f>
        <v/>
      </c>
      <c r="P12" s="1576">
        <f>MEDIAN(P5:P10)</f>
        <v/>
      </c>
    </row>
    <row r="13" ht="14.25" customHeight="1">
      <c r="C13" s="1577" t="inlineStr">
        <is>
          <t>Median - Base Case</t>
        </is>
      </c>
      <c r="D13" s="354" t="n"/>
      <c r="E13" s="1578">
        <f>MEDIAN(E5:E11)</f>
        <v/>
      </c>
      <c r="F13" s="1578">
        <f>MEDIAN(F5:F11)</f>
        <v/>
      </c>
      <c r="G13" s="1579">
        <f>MEDIAN(G5:G11)</f>
        <v/>
      </c>
      <c r="H13" s="341" t="n"/>
      <c r="K13" s="1580" t="inlineStr">
        <is>
          <t>Quartile 3</t>
        </is>
      </c>
      <c r="L13" s="806" t="n"/>
      <c r="M13" s="357" t="n"/>
      <c r="N13" s="1581">
        <f>_xlfn.QUARTILE.EXC(N5:N10, 3)</f>
        <v/>
      </c>
      <c r="O13" s="1581">
        <f>_xlfn.QUARTILE.EXC(O5:O10, 3)</f>
        <v/>
      </c>
      <c r="P13" s="1582">
        <f>_xlfn.QUARTILE.INC(P5:P10, 3)</f>
        <v/>
      </c>
    </row>
    <row r="14" ht="15.75" customHeight="1">
      <c r="C14" s="1583" t="inlineStr">
        <is>
          <t>Quartile 3 - Best Case</t>
        </is>
      </c>
      <c r="D14" s="361" t="n"/>
      <c r="E14" s="1565">
        <f>_xlfn.QUARTILE.INC(E5:E11, 3)</f>
        <v/>
      </c>
      <c r="F14" s="1565">
        <f>_xlfn.QUARTILE.INC(F5:F11, 3)</f>
        <v/>
      </c>
      <c r="G14" s="1567">
        <f>_xlfn.QUARTILE.INC(G5:G11, 3)</f>
        <v/>
      </c>
      <c r="H14" s="341" t="n"/>
      <c r="K14" s="1252" t="inlineStr">
        <is>
          <t>Source:</t>
        </is>
      </c>
    </row>
    <row r="15" ht="14.25" customHeight="1">
      <c r="C15" s="1584" t="inlineStr">
        <is>
          <t>Mean</t>
        </is>
      </c>
      <c r="D15" s="357" t="n"/>
      <c r="E15" s="1581">
        <f>_xlfn.QUARTILE.INC(E5:E11, 3)</f>
        <v/>
      </c>
      <c r="F15" s="1581">
        <f>_xlfn.QUARTILE.INC(F5:F11, 3)</f>
        <v/>
      </c>
      <c r="G15" s="1585">
        <f>_xlfn.QUARTILE.INC(G5:G11, 3)</f>
        <v/>
      </c>
      <c r="K15" s="1252" t="inlineStr">
        <is>
          <t>1. https://market.bisnis.com/read/20211005/189/1450717/sukses-akuisisi-supr-saham-sarana-menara-towr-menuju-rp1540</t>
        </is>
      </c>
    </row>
    <row r="16" ht="14.25" customHeight="1">
      <c r="C16" s="1586" t="inlineStr">
        <is>
          <t>TOWR</t>
        </is>
      </c>
      <c r="E16" s="1565">
        <f>E29/E25</f>
        <v/>
      </c>
      <c r="F16" s="1565">
        <f>E21/(E24/E27)</f>
        <v/>
      </c>
      <c r="G16" s="1567">
        <f>E21/(E23/E27)</f>
        <v/>
      </c>
      <c r="K16" s="1252" t="inlineStr">
        <is>
          <t>2.https://samuel.co.id/news-events-ssi/towr-kuatkan-posisi-dengan-akuisisi-ibst/</t>
        </is>
      </c>
    </row>
    <row r="17" ht="14.25" customHeight="1">
      <c r="C17" s="1587" t="inlineStr">
        <is>
          <t>Implied Share Price - Worst Case</t>
        </is>
      </c>
      <c r="D17" s="367" t="n"/>
      <c r="E17" s="1588">
        <f>(($E$25*E12)-$E$22)/$E$27</f>
        <v/>
      </c>
      <c r="F17" s="1588">
        <f>F12*$E$32</f>
        <v/>
      </c>
      <c r="G17" s="1589">
        <f>G12*$E$31</f>
        <v/>
      </c>
      <c r="K17" s="1252" t="inlineStr">
        <is>
          <t>3.https://investor.id/market-and-corporate/242971/tower-bersama-segera-akuisisi-menara-rp-397-triliun</t>
        </is>
      </c>
    </row>
    <row r="18" ht="14.25" customHeight="1">
      <c r="C18" s="1586" t="inlineStr">
        <is>
          <t>Implied Share Price - Base Case</t>
        </is>
      </c>
      <c r="E18" s="1590">
        <f>(($E$25*E13)-$E$22)/$E$27</f>
        <v/>
      </c>
      <c r="F18" s="1590">
        <f>F13*$E$32</f>
        <v/>
      </c>
      <c r="G18" s="1576">
        <f>G13*$E$31</f>
        <v/>
      </c>
      <c r="H18" s="341" t="n"/>
      <c r="K18" s="1252" t="inlineStr">
        <is>
          <t>4.https://www.indopremier.com/ipotnews/newsDetail.php?jdl=Mitratel_(MTEL)_bakal_Akuisisi_Menara_Telekomunikasi_Rp_9_Triliun&amp;news_id=394832&amp;group_news=RESEARCHNEWS&amp;taging_subtype=PG002&amp;name=&amp;search=y_general&amp;q=,&amp;halaman=1</t>
        </is>
      </c>
    </row>
    <row r="19" ht="14.25" customHeight="1">
      <c r="C19" s="1591" t="inlineStr">
        <is>
          <t>Implied Share Price - Best Case</t>
        </is>
      </c>
      <c r="D19" s="372" t="n"/>
      <c r="E19" s="1592">
        <f>(($E$25*E14)-$E$22)/$E$27</f>
        <v/>
      </c>
      <c r="F19" s="1592">
        <f>F14*$E$32</f>
        <v/>
      </c>
      <c r="G19" s="1593">
        <f>G14*$E$31</f>
        <v/>
      </c>
      <c r="H19" s="341" t="n"/>
      <c r="K19" s="1252" t="inlineStr">
        <is>
          <t>5.https://www.fticonsulting.com/about/newsroom/press-releases/fti-capital-advisors-supports-zain-group-on-acquisition-of-the-ihs-tower-portfolio-in-kuwait</t>
        </is>
      </c>
    </row>
    <row r="20" ht="14.25" customHeight="1">
      <c r="F20" s="375" t="n"/>
      <c r="G20" s="375" t="n"/>
    </row>
    <row r="21" ht="21.75" customHeight="1">
      <c r="C21" s="1587" t="inlineStr">
        <is>
          <t>Price/Share - TOWR (21 Agt)</t>
        </is>
      </c>
      <c r="D21" s="367" t="n"/>
      <c r="E21" s="1594" t="n">
        <v>434</v>
      </c>
      <c r="K21" s="1595" t="inlineStr">
        <is>
          <t>Group 2. Indonesian Fiber and Broadband Precedent Transactions: Benchmarks for WIFI</t>
        </is>
      </c>
      <c r="L21" s="1067" t="n"/>
      <c r="M21" s="1067" t="n"/>
      <c r="N21" s="1067" t="n"/>
      <c r="O21" s="1067" t="n"/>
      <c r="P21" s="1080" t="n"/>
    </row>
    <row r="22" ht="14.25" customHeight="1">
      <c r="C22" s="1586" t="inlineStr">
        <is>
          <t>Net Debt</t>
        </is>
      </c>
      <c r="E22" s="1596" t="n">
        <v>44509580000000</v>
      </c>
      <c r="K22" s="1597" t="inlineStr">
        <is>
          <t>Year</t>
        </is>
      </c>
      <c r="L22" s="1598" t="inlineStr">
        <is>
          <t>Target</t>
        </is>
      </c>
      <c r="M22" s="1598" t="inlineStr">
        <is>
          <t>Acquiror</t>
        </is>
      </c>
      <c r="N22" s="1598" t="inlineStr">
        <is>
          <t>EV/EBITDA (Rp Billion)</t>
        </is>
      </c>
      <c r="O22" s="1598" t="inlineStr">
        <is>
          <t>EV/Homepass (Rp Million)</t>
        </is>
      </c>
      <c r="P22" s="1599" t="n"/>
    </row>
    <row r="23" ht="14.25" customHeight="1">
      <c r="C23" s="1586" t="inlineStr">
        <is>
          <t>Net Profit TOWR</t>
        </is>
      </c>
      <c r="E23" s="1596" t="n">
        <v>3678316000000</v>
      </c>
      <c r="K23" s="1600" t="inlineStr">
        <is>
          <t>National Transaction</t>
        </is>
      </c>
      <c r="L23" s="1067" t="n"/>
      <c r="M23" s="1067" t="n"/>
      <c r="N23" s="1067" t="n"/>
      <c r="O23" s="1067" t="n"/>
      <c r="P23" s="1080" t="n"/>
    </row>
    <row r="24" ht="14.25" customHeight="1">
      <c r="C24" s="1586" t="inlineStr">
        <is>
          <t>Book Value TOWR</t>
        </is>
      </c>
      <c r="E24" s="1596" t="n">
        <v>26972415000000</v>
      </c>
      <c r="J24" s="1563" t="n">
        <v>1</v>
      </c>
      <c r="K24" s="1564" t="n">
        <v>2022</v>
      </c>
      <c r="L24" s="1252" t="inlineStr">
        <is>
          <t>Link Net</t>
        </is>
      </c>
      <c r="M24" s="1252" t="inlineStr">
        <is>
          <t>Axiata dan XL Axiata</t>
        </is>
      </c>
      <c r="N24" s="1565">
        <f>13210/1870</f>
        <v/>
      </c>
      <c r="O24" s="1565">
        <f>13210/2800</f>
        <v/>
      </c>
      <c r="P24" s="342" t="n"/>
    </row>
    <row r="25" ht="14.25" customHeight="1">
      <c r="C25" s="1586" t="inlineStr">
        <is>
          <t>EBITDA TOWR</t>
        </is>
      </c>
      <c r="E25" s="1596" t="n">
        <v>10924099000000</v>
      </c>
      <c r="J25" s="1563" t="n">
        <v>2</v>
      </c>
      <c r="K25" s="1564" t="n">
        <v>2024</v>
      </c>
      <c r="L25" s="1252" t="inlineStr">
        <is>
          <t>PT Ultra Mandiri Telekomunikasi (UMT)</t>
        </is>
      </c>
      <c r="M25" s="1252" t="inlineStr">
        <is>
          <t>Mitratel (MTEL)</t>
        </is>
      </c>
      <c r="N25" s="1561" t="n">
        <v>7.7</v>
      </c>
      <c r="O25" s="1565" t="inlineStr">
        <is>
          <t>NA</t>
        </is>
      </c>
      <c r="P25" s="342" t="n"/>
    </row>
    <row r="26" ht="14.25" customHeight="1">
      <c r="C26" s="1586" t="inlineStr">
        <is>
          <t>Revenue TOWR</t>
        </is>
      </c>
      <c r="E26" s="1596" t="n">
        <v>13327907000000</v>
      </c>
      <c r="K26" s="1600" t="inlineStr">
        <is>
          <t>International Transaction</t>
        </is>
      </c>
      <c r="L26" s="1067" t="n"/>
      <c r="M26" s="1067" t="n"/>
      <c r="N26" s="1067" t="n"/>
      <c r="O26" s="1067" t="n"/>
      <c r="P26" s="1080" t="n"/>
    </row>
    <row r="27" ht="14.25" customHeight="1">
      <c r="C27" s="1586" t="inlineStr">
        <is>
          <t>Shares Outstanding</t>
        </is>
      </c>
      <c r="E27" s="1601">
        <f>58272885109</f>
        <v/>
      </c>
      <c r="J27" s="1563" t="n">
        <v>3</v>
      </c>
      <c r="K27" s="1564" t="n">
        <v>2024</v>
      </c>
      <c r="L27" s="1252" t="inlineStr">
        <is>
          <t>Frontier Communications</t>
        </is>
      </c>
      <c r="M27" s="1252" t="inlineStr">
        <is>
          <t>Verizon</t>
        </is>
      </c>
      <c r="N27" s="1561" t="n">
        <v>8.5</v>
      </c>
      <c r="O27" s="1561" t="n">
        <v>14.2</v>
      </c>
      <c r="P27" s="342" t="n"/>
    </row>
    <row r="28" ht="14.25" customHeight="1">
      <c r="C28" s="1586" t="inlineStr">
        <is>
          <t>Market Cap TOWR</t>
        </is>
      </c>
      <c r="E28" s="1601">
        <f>E27*E21</f>
        <v/>
      </c>
      <c r="J28" s="1563" t="n">
        <v>4</v>
      </c>
      <c r="K28" s="1564" t="n">
        <v>2025</v>
      </c>
      <c r="L28" s="1252" t="inlineStr">
        <is>
          <t>Quantum Fiber (Lumen)</t>
        </is>
      </c>
      <c r="M28" s="1252" t="inlineStr">
        <is>
          <t>AT&amp;T</t>
        </is>
      </c>
      <c r="N28" s="1565" t="inlineStr">
        <is>
          <t>NA</t>
        </is>
      </c>
      <c r="O28" s="1561" t="n">
        <v>25.4</v>
      </c>
      <c r="P28" s="342" t="n"/>
    </row>
    <row r="29" ht="14.25" customHeight="1">
      <c r="C29" s="1586" t="inlineStr">
        <is>
          <t>Enterprise Value TOWR</t>
        </is>
      </c>
      <c r="E29" s="1601">
        <f>E28+E22</f>
        <v/>
      </c>
      <c r="K29" s="1569" t="inlineStr">
        <is>
          <t>Quartile 1</t>
        </is>
      </c>
      <c r="L29" s="1081" t="n"/>
      <c r="M29" s="345" t="n"/>
      <c r="N29" s="1570">
        <f>_xlfn.QUARTILE.INC(N24:N28, 1)</f>
        <v/>
      </c>
      <c r="O29" s="1570">
        <f>_xlfn.QUARTILE.INC(O24:O28, 1)</f>
        <v/>
      </c>
      <c r="P29" s="347" t="n"/>
    </row>
    <row r="30" ht="14.25" customHeight="1">
      <c r="C30" s="365" t="n"/>
      <c r="E30" s="382" t="n"/>
      <c r="K30" s="1574" t="inlineStr">
        <is>
          <t>Median</t>
        </is>
      </c>
      <c r="M30" s="350" t="n"/>
      <c r="N30" s="1575">
        <f>MEDIAN(N24:N28)</f>
        <v/>
      </c>
      <c r="O30" s="1575">
        <f>MEDIAN(O24:O28)</f>
        <v/>
      </c>
      <c r="P30" s="352" t="n"/>
    </row>
    <row r="31" ht="14.25" customHeight="1">
      <c r="C31" s="1586" t="inlineStr">
        <is>
          <t>EPS TOWR</t>
        </is>
      </c>
      <c r="E31" s="1602">
        <f>E23/E27</f>
        <v/>
      </c>
      <c r="K31" s="1580" t="inlineStr">
        <is>
          <t>Quartile 3</t>
        </is>
      </c>
      <c r="L31" s="806" t="n"/>
      <c r="M31" s="357" t="n"/>
      <c r="N31" s="1581">
        <f>_xlfn.QUARTILE.EXC(N24:N28, 3)</f>
        <v/>
      </c>
      <c r="O31" s="1581">
        <f>_xlfn.QUARTILE.EXC(O24:O28, 3)</f>
        <v/>
      </c>
      <c r="P31" s="359" t="n"/>
    </row>
    <row r="32" ht="14.25" customHeight="1">
      <c r="C32" s="1586" t="inlineStr">
        <is>
          <t>BVPS TOWR</t>
        </is>
      </c>
      <c r="E32" s="1602">
        <f>E24/E27</f>
        <v/>
      </c>
      <c r="K32" s="1252" t="inlineStr">
        <is>
          <t>Source:</t>
        </is>
      </c>
    </row>
    <row r="33" ht="14.25" customHeight="1">
      <c r="C33" s="1591" t="inlineStr">
        <is>
          <t>EBITDA per Share</t>
        </is>
      </c>
      <c r="D33" s="372" t="n"/>
      <c r="E33" s="1606">
        <f>E25/E27</f>
        <v/>
      </c>
      <c r="K33" s="1252" t="inlineStr">
        <is>
          <t>1.https://www.cnbcindonesia.com/market/20220623101848-17-349579/tok-axiata-dan-xl--excl--resmi-caplok-link-net-dari-lippo</t>
        </is>
      </c>
    </row>
    <row r="34" ht="14.25" customHeight="1">
      <c r="C34" s="1372" t="inlineStr">
        <is>
          <t>*in Rupiah</t>
        </is>
      </c>
      <c r="K34" s="1252" t="inlineStr">
        <is>
          <t>2. https://www.cnbcindonesia.com/market/20241206112118-17-593886/caplok-bisnis-fiber-ptpp-rp650-m-saham-mitratel-ditarget-segini</t>
        </is>
      </c>
    </row>
    <row r="35" ht="14.25" customHeight="1">
      <c r="K35" s="1252" t="inlineStr">
        <is>
          <t>3.https://www.sec.gov/Archives/edgar/data/20520/000110465924111034/tm2426760d1_ex99-2.htm</t>
        </is>
      </c>
    </row>
    <row r="36" ht="14.25" customHeight="1">
      <c r="K36" s="1252" t="inlineStr">
        <is>
          <t>4.https://ir.lumen.com/news/news-details/2026/Lumen-Completes-Sale-of-Consumer-Fiber-to-the-Home-Business-to-ATT/default.aspx</t>
        </is>
      </c>
    </row>
    <row r="37" ht="14.25" customHeight="1">
      <c r="C37" s="1608" t="inlineStr">
        <is>
          <t>COMPARABLE PEER ANALYSIS (WIFI)</t>
        </is>
      </c>
      <c r="D37" s="1067" t="n"/>
      <c r="E37" s="1067" t="n"/>
      <c r="F37" s="1067" t="n"/>
      <c r="G37" s="1080" t="n"/>
    </row>
    <row r="38" ht="14.25" customHeight="1">
      <c r="C38" s="1597" t="inlineStr">
        <is>
          <t>Ticker</t>
        </is>
      </c>
      <c r="D38" s="1598" t="inlineStr">
        <is>
          <t>Company</t>
        </is>
      </c>
      <c r="E38" s="1598" t="inlineStr">
        <is>
          <t>EV/EBITDA (TTM)</t>
        </is>
      </c>
      <c r="F38" s="1598" t="inlineStr">
        <is>
          <t>P/BV (TTM)</t>
        </is>
      </c>
      <c r="G38" s="1609" t="inlineStr">
        <is>
          <t>PE RATIO (TTM)</t>
        </is>
      </c>
    </row>
    <row r="39" ht="14.25" customHeight="1">
      <c r="C39" s="1610" t="inlineStr">
        <is>
          <t>Indonesia Peers</t>
        </is>
      </c>
      <c r="D39" s="394" t="n"/>
      <c r="E39" s="394" t="n"/>
      <c r="F39" s="394" t="n"/>
      <c r="G39" s="395" t="n"/>
    </row>
    <row r="40" ht="14.25" customHeight="1">
      <c r="C40" s="1560" t="inlineStr">
        <is>
          <t>LINK.JK</t>
        </is>
      </c>
      <c r="D40" s="1252" t="inlineStr">
        <is>
          <t>PT Link Net Tbk</t>
        </is>
      </c>
      <c r="E40" s="1561" t="n">
        <v>4.9</v>
      </c>
      <c r="F40" s="1561" t="n">
        <v>1.4</v>
      </c>
      <c r="G40" s="1567" t="inlineStr">
        <is>
          <t>-2.8 x</t>
        </is>
      </c>
    </row>
    <row r="41" ht="14.25" customHeight="1">
      <c r="C41" s="1560" t="inlineStr">
        <is>
          <t>DATA.JK</t>
        </is>
      </c>
      <c r="D41" s="1252" t="inlineStr">
        <is>
          <t>PT Remala Abadi Tbk</t>
        </is>
      </c>
      <c r="E41" s="1561" t="n">
        <v>12.9</v>
      </c>
      <c r="F41" s="1565" t="inlineStr">
        <is>
          <t>6.40 x</t>
        </is>
      </c>
      <c r="G41" s="1562" t="n">
        <v>20.8</v>
      </c>
    </row>
    <row r="42" ht="14.25" customHeight="1">
      <c r="C42" s="1560" t="inlineStr">
        <is>
          <t>INET</t>
        </is>
      </c>
      <c r="D42" s="1252" t="inlineStr">
        <is>
          <t>PT Sinergi Inti Andalan Prima Tbk</t>
        </is>
      </c>
      <c r="E42" s="1561" t="n">
        <v>64.40000000000001</v>
      </c>
      <c r="F42" s="1561" t="n">
        <v>1.9</v>
      </c>
      <c r="G42" s="1567" t="inlineStr">
        <is>
          <t>189.4 x</t>
        </is>
      </c>
    </row>
    <row r="43" ht="14.25" customHeight="1">
      <c r="C43" s="1560" t="inlineStr">
        <is>
          <t>EDGE</t>
        </is>
      </c>
      <c r="D43" s="1252" t="inlineStr">
        <is>
          <t>PT Jasnita Telekomindo Tbk</t>
        </is>
      </c>
      <c r="E43" s="1561" t="n">
        <v>28.5</v>
      </c>
      <c r="F43" s="1561" t="n">
        <v>5.4</v>
      </c>
      <c r="G43" s="1567" t="inlineStr">
        <is>
          <t>159.4 x</t>
        </is>
      </c>
    </row>
    <row r="44" ht="14.25" customHeight="1">
      <c r="C44" s="1610" t="inlineStr">
        <is>
          <t>Regional Peers</t>
        </is>
      </c>
      <c r="D44" s="394" t="n"/>
      <c r="E44" s="394" t="n"/>
      <c r="F44" s="394" t="n"/>
      <c r="G44" s="395" t="n"/>
    </row>
    <row r="45" ht="14.25" customHeight="1">
      <c r="C45" s="1560" t="inlineStr">
        <is>
          <t>CNVRG PM</t>
        </is>
      </c>
      <c r="D45" s="1252" t="inlineStr">
        <is>
          <t>Converage ICT</t>
        </is>
      </c>
      <c r="E45" s="1561" t="n">
        <v>3.8</v>
      </c>
      <c r="F45" s="1561" t="n">
        <v>1.1</v>
      </c>
      <c r="G45" s="1562" t="n">
        <v>6.2</v>
      </c>
    </row>
    <row r="46" ht="14.25" customHeight="1">
      <c r="C46" s="1560" t="inlineStr">
        <is>
          <t>NETLINK SP</t>
        </is>
      </c>
      <c r="D46" s="1252" t="inlineStr">
        <is>
          <t>NetLink NBN Trust</t>
        </is>
      </c>
      <c r="E46" s="1561" t="n">
        <v>16.4</v>
      </c>
      <c r="F46" s="1561" t="n">
        <v>1.7</v>
      </c>
      <c r="G46" s="1562" t="n">
        <v>45.8</v>
      </c>
    </row>
    <row r="47" ht="14.25" customHeight="1">
      <c r="C47" s="1560" t="inlineStr">
        <is>
          <t>TDC MK</t>
        </is>
      </c>
      <c r="D47" s="1252" t="inlineStr">
        <is>
          <t>TIME dotCom</t>
        </is>
      </c>
      <c r="E47" s="1561" t="n">
        <v>12.7</v>
      </c>
      <c r="F47" s="1561" t="n">
        <v>3.9</v>
      </c>
      <c r="G47" s="1562" t="n">
        <v>25.5</v>
      </c>
    </row>
    <row r="48" ht="14.25" customHeight="1">
      <c r="C48" s="1572" t="inlineStr">
        <is>
          <t>Quartile 1 - Worst Case</t>
        </is>
      </c>
      <c r="D48" s="345" t="n"/>
      <c r="E48" s="1570">
        <f>_xlfn.QUARTILE.INC(E40:E47, 1)</f>
        <v/>
      </c>
      <c r="F48" s="1570">
        <f>_xlfn.QUARTILE.INC(F40:F47, 1)</f>
        <v/>
      </c>
      <c r="G48" s="1573">
        <f>_xlfn.QUARTILE.INC(G40:G47, 1)</f>
        <v/>
      </c>
    </row>
    <row r="49" ht="14.25" customHeight="1">
      <c r="C49" s="1577" t="inlineStr">
        <is>
          <t>Median - Base Case</t>
        </is>
      </c>
      <c r="D49" s="354" t="n"/>
      <c r="E49" s="1578">
        <f>MEDIAN(E40:E47)</f>
        <v/>
      </c>
      <c r="F49" s="1578">
        <f>MEDIAN(F40:F47)</f>
        <v/>
      </c>
      <c r="G49" s="1579">
        <f>MEDIAN(G40:G47)</f>
        <v/>
      </c>
    </row>
    <row r="50" ht="14.25" customHeight="1">
      <c r="C50" s="1583" t="inlineStr">
        <is>
          <t>Quartile 3 - Best Case</t>
        </is>
      </c>
      <c r="D50" s="361" t="n"/>
      <c r="E50" s="1565">
        <f>_xlfn.QUARTILE.INC(E40:E47, 3)</f>
        <v/>
      </c>
      <c r="F50" s="1565">
        <f>_xlfn.QUARTILE.INC(F40:F47, 3)</f>
        <v/>
      </c>
      <c r="G50" s="1567">
        <f>_xlfn.QUARTILE.INC(G40:G47, 3)</f>
        <v/>
      </c>
    </row>
    <row r="51" ht="14.25" customHeight="1">
      <c r="C51" s="1584" t="inlineStr">
        <is>
          <t>Mean</t>
        </is>
      </c>
      <c r="D51" s="357" t="n"/>
      <c r="E51" s="1581">
        <f>_xlfn.QUARTILE.INC(E40:E47, 3)</f>
        <v/>
      </c>
      <c r="F51" s="1581">
        <f>_xlfn.QUARTILE.INC(F40:F47, 3)</f>
        <v/>
      </c>
      <c r="G51" s="1585">
        <f>_xlfn.QUARTILE.INC(G40:G47, 3)</f>
        <v/>
      </c>
    </row>
    <row r="52" ht="14.25" customHeight="1">
      <c r="C52" s="1586" t="inlineStr">
        <is>
          <t>WIFI</t>
        </is>
      </c>
      <c r="E52" s="1565">
        <f>E65/E61</f>
        <v/>
      </c>
      <c r="F52" s="1565">
        <f>E57/(E60/E63)</f>
        <v/>
      </c>
      <c r="G52" s="1567">
        <f>E57/(E59/E63)</f>
        <v/>
      </c>
    </row>
    <row r="53" ht="14.25" customHeight="1">
      <c r="C53" s="1587" t="inlineStr">
        <is>
          <t>Implied Share Price - Worst Case</t>
        </is>
      </c>
      <c r="D53" s="398" t="n"/>
      <c r="E53" s="1613">
        <f>(($E$61*E48)-$E$58)/$E$63</f>
        <v/>
      </c>
      <c r="F53" s="1613">
        <f>F48*$E$68</f>
        <v/>
      </c>
      <c r="G53" s="1614">
        <f>G48*$E$67</f>
        <v/>
      </c>
    </row>
    <row r="54" ht="14.25" customHeight="1">
      <c r="C54" s="1586" t="inlineStr">
        <is>
          <t>Implied Share Price - Base Case</t>
        </is>
      </c>
      <c r="D54" s="401" t="n"/>
      <c r="E54" s="1615">
        <f>(($E$61*E49)-$E$58)/$E$63</f>
        <v/>
      </c>
      <c r="F54" s="1615">
        <f>F49*$E$68</f>
        <v/>
      </c>
      <c r="G54" s="1616">
        <f>G49*$E$67</f>
        <v/>
      </c>
    </row>
    <row r="55" ht="14.25" customHeight="1">
      <c r="C55" s="1591" t="inlineStr">
        <is>
          <t>Implied Share Price - Best Case</t>
        </is>
      </c>
      <c r="D55" s="404" t="n"/>
      <c r="E55" s="1618">
        <f>(($E$61*E50)-$E$58)/$E$63</f>
        <v/>
      </c>
      <c r="F55" s="1618">
        <f>F50*$E$68</f>
        <v/>
      </c>
      <c r="G55" s="1619">
        <f>G50*$E$67</f>
        <v/>
      </c>
    </row>
    <row r="56" ht="14.25" customHeight="1">
      <c r="F56" s="375" t="n"/>
      <c r="G56" s="375" t="n"/>
    </row>
    <row r="57" ht="14.25" customHeight="1">
      <c r="C57" s="1587" t="inlineStr">
        <is>
          <t>Price/Share - TOWR (21 Agt)</t>
        </is>
      </c>
      <c r="D57" s="367" t="n"/>
      <c r="E57" s="1594" t="n">
        <v>2090</v>
      </c>
    </row>
    <row r="58" ht="14.25" customHeight="1">
      <c r="C58" s="1586" t="inlineStr">
        <is>
          <t>Net Debt</t>
        </is>
      </c>
      <c r="E58" s="1621">
        <f>-565153097.16*1000</f>
        <v/>
      </c>
    </row>
    <row r="59" ht="14.25" customHeight="1">
      <c r="C59" s="1586" t="inlineStr">
        <is>
          <t>Net Profit WIFI</t>
        </is>
      </c>
      <c r="E59" s="1621">
        <f>408551231.77*1000</f>
        <v/>
      </c>
    </row>
    <row r="60" ht="14.25" customHeight="1">
      <c r="C60" s="1586" t="inlineStr">
        <is>
          <t>Book Value WIFI</t>
        </is>
      </c>
      <c r="E60" s="1621">
        <f>7299442709.11*1000</f>
        <v/>
      </c>
    </row>
    <row r="61" ht="14.25" customHeight="1">
      <c r="C61" s="1586" t="inlineStr">
        <is>
          <t>EBITDA WIFI</t>
        </is>
      </c>
      <c r="E61" s="1621">
        <f>1106232966.57*1000</f>
        <v/>
      </c>
    </row>
    <row r="62" ht="14.25" customHeight="1">
      <c r="C62" s="1586" t="inlineStr">
        <is>
          <t>Revenue WIFI</t>
        </is>
      </c>
      <c r="E62" s="1621">
        <f>1659396069.86*1000</f>
        <v/>
      </c>
    </row>
    <row r="63" ht="14.25" customHeight="1">
      <c r="C63" s="1586" t="inlineStr">
        <is>
          <t>Shares Outstanding</t>
        </is>
      </c>
      <c r="E63" s="1601">
        <f>5308549015</f>
        <v/>
      </c>
    </row>
    <row r="64" ht="14.25" customHeight="1">
      <c r="C64" s="1586" t="inlineStr">
        <is>
          <t>Market Cap WIFI</t>
        </is>
      </c>
      <c r="E64" s="1601">
        <f>E63*E57</f>
        <v/>
      </c>
    </row>
    <row r="65" ht="14.25" customHeight="1">
      <c r="C65" s="1586" t="inlineStr">
        <is>
          <t>Enterprise Value WIFI</t>
        </is>
      </c>
      <c r="E65" s="1601">
        <f>E64-E58</f>
        <v/>
      </c>
    </row>
    <row r="66" ht="14.25" customHeight="1">
      <c r="C66" s="365" t="n"/>
      <c r="E66" s="382" t="n"/>
    </row>
    <row r="67" ht="14.25" customHeight="1">
      <c r="C67" s="1586" t="inlineStr">
        <is>
          <t>EPS WIFI</t>
        </is>
      </c>
      <c r="E67" s="1602">
        <f>E59/E63</f>
        <v/>
      </c>
    </row>
    <row r="68" ht="14.25" customHeight="1">
      <c r="C68" s="1586" t="inlineStr">
        <is>
          <t>BVPS WIFI</t>
        </is>
      </c>
      <c r="E68" s="1602">
        <f>E60/E63</f>
        <v/>
      </c>
    </row>
    <row r="69" ht="14.25" customHeight="1">
      <c r="C69" s="1591" t="inlineStr">
        <is>
          <t>EBITDA per Share</t>
        </is>
      </c>
      <c r="D69" s="372" t="n"/>
      <c r="E69" s="1606">
        <f>E61/E63</f>
        <v/>
      </c>
    </row>
    <row r="70" ht="14.25" customHeight="1">
      <c r="C70" s="1372" t="inlineStr">
        <is>
          <t>*in Rupiah</t>
        </is>
      </c>
    </row>
  </sheetData>
  <mergeCells count="16">
    <mergeCell ref="K2:P2"/>
    <mergeCell ref="K29:L29"/>
    <mergeCell ref="C4:G4"/>
    <mergeCell ref="K11:L11"/>
    <mergeCell ref="K30:L30"/>
    <mergeCell ref="K9:P9"/>
    <mergeCell ref="K12:L12"/>
    <mergeCell ref="C2:G2"/>
    <mergeCell ref="K4:P4"/>
    <mergeCell ref="C37:G37"/>
    <mergeCell ref="K23:P23"/>
    <mergeCell ref="K21:P21"/>
    <mergeCell ref="K26:P26"/>
    <mergeCell ref="K31:L31"/>
    <mergeCell ref="K13:L13"/>
    <mergeCell ref="C9:G9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9"/>
  <sheetViews>
    <sheetView topLeftCell="A124" zoomScale="88" zoomScaleNormal="88" workbookViewId="0">
      <selection activeCell="N149" sqref="N149"/>
    </sheetView>
  </sheetViews>
  <sheetFormatPr baseColWidth="8" defaultColWidth="8.5703125" defaultRowHeight="14.25"/>
  <cols>
    <col width="46" customWidth="1" style="151" min="1" max="1"/>
    <col width="2" customWidth="1" style="151" min="2" max="2"/>
    <col width="10" customWidth="1" style="151" min="3" max="3"/>
    <col width="13" customWidth="1" style="151" min="4" max="7"/>
    <col width="17.5703125" customWidth="1" style="151" min="8" max="13"/>
    <col width="8.5703125" customWidth="1" style="151" min="14" max="16384"/>
  </cols>
  <sheetData>
    <row r="1" ht="15.75" customHeight="1">
      <c r="A1" s="1785" t="inlineStr">
        <is>
          <t>WIFI  |  Three-Statement Model</t>
        </is>
      </c>
      <c r="B1" s="1471" t="n"/>
      <c r="C1" s="1471" t="n"/>
      <c r="D1" s="1471" t="n"/>
      <c r="E1" s="1471" t="n"/>
      <c r="F1" s="1471" t="n"/>
      <c r="G1" s="1471" t="n"/>
      <c r="H1" s="1471" t="n"/>
      <c r="I1" s="1471" t="n"/>
      <c r="J1" s="1471" t="n"/>
      <c r="K1" s="1471" t="n"/>
      <c r="L1" s="1471" t="n"/>
      <c r="M1" s="1471" t="n"/>
    </row>
    <row r="2" ht="15" customHeight="1">
      <c r="A2" s="1786" t="inlineStr">
        <is>
          <t>Year to 31 Dec</t>
        </is>
      </c>
      <c r="B2" s="1471" t="n"/>
      <c r="C2" s="1471" t="n"/>
      <c r="D2" s="1787" t="inlineStr">
        <is>
          <t>2021A</t>
        </is>
      </c>
      <c r="E2" s="1787" t="inlineStr">
        <is>
          <t>2022A</t>
        </is>
      </c>
      <c r="F2" s="1787" t="inlineStr">
        <is>
          <t>2023A</t>
        </is>
      </c>
      <c r="G2" s="1787" t="inlineStr">
        <is>
          <t>2024A</t>
        </is>
      </c>
      <c r="H2" s="1787" t="inlineStr">
        <is>
          <t>2025A</t>
        </is>
      </c>
      <c r="I2" s="1787" t="inlineStr">
        <is>
          <t>2026F</t>
        </is>
      </c>
      <c r="J2" s="1787" t="inlineStr">
        <is>
          <t>2027F</t>
        </is>
      </c>
      <c r="K2" s="1787" t="inlineStr">
        <is>
          <t>2028F</t>
        </is>
      </c>
      <c r="L2" s="1787" t="inlineStr">
        <is>
          <t>2029F</t>
        </is>
      </c>
      <c r="M2" s="1787" t="inlineStr">
        <is>
          <t>2030F</t>
        </is>
      </c>
    </row>
    <row r="3" ht="15" customHeight="1">
      <c r="A3" s="1394" t="inlineStr">
        <is>
          <t>In Thousands of Rupiah (IDR '000) unless stated</t>
        </is>
      </c>
    </row>
    <row r="4" ht="15" customHeight="1">
      <c r="A4" s="1788" t="inlineStr">
        <is>
          <t xml:space="preserve">SHEET CHECK </t>
        </is>
      </c>
      <c r="B4" s="623" t="n"/>
      <c r="C4" s="1789">
        <f>SUMPRODUCT(ABS(D81:M81))+SUMPRODUCT(ABS(I101:M101))</f>
        <v/>
      </c>
    </row>
    <row r="5" ht="15" customHeight="1">
      <c r="A5" s="931" t="inlineStr">
        <is>
          <t>ACTIVE SCENARIO  ►  set 1=Bear, 2=Base, 3=Bull →</t>
        </is>
      </c>
      <c r="C5" s="1790" t="n">
        <v>2</v>
      </c>
      <c r="D5" s="923">
        <f>CHOOSE($C$5,"BEAR (konservatif)","BASE","BULL (agresif)")</f>
        <v/>
      </c>
    </row>
    <row r="6" ht="15" customHeight="1">
      <c r="A6" s="1371" t="inlineStr">
        <is>
          <t>ASSUMPTIONS  (Base Case)</t>
        </is>
      </c>
      <c r="B6" s="1471" t="n"/>
      <c r="C6" s="1471" t="n"/>
      <c r="D6" s="1471" t="n"/>
      <c r="E6" s="1471" t="n"/>
      <c r="F6" s="1471" t="n"/>
      <c r="G6" s="1471" t="n"/>
      <c r="H6" s="1471" t="n"/>
      <c r="I6" s="1471" t="n"/>
      <c r="J6" s="1471" t="n"/>
      <c r="K6" s="1471" t="n"/>
      <c r="L6" s="1471" t="n"/>
      <c r="M6" s="1471" t="n"/>
    </row>
    <row r="7" ht="15" customHeight="1">
      <c r="A7" s="934" t="inlineStr">
        <is>
          <t>Revenue growth (YoY)</t>
        </is>
      </c>
      <c r="E7" s="1791">
        <f>E28/D28-1</f>
        <v/>
      </c>
      <c r="F7" s="1791">
        <f>F28/E28-1</f>
        <v/>
      </c>
      <c r="G7" s="1791">
        <f>G28/F28-1</f>
        <v/>
      </c>
      <c r="H7" s="1792">
        <f>H28/G28-1</f>
        <v/>
      </c>
      <c r="I7" s="1791">
        <f>I28/H28-1</f>
        <v/>
      </c>
      <c r="J7" s="1791">
        <f>J28/I28-1</f>
        <v/>
      </c>
      <c r="K7" s="1791">
        <f>K28/J28-1</f>
        <v/>
      </c>
      <c r="L7" s="1791">
        <f>L28/K28-1</f>
        <v/>
      </c>
      <c r="M7" s="1791">
        <f>M28/L28-1</f>
        <v/>
      </c>
    </row>
    <row r="8" ht="15" customHeight="1">
      <c r="A8" s="934" t="inlineStr">
        <is>
          <t>Gross margin</t>
        </is>
      </c>
      <c r="D8" s="1791">
        <f>D30/D28</f>
        <v/>
      </c>
      <c r="E8" s="1791">
        <f>E30/E28</f>
        <v/>
      </c>
      <c r="F8" s="1791">
        <f>F30/F28</f>
        <v/>
      </c>
      <c r="G8" s="1791">
        <f>G30/G28</f>
        <v/>
      </c>
      <c r="H8" s="1792">
        <f>H30/H28</f>
        <v/>
      </c>
      <c r="I8" s="1791">
        <f>AVERAGE(D8:H8)</f>
        <v/>
      </c>
      <c r="J8" s="1791">
        <f>AVERAGE(E8:I8)</f>
        <v/>
      </c>
      <c r="K8" s="1791">
        <f>AVERAGE(F8:J8)</f>
        <v/>
      </c>
      <c r="L8" s="1791">
        <f>AVERAGE(G8:K8)</f>
        <v/>
      </c>
      <c r="M8" s="1791">
        <f>AVERAGE(H8:L8)</f>
        <v/>
      </c>
    </row>
    <row r="9" ht="15" customHeight="1">
      <c r="A9" s="934" t="inlineStr">
        <is>
          <t>SG&amp;A (% of revenue)</t>
        </is>
      </c>
      <c r="D9" s="1791">
        <f>-D32/D28</f>
        <v/>
      </c>
      <c r="E9" s="1791">
        <f>-E32/E28</f>
        <v/>
      </c>
      <c r="F9" s="1791">
        <f>-F32/F28</f>
        <v/>
      </c>
      <c r="G9" s="1791">
        <f>-G32/G28</f>
        <v/>
      </c>
      <c r="H9" s="1792">
        <f>-H32/H28</f>
        <v/>
      </c>
      <c r="I9" s="1791">
        <f>AVERAGE(D9:H9)</f>
        <v/>
      </c>
      <c r="J9" s="1791">
        <f>$I$9</f>
        <v/>
      </c>
      <c r="K9" s="1791">
        <f>$I$9</f>
        <v/>
      </c>
      <c r="L9" s="1791">
        <f>$I$9</f>
        <v/>
      </c>
      <c r="M9" s="1791">
        <f>$I$9</f>
        <v/>
      </c>
    </row>
    <row r="10" ht="15" customHeight="1">
      <c r="A10" s="934" t="inlineStr">
        <is>
          <t>Other opex/(income) (% of revenue)</t>
        </is>
      </c>
      <c r="D10" s="1791">
        <f>-D33/D28</f>
        <v/>
      </c>
      <c r="E10" s="1791">
        <f>-E33/E28</f>
        <v/>
      </c>
      <c r="F10" s="1791">
        <f>-F33/F28</f>
        <v/>
      </c>
      <c r="G10" s="1791">
        <f>-G33/G28</f>
        <v/>
      </c>
      <c r="H10" s="1792">
        <f>-H33/H28</f>
        <v/>
      </c>
      <c r="I10" s="1374" t="n">
        <v>0.005</v>
      </c>
      <c r="J10" s="1374" t="n">
        <v>0.005</v>
      </c>
      <c r="K10" s="1374" t="n">
        <v>0.005</v>
      </c>
      <c r="L10" s="1374" t="n">
        <v>0.005</v>
      </c>
      <c r="M10" s="1374" t="n">
        <v>0.005</v>
      </c>
    </row>
    <row r="11" ht="15" customHeight="1">
      <c r="A11" s="934" t="inlineStr">
        <is>
          <t>D&amp;A (% of opening net PPE)</t>
        </is>
      </c>
      <c r="E11" s="1791">
        <f>E36/D58</f>
        <v/>
      </c>
      <c r="F11" s="1791">
        <f>F36/E58</f>
        <v/>
      </c>
      <c r="G11" s="1791">
        <f>G36/F58</f>
        <v/>
      </c>
      <c r="H11" s="1792">
        <f>H36/G58</f>
        <v/>
      </c>
      <c r="I11" s="1374" t="n">
        <v>0.1</v>
      </c>
      <c r="J11" s="1374" t="n">
        <v>0.1</v>
      </c>
      <c r="K11" s="1374" t="n">
        <v>0.1</v>
      </c>
      <c r="L11" s="1374" t="n">
        <v>0.1</v>
      </c>
      <c r="M11" s="1374" t="n">
        <v>0.1</v>
      </c>
    </row>
    <row r="12" ht="15" customHeight="1">
      <c r="A12" s="934" t="inlineStr">
        <is>
          <t>Capex (% of revenue)  [implied output]</t>
        </is>
      </c>
      <c r="D12" s="1477">
        <f>D90/D28</f>
        <v/>
      </c>
      <c r="E12" s="1477">
        <f>E90/E28</f>
        <v/>
      </c>
      <c r="F12" s="1477">
        <f>F90/F28</f>
        <v/>
      </c>
      <c r="G12" s="1477">
        <f>G90/G28</f>
        <v/>
      </c>
      <c r="H12" s="1793">
        <f>H90/H28</f>
        <v/>
      </c>
      <c r="I12" s="1791">
        <f>I171/I28</f>
        <v/>
      </c>
      <c r="J12" s="1791">
        <f>J171/J28</f>
        <v/>
      </c>
      <c r="K12" s="1791">
        <f>K171/K28</f>
        <v/>
      </c>
      <c r="L12" s="1791">
        <f>L171/L28</f>
        <v/>
      </c>
      <c r="M12" s="1791">
        <f>M171/M28</f>
        <v/>
      </c>
    </row>
    <row r="13" ht="15" customHeight="1">
      <c r="A13" s="934" t="inlineStr">
        <is>
          <t>Receivable days (of revenue)</t>
        </is>
      </c>
      <c r="D13" s="1794">
        <f>D52/D28*365</f>
        <v/>
      </c>
      <c r="E13" s="1794">
        <f>E52/E28*365</f>
        <v/>
      </c>
      <c r="F13" s="1794">
        <f>F52/F28*365</f>
        <v/>
      </c>
      <c r="G13" s="1794">
        <f>G52/G28*365</f>
        <v/>
      </c>
      <c r="H13" s="1795">
        <f>H52/H28*365</f>
        <v/>
      </c>
      <c r="I13" s="1796" t="n">
        <v>50</v>
      </c>
      <c r="J13" s="1796" t="n">
        <v>50</v>
      </c>
      <c r="K13" s="1796" t="n">
        <v>50</v>
      </c>
      <c r="L13" s="1796" t="n">
        <v>50</v>
      </c>
      <c r="M13" s="1796" t="n">
        <v>50</v>
      </c>
    </row>
    <row r="14" ht="15" customHeight="1">
      <c r="A14" s="934" t="inlineStr">
        <is>
          <t>Inventory days (of COGS)</t>
        </is>
      </c>
      <c r="D14" s="1794">
        <f>D53/-D29*365</f>
        <v/>
      </c>
      <c r="E14" s="1794">
        <f>E53/-E29*365</f>
        <v/>
      </c>
      <c r="F14" s="1794">
        <f>F53/-F29*365</f>
        <v/>
      </c>
      <c r="G14" s="1794">
        <f>G53/-G29*365</f>
        <v/>
      </c>
      <c r="H14" s="1795">
        <f>H53/-H29*365</f>
        <v/>
      </c>
      <c r="I14" s="1796" t="n">
        <v>90</v>
      </c>
      <c r="J14" s="1796" t="n">
        <v>90</v>
      </c>
      <c r="K14" s="1796" t="n">
        <v>90</v>
      </c>
      <c r="L14" s="1796" t="n">
        <v>90</v>
      </c>
      <c r="M14" s="1796" t="n">
        <v>90</v>
      </c>
    </row>
    <row r="15" ht="15" customHeight="1">
      <c r="A15" s="934" t="inlineStr">
        <is>
          <t>Prepaid expenses (% of revenue)</t>
        </is>
      </c>
      <c r="D15" s="1791">
        <f>D54/D28</f>
        <v/>
      </c>
      <c r="E15" s="1791">
        <f>E54/E28</f>
        <v/>
      </c>
      <c r="F15" s="1791">
        <f>F54/F28</f>
        <v/>
      </c>
      <c r="G15" s="1791">
        <f>G54/G28</f>
        <v/>
      </c>
      <c r="H15" s="1792">
        <f>H54/H28</f>
        <v/>
      </c>
      <c r="I15" s="1374" t="n">
        <v>0.2</v>
      </c>
      <c r="J15" s="1374" t="n">
        <v>0.2</v>
      </c>
      <c r="K15" s="1374" t="n">
        <v>0.2</v>
      </c>
      <c r="L15" s="1374" t="n">
        <v>0.2</v>
      </c>
      <c r="M15" s="1374" t="n">
        <v>0.2</v>
      </c>
    </row>
    <row r="16" ht="15" customHeight="1">
      <c r="A16" s="934" t="inlineStr">
        <is>
          <t>Payable days (of COGS)</t>
        </is>
      </c>
      <c r="D16" s="1794">
        <f>D65/-D29*365</f>
        <v/>
      </c>
      <c r="E16" s="1794">
        <f>E65/-E29*365</f>
        <v/>
      </c>
      <c r="F16" s="1794">
        <f>F65/-F29*365</f>
        <v/>
      </c>
      <c r="G16" s="1794">
        <f>G65/-G29*365</f>
        <v/>
      </c>
      <c r="H16" s="1795">
        <f>H65/-H29*365</f>
        <v/>
      </c>
      <c r="I16" s="1794">
        <f>AVERAGE(E16:H16)</f>
        <v/>
      </c>
      <c r="J16" s="1794">
        <f>I16</f>
        <v/>
      </c>
      <c r="K16" s="1794">
        <f>J16</f>
        <v/>
      </c>
      <c r="L16" s="1794">
        <f>K16</f>
        <v/>
      </c>
      <c r="M16" s="1794">
        <f>L16</f>
        <v/>
      </c>
    </row>
    <row r="17" ht="15" customHeight="1">
      <c r="A17" s="934" t="inlineStr">
        <is>
          <t>Other current liabilities (% of revenue)</t>
        </is>
      </c>
      <c r="D17" s="1791">
        <f>D68/D28</f>
        <v/>
      </c>
      <c r="E17" s="1791">
        <f>E68/E28</f>
        <v/>
      </c>
      <c r="F17" s="1791">
        <f>F68/F28</f>
        <v/>
      </c>
      <c r="G17" s="1791">
        <f>G68/G28</f>
        <v/>
      </c>
      <c r="H17" s="1792">
        <f>H68/H28</f>
        <v/>
      </c>
      <c r="I17" s="1374" t="n">
        <v>0.04</v>
      </c>
      <c r="J17" s="1374" t="n">
        <v>0.04</v>
      </c>
      <c r="K17" s="1374" t="n">
        <v>0.04</v>
      </c>
      <c r="L17" s="1374" t="n">
        <v>0.04</v>
      </c>
      <c r="M17" s="1374" t="n">
        <v>0.04</v>
      </c>
    </row>
    <row r="18" ht="15" customHeight="1">
      <c r="A18" s="934" t="inlineStr">
        <is>
          <t>Income tax payable (% of tax expense)</t>
        </is>
      </c>
      <c r="D18" s="1791">
        <f>D67/-D43</f>
        <v/>
      </c>
      <c r="E18" s="1791">
        <f>E67/-E43</f>
        <v/>
      </c>
      <c r="F18" s="1791">
        <f>F67/-F43</f>
        <v/>
      </c>
      <c r="G18" s="1791">
        <f>G67/-G43</f>
        <v/>
      </c>
      <c r="H18" s="1792">
        <f>H67/-H43</f>
        <v/>
      </c>
      <c r="I18" s="1374" t="n">
        <v>0.4</v>
      </c>
      <c r="J18" s="1374" t="n">
        <v>0.4</v>
      </c>
      <c r="K18" s="1374" t="n">
        <v>0.4</v>
      </c>
      <c r="L18" s="1374" t="n">
        <v>0.4</v>
      </c>
      <c r="M18" s="1374" t="n">
        <v>0.4</v>
      </c>
    </row>
    <row r="19" ht="15" customHeight="1">
      <c r="A19" s="934" t="inlineStr">
        <is>
          <t>Effective tax rate</t>
        </is>
      </c>
      <c r="D19" s="1791">
        <f>-D43/D42</f>
        <v/>
      </c>
      <c r="E19" s="1791">
        <f>-E43/E42</f>
        <v/>
      </c>
      <c r="F19" s="1791">
        <f>-F43/F42</f>
        <v/>
      </c>
      <c r="G19" s="1791">
        <f>-G43/G42</f>
        <v/>
      </c>
      <c r="H19" s="1792">
        <f>-H43/H42</f>
        <v/>
      </c>
      <c r="I19" s="1374" t="n">
        <v>0.22</v>
      </c>
      <c r="J19" s="1374" t="n">
        <v>0.22</v>
      </c>
      <c r="K19" s="1374" t="n">
        <v>0.22</v>
      </c>
      <c r="L19" s="1374" t="n">
        <v>0.22</v>
      </c>
      <c r="M19" s="1374" t="n">
        <v>0.22</v>
      </c>
    </row>
    <row r="20" ht="15" customHeight="1">
      <c r="A20" s="934" t="inlineStr">
        <is>
          <t>Interest rate on debt</t>
        </is>
      </c>
      <c r="D20" s="1191" t="n"/>
      <c r="E20" s="1791">
        <f>-E39/((D124+E124)/2)</f>
        <v/>
      </c>
      <c r="F20" s="1791">
        <f>-F39/((E124+F124)/2)</f>
        <v/>
      </c>
      <c r="G20" s="1791">
        <f>-G39/((F124+G124)/2)</f>
        <v/>
      </c>
      <c r="H20" s="1792">
        <f>-H39/((G124+H124)/2)</f>
        <v/>
      </c>
      <c r="I20" s="1374" t="n">
        <v>0.09</v>
      </c>
      <c r="J20" s="1374" t="n">
        <v>0.09</v>
      </c>
      <c r="K20" s="1374" t="n">
        <v>0.09</v>
      </c>
      <c r="L20" s="1374" t="n">
        <v>0.09</v>
      </c>
      <c r="M20" s="1374" t="n">
        <v>0.09</v>
      </c>
    </row>
    <row r="21" ht="15" customHeight="1">
      <c r="A21" s="934" t="inlineStr">
        <is>
          <t>Interest income rate on cash</t>
        </is>
      </c>
      <c r="E21" s="1791">
        <f>E40/D51</f>
        <v/>
      </c>
      <c r="F21" s="1791">
        <f>F40/E51</f>
        <v/>
      </c>
      <c r="G21" s="1791">
        <f>G40/F51</f>
        <v/>
      </c>
      <c r="H21" s="1792">
        <f>H40/G51</f>
        <v/>
      </c>
      <c r="I21" s="1374" t="n">
        <v>0.04</v>
      </c>
      <c r="J21" s="1374" t="n">
        <v>0.04</v>
      </c>
      <c r="K21" s="1374" t="n">
        <v>0.04</v>
      </c>
      <c r="L21" s="1374" t="n">
        <v>0.04</v>
      </c>
      <c r="M21" s="1374" t="n">
        <v>0.04</v>
      </c>
      <c r="N21" s="1006" t="n"/>
    </row>
    <row r="22" ht="15" customHeight="1">
      <c r="A22" s="934" t="inlineStr">
        <is>
          <t>LT debt net issuance (IDR '000)</t>
        </is>
      </c>
      <c r="E22" s="1797">
        <f>E71-D71</f>
        <v/>
      </c>
      <c r="F22" s="1797">
        <f>F71-E71</f>
        <v/>
      </c>
      <c r="G22" s="1797">
        <f>G71-F71</f>
        <v/>
      </c>
      <c r="H22" s="1798">
        <f>H71-G71</f>
        <v/>
      </c>
      <c r="I22" s="1799" t="n">
        <v>2000000000</v>
      </c>
      <c r="J22" s="1799" t="n">
        <v>1500000000</v>
      </c>
      <c r="K22" s="1799" t="n">
        <v>1000000000</v>
      </c>
      <c r="L22" s="1799" t="n">
        <v>500000000</v>
      </c>
      <c r="M22" s="1799" t="n">
        <v>0</v>
      </c>
    </row>
    <row r="23" ht="15" customHeight="1">
      <c r="A23" s="934" t="inlineStr">
        <is>
          <t>Minority interest (% of NI before minority)</t>
        </is>
      </c>
      <c r="D23" s="1791">
        <f>-D45/D44</f>
        <v/>
      </c>
      <c r="E23" s="1791">
        <f>-E45/E44</f>
        <v/>
      </c>
      <c r="F23" s="1791">
        <f>-F45/F44</f>
        <v/>
      </c>
      <c r="G23" s="1791">
        <f>-G45/G44</f>
        <v/>
      </c>
      <c r="H23" s="1792">
        <f>-H45/H44</f>
        <v/>
      </c>
      <c r="I23" s="1374" t="n">
        <v>0.3</v>
      </c>
      <c r="J23" s="1374" t="n">
        <v>0.3</v>
      </c>
      <c r="K23" s="1374" t="n">
        <v>0.3</v>
      </c>
      <c r="L23" s="1374" t="n">
        <v>0.3</v>
      </c>
      <c r="M23" s="1374" t="n">
        <v>0.3</v>
      </c>
    </row>
    <row r="24" ht="15" customHeight="1">
      <c r="A24" s="934" t="inlineStr">
        <is>
          <t>Dividend payout (% of NI to parent)</t>
        </is>
      </c>
      <c r="H24" s="333" t="n"/>
      <c r="I24" s="1374" t="n">
        <v>0.0115</v>
      </c>
      <c r="J24" s="1374" t="n">
        <v>0.1</v>
      </c>
      <c r="K24" s="1374" t="n">
        <v>0.1</v>
      </c>
      <c r="L24" s="1374" t="n">
        <v>0.1</v>
      </c>
      <c r="M24" s="1374" t="n">
        <v>0.1</v>
      </c>
    </row>
    <row r="25" ht="14.25" customHeight="1">
      <c r="H25" s="632" t="n"/>
    </row>
    <row r="26" ht="15" customHeight="1">
      <c r="A26" s="1371" t="inlineStr">
        <is>
          <t>INCOME STATEMENT</t>
        </is>
      </c>
      <c r="B26" s="1471" t="n"/>
      <c r="C26" s="1471" t="n"/>
      <c r="D26" s="1471" t="n"/>
      <c r="E26" s="1471" t="n"/>
      <c r="F26" s="1471" t="n"/>
      <c r="G26" s="1471" t="n"/>
      <c r="H26" s="1471" t="n"/>
      <c r="I26" s="1471" t="n"/>
      <c r="J26" s="1471" t="n"/>
      <c r="K26" s="1471" t="n"/>
      <c r="L26" s="1471" t="n"/>
      <c r="M26" s="1471" t="n"/>
    </row>
    <row r="27" ht="14.25" customHeight="1">
      <c r="F27" s="632" t="n"/>
      <c r="G27" s="632" t="n"/>
      <c r="H27" s="632" t="n"/>
      <c r="I27" s="632" t="n"/>
      <c r="J27" s="632" t="n"/>
      <c r="K27" s="632" t="n"/>
      <c r="L27" s="632" t="n"/>
      <c r="M27" s="632" t="n"/>
    </row>
    <row r="28" ht="15" customHeight="1">
      <c r="A28" s="934" t="inlineStr">
        <is>
          <t>Revenue</t>
        </is>
      </c>
      <c r="D28" s="1800">
        <f>'SOURCE WIFI Income Statement'!B43</f>
        <v/>
      </c>
      <c r="E28" s="1800">
        <f>'SOURCE WIFI Income Statement'!C43</f>
        <v/>
      </c>
      <c r="F28" s="1800">
        <f>'SOURCE WIFI Income Statement'!D43</f>
        <v/>
      </c>
      <c r="G28" s="1800">
        <f>'SOURCE WIFI Income Statement'!E43</f>
        <v/>
      </c>
      <c r="H28" s="1800">
        <f>'SOURCE WIFI Income Statement'!F43</f>
        <v/>
      </c>
      <c r="I28" s="1800">
        <f>'WIFI Rev-COGS Detail'!I26</f>
        <v/>
      </c>
      <c r="J28" s="1800">
        <f>'WIFI Rev-COGS Detail'!J26</f>
        <v/>
      </c>
      <c r="K28" s="1800">
        <f>'WIFI Rev-COGS Detail'!K26</f>
        <v/>
      </c>
      <c r="L28" s="1800">
        <f>'WIFI Rev-COGS Detail'!L26</f>
        <v/>
      </c>
      <c r="M28" s="1800">
        <f>'WIFI Rev-COGS Detail'!M26</f>
        <v/>
      </c>
    </row>
    <row r="29" ht="15" customHeight="1">
      <c r="A29" s="934" t="inlineStr">
        <is>
          <t>Cost of revenue</t>
        </is>
      </c>
      <c r="D29" s="1800">
        <f>-'SOURCE WIFI Income Statement'!B47</f>
        <v/>
      </c>
      <c r="E29" s="1800">
        <f>-'SOURCE WIFI Income Statement'!C47</f>
        <v/>
      </c>
      <c r="F29" s="1800">
        <f>-'SOURCE WIFI Income Statement'!D47</f>
        <v/>
      </c>
      <c r="G29" s="1800">
        <f>-'SOURCE WIFI Income Statement'!E47</f>
        <v/>
      </c>
      <c r="H29" s="1800">
        <f>-'SOURCE WIFI Income Statement'!F47</f>
        <v/>
      </c>
      <c r="I29" s="1800">
        <f>'WIFI Rev-COGS Detail'!I41</f>
        <v/>
      </c>
      <c r="J29" s="1800">
        <f>'WIFI Rev-COGS Detail'!J41</f>
        <v/>
      </c>
      <c r="K29" s="1800">
        <f>'WIFI Rev-COGS Detail'!K41</f>
        <v/>
      </c>
      <c r="L29" s="1800">
        <f>'WIFI Rev-COGS Detail'!L41</f>
        <v/>
      </c>
      <c r="M29" s="1800">
        <f>'WIFI Rev-COGS Detail'!M41</f>
        <v/>
      </c>
    </row>
    <row r="30" ht="15" customHeight="1">
      <c r="A30" s="1801" t="inlineStr">
        <is>
          <t>Gross profit</t>
        </is>
      </c>
      <c r="B30" s="642" t="n"/>
      <c r="C30" s="642" t="n"/>
      <c r="D30" s="1802">
        <f>D28+D29</f>
        <v/>
      </c>
      <c r="E30" s="1802">
        <f>E28+E29</f>
        <v/>
      </c>
      <c r="F30" s="1802">
        <f>F28+F29</f>
        <v/>
      </c>
      <c r="G30" s="1802">
        <f>G28+G29</f>
        <v/>
      </c>
      <c r="H30" s="1802">
        <f>H28+H29</f>
        <v/>
      </c>
      <c r="I30" s="1802">
        <f>I28+I29</f>
        <v/>
      </c>
      <c r="J30" s="1802">
        <f>J28+J29</f>
        <v/>
      </c>
      <c r="K30" s="1802">
        <f>K28+K29</f>
        <v/>
      </c>
      <c r="L30" s="1802">
        <f>L28+L29</f>
        <v/>
      </c>
      <c r="M30" s="1802">
        <f>M28+M29</f>
        <v/>
      </c>
    </row>
    <row r="32" ht="15" customHeight="1">
      <c r="A32" s="934" t="inlineStr">
        <is>
          <t>Selling, general &amp; administrative</t>
        </is>
      </c>
      <c r="D32" s="1800">
        <f>-'SOURCE WIFI Income Statement'!B65</f>
        <v/>
      </c>
      <c r="E32" s="1800">
        <f>-'SOURCE WIFI Income Statement'!C65</f>
        <v/>
      </c>
      <c r="F32" s="1800">
        <f>-'SOURCE WIFI Income Statement'!D65</f>
        <v/>
      </c>
      <c r="G32" s="1800">
        <f>-'SOURCE WIFI Income Statement'!E65</f>
        <v/>
      </c>
      <c r="H32" s="1800">
        <f>-'SOURCE WIFI Income Statement'!F65</f>
        <v/>
      </c>
      <c r="I32" s="1797">
        <f>-I28*I9</f>
        <v/>
      </c>
      <c r="J32" s="1797">
        <f>-J28*J9</f>
        <v/>
      </c>
      <c r="K32" s="1797">
        <f>-K28*K9</f>
        <v/>
      </c>
      <c r="L32" s="1797">
        <f>-L28*L9</f>
        <v/>
      </c>
      <c r="M32" s="1797">
        <f>-M28*M9</f>
        <v/>
      </c>
    </row>
    <row r="33" ht="15" customHeight="1">
      <c r="A33" s="934" t="inlineStr">
        <is>
          <t>Other operating expense/(income)</t>
        </is>
      </c>
      <c r="D33" s="1800">
        <f>-'SOURCE WIFI Income Statement'!B81</f>
        <v/>
      </c>
      <c r="E33" s="1800">
        <f>-'SOURCE WIFI Income Statement'!C81</f>
        <v/>
      </c>
      <c r="F33" s="1800">
        <f>-'SOURCE WIFI Income Statement'!D81</f>
        <v/>
      </c>
      <c r="G33" s="1800">
        <f>-'SOURCE WIFI Income Statement'!E81</f>
        <v/>
      </c>
      <c r="H33" s="1800">
        <f>-'SOURCE WIFI Income Statement'!F81</f>
        <v/>
      </c>
      <c r="I33" s="1797">
        <f>-I28*I10</f>
        <v/>
      </c>
      <c r="J33" s="1797">
        <f>-J28*J10</f>
        <v/>
      </c>
      <c r="K33" s="1797">
        <f>-K28*K10</f>
        <v/>
      </c>
      <c r="L33" s="1797">
        <f>-L28*L10</f>
        <v/>
      </c>
      <c r="M33" s="1797">
        <f>-M28*M10</f>
        <v/>
      </c>
    </row>
    <row r="34" ht="15" customHeight="1">
      <c r="A34" s="1801" t="inlineStr">
        <is>
          <t>EBIT (operating profit)</t>
        </is>
      </c>
      <c r="B34" s="642" t="n"/>
      <c r="C34" s="642" t="n"/>
      <c r="D34" s="1802">
        <f>D30+D32+D33</f>
        <v/>
      </c>
      <c r="E34" s="1802">
        <f>E30+E32+E33</f>
        <v/>
      </c>
      <c r="F34" s="1802">
        <f>F30+F32+F33</f>
        <v/>
      </c>
      <c r="G34" s="1802">
        <f>G30+G32+G33</f>
        <v/>
      </c>
      <c r="H34" s="1802">
        <f>H30+H32+H33</f>
        <v/>
      </c>
      <c r="I34" s="1802">
        <f>I30+I32+I33</f>
        <v/>
      </c>
      <c r="J34" s="1802">
        <f>J30+J32+J33</f>
        <v/>
      </c>
      <c r="K34" s="1802">
        <f>K30+K32+K33</f>
        <v/>
      </c>
      <c r="L34" s="1802">
        <f>L30+L32+L33</f>
        <v/>
      </c>
      <c r="M34" s="1802">
        <f>M30+M32+M33</f>
        <v/>
      </c>
    </row>
    <row r="36" ht="15" customHeight="1">
      <c r="A36" s="934" t="inlineStr">
        <is>
          <t>Add: depreciation &amp; amortisation</t>
        </is>
      </c>
      <c r="D36" s="1800">
        <f>'SOURCE WIFI Income Statement'!B295</f>
        <v/>
      </c>
      <c r="E36" s="1800">
        <f>'SOURCE WIFI Income Statement'!C295</f>
        <v/>
      </c>
      <c r="F36" s="1800">
        <f>'SOURCE WIFI Income Statement'!D295</f>
        <v/>
      </c>
      <c r="G36" s="1800">
        <f>'SOURCE WIFI Income Statement'!E295</f>
        <v/>
      </c>
      <c r="H36" s="1800">
        <f>'SOURCE WIFI Income Statement'!F295</f>
        <v/>
      </c>
      <c r="I36" s="1797">
        <f>-I109</f>
        <v/>
      </c>
      <c r="J36" s="1797">
        <f>-J109</f>
        <v/>
      </c>
      <c r="K36" s="1797">
        <f>-K109</f>
        <v/>
      </c>
      <c r="L36" s="1797">
        <f>-L109</f>
        <v/>
      </c>
      <c r="M36" s="1797">
        <f>-M109</f>
        <v/>
      </c>
    </row>
    <row r="37" ht="15" customHeight="1">
      <c r="A37" s="1803" t="inlineStr">
        <is>
          <t>EBITDA</t>
        </is>
      </c>
      <c r="B37" s="173" t="n"/>
      <c r="C37" s="173" t="n"/>
      <c r="D37" s="1804">
        <f>D34+D36</f>
        <v/>
      </c>
      <c r="E37" s="1804">
        <f>E34+E36</f>
        <v/>
      </c>
      <c r="F37" s="1804">
        <f>F34+F36</f>
        <v/>
      </c>
      <c r="G37" s="1804">
        <f>G34+G36</f>
        <v/>
      </c>
      <c r="H37" s="1804">
        <f>H34+H36</f>
        <v/>
      </c>
      <c r="I37" s="1804">
        <f>I34+I36</f>
        <v/>
      </c>
      <c r="J37" s="1804">
        <f>J34+J36</f>
        <v/>
      </c>
      <c r="K37" s="1804">
        <f>K34+K36</f>
        <v/>
      </c>
      <c r="L37" s="1804">
        <f>L34+L36</f>
        <v/>
      </c>
      <c r="M37" s="1804">
        <f>M34+M36</f>
        <v/>
      </c>
    </row>
    <row r="39" ht="15" customHeight="1">
      <c r="A39" s="934" t="inlineStr">
        <is>
          <t>Interest expense</t>
        </is>
      </c>
      <c r="D39" s="1800">
        <f>-'SOURCE WIFI Income Statement'!B372</f>
        <v/>
      </c>
      <c r="E39" s="1800">
        <f>-'SOURCE WIFI Income Statement'!C372</f>
        <v/>
      </c>
      <c r="F39" s="1800">
        <f>-'SOURCE WIFI Income Statement'!D372</f>
        <v/>
      </c>
      <c r="G39" s="1800">
        <f>-'SOURCE WIFI Income Statement'!E372</f>
        <v/>
      </c>
      <c r="H39" s="1800">
        <f>-'SOURCE WIFI Income Statement'!F372</f>
        <v/>
      </c>
      <c r="I39" s="1797">
        <f>-I20*I125</f>
        <v/>
      </c>
      <c r="J39" s="1797">
        <f>-J20*J125</f>
        <v/>
      </c>
      <c r="K39" s="1797">
        <f>-K20*K125</f>
        <v/>
      </c>
      <c r="L39" s="1797">
        <f>-L20*L125</f>
        <v/>
      </c>
      <c r="M39" s="1797">
        <f>-M20*M125</f>
        <v/>
      </c>
    </row>
    <row r="40" ht="15" customHeight="1">
      <c r="A40" s="934" t="inlineStr">
        <is>
          <t>Interest income</t>
        </is>
      </c>
      <c r="D40" s="1800">
        <f>'SOURCE WIFI Income Statement'!B94</f>
        <v/>
      </c>
      <c r="E40" s="1800">
        <f>'SOURCE WIFI Income Statement'!C94</f>
        <v/>
      </c>
      <c r="F40" s="1800">
        <f>'SOURCE WIFI Income Statement'!D94</f>
        <v/>
      </c>
      <c r="G40" s="1800">
        <f>'SOURCE WIFI Income Statement'!E94</f>
        <v/>
      </c>
      <c r="H40" s="1800">
        <f>'SOURCE WIFI Income Statement'!F94</f>
        <v/>
      </c>
      <c r="I40" s="1797">
        <f>I21*H51</f>
        <v/>
      </c>
      <c r="J40" s="1797">
        <f>J21*I51</f>
        <v/>
      </c>
      <c r="K40" s="1797">
        <f>K21*J51</f>
        <v/>
      </c>
      <c r="L40" s="1797">
        <f>L21*K51</f>
        <v/>
      </c>
      <c r="M40" s="1797">
        <f>M21*L51</f>
        <v/>
      </c>
    </row>
    <row r="41" ht="15" customHeight="1">
      <c r="A41" s="934" t="inlineStr">
        <is>
          <t>Other non-operating income/(expense)</t>
        </is>
      </c>
      <c r="D41" s="1800">
        <f>'SOURCE WIFI Income Statement'!B100+'SOURCE WIFI Income Statement'!B121+'SOURCE WIFI Income Statement'!B107</f>
        <v/>
      </c>
      <c r="E41" s="1800">
        <f>'SOURCE WIFI Income Statement'!C100+'SOURCE WIFI Income Statement'!C121+'SOURCE WIFI Income Statement'!C107</f>
        <v/>
      </c>
      <c r="F41" s="1800">
        <f>'SOURCE WIFI Income Statement'!D100+'SOURCE WIFI Income Statement'!D121+'SOURCE WIFI Income Statement'!D107</f>
        <v/>
      </c>
      <c r="G41" s="1800">
        <f>'SOURCE WIFI Income Statement'!E100+'SOURCE WIFI Income Statement'!E121+'SOURCE WIFI Income Statement'!E107</f>
        <v/>
      </c>
      <c r="H41" s="1800">
        <f>'SOURCE WIFI Income Statement'!F100+'SOURCE WIFI Income Statement'!F121+'SOURCE WIFI Income Statement'!F107</f>
        <v/>
      </c>
      <c r="I41" s="1797">
        <f>0</f>
        <v/>
      </c>
      <c r="J41" s="1797">
        <f>0</f>
        <v/>
      </c>
      <c r="K41" s="1797">
        <f>0</f>
        <v/>
      </c>
      <c r="L41" s="1797">
        <f>0</f>
        <v/>
      </c>
      <c r="M41" s="1797">
        <f>0</f>
        <v/>
      </c>
    </row>
    <row r="42" ht="15" customHeight="1">
      <c r="A42" s="1801" t="inlineStr">
        <is>
          <t>Pre-tax profit (EBT)</t>
        </is>
      </c>
      <c r="B42" s="642" t="n"/>
      <c r="C42" s="642" t="n"/>
      <c r="D42" s="1802">
        <f>D34+D39+D40+D41</f>
        <v/>
      </c>
      <c r="E42" s="1802">
        <f>E34+E39+E40+E41</f>
        <v/>
      </c>
      <c r="F42" s="1802">
        <f>F34+F39+F40+F41</f>
        <v/>
      </c>
      <c r="G42" s="1802">
        <f>G34+G39+G40+G41</f>
        <v/>
      </c>
      <c r="H42" s="1802">
        <f>H34+H39+H40+H41</f>
        <v/>
      </c>
      <c r="I42" s="1802">
        <f>I34+I39+I40+I41</f>
        <v/>
      </c>
      <c r="J42" s="1802">
        <f>J34+J39+J40+J41</f>
        <v/>
      </c>
      <c r="K42" s="1802">
        <f>K34+K39+K40+K41</f>
        <v/>
      </c>
      <c r="L42" s="1802">
        <f>L34+L39+L40+L41</f>
        <v/>
      </c>
      <c r="M42" s="1802">
        <f>M34+M39+M40+M41</f>
        <v/>
      </c>
    </row>
    <row r="43" ht="15" customHeight="1">
      <c r="A43" s="934" t="inlineStr">
        <is>
          <t>Income tax</t>
        </is>
      </c>
      <c r="D43" s="1800">
        <f>-'SOURCE WIFI Income Statement'!B159</f>
        <v/>
      </c>
      <c r="E43" s="1800">
        <f>-'SOURCE WIFI Income Statement'!C159</f>
        <v/>
      </c>
      <c r="F43" s="1800">
        <f>-'SOURCE WIFI Income Statement'!D159</f>
        <v/>
      </c>
      <c r="G43" s="1800">
        <f>-'SOURCE WIFI Income Statement'!E159</f>
        <v/>
      </c>
      <c r="H43" s="1800">
        <f>-'SOURCE WIFI Income Statement'!F159</f>
        <v/>
      </c>
      <c r="I43" s="1797">
        <f>-I42*I19</f>
        <v/>
      </c>
      <c r="J43" s="1797">
        <f>-J42*J19</f>
        <v/>
      </c>
      <c r="K43" s="1797">
        <f>-K42*K19</f>
        <v/>
      </c>
      <c r="L43" s="1797">
        <f>-L42*L19</f>
        <v/>
      </c>
      <c r="M43" s="1797">
        <f>-M42*M19</f>
        <v/>
      </c>
    </row>
    <row r="44" ht="15" customHeight="1">
      <c r="A44" s="934" t="inlineStr">
        <is>
          <t>Net income before minority</t>
        </is>
      </c>
      <c r="D44" s="1797">
        <f>D42+D43</f>
        <v/>
      </c>
      <c r="E44" s="1797">
        <f>E42+E43</f>
        <v/>
      </c>
      <c r="F44" s="1797">
        <f>F42+F43</f>
        <v/>
      </c>
      <c r="G44" s="1797">
        <f>G42+G43</f>
        <v/>
      </c>
      <c r="H44" s="1797">
        <f>H42+H43</f>
        <v/>
      </c>
      <c r="I44" s="1797">
        <f>I42+I43</f>
        <v/>
      </c>
      <c r="J44" s="1797">
        <f>J42+J43</f>
        <v/>
      </c>
      <c r="K44" s="1797">
        <f>K42+K43</f>
        <v/>
      </c>
      <c r="L44" s="1797">
        <f>L42+L43</f>
        <v/>
      </c>
      <c r="M44" s="1797">
        <f>M42+M43</f>
        <v/>
      </c>
    </row>
    <row r="45" ht="15" customHeight="1">
      <c r="A45" s="934" t="inlineStr">
        <is>
          <t>Minority interest</t>
        </is>
      </c>
      <c r="D45" s="1800">
        <f>-'SOURCE WIFI Income Statement'!B197</f>
        <v/>
      </c>
      <c r="E45" s="1800">
        <f>-'SOURCE WIFI Income Statement'!C197</f>
        <v/>
      </c>
      <c r="F45" s="1800">
        <f>-'SOURCE WIFI Income Statement'!D197</f>
        <v/>
      </c>
      <c r="G45" s="1800">
        <f>-'SOURCE WIFI Income Statement'!E197</f>
        <v/>
      </c>
      <c r="H45" s="1800">
        <f>-'SOURCE WIFI Income Statement'!F197</f>
        <v/>
      </c>
      <c r="I45" s="1797">
        <f>-I44*I23</f>
        <v/>
      </c>
      <c r="J45" s="1797">
        <f>-J44*J23</f>
        <v/>
      </c>
      <c r="K45" s="1797">
        <f>-K44*K23</f>
        <v/>
      </c>
      <c r="L45" s="1797">
        <f>-L44*L23</f>
        <v/>
      </c>
      <c r="M45" s="1797">
        <f>-M44*M23</f>
        <v/>
      </c>
    </row>
    <row r="46" ht="15" customHeight="1">
      <c r="A46" s="1803" t="inlineStr">
        <is>
          <t>Net income to parent</t>
        </is>
      </c>
      <c r="B46" s="173" t="n"/>
      <c r="C46" s="173" t="n"/>
      <c r="D46" s="1804">
        <f>D44+D45</f>
        <v/>
      </c>
      <c r="E46" s="1804">
        <f>E44+E45</f>
        <v/>
      </c>
      <c r="F46" s="1804">
        <f>F44+F45</f>
        <v/>
      </c>
      <c r="G46" s="1804">
        <f>G44+G45</f>
        <v/>
      </c>
      <c r="H46" s="1804">
        <f>H44+H45</f>
        <v/>
      </c>
      <c r="I46" s="1804">
        <f>I44+I45</f>
        <v/>
      </c>
      <c r="J46" s="1804">
        <f>J44+J45</f>
        <v/>
      </c>
      <c r="K46" s="1804">
        <f>K44+K45</f>
        <v/>
      </c>
      <c r="L46" s="1804">
        <f>L44+L45</f>
        <v/>
      </c>
      <c r="M46" s="1804">
        <f>M44+M45</f>
        <v/>
      </c>
    </row>
    <row r="47" ht="14.25" customHeight="1">
      <c r="H47" s="1252">
        <f>H46/H28</f>
        <v/>
      </c>
      <c r="I47" s="1252">
        <f>I46/I28</f>
        <v/>
      </c>
      <c r="J47" s="1252">
        <f>J46/J28</f>
        <v/>
      </c>
      <c r="K47" s="1252">
        <f>K46/K28</f>
        <v/>
      </c>
      <c r="L47" s="1252">
        <f>L46/L28</f>
        <v/>
      </c>
      <c r="M47" s="1252">
        <f>M46/M28</f>
        <v/>
      </c>
    </row>
    <row r="49" ht="15" customHeight="1">
      <c r="A49" s="1371" t="inlineStr">
        <is>
          <t>BALANCE SHEET</t>
        </is>
      </c>
      <c r="B49" s="1471" t="n"/>
      <c r="C49" s="1471" t="n"/>
      <c r="D49" s="1471" t="n"/>
      <c r="E49" s="1471" t="n"/>
      <c r="F49" s="1471" t="n"/>
      <c r="G49" s="1471" t="n"/>
      <c r="H49" s="1471" t="n"/>
      <c r="I49" s="1471" t="n"/>
      <c r="J49" s="1471" t="n"/>
      <c r="K49" s="1471" t="n"/>
      <c r="L49" s="1471" t="n"/>
      <c r="M49" s="1471" t="n"/>
    </row>
    <row r="50" ht="15" customHeight="1">
      <c r="A50" s="1801" t="inlineStr">
        <is>
          <t>Assets</t>
        </is>
      </c>
      <c r="B50" s="642" t="n"/>
      <c r="C50" s="642" t="n"/>
      <c r="D50" s="642" t="n"/>
      <c r="E50" s="642" t="n"/>
      <c r="F50" s="642" t="n"/>
      <c r="G50" s="642" t="n"/>
      <c r="H50" s="642" t="n"/>
      <c r="I50" s="642" t="n"/>
      <c r="J50" s="642" t="n"/>
      <c r="K50" s="642" t="n"/>
      <c r="L50" s="642" t="n"/>
      <c r="M50" s="642" t="n"/>
    </row>
    <row r="51" ht="15" customHeight="1">
      <c r="A51" s="934" t="inlineStr">
        <is>
          <t>Cash &amp; equivalents</t>
        </is>
      </c>
      <c r="D51" s="1800">
        <f>'SOURCE WIFI Balance Sheet'!B21</f>
        <v/>
      </c>
      <c r="E51" s="1800">
        <f>'SOURCE WIFI Balance Sheet'!C21</f>
        <v/>
      </c>
      <c r="F51" s="1800">
        <f>'SOURCE WIFI Balance Sheet'!D21</f>
        <v/>
      </c>
      <c r="G51" s="1800">
        <f>'SOURCE WIFI Balance Sheet'!E21</f>
        <v/>
      </c>
      <c r="H51" s="1800">
        <f>'SOURCE WIFI Balance Sheet'!F21</f>
        <v/>
      </c>
      <c r="I51" s="1797">
        <f>I80-I61-I52-I53-I54-I55</f>
        <v/>
      </c>
      <c r="J51" s="1797">
        <f>J80-J61-J52-J53-J54-J55</f>
        <v/>
      </c>
      <c r="K51" s="1797">
        <f>K80-K61-K52-K53-K54-K55</f>
        <v/>
      </c>
      <c r="L51" s="1797">
        <f>L80-L61-L52-L53-L54-L55</f>
        <v/>
      </c>
      <c r="M51" s="1797">
        <f>M80-M61-M52-M53-M54-M55</f>
        <v/>
      </c>
    </row>
    <row r="52" ht="15" customHeight="1">
      <c r="A52" s="934" t="inlineStr">
        <is>
          <t>Receivables</t>
        </is>
      </c>
      <c r="D52" s="1800">
        <f>'SOURCE WIFI Balance Sheet'!B26</f>
        <v/>
      </c>
      <c r="E52" s="1800">
        <f>'SOURCE WIFI Balance Sheet'!C26</f>
        <v/>
      </c>
      <c r="F52" s="1800">
        <f>'SOURCE WIFI Balance Sheet'!D26</f>
        <v/>
      </c>
      <c r="G52" s="1800">
        <f>'SOURCE WIFI Balance Sheet'!E26</f>
        <v/>
      </c>
      <c r="H52" s="1800">
        <f>'SOURCE WIFI Balance Sheet'!F26</f>
        <v/>
      </c>
      <c r="I52" s="1797">
        <f>I13/365*I28</f>
        <v/>
      </c>
      <c r="J52" s="1797">
        <f>J13/365*J28</f>
        <v/>
      </c>
      <c r="K52" s="1797">
        <f>K13/365*K28</f>
        <v/>
      </c>
      <c r="L52" s="1797">
        <f>L13/365*L28</f>
        <v/>
      </c>
      <c r="M52" s="1797">
        <f>M13/365*M28</f>
        <v/>
      </c>
    </row>
    <row r="53" ht="15" customHeight="1">
      <c r="A53" s="934" t="inlineStr">
        <is>
          <t>Inventories</t>
        </is>
      </c>
      <c r="D53" s="1800">
        <f>'SOURCE WIFI Balance Sheet'!B36</f>
        <v/>
      </c>
      <c r="E53" s="1800">
        <f>'SOURCE WIFI Balance Sheet'!C36</f>
        <v/>
      </c>
      <c r="F53" s="1800">
        <f>'SOURCE WIFI Balance Sheet'!D36</f>
        <v/>
      </c>
      <c r="G53" s="1800">
        <f>'SOURCE WIFI Balance Sheet'!E36</f>
        <v/>
      </c>
      <c r="H53" s="1800">
        <f>'SOURCE WIFI Balance Sheet'!F36</f>
        <v/>
      </c>
      <c r="I53" s="1797">
        <f>I14/365*-I29</f>
        <v/>
      </c>
      <c r="J53" s="1797">
        <f>J14/365*-J29</f>
        <v/>
      </c>
      <c r="K53" s="1797">
        <f>K14/365*-K29</f>
        <v/>
      </c>
      <c r="L53" s="1797">
        <f>L14/365*-L29</f>
        <v/>
      </c>
      <c r="M53" s="1797">
        <f>M14/365*-M29</f>
        <v/>
      </c>
    </row>
    <row r="54" ht="15" customHeight="1">
      <c r="A54" s="934" t="inlineStr">
        <is>
          <t>Prepaid expenses</t>
        </is>
      </c>
      <c r="D54" s="1800">
        <f>'SOURCE WIFI Balance Sheet'!B45</f>
        <v/>
      </c>
      <c r="E54" s="1800">
        <f>'SOURCE WIFI Balance Sheet'!C45</f>
        <v/>
      </c>
      <c r="F54" s="1800">
        <f>'SOURCE WIFI Balance Sheet'!D45</f>
        <v/>
      </c>
      <c r="G54" s="1800">
        <f>'SOURCE WIFI Balance Sheet'!E45</f>
        <v/>
      </c>
      <c r="H54" s="1800">
        <f>'SOURCE WIFI Balance Sheet'!F45</f>
        <v/>
      </c>
      <c r="I54" s="1797">
        <f>I15*I28</f>
        <v/>
      </c>
      <c r="J54" s="1797">
        <f>J15*J28</f>
        <v/>
      </c>
      <c r="K54" s="1797">
        <f>K15*K28</f>
        <v/>
      </c>
      <c r="L54" s="1797">
        <f>L15*L28</f>
        <v/>
      </c>
      <c r="M54" s="1797">
        <f>M15*M28</f>
        <v/>
      </c>
    </row>
    <row r="55" ht="15" customHeight="1">
      <c r="A55" s="934" t="inlineStr">
        <is>
          <t>Other current assets</t>
        </is>
      </c>
      <c r="D55" s="1800">
        <f>'SOURCE WIFI Balance Sheet'!B47</f>
        <v/>
      </c>
      <c r="E55" s="1800">
        <f>'SOURCE WIFI Balance Sheet'!C47</f>
        <v/>
      </c>
      <c r="F55" s="1800">
        <f>'SOURCE WIFI Balance Sheet'!D47</f>
        <v/>
      </c>
      <c r="G55" s="1800">
        <f>'SOURCE WIFI Balance Sheet'!E47</f>
        <v/>
      </c>
      <c r="H55" s="1800">
        <f>'SOURCE WIFI Balance Sheet'!F47</f>
        <v/>
      </c>
      <c r="I55" s="1797">
        <f>H55</f>
        <v/>
      </c>
      <c r="J55" s="1797">
        <f>I55</f>
        <v/>
      </c>
      <c r="K55" s="1797">
        <f>J55</f>
        <v/>
      </c>
      <c r="L55" s="1797">
        <f>K55</f>
        <v/>
      </c>
      <c r="M55" s="1797">
        <f>L55</f>
        <v/>
      </c>
    </row>
    <row r="56" ht="15" customHeight="1">
      <c r="A56" s="931" t="inlineStr">
        <is>
          <t>Total current assets</t>
        </is>
      </c>
      <c r="D56" s="1805">
        <f>SUM(D51:D55)</f>
        <v/>
      </c>
      <c r="E56" s="1805">
        <f>SUM(E51:E55)</f>
        <v/>
      </c>
      <c r="F56" s="1805">
        <f>SUM(F51:F55)</f>
        <v/>
      </c>
      <c r="G56" s="1805">
        <f>SUM(G51:G55)</f>
        <v/>
      </c>
      <c r="H56" s="1805">
        <f>SUM(H51:H55)</f>
        <v/>
      </c>
      <c r="I56" s="1805">
        <f>SUM(I51:I55)</f>
        <v/>
      </c>
      <c r="J56" s="1805">
        <f>SUM(J51:J55)</f>
        <v/>
      </c>
      <c r="K56" s="1805">
        <f>SUM(K51:K55)</f>
        <v/>
      </c>
      <c r="L56" s="1805">
        <f>SUM(L51:L55)</f>
        <v/>
      </c>
      <c r="M56" s="1805">
        <f>SUM(M51:M55)</f>
        <v/>
      </c>
    </row>
    <row r="58" ht="15" customHeight="1">
      <c r="A58" s="934" t="inlineStr">
        <is>
          <t>Net property, plant &amp; equipment</t>
        </is>
      </c>
      <c r="D58" s="1800">
        <f>'SOURCE WIFI Balance Sheet'!B71</f>
        <v/>
      </c>
      <c r="E58" s="1800">
        <f>'SOURCE WIFI Balance Sheet'!C71</f>
        <v/>
      </c>
      <c r="F58" s="1800">
        <f>'SOURCE WIFI Balance Sheet'!D71</f>
        <v/>
      </c>
      <c r="G58" s="1800">
        <f>'SOURCE WIFI Balance Sheet'!E71</f>
        <v/>
      </c>
      <c r="H58" s="1800">
        <f>'SOURCE WIFI Balance Sheet'!F71</f>
        <v/>
      </c>
      <c r="I58" s="1797">
        <f>I110</f>
        <v/>
      </c>
      <c r="J58" s="1797">
        <f>J110</f>
        <v/>
      </c>
      <c r="K58" s="1797">
        <f>K110</f>
        <v/>
      </c>
      <c r="L58" s="1797">
        <f>L110</f>
        <v/>
      </c>
      <c r="M58" s="1797">
        <f>M110</f>
        <v/>
      </c>
    </row>
    <row r="59" ht="15" customHeight="1">
      <c r="A59" s="934" t="inlineStr">
        <is>
          <t>Intangible assets</t>
        </is>
      </c>
      <c r="D59" s="1800">
        <f>'SOURCE WIFI Balance Sheet'!B138</f>
        <v/>
      </c>
      <c r="E59" s="1800">
        <f>'SOURCE WIFI Balance Sheet'!C138</f>
        <v/>
      </c>
      <c r="F59" s="1800">
        <f>'SOURCE WIFI Balance Sheet'!D138</f>
        <v/>
      </c>
      <c r="G59" s="1800">
        <f>'SOURCE WIFI Balance Sheet'!E138</f>
        <v/>
      </c>
      <c r="H59" s="1800">
        <f>'SOURCE WIFI Balance Sheet'!F138</f>
        <v/>
      </c>
      <c r="I59" s="1797">
        <f>H59</f>
        <v/>
      </c>
      <c r="J59" s="1797">
        <f>I59</f>
        <v/>
      </c>
      <c r="K59" s="1797">
        <f>J59</f>
        <v/>
      </c>
      <c r="L59" s="1797">
        <f>K59</f>
        <v/>
      </c>
      <c r="M59" s="1797">
        <f>L59</f>
        <v/>
      </c>
    </row>
    <row r="60" ht="15" customHeight="1">
      <c r="A60" s="934" t="inlineStr">
        <is>
          <t>Other non-current assets</t>
        </is>
      </c>
      <c r="D60" s="1800">
        <f>'SOURCE WIFI Balance Sheet'!B129+'SOURCE WIFI Balance Sheet'!B63</f>
        <v/>
      </c>
      <c r="E60" s="1800">
        <f>'SOURCE WIFI Balance Sheet'!C129+'SOURCE WIFI Balance Sheet'!C63</f>
        <v/>
      </c>
      <c r="F60" s="1800">
        <f>'SOURCE WIFI Balance Sheet'!D129+'SOURCE WIFI Balance Sheet'!D63</f>
        <v/>
      </c>
      <c r="G60" s="1800">
        <f>'SOURCE WIFI Balance Sheet'!E129+'SOURCE WIFI Balance Sheet'!E63</f>
        <v/>
      </c>
      <c r="H60" s="1800">
        <f>'SOURCE WIFI Balance Sheet'!F129+'SOURCE WIFI Balance Sheet'!F63</f>
        <v/>
      </c>
      <c r="I60" s="1797">
        <f>H60</f>
        <v/>
      </c>
      <c r="J60" s="1797">
        <f>I60</f>
        <v/>
      </c>
      <c r="K60" s="1797">
        <f>J60</f>
        <v/>
      </c>
      <c r="L60" s="1797">
        <f>K60</f>
        <v/>
      </c>
      <c r="M60" s="1797">
        <f>L60</f>
        <v/>
      </c>
    </row>
    <row r="61" ht="15" customHeight="1">
      <c r="A61" s="931" t="inlineStr">
        <is>
          <t>Total non-current assets</t>
        </is>
      </c>
      <c r="D61" s="1805">
        <f>SUM(D58:D60)</f>
        <v/>
      </c>
      <c r="E61" s="1805">
        <f>SUM(E58:E60)</f>
        <v/>
      </c>
      <c r="F61" s="1805">
        <f>SUM(F58:F60)</f>
        <v/>
      </c>
      <c r="G61" s="1805">
        <f>SUM(G58:G60)</f>
        <v/>
      </c>
      <c r="H61" s="1805">
        <f>SUM(H58:H60)</f>
        <v/>
      </c>
      <c r="I61" s="1805">
        <f>SUM(I58:I60)</f>
        <v/>
      </c>
      <c r="J61" s="1805">
        <f>SUM(J58:J60)</f>
        <v/>
      </c>
      <c r="K61" s="1805">
        <f>SUM(K58:K60)</f>
        <v/>
      </c>
      <c r="L61" s="1805">
        <f>SUM(L58:L60)</f>
        <v/>
      </c>
      <c r="M61" s="1805">
        <f>SUM(M58:M60)</f>
        <v/>
      </c>
    </row>
    <row r="62" ht="15" customHeight="1">
      <c r="A62" s="1803" t="inlineStr">
        <is>
          <t>TOTAL ASSETS</t>
        </is>
      </c>
      <c r="B62" s="173" t="n"/>
      <c r="C62" s="173" t="n"/>
      <c r="D62" s="1804">
        <f>D56+D61</f>
        <v/>
      </c>
      <c r="E62" s="1804">
        <f>E56+E61</f>
        <v/>
      </c>
      <c r="F62" s="1804">
        <f>F56+F61</f>
        <v/>
      </c>
      <c r="G62" s="1804">
        <f>G56+G61</f>
        <v/>
      </c>
      <c r="H62" s="1804">
        <f>H56+H61</f>
        <v/>
      </c>
      <c r="I62" s="1804">
        <f>I56+I61</f>
        <v/>
      </c>
      <c r="J62" s="1804">
        <f>J56+J61</f>
        <v/>
      </c>
      <c r="K62" s="1804">
        <f>K56+K61</f>
        <v/>
      </c>
      <c r="L62" s="1804">
        <f>L56+L61</f>
        <v/>
      </c>
      <c r="M62" s="1804">
        <f>M56+M61</f>
        <v/>
      </c>
    </row>
    <row r="64" ht="15" customHeight="1">
      <c r="A64" s="1801" t="inlineStr">
        <is>
          <t>Liabilities</t>
        </is>
      </c>
      <c r="B64" s="642" t="n"/>
      <c r="C64" s="642" t="n"/>
      <c r="D64" s="642" t="n"/>
      <c r="E64" s="642" t="n"/>
      <c r="F64" s="642" t="n"/>
      <c r="G64" s="642" t="n"/>
      <c r="H64" s="642" t="n"/>
      <c r="I64" s="642" t="n"/>
      <c r="J64" s="642" t="n"/>
      <c r="K64" s="642" t="n"/>
      <c r="L64" s="642" t="n"/>
      <c r="M64" s="642" t="n"/>
    </row>
    <row r="65" ht="15" customHeight="1">
      <c r="A65" s="934" t="inlineStr">
        <is>
          <t>Accounts payable</t>
        </is>
      </c>
      <c r="D65" s="1800">
        <f>'SOURCE WIFI Balance Sheet'!B169</f>
        <v/>
      </c>
      <c r="E65" s="1800">
        <f>'SOURCE WIFI Balance Sheet'!C169</f>
        <v/>
      </c>
      <c r="F65" s="1800">
        <f>'SOURCE WIFI Balance Sheet'!D169</f>
        <v/>
      </c>
      <c r="G65" s="1800">
        <f>'SOURCE WIFI Balance Sheet'!E169</f>
        <v/>
      </c>
      <c r="H65" s="1800">
        <f>'SOURCE WIFI Balance Sheet'!F169</f>
        <v/>
      </c>
      <c r="I65" s="1797">
        <f>I16/365*-I29</f>
        <v/>
      </c>
      <c r="J65" s="1797">
        <f>J16/365*-J29</f>
        <v/>
      </c>
      <c r="K65" s="1797">
        <f>K16/365*-K29</f>
        <v/>
      </c>
      <c r="L65" s="1797">
        <f>L16/365*-L29</f>
        <v/>
      </c>
      <c r="M65" s="1797">
        <f>M16/365*-M29</f>
        <v/>
      </c>
    </row>
    <row r="66" ht="15" customHeight="1">
      <c r="A66" s="934" t="inlineStr">
        <is>
          <t>Short-term debt</t>
        </is>
      </c>
      <c r="D66" s="1800">
        <f>'SOURCE WIFI Balance Sheet'!B172</f>
        <v/>
      </c>
      <c r="E66" s="1800">
        <f>'SOURCE WIFI Balance Sheet'!C172</f>
        <v/>
      </c>
      <c r="F66" s="1800">
        <f>'SOURCE WIFI Balance Sheet'!D172</f>
        <v/>
      </c>
      <c r="G66" s="1800">
        <f>'SOURCE WIFI Balance Sheet'!E172</f>
        <v/>
      </c>
      <c r="H66" s="1800">
        <f>'SOURCE WIFI Balance Sheet'!F172</f>
        <v/>
      </c>
      <c r="I66" s="1797">
        <f>H66</f>
        <v/>
      </c>
      <c r="J66" s="1797">
        <f>I66</f>
        <v/>
      </c>
      <c r="K66" s="1797">
        <f>J66</f>
        <v/>
      </c>
      <c r="L66" s="1797">
        <f>K66</f>
        <v/>
      </c>
      <c r="M66" s="1797">
        <f>L66</f>
        <v/>
      </c>
    </row>
    <row r="67" ht="15" customHeight="1">
      <c r="A67" s="934" t="inlineStr">
        <is>
          <t>Income tax payable</t>
        </is>
      </c>
      <c r="D67" s="1800">
        <f>'SOURCE WIFI Balance Sheet'!B181</f>
        <v/>
      </c>
      <c r="E67" s="1800">
        <f>'SOURCE WIFI Balance Sheet'!C181</f>
        <v/>
      </c>
      <c r="F67" s="1800">
        <f>'SOURCE WIFI Balance Sheet'!D181</f>
        <v/>
      </c>
      <c r="G67" s="1800">
        <f>'SOURCE WIFI Balance Sheet'!E181</f>
        <v/>
      </c>
      <c r="H67" s="1800">
        <f>'SOURCE WIFI Balance Sheet'!F181</f>
        <v/>
      </c>
      <c r="I67" s="1797">
        <f>I18*-I43</f>
        <v/>
      </c>
      <c r="J67" s="1797">
        <f>J18*-J43</f>
        <v/>
      </c>
      <c r="K67" s="1797">
        <f>K18*-K43</f>
        <v/>
      </c>
      <c r="L67" s="1797">
        <f>L18*-L43</f>
        <v/>
      </c>
      <c r="M67" s="1797">
        <f>M18*-M43</f>
        <v/>
      </c>
    </row>
    <row r="68" ht="15" customHeight="1">
      <c r="A68" s="934" t="inlineStr">
        <is>
          <t>Other current liabilities</t>
        </is>
      </c>
      <c r="D68" s="1800">
        <f>'SOURCE WIFI Balance Sheet'!B184</f>
        <v/>
      </c>
      <c r="E68" s="1800">
        <f>'SOURCE WIFI Balance Sheet'!C184</f>
        <v/>
      </c>
      <c r="F68" s="1800">
        <f>'SOURCE WIFI Balance Sheet'!D184</f>
        <v/>
      </c>
      <c r="G68" s="1800">
        <f>'SOURCE WIFI Balance Sheet'!E184</f>
        <v/>
      </c>
      <c r="H68" s="1800">
        <f>'SOURCE WIFI Balance Sheet'!F184</f>
        <v/>
      </c>
      <c r="I68" s="1797">
        <f>I17*I28</f>
        <v/>
      </c>
      <c r="J68" s="1797">
        <f>J17*J28</f>
        <v/>
      </c>
      <c r="K68" s="1797">
        <f>K17*K28</f>
        <v/>
      </c>
      <c r="L68" s="1797">
        <f>L17*L28</f>
        <v/>
      </c>
      <c r="M68" s="1797">
        <f>M17*M28</f>
        <v/>
      </c>
    </row>
    <row r="69" ht="15" customHeight="1">
      <c r="A69" s="931" t="inlineStr">
        <is>
          <t>Total current liabilities</t>
        </is>
      </c>
      <c r="D69" s="1805">
        <f>SUM(D65:D68)</f>
        <v/>
      </c>
      <c r="E69" s="1805">
        <f>SUM(E65:E68)</f>
        <v/>
      </c>
      <c r="F69" s="1805">
        <f>SUM(F65:F68)</f>
        <v/>
      </c>
      <c r="G69" s="1805">
        <f>SUM(G65:G68)</f>
        <v/>
      </c>
      <c r="H69" s="1805">
        <f>SUM(H65:H68)</f>
        <v/>
      </c>
      <c r="I69" s="1805">
        <f>SUM(I65:I68)</f>
        <v/>
      </c>
      <c r="J69" s="1805">
        <f>SUM(J65:J68)</f>
        <v/>
      </c>
      <c r="K69" s="1805">
        <f>SUM(K65:K68)</f>
        <v/>
      </c>
      <c r="L69" s="1805">
        <f>SUM(L65:L68)</f>
        <v/>
      </c>
      <c r="M69" s="1805">
        <f>SUM(M65:M68)</f>
        <v/>
      </c>
    </row>
    <row r="71" ht="15" customHeight="1">
      <c r="A71" s="934" t="inlineStr">
        <is>
          <t>Long-term debt</t>
        </is>
      </c>
      <c r="D71" s="1800">
        <f>'SOURCE WIFI Balance Sheet'!B198</f>
        <v/>
      </c>
      <c r="E71" s="1800">
        <f>'SOURCE WIFI Balance Sheet'!C198</f>
        <v/>
      </c>
      <c r="F71" s="1800">
        <f>'SOURCE WIFI Balance Sheet'!D198</f>
        <v/>
      </c>
      <c r="G71" s="1800">
        <f>'SOURCE WIFI Balance Sheet'!E198</f>
        <v/>
      </c>
      <c r="H71" s="1800">
        <f>'SOURCE WIFI Balance Sheet'!F198</f>
        <v/>
      </c>
      <c r="I71" s="1797">
        <f>H71+I22</f>
        <v/>
      </c>
      <c r="J71" s="1797">
        <f>I71+J22</f>
        <v/>
      </c>
      <c r="K71" s="1797">
        <f>J71+K22</f>
        <v/>
      </c>
      <c r="L71" s="1797">
        <f>K71+L22</f>
        <v/>
      </c>
      <c r="M71" s="1797">
        <f>L71+M22</f>
        <v/>
      </c>
    </row>
    <row r="72" ht="15" customHeight="1">
      <c r="A72" s="934" t="inlineStr">
        <is>
          <t>Deferred tax &amp; other LT liabilities</t>
        </is>
      </c>
      <c r="D72" s="1800">
        <f>'SOURCE WIFI Balance Sheet'!B210+'SOURCE WIFI Balance Sheet'!B214</f>
        <v/>
      </c>
      <c r="E72" s="1800">
        <f>'SOURCE WIFI Balance Sheet'!C210+'SOURCE WIFI Balance Sheet'!C214</f>
        <v/>
      </c>
      <c r="F72" s="1800">
        <f>'SOURCE WIFI Balance Sheet'!D210+'SOURCE WIFI Balance Sheet'!D214</f>
        <v/>
      </c>
      <c r="G72" s="1800">
        <f>'SOURCE WIFI Balance Sheet'!E210+'SOURCE WIFI Balance Sheet'!E214</f>
        <v/>
      </c>
      <c r="H72" s="1800">
        <f>'SOURCE WIFI Balance Sheet'!F210+'SOURCE WIFI Balance Sheet'!F214</f>
        <v/>
      </c>
      <c r="I72" s="1797">
        <f>H72</f>
        <v/>
      </c>
      <c r="J72" s="1797">
        <f>I72</f>
        <v/>
      </c>
      <c r="K72" s="1797">
        <f>J72</f>
        <v/>
      </c>
      <c r="L72" s="1797">
        <f>K72</f>
        <v/>
      </c>
      <c r="M72" s="1797">
        <f>L72</f>
        <v/>
      </c>
    </row>
    <row r="73" ht="15" customHeight="1">
      <c r="A73" s="931" t="inlineStr">
        <is>
          <t>Total non-current liabilities</t>
        </is>
      </c>
      <c r="D73" s="1805">
        <f>D71+D72</f>
        <v/>
      </c>
      <c r="E73" s="1805">
        <f>E71+E72</f>
        <v/>
      </c>
      <c r="F73" s="1805">
        <f>F71+F72</f>
        <v/>
      </c>
      <c r="G73" s="1805">
        <f>G71+G72</f>
        <v/>
      </c>
      <c r="H73" s="1805">
        <f>H71+H72</f>
        <v/>
      </c>
      <c r="I73" s="1805">
        <f>I71+I72</f>
        <v/>
      </c>
      <c r="J73" s="1805">
        <f>J71+J72</f>
        <v/>
      </c>
      <c r="K73" s="1805">
        <f>K71+K72</f>
        <v/>
      </c>
      <c r="L73" s="1805">
        <f>L71+L72</f>
        <v/>
      </c>
      <c r="M73" s="1805">
        <f>M71+M72</f>
        <v/>
      </c>
    </row>
    <row r="74" ht="15" customHeight="1">
      <c r="A74" s="1801" t="inlineStr">
        <is>
          <t>TOTAL LIABILITIES</t>
        </is>
      </c>
      <c r="B74" s="642" t="n"/>
      <c r="C74" s="642" t="n"/>
      <c r="D74" s="1802">
        <f>D69+D73</f>
        <v/>
      </c>
      <c r="E74" s="1802">
        <f>E69+E73</f>
        <v/>
      </c>
      <c r="F74" s="1802">
        <f>F69+F73</f>
        <v/>
      </c>
      <c r="G74" s="1802">
        <f>G69+G73</f>
        <v/>
      </c>
      <c r="H74" s="1802">
        <f>H69+H73</f>
        <v/>
      </c>
      <c r="I74" s="1802">
        <f>I69+I73</f>
        <v/>
      </c>
      <c r="J74" s="1802">
        <f>J69+J73</f>
        <v/>
      </c>
      <c r="K74" s="1802">
        <f>K69+K73</f>
        <v/>
      </c>
      <c r="L74" s="1802">
        <f>L69+L73</f>
        <v/>
      </c>
      <c r="M74" s="1802">
        <f>M69+M73</f>
        <v/>
      </c>
    </row>
    <row r="76" ht="15" customHeight="1">
      <c r="A76" s="934" t="inlineStr">
        <is>
          <t>Common equity (contributed)</t>
        </is>
      </c>
      <c r="D76" s="1800">
        <f>'SOURCE WIFI Balance Sheet'!B245</f>
        <v/>
      </c>
      <c r="E76" s="1800">
        <f>'SOURCE WIFI Balance Sheet'!C245</f>
        <v/>
      </c>
      <c r="F76" s="1800">
        <f>'SOURCE WIFI Balance Sheet'!D245</f>
        <v/>
      </c>
      <c r="G76" s="1800">
        <f>'SOURCE WIFI Balance Sheet'!E245</f>
        <v/>
      </c>
      <c r="H76" s="1800">
        <f>'SOURCE WIFI Balance Sheet'!F245</f>
        <v/>
      </c>
      <c r="I76" s="1797">
        <f>H76</f>
        <v/>
      </c>
      <c r="J76" s="1797">
        <f>I76</f>
        <v/>
      </c>
      <c r="K76" s="1797">
        <f>J76</f>
        <v/>
      </c>
      <c r="L76" s="1797">
        <f>K76</f>
        <v/>
      </c>
      <c r="M76" s="1797">
        <f>L76</f>
        <v/>
      </c>
    </row>
    <row r="77" ht="15" customHeight="1">
      <c r="A77" s="934" t="inlineStr">
        <is>
          <t>Retained earnings &amp; reserves</t>
        </is>
      </c>
      <c r="D77" s="1800">
        <f>'SOURCE WIFI Balance Sheet'!B250</f>
        <v/>
      </c>
      <c r="E77" s="1800">
        <f>'SOURCE WIFI Balance Sheet'!C250</f>
        <v/>
      </c>
      <c r="F77" s="1800">
        <f>'SOURCE WIFI Balance Sheet'!D250</f>
        <v/>
      </c>
      <c r="G77" s="1800">
        <f>'SOURCE WIFI Balance Sheet'!E250</f>
        <v/>
      </c>
      <c r="H77" s="1800">
        <f>'SOURCE WIFI Balance Sheet'!F250</f>
        <v/>
      </c>
      <c r="I77" s="1797">
        <f>H77+I46+I95</f>
        <v/>
      </c>
      <c r="J77" s="1797">
        <f>I77+J46+J95</f>
        <v/>
      </c>
      <c r="K77" s="1797">
        <f>J77+K46+K95</f>
        <v/>
      </c>
      <c r="L77" s="1797">
        <f>K77+L46+L95</f>
        <v/>
      </c>
      <c r="M77" s="1797">
        <f>L77+M46+M95</f>
        <v/>
      </c>
    </row>
    <row r="78" ht="15" customHeight="1">
      <c r="A78" s="934" t="inlineStr">
        <is>
          <t>Minority interest</t>
        </is>
      </c>
      <c r="D78" s="1800">
        <f>'SOURCE WIFI Balance Sheet'!B268</f>
        <v/>
      </c>
      <c r="E78" s="1800">
        <f>'SOURCE WIFI Balance Sheet'!C268</f>
        <v/>
      </c>
      <c r="F78" s="1800">
        <f>'SOURCE WIFI Balance Sheet'!D268</f>
        <v/>
      </c>
      <c r="G78" s="1800">
        <f>'SOURCE WIFI Balance Sheet'!E268</f>
        <v/>
      </c>
      <c r="H78" s="1800">
        <f>'SOURCE WIFI Balance Sheet'!F268</f>
        <v/>
      </c>
      <c r="I78" s="1797">
        <f>H78-I45</f>
        <v/>
      </c>
      <c r="J78" s="1797">
        <f>I78-J45</f>
        <v/>
      </c>
      <c r="K78" s="1797">
        <f>J78-K45</f>
        <v/>
      </c>
      <c r="L78" s="1797">
        <f>K78-L45</f>
        <v/>
      </c>
      <c r="M78" s="1797">
        <f>L78-M45</f>
        <v/>
      </c>
    </row>
    <row r="79" ht="15" customHeight="1">
      <c r="A79" s="1801" t="inlineStr">
        <is>
          <t>TOTAL EQUITY</t>
        </is>
      </c>
      <c r="B79" s="642" t="n"/>
      <c r="C79" s="642" t="n"/>
      <c r="D79" s="1802">
        <f>SUM(D76:D78)</f>
        <v/>
      </c>
      <c r="E79" s="1802">
        <f>SUM(E76:E78)</f>
        <v/>
      </c>
      <c r="F79" s="1802">
        <f>SUM(F76:F78)</f>
        <v/>
      </c>
      <c r="G79" s="1802">
        <f>SUM(G76:G78)</f>
        <v/>
      </c>
      <c r="H79" s="1802">
        <f>SUM(H76:H78)</f>
        <v/>
      </c>
      <c r="I79" s="1802">
        <f>SUM(I76:I78)</f>
        <v/>
      </c>
      <c r="J79" s="1802">
        <f>SUM(J76:J78)</f>
        <v/>
      </c>
      <c r="K79" s="1802">
        <f>SUM(K76:K78)</f>
        <v/>
      </c>
      <c r="L79" s="1802">
        <f>SUM(L76:L78)</f>
        <v/>
      </c>
      <c r="M79" s="1802">
        <f>SUM(M76:M78)</f>
        <v/>
      </c>
    </row>
    <row r="80" ht="15" customHeight="1">
      <c r="A80" s="1803" t="inlineStr">
        <is>
          <t>TOTAL LIABILITIES &amp; EQUITY</t>
        </is>
      </c>
      <c r="B80" s="173" t="n"/>
      <c r="C80" s="173" t="n"/>
      <c r="D80" s="1804">
        <f>D74+D79</f>
        <v/>
      </c>
      <c r="E80" s="1804">
        <f>E74+E79</f>
        <v/>
      </c>
      <c r="F80" s="1804">
        <f>F74+F79</f>
        <v/>
      </c>
      <c r="G80" s="1804">
        <f>G74+G79</f>
        <v/>
      </c>
      <c r="H80" s="1804">
        <f>H74+H79</f>
        <v/>
      </c>
      <c r="I80" s="1804">
        <f>I74+I79</f>
        <v/>
      </c>
      <c r="J80" s="1804">
        <f>J74+J79</f>
        <v/>
      </c>
      <c r="K80" s="1804">
        <f>K74+K79</f>
        <v/>
      </c>
      <c r="L80" s="1804">
        <f>L74+L79</f>
        <v/>
      </c>
      <c r="M80" s="1804">
        <f>M74+M79</f>
        <v/>
      </c>
    </row>
    <row r="81" ht="15" customHeight="1">
      <c r="A81" s="1394" t="inlineStr">
        <is>
          <t>Balance check (Assets - L&amp;E)</t>
        </is>
      </c>
      <c r="D81" s="1806">
        <f>D62-D80</f>
        <v/>
      </c>
      <c r="E81" s="1806">
        <f>E62-E80</f>
        <v/>
      </c>
      <c r="F81" s="1806">
        <f>F62-F80</f>
        <v/>
      </c>
      <c r="G81" s="1806">
        <f>G62-G80</f>
        <v/>
      </c>
      <c r="H81" s="1806">
        <f>H62-H80</f>
        <v/>
      </c>
      <c r="I81" s="1806">
        <f>I62-I80</f>
        <v/>
      </c>
      <c r="J81" s="1806">
        <f>J62-J80</f>
        <v/>
      </c>
      <c r="K81" s="1806">
        <f>K62-K80</f>
        <v/>
      </c>
      <c r="L81" s="1806">
        <f>L62-L80</f>
        <v/>
      </c>
      <c r="M81" s="1806">
        <f>M62-M80</f>
        <v/>
      </c>
    </row>
    <row r="84" ht="15" customHeight="1">
      <c r="A84" s="1371" t="inlineStr">
        <is>
          <t>CASH FLOW STATEMENT</t>
        </is>
      </c>
      <c r="B84" s="1471" t="n"/>
      <c r="C84" s="1471" t="n"/>
      <c r="D84" s="1471" t="n"/>
      <c r="E84" s="1471" t="n"/>
      <c r="F84" s="1471" t="n"/>
      <c r="G84" s="1471" t="n"/>
      <c r="H84" s="1471" t="n"/>
      <c r="I84" s="1471" t="n"/>
      <c r="J84" s="1471" t="n"/>
      <c r="K84" s="1471" t="n"/>
      <c r="L84" s="1471" t="n"/>
      <c r="M84" s="1471" t="n"/>
    </row>
    <row r="85" ht="15" customHeight="1">
      <c r="A85" s="934" t="inlineStr">
        <is>
          <t>Net income before minority</t>
        </is>
      </c>
      <c r="I85" s="1797">
        <f>I44</f>
        <v/>
      </c>
      <c r="J85" s="1797">
        <f>J44</f>
        <v/>
      </c>
      <c r="K85" s="1797">
        <f>K44</f>
        <v/>
      </c>
      <c r="L85" s="1797">
        <f>L44</f>
        <v/>
      </c>
      <c r="M85" s="1797">
        <f>M44</f>
        <v/>
      </c>
    </row>
    <row r="86" ht="15" customHeight="1">
      <c r="A86" s="934" t="inlineStr">
        <is>
          <t>Add: depreciation &amp; amortisation</t>
        </is>
      </c>
      <c r="I86" s="1797">
        <f>I36</f>
        <v/>
      </c>
      <c r="J86" s="1797">
        <f>J36</f>
        <v/>
      </c>
      <c r="K86" s="1797">
        <f>K36</f>
        <v/>
      </c>
      <c r="L86" s="1797">
        <f>L36</f>
        <v/>
      </c>
      <c r="M86" s="1797">
        <f>M36</f>
        <v/>
      </c>
    </row>
    <row r="87" ht="15" customHeight="1">
      <c r="A87" s="934" t="inlineStr">
        <is>
          <t>Change in net working capital</t>
        </is>
      </c>
      <c r="I87" s="1797">
        <f>I120</f>
        <v/>
      </c>
      <c r="J87" s="1797">
        <f>J120</f>
        <v/>
      </c>
      <c r="K87" s="1797">
        <f>K120</f>
        <v/>
      </c>
      <c r="L87" s="1797">
        <f>L120</f>
        <v/>
      </c>
      <c r="M87" s="1797">
        <f>M120</f>
        <v/>
      </c>
    </row>
    <row r="88" ht="15" customHeight="1">
      <c r="A88" s="1801" t="inlineStr">
        <is>
          <t>Cash flow from operations</t>
        </is>
      </c>
      <c r="B88" s="642" t="n"/>
      <c r="C88" s="642" t="n"/>
      <c r="D88" s="642" t="n"/>
      <c r="E88" s="642" t="n"/>
      <c r="F88" s="642" t="n"/>
      <c r="G88" s="642" t="n"/>
      <c r="H88" s="642" t="n"/>
      <c r="I88" s="1802">
        <f>SUM(I85:I87)</f>
        <v/>
      </c>
      <c r="J88" s="1802">
        <f>SUM(J85:J87)</f>
        <v/>
      </c>
      <c r="K88" s="1802">
        <f>SUM(K85:K87)</f>
        <v/>
      </c>
      <c r="L88" s="1802">
        <f>SUM(L85:L87)</f>
        <v/>
      </c>
      <c r="M88" s="1802">
        <f>SUM(M85:M87)</f>
        <v/>
      </c>
    </row>
    <row r="90" ht="15" customHeight="1">
      <c r="A90" s="934" t="inlineStr">
        <is>
          <t>Capital expenditure</t>
        </is>
      </c>
      <c r="D90" s="1807" t="n">
        <v>297721740.68</v>
      </c>
      <c r="E90" s="1807" t="n">
        <v>454234174.17</v>
      </c>
      <c r="F90" s="1807" t="n">
        <v>325198170.13</v>
      </c>
      <c r="G90" s="1807" t="n">
        <v>1477352017.16</v>
      </c>
      <c r="H90" s="1807" t="n">
        <v>3275325255.72</v>
      </c>
      <c r="I90" s="1797">
        <f>-I108</f>
        <v/>
      </c>
      <c r="J90" s="1797">
        <f>-J108</f>
        <v/>
      </c>
      <c r="K90" s="1797">
        <f>-K108</f>
        <v/>
      </c>
      <c r="L90" s="1797">
        <f>-L108</f>
        <v/>
      </c>
      <c r="M90" s="1797">
        <f>-M108</f>
        <v/>
      </c>
    </row>
    <row r="91" ht="15" customHeight="1">
      <c r="A91" s="934" t="inlineStr">
        <is>
          <t>Change in intangibles &amp; other NCA</t>
        </is>
      </c>
      <c r="I91" s="1797">
        <f>-((I59-H59)+(I60-H60))</f>
        <v/>
      </c>
      <c r="J91" s="1797">
        <f>-((J59-I59)+(J60-I60))</f>
        <v/>
      </c>
      <c r="K91" s="1797">
        <f>-((K59-J59)+(K60-J60))</f>
        <v/>
      </c>
      <c r="L91" s="1797">
        <f>-((L59-K59)+(L60-K60))</f>
        <v/>
      </c>
      <c r="M91" s="1797">
        <f>-((M59-L59)+(M60-L60))</f>
        <v/>
      </c>
    </row>
    <row r="92" ht="15" customHeight="1">
      <c r="A92" s="1801" t="inlineStr">
        <is>
          <t>Cash flow from investing</t>
        </is>
      </c>
      <c r="B92" s="642" t="n"/>
      <c r="C92" s="642" t="n"/>
      <c r="D92" s="651" t="n"/>
      <c r="E92" s="651" t="n"/>
      <c r="F92" s="651" t="n"/>
      <c r="G92" s="651" t="n"/>
      <c r="H92" s="651" t="n"/>
      <c r="I92" s="1802">
        <f>I90+I91</f>
        <v/>
      </c>
      <c r="J92" s="1802">
        <f>J90+J91</f>
        <v/>
      </c>
      <c r="K92" s="1802">
        <f>K90+K91</f>
        <v/>
      </c>
      <c r="L92" s="1802">
        <f>L90+L91</f>
        <v/>
      </c>
      <c r="M92" s="1802">
        <f>M90+M91</f>
        <v/>
      </c>
    </row>
    <row r="94" ht="15" customHeight="1">
      <c r="A94" s="934" t="inlineStr">
        <is>
          <t>Net debt issuance/(repayment)</t>
        </is>
      </c>
      <c r="I94" s="1797">
        <f>(I66-H66)+(I71-H71)</f>
        <v/>
      </c>
      <c r="J94" s="1797">
        <f>(J66-I66)+(J71-I71)</f>
        <v/>
      </c>
      <c r="K94" s="1797">
        <f>(K66-J66)+(K71-J71)</f>
        <v/>
      </c>
      <c r="L94" s="1797">
        <f>(L66-K66)+(L71-K71)</f>
        <v/>
      </c>
      <c r="M94" s="1797">
        <f>(M66-L66)+(M71-L71)</f>
        <v/>
      </c>
    </row>
    <row r="95" ht="15" customHeight="1">
      <c r="A95" s="934" t="inlineStr">
        <is>
          <t>Dividends paid</t>
        </is>
      </c>
      <c r="I95" s="1797">
        <f>-I24*I46</f>
        <v/>
      </c>
      <c r="J95" s="1797">
        <f>-J24*J46</f>
        <v/>
      </c>
      <c r="K95" s="1797">
        <f>-K24*K46</f>
        <v/>
      </c>
      <c r="L95" s="1797">
        <f>-L24*L46</f>
        <v/>
      </c>
      <c r="M95" s="1797">
        <f>-M24*M46</f>
        <v/>
      </c>
    </row>
    <row r="96" ht="15" customHeight="1">
      <c r="A96" s="934" t="inlineStr">
        <is>
          <t>Change in other LT liabilities</t>
        </is>
      </c>
      <c r="I96" s="1797">
        <f>I72-H72</f>
        <v/>
      </c>
      <c r="J96" s="1797">
        <f>J72-I72</f>
        <v/>
      </c>
      <c r="K96" s="1797">
        <f>K72-J72</f>
        <v/>
      </c>
      <c r="L96" s="1797">
        <f>L72-K72</f>
        <v/>
      </c>
      <c r="M96" s="1797">
        <f>M72-L72</f>
        <v/>
      </c>
    </row>
    <row r="97" ht="15" customHeight="1">
      <c r="A97" s="1801" t="inlineStr">
        <is>
          <t>Cash flow from financing</t>
        </is>
      </c>
      <c r="B97" s="642" t="n"/>
      <c r="C97" s="642" t="n"/>
      <c r="D97" s="642" t="n"/>
      <c r="E97" s="642" t="n"/>
      <c r="F97" s="642" t="n"/>
      <c r="G97" s="642" t="n"/>
      <c r="H97" s="642" t="n"/>
      <c r="I97" s="1802">
        <f>I94+I95+I96</f>
        <v/>
      </c>
      <c r="J97" s="1802">
        <f>J94+J95+J96</f>
        <v/>
      </c>
      <c r="K97" s="1802">
        <f>K94+K95+K96</f>
        <v/>
      </c>
      <c r="L97" s="1802">
        <f>L94+L95+L96</f>
        <v/>
      </c>
      <c r="M97" s="1802">
        <f>M94+M95+M96</f>
        <v/>
      </c>
    </row>
    <row r="98" ht="15" customHeight="1">
      <c r="A98" s="931" t="inlineStr">
        <is>
          <t>Net change in cash</t>
        </is>
      </c>
      <c r="I98" s="1805">
        <f>I88+I92+I97</f>
        <v/>
      </c>
      <c r="J98" s="1805">
        <f>J88+J92+J97</f>
        <v/>
      </c>
      <c r="K98" s="1805">
        <f>K88+K92+K97</f>
        <v/>
      </c>
      <c r="L98" s="1805">
        <f>L88+L92+L97</f>
        <v/>
      </c>
      <c r="M98" s="1805">
        <f>M88+M92+M97</f>
        <v/>
      </c>
    </row>
    <row r="99" ht="15" customHeight="1">
      <c r="A99" s="934" t="inlineStr">
        <is>
          <t>Beginning cash</t>
        </is>
      </c>
      <c r="I99" s="1797">
        <f>H51</f>
        <v/>
      </c>
      <c r="J99" s="1797">
        <f>I51</f>
        <v/>
      </c>
      <c r="K99" s="1797">
        <f>J51</f>
        <v/>
      </c>
      <c r="L99" s="1797">
        <f>K51</f>
        <v/>
      </c>
      <c r="M99" s="1797">
        <f>L51</f>
        <v/>
      </c>
    </row>
    <row r="100" ht="15" customHeight="1">
      <c r="A100" s="1803" t="inlineStr">
        <is>
          <t>Ending cash</t>
        </is>
      </c>
      <c r="B100" s="173" t="n"/>
      <c r="C100" s="173" t="n"/>
      <c r="D100" s="173" t="n"/>
      <c r="E100" s="173" t="n"/>
      <c r="F100" s="173" t="n"/>
      <c r="G100" s="173" t="n"/>
      <c r="H100" s="173" t="n"/>
      <c r="I100" s="1804">
        <f>I99+I98</f>
        <v/>
      </c>
      <c r="J100" s="1804">
        <f>J99+J98</f>
        <v/>
      </c>
      <c r="K100" s="1804">
        <f>K99+K98</f>
        <v/>
      </c>
      <c r="L100" s="1804">
        <f>L99+L98</f>
        <v/>
      </c>
      <c r="M100" s="1804">
        <f>M99+M98</f>
        <v/>
      </c>
    </row>
    <row r="101" ht="15" customHeight="1">
      <c r="A101" s="1394" t="inlineStr">
        <is>
          <t>Cash flow tie (Ending - BS cash)</t>
        </is>
      </c>
      <c r="I101" s="1806">
        <f>I100-I51</f>
        <v/>
      </c>
      <c r="J101" s="1806">
        <f>J100-J51</f>
        <v/>
      </c>
      <c r="K101" s="1806">
        <f>K100-K51</f>
        <v/>
      </c>
      <c r="L101" s="1806">
        <f>L100-L51</f>
        <v/>
      </c>
      <c r="M101" s="1806">
        <f>M100-M51</f>
        <v/>
      </c>
    </row>
    <row r="104" ht="15" customHeight="1">
      <c r="A104" s="1371" t="inlineStr">
        <is>
          <t>SUPPORTING SCHEDULES</t>
        </is>
      </c>
      <c r="B104" s="1471" t="n"/>
      <c r="C104" s="1471" t="n"/>
      <c r="D104" s="1471" t="n"/>
      <c r="E104" s="1471" t="n"/>
      <c r="F104" s="1471" t="n"/>
      <c r="G104" s="1471" t="n"/>
      <c r="H104" s="1471" t="n"/>
      <c r="I104" s="1471" t="n"/>
      <c r="J104" s="1471" t="n"/>
      <c r="K104" s="1471" t="n"/>
      <c r="L104" s="1471" t="n"/>
      <c r="M104" s="1471" t="n"/>
    </row>
    <row r="106" ht="15" customHeight="1">
      <c r="A106" s="1801" t="inlineStr">
        <is>
          <t>PPE roll-forward</t>
        </is>
      </c>
      <c r="B106" s="642" t="n"/>
      <c r="C106" s="642" t="n"/>
      <c r="D106" s="642" t="n"/>
      <c r="E106" s="642" t="n"/>
      <c r="F106" s="642" t="n"/>
      <c r="G106" s="642" t="n"/>
      <c r="H106" s="642" t="n"/>
      <c r="I106" s="642" t="n"/>
      <c r="J106" s="642" t="n"/>
      <c r="K106" s="642" t="n"/>
      <c r="L106" s="642" t="n"/>
      <c r="M106" s="642" t="n"/>
    </row>
    <row r="107" ht="15" customHeight="1">
      <c r="A107" s="934" t="inlineStr">
        <is>
          <t>Opening net PPE</t>
        </is>
      </c>
      <c r="I107" s="1797">
        <f>H58</f>
        <v/>
      </c>
      <c r="J107" s="1797">
        <f>I58</f>
        <v/>
      </c>
      <c r="K107" s="1797">
        <f>J58</f>
        <v/>
      </c>
      <c r="L107" s="1797">
        <f>K58</f>
        <v/>
      </c>
      <c r="M107" s="1797">
        <f>L58</f>
        <v/>
      </c>
    </row>
    <row r="108" ht="15" customHeight="1">
      <c r="A108" s="934" t="inlineStr">
        <is>
          <t>Plus: capex</t>
        </is>
      </c>
      <c r="I108" s="1797">
        <f>I171</f>
        <v/>
      </c>
      <c r="J108" s="1797">
        <f>J171</f>
        <v/>
      </c>
      <c r="K108" s="1797">
        <f>K171</f>
        <v/>
      </c>
      <c r="L108" s="1797">
        <f>L171</f>
        <v/>
      </c>
      <c r="M108" s="1797">
        <f>M171</f>
        <v/>
      </c>
    </row>
    <row r="109" ht="15" customHeight="1">
      <c r="A109" s="934" t="inlineStr">
        <is>
          <t>Less: depreciation &amp; amortisation</t>
        </is>
      </c>
      <c r="I109" s="1797">
        <f>-I11*I107</f>
        <v/>
      </c>
      <c r="J109" s="1797">
        <f>-J11*J107</f>
        <v/>
      </c>
      <c r="K109" s="1797">
        <f>-K11*K107</f>
        <v/>
      </c>
      <c r="L109" s="1797">
        <f>-L11*L107</f>
        <v/>
      </c>
      <c r="M109" s="1797">
        <f>-M11*M107</f>
        <v/>
      </c>
    </row>
    <row r="110" ht="15" customHeight="1">
      <c r="A110" s="931" t="inlineStr">
        <is>
          <t>Closing net PPE</t>
        </is>
      </c>
      <c r="I110" s="1805">
        <f>I107+I108+I109</f>
        <v/>
      </c>
      <c r="J110" s="1805">
        <f>J107+J108+J109</f>
        <v/>
      </c>
      <c r="K110" s="1805">
        <f>K107+K108+K109</f>
        <v/>
      </c>
      <c r="L110" s="1805">
        <f>L107+L108+L109</f>
        <v/>
      </c>
      <c r="M110" s="1805">
        <f>M107+M108+M109</f>
        <v/>
      </c>
    </row>
    <row r="112" ht="15" customHeight="1">
      <c r="A112" s="1801" t="inlineStr">
        <is>
          <t>Working capital schedule</t>
        </is>
      </c>
      <c r="B112" s="642" t="n"/>
      <c r="C112" s="642" t="n"/>
      <c r="D112" s="642" t="n"/>
      <c r="E112" s="642" t="n"/>
      <c r="F112" s="642" t="n"/>
      <c r="G112" s="642" t="n"/>
      <c r="H112" s="642" t="n"/>
      <c r="I112" s="642" t="n"/>
      <c r="J112" s="642" t="n"/>
      <c r="K112" s="642" t="n"/>
      <c r="L112" s="642" t="n"/>
      <c r="M112" s="642" t="n"/>
    </row>
    <row r="113" ht="15" customHeight="1">
      <c r="A113" s="934" t="inlineStr">
        <is>
          <t xml:space="preserve">  Receivables</t>
        </is>
      </c>
      <c r="D113" s="1797">
        <f>D52</f>
        <v/>
      </c>
      <c r="E113" s="1797">
        <f>E52</f>
        <v/>
      </c>
      <c r="F113" s="1797">
        <f>F52</f>
        <v/>
      </c>
      <c r="G113" s="1797">
        <f>G52</f>
        <v/>
      </c>
      <c r="H113" s="1797">
        <f>H52</f>
        <v/>
      </c>
      <c r="I113" s="1797">
        <f>I52</f>
        <v/>
      </c>
      <c r="J113" s="1797">
        <f>J52</f>
        <v/>
      </c>
      <c r="K113" s="1797">
        <f>K52</f>
        <v/>
      </c>
      <c r="L113" s="1797">
        <f>L52</f>
        <v/>
      </c>
      <c r="M113" s="1797">
        <f>M52</f>
        <v/>
      </c>
    </row>
    <row r="114" ht="14.25" customHeight="1">
      <c r="A114" s="934" t="inlineStr">
        <is>
          <t xml:space="preserve">  Inventories</t>
        </is>
      </c>
      <c r="D114" s="1797">
        <f>D53</f>
        <v/>
      </c>
      <c r="E114" s="1797">
        <f>E53</f>
        <v/>
      </c>
      <c r="F114" s="1797">
        <f>F53</f>
        <v/>
      </c>
      <c r="G114" s="1797">
        <f>G53</f>
        <v/>
      </c>
      <c r="H114" s="1797">
        <f>H53</f>
        <v/>
      </c>
      <c r="I114" s="1797">
        <f>I53</f>
        <v/>
      </c>
      <c r="J114" s="1797">
        <f>J53</f>
        <v/>
      </c>
      <c r="K114" s="1797">
        <f>K53</f>
        <v/>
      </c>
      <c r="L114" s="1797">
        <f>L53</f>
        <v/>
      </c>
      <c r="M114" s="1797">
        <f>M53</f>
        <v/>
      </c>
    </row>
    <row r="115" ht="14.25" customHeight="1">
      <c r="A115" s="934" t="inlineStr">
        <is>
          <t xml:space="preserve">  Prepaid expenses</t>
        </is>
      </c>
      <c r="D115" s="1797">
        <f>D54</f>
        <v/>
      </c>
      <c r="E115" s="1797">
        <f>E54</f>
        <v/>
      </c>
      <c r="F115" s="1797">
        <f>F54</f>
        <v/>
      </c>
      <c r="G115" s="1797">
        <f>G54</f>
        <v/>
      </c>
      <c r="H115" s="1797">
        <f>H54</f>
        <v/>
      </c>
      <c r="I115" s="1797">
        <f>I54</f>
        <v/>
      </c>
      <c r="J115" s="1797">
        <f>J54</f>
        <v/>
      </c>
      <c r="K115" s="1797">
        <f>K54</f>
        <v/>
      </c>
      <c r="L115" s="1797">
        <f>L54</f>
        <v/>
      </c>
      <c r="M115" s="1797">
        <f>M54</f>
        <v/>
      </c>
    </row>
    <row r="116" ht="14.25" customHeight="1">
      <c r="A116" s="934" t="inlineStr">
        <is>
          <t xml:space="preserve">  Other current assets</t>
        </is>
      </c>
      <c r="D116" s="1797">
        <f>D55</f>
        <v/>
      </c>
      <c r="E116" s="1797">
        <f>E55</f>
        <v/>
      </c>
      <c r="F116" s="1797">
        <f>F55</f>
        <v/>
      </c>
      <c r="G116" s="1797">
        <f>G55</f>
        <v/>
      </c>
      <c r="H116" s="1797">
        <f>H55</f>
        <v/>
      </c>
      <c r="I116" s="1797">
        <f>I55</f>
        <v/>
      </c>
      <c r="J116" s="1797">
        <f>J55</f>
        <v/>
      </c>
      <c r="K116" s="1797">
        <f>K55</f>
        <v/>
      </c>
      <c r="L116" s="1797">
        <f>L55</f>
        <v/>
      </c>
      <c r="M116" s="1797">
        <f>M55</f>
        <v/>
      </c>
    </row>
    <row r="117" ht="14.25" customHeight="1">
      <c r="A117" s="934" t="inlineStr">
        <is>
          <t xml:space="preserve">  less: Accounts payable</t>
        </is>
      </c>
      <c r="D117" s="1797">
        <f>-D65</f>
        <v/>
      </c>
      <c r="E117" s="1797">
        <f>-E65</f>
        <v/>
      </c>
      <c r="F117" s="1797">
        <f>-F65</f>
        <v/>
      </c>
      <c r="G117" s="1797">
        <f>-G65</f>
        <v/>
      </c>
      <c r="H117" s="1797">
        <f>-H65</f>
        <v/>
      </c>
      <c r="I117" s="1797">
        <f>-I65</f>
        <v/>
      </c>
      <c r="J117" s="1797">
        <f>-J65</f>
        <v/>
      </c>
      <c r="K117" s="1797">
        <f>-K65</f>
        <v/>
      </c>
      <c r="L117" s="1797">
        <f>-L65</f>
        <v/>
      </c>
      <c r="M117" s="1797">
        <f>-M65</f>
        <v/>
      </c>
    </row>
    <row r="118" ht="14.25" customHeight="1">
      <c r="A118" s="934" t="inlineStr">
        <is>
          <t xml:space="preserve">  less: Tax payable &amp; other current liab.</t>
        </is>
      </c>
      <c r="D118" s="1797">
        <f>-D67-D68</f>
        <v/>
      </c>
      <c r="E118" s="1797">
        <f>-E67-E68</f>
        <v/>
      </c>
      <c r="F118" s="1797">
        <f>-F67-F68</f>
        <v/>
      </c>
      <c r="G118" s="1797">
        <f>-G67-G68</f>
        <v/>
      </c>
      <c r="H118" s="1797">
        <f>-H67-H68</f>
        <v/>
      </c>
      <c r="I118" s="1797">
        <f>-I67-I68</f>
        <v/>
      </c>
      <c r="J118" s="1797">
        <f>-J67-J68</f>
        <v/>
      </c>
      <c r="K118" s="1797">
        <f>-K67-K68</f>
        <v/>
      </c>
      <c r="L118" s="1797">
        <f>-L67-L68</f>
        <v/>
      </c>
      <c r="M118" s="1797">
        <f>-M67-M68</f>
        <v/>
      </c>
    </row>
    <row r="119" ht="15" customHeight="1">
      <c r="A119" s="1803" t="inlineStr">
        <is>
          <t>Net working capital (non-cash)</t>
        </is>
      </c>
      <c r="B119" s="173" t="n"/>
      <c r="C119" s="173" t="n"/>
      <c r="D119" s="1805">
        <f>SUM(D113:D118)</f>
        <v/>
      </c>
      <c r="E119" s="1805">
        <f>SUM(E113:E118)</f>
        <v/>
      </c>
      <c r="F119" s="1805">
        <f>SUM(F113:F118)</f>
        <v/>
      </c>
      <c r="G119" s="1805">
        <f>SUM(G113:G118)</f>
        <v/>
      </c>
      <c r="H119" s="1805">
        <f>SUM(H113:H118)</f>
        <v/>
      </c>
      <c r="I119" s="1805">
        <f>SUM(I113:I118)</f>
        <v/>
      </c>
      <c r="J119" s="1805">
        <f>SUM(J113:J118)</f>
        <v/>
      </c>
      <c r="K119" s="1805">
        <f>SUM(K113:K118)</f>
        <v/>
      </c>
      <c r="L119" s="1805">
        <f>SUM(L113:L118)</f>
        <v/>
      </c>
      <c r="M119" s="1805">
        <f>SUM(M113:M118)</f>
        <v/>
      </c>
    </row>
    <row r="120" ht="14.25" customHeight="1">
      <c r="A120" s="1394" t="inlineStr">
        <is>
          <t>Change in NWC – source/(use)</t>
        </is>
      </c>
      <c r="I120" s="1808">
        <f>-(I119-H119)</f>
        <v/>
      </c>
      <c r="J120" s="1808">
        <f>-(J119-I119)</f>
        <v/>
      </c>
      <c r="K120" s="1808">
        <f>-(K119-J119)</f>
        <v/>
      </c>
      <c r="L120" s="1808">
        <f>-(L119-K119)</f>
        <v/>
      </c>
      <c r="M120" s="1808">
        <f>-(M119-L119)</f>
        <v/>
      </c>
    </row>
    <row r="121" ht="15" customHeight="1">
      <c r="A121" s="1801" t="inlineStr">
        <is>
          <t>Debt schedule</t>
        </is>
      </c>
      <c r="B121" s="642" t="n"/>
      <c r="C121" s="642" t="n"/>
      <c r="D121" s="642" t="n"/>
      <c r="E121" s="642" t="n"/>
      <c r="F121" s="642" t="n"/>
      <c r="G121" s="642" t="n"/>
      <c r="H121" s="642" t="n"/>
      <c r="I121" s="642" t="n"/>
      <c r="J121" s="642" t="n"/>
      <c r="K121" s="642" t="n"/>
      <c r="L121" s="642" t="n"/>
      <c r="M121" s="642" t="n"/>
    </row>
    <row r="122" ht="15" customHeight="1">
      <c r="A122" s="934" t="inlineStr">
        <is>
          <t>Total debt opening</t>
        </is>
      </c>
      <c r="I122" s="1797">
        <f>H66+H71</f>
        <v/>
      </c>
      <c r="J122" s="1797">
        <f>I66+I71</f>
        <v/>
      </c>
      <c r="K122" s="1797">
        <f>J66+J71</f>
        <v/>
      </c>
      <c r="L122" s="1797">
        <f>K66+K71</f>
        <v/>
      </c>
      <c r="M122" s="1797">
        <f>L66+L71</f>
        <v/>
      </c>
    </row>
    <row r="123" ht="15" customHeight="1">
      <c r="A123" s="934" t="inlineStr">
        <is>
          <t>Net issuance/(repayment)</t>
        </is>
      </c>
      <c r="I123" s="1797">
        <f>(I66-H66)+(I71-H71)</f>
        <v/>
      </c>
      <c r="J123" s="1797">
        <f>(J66-I66)+(J71-I71)</f>
        <v/>
      </c>
      <c r="K123" s="1797">
        <f>(K66-J66)+(K71-J71)</f>
        <v/>
      </c>
      <c r="L123" s="1797">
        <f>(L66-K66)+(L71-K71)</f>
        <v/>
      </c>
      <c r="M123" s="1797">
        <f>(M66-L66)+(M71-L71)</f>
        <v/>
      </c>
    </row>
    <row r="124" ht="15" customHeight="1">
      <c r="A124" s="934" t="inlineStr">
        <is>
          <t>Total debt closing</t>
        </is>
      </c>
      <c r="D124" s="1797">
        <f>D66+D71</f>
        <v/>
      </c>
      <c r="E124" s="1797">
        <f>E66+E71</f>
        <v/>
      </c>
      <c r="F124" s="1797">
        <f>F66+F71</f>
        <v/>
      </c>
      <c r="G124" s="1797">
        <f>G66+G71</f>
        <v/>
      </c>
      <c r="H124" s="1797">
        <f>H66+H71</f>
        <v/>
      </c>
      <c r="I124" s="1797">
        <f>I66+I71</f>
        <v/>
      </c>
      <c r="J124" s="1797">
        <f>J66+J71</f>
        <v/>
      </c>
      <c r="K124" s="1797">
        <f>K66+K71</f>
        <v/>
      </c>
      <c r="L124" s="1797">
        <f>L66+L71</f>
        <v/>
      </c>
      <c r="M124" s="1797">
        <f>M66+M71</f>
        <v/>
      </c>
    </row>
    <row r="125" ht="15" customHeight="1">
      <c r="A125" s="934" t="inlineStr">
        <is>
          <t>Average total debt</t>
        </is>
      </c>
      <c r="I125" s="1797">
        <f>(I122+I124)/2</f>
        <v/>
      </c>
      <c r="J125" s="1797">
        <f>(J122+J124)/2</f>
        <v/>
      </c>
      <c r="K125" s="1797">
        <f>(K122+K124)/2</f>
        <v/>
      </c>
      <c r="L125" s="1797">
        <f>(L122+L124)/2</f>
        <v/>
      </c>
      <c r="M125" s="1797">
        <f>(M122+M124)/2</f>
        <v/>
      </c>
    </row>
    <row r="127" ht="15" customHeight="1">
      <c r="A127" s="1371" t="inlineStr">
        <is>
          <t>KEY METRICS</t>
        </is>
      </c>
      <c r="B127" s="1471" t="n"/>
      <c r="C127" s="1471" t="n"/>
      <c r="D127" s="1471" t="n"/>
      <c r="E127" s="1471" t="n"/>
      <c r="F127" s="1471" t="n"/>
      <c r="G127" s="1471" t="n"/>
      <c r="H127" s="1471" t="n"/>
      <c r="I127" s="1471" t="n"/>
      <c r="J127" s="1471" t="n"/>
      <c r="K127" s="1471" t="n"/>
      <c r="L127" s="1471" t="n"/>
      <c r="M127" s="1471" t="n"/>
    </row>
    <row r="128" ht="15" customHeight="1">
      <c r="A128" s="934" t="inlineStr">
        <is>
          <t>EBITDA margin</t>
        </is>
      </c>
      <c r="D128" s="1791">
        <f>D37/D28</f>
        <v/>
      </c>
      <c r="E128" s="1791">
        <f>E37/E28</f>
        <v/>
      </c>
      <c r="F128" s="1791">
        <f>F37/F28</f>
        <v/>
      </c>
      <c r="G128" s="1791">
        <f>G37/G28</f>
        <v/>
      </c>
      <c r="H128" s="1791">
        <f>H37/H28</f>
        <v/>
      </c>
      <c r="I128" s="1791">
        <f>I37/I28</f>
        <v/>
      </c>
      <c r="J128" s="1791">
        <f>J37/J28</f>
        <v/>
      </c>
      <c r="K128" s="1791">
        <f>K37/K28</f>
        <v/>
      </c>
      <c r="L128" s="1791">
        <f>L37/L28</f>
        <v/>
      </c>
      <c r="M128" s="1791">
        <f>M37/M28</f>
        <v/>
      </c>
    </row>
    <row r="129" ht="15" customHeight="1">
      <c r="A129" s="934" t="inlineStr">
        <is>
          <t>Net margin (to parent)</t>
        </is>
      </c>
      <c r="D129" s="1791">
        <f>D46/D28</f>
        <v/>
      </c>
      <c r="E129" s="1791">
        <f>E46/E28</f>
        <v/>
      </c>
      <c r="F129" s="1791">
        <f>F46/F28</f>
        <v/>
      </c>
      <c r="G129" s="1791">
        <f>G46/G28</f>
        <v/>
      </c>
      <c r="H129" s="1791">
        <f>H46/H28</f>
        <v/>
      </c>
      <c r="I129" s="1791">
        <f>I46/I28</f>
        <v/>
      </c>
      <c r="J129" s="1791">
        <f>J46/J28</f>
        <v/>
      </c>
      <c r="K129" s="1791">
        <f>K46/K28</f>
        <v/>
      </c>
      <c r="L129" s="1791">
        <f>L46/L28</f>
        <v/>
      </c>
      <c r="M129" s="1791">
        <f>M46/M28</f>
        <v/>
      </c>
    </row>
    <row r="130" ht="15" customHeight="1">
      <c r="A130" s="934" t="inlineStr">
        <is>
          <t>Net debt / EBITDA (x)</t>
        </is>
      </c>
      <c r="D130" s="1809">
        <f>(D124-D51)/D37</f>
        <v/>
      </c>
      <c r="E130" s="1809">
        <f>(E124-E51)/E37</f>
        <v/>
      </c>
      <c r="F130" s="1809">
        <f>(F124-F51)/F37</f>
        <v/>
      </c>
      <c r="G130" s="1809">
        <f>(G124-G51)/G37</f>
        <v/>
      </c>
      <c r="H130" s="1809">
        <f>(H124-H51)/H37</f>
        <v/>
      </c>
      <c r="I130" s="1809">
        <f>(I124-I51)/I37</f>
        <v/>
      </c>
      <c r="J130" s="1809">
        <f>(J124-J51)/J37</f>
        <v/>
      </c>
      <c r="K130" s="1809">
        <f>(K124-K51)/K37</f>
        <v/>
      </c>
      <c r="L130" s="1809">
        <f>(L124-L51)/L37</f>
        <v/>
      </c>
      <c r="M130" s="1809">
        <f>(M124-M51)/M37</f>
        <v/>
      </c>
    </row>
    <row r="131" ht="15" customHeight="1">
      <c r="A131" s="934" t="inlineStr">
        <is>
          <t>Net debt / equity (x)</t>
        </is>
      </c>
      <c r="D131" s="1809">
        <f>(D124-D51)/D79</f>
        <v/>
      </c>
      <c r="E131" s="1809">
        <f>(E124-E51)/E79</f>
        <v/>
      </c>
      <c r="F131" s="1809">
        <f>(F124-F51)/F79</f>
        <v/>
      </c>
      <c r="G131" s="1809">
        <f>(G124-G51)/G79</f>
        <v/>
      </c>
      <c r="H131" s="1809">
        <f>(H124-H51)/H79</f>
        <v/>
      </c>
      <c r="I131" s="1809">
        <f>(I124-I51)/I79</f>
        <v/>
      </c>
      <c r="J131" s="1809">
        <f>(J124-J51)/J79</f>
        <v/>
      </c>
      <c r="K131" s="1809">
        <f>(K124-K51)/K79</f>
        <v/>
      </c>
      <c r="L131" s="1809">
        <f>(L124-L51)/L79</f>
        <v/>
      </c>
      <c r="M131" s="1809">
        <f>(M124-M51)/M79</f>
        <v/>
      </c>
    </row>
    <row r="132" ht="15" customHeight="1">
      <c r="A132" s="934" t="inlineStr">
        <is>
          <t>Return on equity (parent)</t>
        </is>
      </c>
      <c r="E132" s="1791">
        <f>E46/((E79+D79)/2)</f>
        <v/>
      </c>
      <c r="F132" s="1791">
        <f>F46/((F79+E79)/2)</f>
        <v/>
      </c>
      <c r="G132" s="1791">
        <f>G46/((G79+F79)/2)</f>
        <v/>
      </c>
      <c r="H132" s="1791">
        <f>H46/((H79+G79)/2)</f>
        <v/>
      </c>
      <c r="I132" s="1791">
        <f>I46/((I79+H79)/2)</f>
        <v/>
      </c>
      <c r="J132" s="1791">
        <f>J46/((J79+I79)/2)</f>
        <v/>
      </c>
      <c r="K132" s="1791">
        <f>K46/((K79+J79)/2)</f>
        <v/>
      </c>
      <c r="L132" s="1791">
        <f>L46/((L79+K79)/2)</f>
        <v/>
      </c>
      <c r="M132" s="1791">
        <f>M46/((M79+L79)/2)</f>
        <v/>
      </c>
    </row>
    <row r="134" ht="15" customHeight="1">
      <c r="A134" s="1371" t="inlineStr">
        <is>
          <t>REVENUE SCHEDULE</t>
        </is>
      </c>
      <c r="B134" s="1471" t="n"/>
      <c r="C134" s="1471" t="n"/>
      <c r="D134" s="1471" t="n"/>
      <c r="E134" s="1471" t="n"/>
      <c r="F134" s="1471" t="n"/>
      <c r="G134" s="1471" t="n"/>
      <c r="H134" s="1471" t="n"/>
      <c r="I134" s="1471" t="n"/>
      <c r="J134" s="1471" t="n"/>
      <c r="K134" s="1471" t="n"/>
      <c r="L134" s="1471" t="n"/>
      <c r="M134" s="1471" t="n"/>
    </row>
    <row r="135" ht="15" customHeight="1">
      <c r="A135" s="1394" t="inlineStr">
        <is>
          <t>Segment \ Year</t>
        </is>
      </c>
      <c r="H135" s="1495" t="inlineStr">
        <is>
          <t>2025A</t>
        </is>
      </c>
      <c r="I135" s="1495" t="inlineStr">
        <is>
          <t>2026F</t>
        </is>
      </c>
      <c r="J135" s="1495" t="inlineStr">
        <is>
          <t>2027F</t>
        </is>
      </c>
      <c r="K135" s="1495" t="inlineStr">
        <is>
          <t>2028F</t>
        </is>
      </c>
      <c r="L135" s="1495" t="inlineStr">
        <is>
          <t>2029F</t>
        </is>
      </c>
      <c r="M135" s="1495" t="inlineStr">
        <is>
          <t>2030F</t>
        </is>
      </c>
    </row>
    <row r="136" ht="15" customHeight="1">
      <c r="A136" s="1801" t="inlineStr">
        <is>
          <t>FTTH (Starlite)</t>
        </is>
      </c>
      <c r="B136" s="642" t="n"/>
      <c r="C136" s="642" t="n"/>
      <c r="D136" s="642" t="n"/>
      <c r="E136" s="642" t="n"/>
      <c r="F136" s="642" t="n"/>
      <c r="G136" s="642" t="n"/>
      <c r="H136" s="642" t="n"/>
      <c r="I136" s="1195" t="n"/>
      <c r="J136" s="1195" t="n"/>
      <c r="K136" s="1195" t="n"/>
      <c r="L136" s="1195" t="n"/>
      <c r="M136" s="1195" t="n"/>
    </row>
    <row r="137" ht="15" customHeight="1">
      <c r="A137" s="934" t="inlineStr">
        <is>
          <t xml:space="preserve">  Homeconnect net adds ('000)</t>
        </is>
      </c>
      <c r="H137" s="1358">
        <f>H138-G138</f>
        <v/>
      </c>
      <c r="I137" s="1810">
        <f>CHOOSE($C$5,I155,I156,I157)</f>
        <v/>
      </c>
      <c r="J137" s="1810">
        <f>CHOOSE($C$5,J155,J156,J157)</f>
        <v/>
      </c>
      <c r="K137" s="1810">
        <f>CHOOSE($C$5,K155,K156,K157)</f>
        <v/>
      </c>
      <c r="L137" s="1810">
        <f>CHOOSE($C$5,L155,L156,L157)</f>
        <v/>
      </c>
      <c r="M137" s="1810">
        <f>CHOOSE($C$5,M155,M156,M157)</f>
        <v/>
      </c>
    </row>
    <row r="138" ht="15" customHeight="1">
      <c r="A138" s="934" t="inlineStr">
        <is>
          <t xml:space="preserve">  Homeconnect end-of-period ('000)</t>
        </is>
      </c>
      <c r="G138" s="1811" t="n">
        <v>185</v>
      </c>
      <c r="H138" s="1811" t="n">
        <v>1500</v>
      </c>
      <c r="I138" s="1810">
        <f>H138+I137</f>
        <v/>
      </c>
      <c r="J138" s="1810">
        <f>I138+J137</f>
        <v/>
      </c>
      <c r="K138" s="1810">
        <f>J138+K137</f>
        <v/>
      </c>
      <c r="L138" s="1810">
        <f>K138+L137</f>
        <v/>
      </c>
      <c r="M138" s="1810">
        <f>L138+M137</f>
        <v/>
      </c>
    </row>
    <row r="139" ht="15" customHeight="1">
      <c r="A139" s="1812" t="inlineStr">
        <is>
          <t>Growth Rate</t>
        </is>
      </c>
      <c r="B139" s="660" t="n"/>
      <c r="C139" s="660" t="n"/>
      <c r="D139" s="660" t="n"/>
      <c r="E139" s="660" t="n"/>
      <c r="F139" s="660" t="n"/>
      <c r="G139" s="661" t="n"/>
      <c r="H139" s="1813">
        <f>H138/G138-1</f>
        <v/>
      </c>
      <c r="I139" s="1813">
        <f>I138/H138-1</f>
        <v/>
      </c>
      <c r="J139" s="1813">
        <f>J138/I138-1</f>
        <v/>
      </c>
      <c r="K139" s="1813">
        <f>K138/J138-1</f>
        <v/>
      </c>
      <c r="L139" s="1813">
        <f>L138/K138-1</f>
        <v/>
      </c>
      <c r="M139" s="1813">
        <f>M138/L138-1</f>
        <v/>
      </c>
    </row>
    <row r="140" ht="15" customHeight="1">
      <c r="A140" s="934" t="inlineStr">
        <is>
          <t xml:space="preserve">  Average homeconnect ('000)</t>
        </is>
      </c>
      <c r="H140" s="1810">
        <f>(H138)/2</f>
        <v/>
      </c>
      <c r="I140" s="1810">
        <f>(H138+I138)/2</f>
        <v/>
      </c>
      <c r="J140" s="1810">
        <f>(I138+J138)/2</f>
        <v/>
      </c>
      <c r="K140" s="1810">
        <f>(J138+K138)/2</f>
        <v/>
      </c>
      <c r="L140" s="1810">
        <f>(K138+L138)/2</f>
        <v/>
      </c>
      <c r="M140" s="1810">
        <f>(L138+M138)/2</f>
        <v/>
      </c>
    </row>
    <row r="141" ht="15" customHeight="1">
      <c r="A141" s="934" t="inlineStr">
        <is>
          <t xml:space="preserve">  FTTH ARPU (Rp'000 / sub / month)</t>
        </is>
      </c>
      <c r="H141" s="1810">
        <f>H142/H140/12000</f>
        <v/>
      </c>
      <c r="I141" s="1811" t="n">
        <v>70</v>
      </c>
      <c r="J141" s="1810">
        <f>I141*103%</f>
        <v/>
      </c>
      <c r="K141" s="1810">
        <f>J141*103%</f>
        <v/>
      </c>
      <c r="L141" s="1810">
        <f>K141*103%</f>
        <v/>
      </c>
      <c r="M141" s="1810">
        <f>L141*103%</f>
        <v/>
      </c>
    </row>
    <row r="142" ht="15" customHeight="1">
      <c r="A142" s="931" t="inlineStr">
        <is>
          <t xml:space="preserve">  FTTH revenue</t>
        </is>
      </c>
      <c r="H142" s="1800">
        <f>'WIFI Rev-COGS Detail'!H17</f>
        <v/>
      </c>
      <c r="I142" s="1797">
        <f>I140*I141*12*1000</f>
        <v/>
      </c>
      <c r="J142" s="1797">
        <f>J140*J141*12*1000</f>
        <v/>
      </c>
      <c r="K142" s="1797">
        <f>K140*K141*12*1000</f>
        <v/>
      </c>
      <c r="L142" s="1797">
        <f>L140*L141*12*1000</f>
        <v/>
      </c>
      <c r="M142" s="1797">
        <f>M140*M141*12*1000</f>
        <v/>
      </c>
    </row>
    <row r="143" ht="15" customHeight="1">
      <c r="A143" s="1801" t="inlineStr">
        <is>
          <t>FWA (IRA)</t>
        </is>
      </c>
      <c r="B143" s="642" t="n"/>
      <c r="C143" s="642" t="n"/>
      <c r="D143" s="642" t="n"/>
      <c r="E143" s="642" t="n"/>
      <c r="F143" s="642" t="n"/>
      <c r="G143" s="642" t="n"/>
      <c r="H143" s="642" t="n"/>
      <c r="I143" s="642" t="n"/>
      <c r="J143" s="642" t="n"/>
      <c r="K143" s="642" t="n"/>
      <c r="L143" s="642" t="n"/>
      <c r="M143" s="642" t="n"/>
    </row>
    <row r="144" ht="15" customHeight="1">
      <c r="A144" s="934" t="inlineStr">
        <is>
          <t xml:space="preserve">  Paying-sub net adds ('000)</t>
        </is>
      </c>
      <c r="I144" s="1810">
        <f>CHOOSE($C$5,I158,I159,I160)</f>
        <v/>
      </c>
      <c r="J144" s="1810">
        <f>CHOOSE($C$5,J158,J159,J160)</f>
        <v/>
      </c>
      <c r="K144" s="1810">
        <f>CHOOSE($C$5,K158,K159,K160)</f>
        <v/>
      </c>
      <c r="L144" s="1810">
        <f>CHOOSE($C$5,L158,L159,L160)</f>
        <v/>
      </c>
      <c r="M144" s="1810">
        <f>CHOOSE($C$5,M158,M159,M160)</f>
        <v/>
      </c>
    </row>
    <row r="145" ht="15" customHeight="1">
      <c r="A145" s="934" t="inlineStr">
        <is>
          <t xml:space="preserve">  Paying subs end-of-period ('000)</t>
        </is>
      </c>
      <c r="G145" s="1811" t="n">
        <v>0</v>
      </c>
      <c r="H145" s="1811" t="n">
        <v>0</v>
      </c>
      <c r="I145" s="1810">
        <f>H145+I144</f>
        <v/>
      </c>
      <c r="J145" s="1810">
        <f>I145+J144</f>
        <v/>
      </c>
      <c r="K145" s="1810">
        <f>J145+K144</f>
        <v/>
      </c>
      <c r="L145" s="1810">
        <f>K145+L144</f>
        <v/>
      </c>
      <c r="M145" s="1810">
        <f>L145+M144</f>
        <v/>
      </c>
    </row>
    <row r="146" ht="15" customHeight="1">
      <c r="A146" s="934" t="inlineStr">
        <is>
          <t xml:space="preserve">  Average paying subs ('000)</t>
        </is>
      </c>
      <c r="H146" s="1810">
        <f>(G145+H145)/2</f>
        <v/>
      </c>
      <c r="I146" s="1810">
        <f>(H145+I145)/2</f>
        <v/>
      </c>
      <c r="J146" s="1810">
        <f>(I145+J145)/2</f>
        <v/>
      </c>
      <c r="K146" s="1810">
        <f>(J145+K145)/2</f>
        <v/>
      </c>
      <c r="L146" s="1810">
        <f>(K145+L145)/2</f>
        <v/>
      </c>
      <c r="M146" s="1810">
        <f>(L145+M145)/2</f>
        <v/>
      </c>
    </row>
    <row r="147" ht="15" customHeight="1">
      <c r="A147" s="934" t="inlineStr">
        <is>
          <t xml:space="preserve">  FWA ARPU (Rp'000 / sub / month)</t>
        </is>
      </c>
      <c r="H147" s="1811" t="n">
        <v>70</v>
      </c>
      <c r="I147" s="1811" t="n">
        <v>70</v>
      </c>
      <c r="J147" s="1810">
        <f>I147*103%</f>
        <v/>
      </c>
      <c r="K147" s="1810">
        <f>J147*103%</f>
        <v/>
      </c>
      <c r="L147" s="1810">
        <f>K147*103%</f>
        <v/>
      </c>
      <c r="M147" s="1810">
        <f>L147*103%</f>
        <v/>
      </c>
    </row>
    <row r="148" ht="15" customHeight="1">
      <c r="A148" s="931" t="inlineStr">
        <is>
          <t xml:space="preserve">  FWA revenue</t>
        </is>
      </c>
      <c r="H148" s="1797">
        <f>H146*H147*12*1000</f>
        <v/>
      </c>
      <c r="I148" s="1797">
        <f>I146*I147*12*1000</f>
        <v/>
      </c>
      <c r="J148" s="1797">
        <f>J146*J147*12*1000</f>
        <v/>
      </c>
      <c r="K148" s="1797">
        <f>K146*K147*12*1000</f>
        <v/>
      </c>
      <c r="L148" s="1797">
        <f>L146*L147*12*1000</f>
        <v/>
      </c>
      <c r="M148" s="1797">
        <f>M146*M147*12*1000</f>
        <v/>
      </c>
    </row>
    <row r="149" ht="15" customHeight="1">
      <c r="A149" s="1801" t="inlineStr">
        <is>
          <t>Other / legacy revenue</t>
        </is>
      </c>
      <c r="B149" s="642" t="n"/>
      <c r="C149" s="642" t="n"/>
      <c r="D149" s="642" t="n"/>
      <c r="E149" s="642" t="n"/>
      <c r="F149" s="642" t="n"/>
      <c r="G149" s="642" t="n"/>
      <c r="H149" s="642" t="n"/>
      <c r="I149" s="642" t="n"/>
      <c r="J149" s="642" t="n"/>
      <c r="K149" s="642" t="n"/>
      <c r="L149" s="642" t="n"/>
      <c r="M149" s="642" t="n"/>
      <c r="O149" s="1252" t="inlineStr">
        <is>
          <t>Management Guidance FTTH FY2026F</t>
        </is>
      </c>
    </row>
    <row r="150" ht="15" customHeight="1">
      <c r="A150" s="934" t="inlineStr">
        <is>
          <t>Other telco (Bandwidth+Sewa core+Colocation+Lainnya)</t>
        </is>
      </c>
      <c r="H150" s="1797">
        <f>H28-H142-H148-H151</f>
        <v/>
      </c>
      <c r="I150" s="1800">
        <f>'WIFI Rev-COGS Detail'!I16+'WIFI Rev-COGS Detail'!I19+'WIFI Rev-COGS Detail'!I20+'WIFI Rev-COGS Detail'!I21</f>
        <v/>
      </c>
      <c r="J150" s="1800">
        <f>'WIFI Rev-COGS Detail'!J16+'WIFI Rev-COGS Detail'!J19+'WIFI Rev-COGS Detail'!J20+'WIFI Rev-COGS Detail'!J21</f>
        <v/>
      </c>
      <c r="K150" s="1800">
        <f>'WIFI Rev-COGS Detail'!K16+'WIFI Rev-COGS Detail'!K19+'WIFI Rev-COGS Detail'!K20+'WIFI Rev-COGS Detail'!K21</f>
        <v/>
      </c>
      <c r="L150" s="1800">
        <f>'WIFI Rev-COGS Detail'!L16+'WIFI Rev-COGS Detail'!L19+'WIFI Rev-COGS Detail'!L20+'WIFI Rev-COGS Detail'!L21</f>
        <v/>
      </c>
      <c r="M150" s="1800">
        <f>'WIFI Rev-COGS Detail'!M16+'WIFI Rev-COGS Detail'!M19+'WIFI Rev-COGS Detail'!M20+'WIFI Rev-COGS Detail'!M21</f>
        <v/>
      </c>
    </row>
    <row r="151" ht="15" customHeight="1">
      <c r="A151" s="934" t="inlineStr">
        <is>
          <t>Advertising Revenue</t>
        </is>
      </c>
      <c r="H151" s="1354" t="n">
        <v>459466094.623</v>
      </c>
      <c r="I151" s="1814">
        <f>'WIFI Rev-COGS Detail'!I23</f>
        <v/>
      </c>
      <c r="J151" s="1814">
        <f>'WIFI Rev-COGS Detail'!J23</f>
        <v/>
      </c>
      <c r="K151" s="1814">
        <f>'WIFI Rev-COGS Detail'!K23</f>
        <v/>
      </c>
      <c r="L151" s="1814">
        <f>'WIFI Rev-COGS Detail'!L23</f>
        <v/>
      </c>
      <c r="M151" s="1814">
        <f>'WIFI Rev-COGS Detail'!M23</f>
        <v/>
      </c>
    </row>
    <row r="152" ht="15" customHeight="1">
      <c r="A152" s="1803" t="inlineStr">
        <is>
          <t>TOTAL REVENUE (schedule)</t>
        </is>
      </c>
      <c r="B152" s="173" t="n"/>
      <c r="C152" s="173" t="n"/>
      <c r="D152" s="173" t="n"/>
      <c r="E152" s="173" t="n"/>
      <c r="F152" s="173" t="n"/>
      <c r="G152" s="173" t="n"/>
      <c r="H152" s="1804">
        <f>H142+H148+H150+H151</f>
        <v/>
      </c>
      <c r="I152" s="1804">
        <f>I142+I148+I150+I151</f>
        <v/>
      </c>
      <c r="J152" s="1804">
        <f>J142+J148+J150+J151</f>
        <v/>
      </c>
      <c r="K152" s="1804">
        <f>K142+K148+K150+K151</f>
        <v/>
      </c>
      <c r="L152" s="1804">
        <f>L142+L148+L150+L151</f>
        <v/>
      </c>
      <c r="M152" s="1804">
        <f>M142+M148+M150+M151</f>
        <v/>
      </c>
    </row>
    <row r="154" ht="15" customHeight="1">
      <c r="A154" s="1371" t="inlineStr">
        <is>
          <t>SCENARIO DRIVERS  –  net subscriber adds ('000/yr).  Switch C5: 1=Bear 2=Base 3=Bull</t>
        </is>
      </c>
      <c r="B154" s="1471" t="n"/>
      <c r="C154" s="1471" t="n"/>
      <c r="D154" s="1471" t="n"/>
      <c r="E154" s="1471" t="n"/>
      <c r="F154" s="1471" t="n"/>
      <c r="G154" s="1471" t="n"/>
      <c r="H154" s="1471" t="n"/>
      <c r="I154" s="1471" t="n"/>
      <c r="J154" s="1471" t="n"/>
      <c r="K154" s="1471" t="n"/>
      <c r="L154" s="1471" t="n"/>
      <c r="M154" s="1471" t="n"/>
    </row>
    <row r="155" ht="15" customHeight="1">
      <c r="A155" s="934" t="inlineStr">
        <is>
          <t xml:space="preserve">  FTTH homeconnect adds – Bear</t>
        </is>
      </c>
      <c r="I155" s="1815">
        <f>70%*I156</f>
        <v/>
      </c>
      <c r="J155" s="1815">
        <f>60%*J156</f>
        <v/>
      </c>
      <c r="K155" s="1815">
        <f>K156*70%</f>
        <v/>
      </c>
      <c r="L155" s="1815">
        <f>L156*70%</f>
        <v/>
      </c>
      <c r="M155" s="1815">
        <f>60%*M156</f>
        <v/>
      </c>
    </row>
    <row r="156" ht="15" customHeight="1">
      <c r="A156" s="934" t="inlineStr">
        <is>
          <t xml:space="preserve">  FTTH homeconnect adds – Base</t>
        </is>
      </c>
      <c r="I156" s="1815">
        <f>H138*10%</f>
        <v/>
      </c>
      <c r="J156" s="1815">
        <f>I138*10%</f>
        <v/>
      </c>
      <c r="K156" s="1815">
        <f>J138*10%</f>
        <v/>
      </c>
      <c r="L156" s="1815">
        <f>K138*10%</f>
        <v/>
      </c>
      <c r="M156" s="1815">
        <f>L138*10%</f>
        <v/>
      </c>
    </row>
    <row r="157" ht="15" customHeight="1">
      <c r="A157" s="934" t="inlineStr">
        <is>
          <t xml:space="preserve">  FTTH homeconnect adds – Bull</t>
        </is>
      </c>
      <c r="I157" s="1815">
        <f>I156*160%</f>
        <v/>
      </c>
      <c r="J157" s="1815">
        <f>J156*165%</f>
        <v/>
      </c>
      <c r="K157" s="1815">
        <f>K156*160%</f>
        <v/>
      </c>
      <c r="L157" s="1815">
        <f>L156*160%</f>
        <v/>
      </c>
      <c r="M157" s="1815">
        <f>160%*M156</f>
        <v/>
      </c>
    </row>
    <row r="158" ht="15" customHeight="1">
      <c r="A158" s="934" t="inlineStr">
        <is>
          <t xml:space="preserve">  FWA paying-sub adds – Bear</t>
        </is>
      </c>
      <c r="I158" s="1815">
        <f>I159*70%</f>
        <v/>
      </c>
      <c r="J158" s="1815">
        <f>J159*70%</f>
        <v/>
      </c>
      <c r="K158" s="1815">
        <f>K159*60%</f>
        <v/>
      </c>
      <c r="L158" s="1815">
        <f>L159*60%</f>
        <v/>
      </c>
      <c r="M158" s="1815">
        <f>M159*70%</f>
        <v/>
      </c>
    </row>
    <row r="159" ht="15" customHeight="1">
      <c r="A159" s="934" t="inlineStr">
        <is>
          <t xml:space="preserve">  FWA paying-sub adds – Base</t>
        </is>
      </c>
      <c r="I159" s="1816" t="n">
        <v>2500</v>
      </c>
      <c r="J159" s="1815">
        <f>I145*57%</f>
        <v/>
      </c>
      <c r="K159" s="1815">
        <f>J145*47%</f>
        <v/>
      </c>
      <c r="L159" s="1815">
        <f>K145*20%</f>
        <v/>
      </c>
      <c r="M159" s="1815">
        <f>L145*18%</f>
        <v/>
      </c>
    </row>
    <row r="160" ht="15" customHeight="1">
      <c r="A160" s="934" t="inlineStr">
        <is>
          <t xml:space="preserve">  FWA paying-sub adds – Bull</t>
        </is>
      </c>
      <c r="I160" s="1815">
        <f>I159*150%</f>
        <v/>
      </c>
      <c r="J160" s="1815">
        <f>J159*150%</f>
        <v/>
      </c>
      <c r="K160" s="1815">
        <f>K159*150%</f>
        <v/>
      </c>
      <c r="L160" s="1815">
        <f>L159*160%</f>
        <v/>
      </c>
      <c r="M160" s="1815">
        <f>M159*170%</f>
        <v/>
      </c>
    </row>
    <row r="162" ht="14.25" customHeight="1">
      <c r="A162" s="1371" t="inlineStr">
        <is>
          <t>CAPEX SCHEDULE  (subscriber-driven, decoupled from revenue)</t>
        </is>
      </c>
      <c r="B162" s="1471" t="n"/>
      <c r="C162" s="1471" t="n"/>
      <c r="D162" s="1471" t="n"/>
      <c r="E162" s="1471" t="n"/>
      <c r="F162" s="1471" t="n"/>
      <c r="G162" s="1471" t="n"/>
      <c r="H162" s="1471" t="n"/>
      <c r="I162" s="1471" t="n"/>
      <c r="J162" s="1471" t="n"/>
      <c r="K162" s="1471" t="n"/>
      <c r="L162" s="1471" t="n"/>
      <c r="M162" s="1471" t="n"/>
    </row>
    <row r="163" ht="14.25" customHeight="1">
      <c r="A163" s="934" t="inlineStr">
        <is>
          <t xml:space="preserve">  FTTH homeconnect net adds ('000)</t>
        </is>
      </c>
      <c r="G163" s="1252">
        <f>541060000/1500</f>
        <v/>
      </c>
      <c r="I163" s="1810">
        <f>I137</f>
        <v/>
      </c>
      <c r="J163" s="1810">
        <f>J137</f>
        <v/>
      </c>
      <c r="K163" s="1810">
        <f>K137</f>
        <v/>
      </c>
      <c r="L163" s="1810">
        <f>L137</f>
        <v/>
      </c>
      <c r="M163" s="1810">
        <f>M137</f>
        <v/>
      </c>
    </row>
    <row r="164" ht="14.25" customHeight="1">
      <c r="A164" s="1817" t="inlineStr">
        <is>
          <t xml:space="preserve">  Capex per FTTH connect (Rp mn)</t>
        </is>
      </c>
      <c r="I164" s="1818" t="n">
        <v>1</v>
      </c>
      <c r="J164" s="1818" t="n">
        <v>1</v>
      </c>
      <c r="K164" s="1818" t="n">
        <v>1</v>
      </c>
      <c r="L164" s="1818" t="n">
        <v>1</v>
      </c>
      <c r="M164" s="1818" t="n">
        <v>1</v>
      </c>
    </row>
    <row r="165" ht="14.25" customHeight="1">
      <c r="A165" s="1819" t="inlineStr">
        <is>
          <t xml:space="preserve">  FTTH growth capex</t>
        </is>
      </c>
      <c r="B165" s="391" t="n"/>
      <c r="C165" s="391" t="n"/>
      <c r="D165" s="391" t="n"/>
      <c r="E165" s="391" t="n"/>
      <c r="F165" s="391" t="n"/>
      <c r="G165" s="391" t="n"/>
      <c r="H165" s="391" t="n"/>
      <c r="I165" s="1820">
        <f>I163*I164*1000000</f>
        <v/>
      </c>
      <c r="J165" s="1820">
        <f>J163*J164*1000000</f>
        <v/>
      </c>
      <c r="K165" s="1820">
        <f>K163*K164*1000000</f>
        <v/>
      </c>
      <c r="L165" s="1820">
        <f>L163*L164*1000000</f>
        <v/>
      </c>
      <c r="M165" s="1820">
        <f>M163*M164*1000000</f>
        <v/>
      </c>
    </row>
    <row r="166" ht="14.25" customHeight="1">
      <c r="A166" s="934" t="inlineStr">
        <is>
          <t xml:space="preserve">  FWA paying-sub net adds ('000)</t>
        </is>
      </c>
      <c r="I166" s="1810">
        <f>I144</f>
        <v/>
      </c>
      <c r="J166" s="1810">
        <f>J144</f>
        <v/>
      </c>
      <c r="K166" s="1810">
        <f>K144</f>
        <v/>
      </c>
      <c r="L166" s="1810">
        <f>L144</f>
        <v/>
      </c>
      <c r="M166" s="1810">
        <f>M144</f>
        <v/>
      </c>
    </row>
    <row r="167" ht="14.25" customHeight="1">
      <c r="A167" s="1817" t="inlineStr">
        <is>
          <t xml:space="preserve">  Capex per FWA sub (Rp mn, incl. CPE)</t>
        </is>
      </c>
      <c r="I167" s="1818" t="n">
        <v>1.4</v>
      </c>
      <c r="J167" s="1818" t="n">
        <v>1.4</v>
      </c>
      <c r="K167" s="1818" t="n">
        <v>1.4</v>
      </c>
      <c r="L167" s="1818" t="n">
        <v>1.4</v>
      </c>
      <c r="M167" s="1818" t="n">
        <v>1.4</v>
      </c>
    </row>
    <row r="168" ht="14.25" customHeight="1">
      <c r="A168" s="1819" t="inlineStr">
        <is>
          <t xml:space="preserve">  FWA growth capex</t>
        </is>
      </c>
      <c r="B168" s="391" t="n"/>
      <c r="C168" s="391" t="n"/>
      <c r="D168" s="391" t="n"/>
      <c r="E168" s="391" t="n"/>
      <c r="F168" s="391" t="n"/>
      <c r="G168" s="391" t="n"/>
      <c r="H168" s="391" t="n"/>
      <c r="I168" s="1820">
        <f>I166*I167*1000000</f>
        <v/>
      </c>
      <c r="J168" s="1820">
        <f>J166*J167*1000000</f>
        <v/>
      </c>
      <c r="K168" s="1820">
        <f>K166*K167*1000000</f>
        <v/>
      </c>
      <c r="L168" s="1820">
        <f>L166*L167*1000000</f>
        <v/>
      </c>
      <c r="M168" s="1820">
        <f>M166*M167*1000000</f>
        <v/>
      </c>
    </row>
    <row r="169" ht="14.25" customHeight="1">
      <c r="A169" s="934" t="inlineStr">
        <is>
          <t xml:space="preserve">  Maintenance capex (% of revenue)</t>
        </is>
      </c>
      <c r="I169" s="1374" t="n">
        <v>0.03</v>
      </c>
      <c r="J169" s="1374" t="n">
        <v>0.03</v>
      </c>
      <c r="K169" s="1374" t="n">
        <v>0.03</v>
      </c>
      <c r="L169" s="1374" t="n">
        <v>0.03</v>
      </c>
      <c r="M169" s="1374" t="n">
        <v>0.03</v>
      </c>
    </row>
    <row r="170" ht="14.25" customHeight="1">
      <c r="A170" s="934" t="inlineStr">
        <is>
          <t xml:space="preserve">  Maintenance capex</t>
        </is>
      </c>
      <c r="I170" s="1797">
        <f>I169*I28</f>
        <v/>
      </c>
      <c r="J170" s="1797">
        <f>J169*J28</f>
        <v/>
      </c>
      <c r="K170" s="1797">
        <f>K169*K28</f>
        <v/>
      </c>
      <c r="L170" s="1797">
        <f>L169*L28</f>
        <v/>
      </c>
      <c r="M170" s="1797">
        <f>M169*M28</f>
        <v/>
      </c>
    </row>
    <row r="171" ht="14.25" customHeight="1">
      <c r="A171" s="1803" t="inlineStr">
        <is>
          <t>TOTAL CAPEX</t>
        </is>
      </c>
      <c r="B171" s="173" t="n"/>
      <c r="C171" s="173" t="n"/>
      <c r="D171" s="173" t="n"/>
      <c r="E171" s="173" t="n"/>
      <c r="F171" s="173" t="n"/>
      <c r="G171" s="173" t="n"/>
      <c r="H171" s="173" t="n"/>
      <c r="I171" s="1804">
        <f>I165+I168+I170</f>
        <v/>
      </c>
      <c r="J171" s="1804">
        <f>J165+J168+J170</f>
        <v/>
      </c>
      <c r="K171" s="1804">
        <f>K165+K168+K170</f>
        <v/>
      </c>
      <c r="L171" s="1804">
        <f>L165+L168+L170</f>
        <v/>
      </c>
      <c r="M171" s="1804">
        <f>M165+M168+M170</f>
        <v/>
      </c>
    </row>
    <row r="179" ht="14.25" customHeight="1">
      <c r="I179" s="1563" t="n">
        <v>4.093</v>
      </c>
    </row>
  </sheetData>
  <dataValidations count="1">
    <dataValidation sqref="C5" showDropDown="0" showInputMessage="0" showErrorMessage="0" allowBlank="0" errorTitle="Scenario" error="Enter 1 (Bear), 2 (Base) or 3 (Bull)" type="whole">
      <formula1>1</formula1>
      <formula2>3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2"/>
  <sheetViews>
    <sheetView topLeftCell="A23" zoomScale="78" zoomScaleNormal="78" workbookViewId="0">
      <selection activeCell="E31" sqref="E31"/>
    </sheetView>
  </sheetViews>
  <sheetFormatPr baseColWidth="8" defaultColWidth="8.5703125" defaultRowHeight="14.25"/>
  <cols>
    <col width="54" customWidth="1" min="1" max="1"/>
    <col width="17.7109375" customWidth="1" min="2" max="2"/>
    <col width="17.5703125" customWidth="1" min="3" max="3"/>
    <col width="34.5703125" customWidth="1" min="4" max="4"/>
    <col width="17.5703125" customWidth="1" min="5" max="6"/>
    <col width="18.7109375" customWidth="1" min="7" max="7"/>
    <col width="27.28515625" customWidth="1" min="8" max="8"/>
  </cols>
  <sheetData>
    <row r="1" ht="15" customHeight="1">
      <c r="A1" s="1622" t="inlineStr">
        <is>
          <t>TOWR | Valuation</t>
        </is>
      </c>
      <c r="C1" s="1821" t="n"/>
    </row>
    <row r="2" ht="15" customHeight="1">
      <c r="C2" s="1452" t="n">
        <v>2026</v>
      </c>
      <c r="D2" s="1452">
        <f>C2+1</f>
        <v/>
      </c>
      <c r="E2" s="1452">
        <f>D2+1</f>
        <v/>
      </c>
      <c r="F2" s="1452">
        <f>E2+1</f>
        <v/>
      </c>
      <c r="G2" s="1452">
        <f>F2+1</f>
        <v/>
      </c>
    </row>
    <row r="4" ht="25.5" customHeight="1">
      <c r="A4" s="1631" t="inlineStr">
        <is>
          <t>Assumptions</t>
        </is>
      </c>
      <c r="B4" s="1632" t="n"/>
      <c r="C4" s="1632" t="n"/>
    </row>
    <row r="5" ht="15.75" customHeight="1">
      <c r="A5" s="1670" t="inlineStr">
        <is>
          <t>Tax Rate</t>
        </is>
      </c>
      <c r="B5" s="670" t="n"/>
      <c r="C5" s="1780">
        <f>22%</f>
        <v/>
      </c>
    </row>
    <row r="6" ht="15.75" customHeight="1">
      <c r="A6" s="1670" t="inlineStr">
        <is>
          <t>Discount Rate</t>
        </is>
      </c>
      <c r="B6" s="670" t="n"/>
      <c r="C6" s="1822">
        <f>'TOWR WACC'!D9</f>
        <v/>
      </c>
    </row>
    <row r="7" ht="15.75" customHeight="1">
      <c r="A7" s="1670" t="inlineStr">
        <is>
          <t>Terminal Growth Rate (Inflation Rate)</t>
        </is>
      </c>
      <c r="B7" s="670" t="n"/>
      <c r="C7" s="1823" t="n">
        <v>0.02</v>
      </c>
    </row>
    <row r="8" ht="15.75" customHeight="1">
      <c r="A8" s="1670" t="inlineStr">
        <is>
          <t>EV/EBITDA Multiple</t>
        </is>
      </c>
      <c r="B8" s="670" t="n"/>
      <c r="C8" s="1824" t="n">
        <v>9.369999999999999</v>
      </c>
    </row>
    <row r="9" ht="15.75" customHeight="1">
      <c r="A9" s="1670" t="inlineStr">
        <is>
          <t>Margin of Safety</t>
        </is>
      </c>
      <c r="B9" s="670" t="n"/>
      <c r="C9" s="1825" t="n">
        <v>0.15</v>
      </c>
    </row>
    <row r="11" ht="21.75" customHeight="1">
      <c r="A11" s="1631" t="inlineStr">
        <is>
          <t>Discounted Cash Flow (FCFF)</t>
        </is>
      </c>
      <c r="B11" s="1632" t="n"/>
      <c r="C11" s="1452" t="n">
        <v>2026</v>
      </c>
      <c r="D11" s="1452">
        <f>C11+1</f>
        <v/>
      </c>
      <c r="E11" s="1452">
        <f>D11+1</f>
        <v/>
      </c>
      <c r="F11" s="1452">
        <f>E11+1</f>
        <v/>
      </c>
      <c r="G11" s="1452">
        <f>F11+1</f>
        <v/>
      </c>
      <c r="H11" s="1826" t="inlineStr">
        <is>
          <t>Terminal Value</t>
        </is>
      </c>
    </row>
    <row r="12" ht="13.5" customHeight="1">
      <c r="A12" s="419" t="n"/>
      <c r="B12" s="419" t="n"/>
      <c r="C12" s="1827" t="n">
        <v>1</v>
      </c>
      <c r="D12" s="1827" t="n">
        <v>2</v>
      </c>
      <c r="E12" s="1827" t="n">
        <v>3</v>
      </c>
      <c r="F12" s="1827" t="n">
        <v>4</v>
      </c>
      <c r="G12" s="1827" t="n">
        <v>5</v>
      </c>
      <c r="H12" s="1827" t="n">
        <v>5</v>
      </c>
    </row>
    <row r="13" ht="15" customHeight="1">
      <c r="A13" s="1670" t="inlineStr">
        <is>
          <t>EBIT</t>
        </is>
      </c>
      <c r="B13" s="1087" t="n"/>
      <c r="C13" s="1696">
        <f>'TOWR-3-Statements'!H38</f>
        <v/>
      </c>
      <c r="D13" s="1696">
        <f>'TOWR-3-Statements'!I38</f>
        <v/>
      </c>
      <c r="E13" s="1696">
        <f>'TOWR-3-Statements'!J38</f>
        <v/>
      </c>
      <c r="F13" s="1696">
        <f>'TOWR-3-Statements'!K38</f>
        <v/>
      </c>
      <c r="G13" s="1696">
        <f>'TOWR-3-Statements'!L38</f>
        <v/>
      </c>
    </row>
    <row r="14" ht="15" customHeight="1">
      <c r="A14" s="1673" t="inlineStr">
        <is>
          <t>Tax Rate</t>
        </is>
      </c>
      <c r="B14" s="1117" t="n"/>
      <c r="C14" s="1828" t="n">
        <v>0.22</v>
      </c>
      <c r="D14" s="1828" t="n">
        <v>0.22</v>
      </c>
      <c r="E14" s="1828" t="n">
        <v>0.22</v>
      </c>
      <c r="F14" s="1828" t="n">
        <v>0.22</v>
      </c>
      <c r="G14" s="1828" t="n">
        <v>0.22</v>
      </c>
      <c r="H14" s="29" t="n"/>
    </row>
    <row r="15" ht="15" customHeight="1">
      <c r="A15" s="1670" t="inlineStr">
        <is>
          <t>NOPAT</t>
        </is>
      </c>
      <c r="B15" s="1087" t="n"/>
      <c r="C15" s="1670">
        <f>C13*(1-C14)</f>
        <v/>
      </c>
      <c r="D15" s="1670">
        <f>D13*(1-D14)</f>
        <v/>
      </c>
      <c r="E15" s="1670">
        <f>E13*(1-E14)</f>
        <v/>
      </c>
      <c r="F15" s="1670">
        <f>F13*(1-F14)</f>
        <v/>
      </c>
      <c r="G15" s="1670">
        <f>G13*(1-G14)</f>
        <v/>
      </c>
    </row>
    <row r="16" ht="15" customHeight="1">
      <c r="A16" s="1670" t="inlineStr">
        <is>
          <t>Add : Depreciation and Amortization</t>
        </is>
      </c>
      <c r="B16" s="1087" t="n"/>
      <c r="C16" s="1696">
        <f>'TOWR-3-Statements'!H40</f>
        <v/>
      </c>
      <c r="D16" s="1696">
        <f>'TOWR-3-Statements'!I40</f>
        <v/>
      </c>
      <c r="E16" s="1696">
        <f>'TOWR-3-Statements'!J40</f>
        <v/>
      </c>
      <c r="F16" s="1696">
        <f>'TOWR-3-Statements'!K40</f>
        <v/>
      </c>
      <c r="G16" s="1696">
        <f>'TOWR-3-Statements'!L40</f>
        <v/>
      </c>
    </row>
    <row r="17" ht="15" customHeight="1">
      <c r="A17" s="1670" t="inlineStr">
        <is>
          <t>Less : Capex</t>
        </is>
      </c>
      <c r="B17" s="1087" t="n"/>
      <c r="C17" s="1696">
        <f>'TOWR-3-Statements'!H114</f>
        <v/>
      </c>
      <c r="D17" s="1696">
        <f>'TOWR-3-Statements'!I114</f>
        <v/>
      </c>
      <c r="E17" s="1696">
        <f>'TOWR-3-Statements'!J114</f>
        <v/>
      </c>
      <c r="F17" s="1696">
        <f>'TOWR-3-Statements'!K114</f>
        <v/>
      </c>
      <c r="G17" s="1696">
        <f>'TOWR-3-Statements'!L114</f>
        <v/>
      </c>
    </row>
    <row r="18" ht="15" customHeight="1">
      <c r="A18" s="1673" t="inlineStr">
        <is>
          <t>Less : Changes in NWC</t>
        </is>
      </c>
      <c r="B18" s="1117" t="n"/>
      <c r="C18" s="1671">
        <f>'TOWR-3-Statements'!H110</f>
        <v/>
      </c>
      <c r="D18" s="1671">
        <f>'TOWR-3-Statements'!I110</f>
        <v/>
      </c>
      <c r="E18" s="1671">
        <f>'TOWR-3-Statements'!J110</f>
        <v/>
      </c>
      <c r="F18" s="1671">
        <f>'TOWR-3-Statements'!K110</f>
        <v/>
      </c>
      <c r="G18" s="1671">
        <f>'TOWR-3-Statements'!L110</f>
        <v/>
      </c>
      <c r="H18" s="29" t="n"/>
    </row>
    <row r="19" ht="15" customHeight="1">
      <c r="A19" s="1703" t="inlineStr">
        <is>
          <t>Free Cashflow to Firm (FCFF)</t>
        </is>
      </c>
      <c r="B19" s="1136" t="n"/>
      <c r="C19" s="1703">
        <f>SUM(C15:C18)</f>
        <v/>
      </c>
      <c r="D19" s="1703">
        <f>SUM(D15:D18)</f>
        <v/>
      </c>
      <c r="E19" s="1703">
        <f>SUM(E15:E18)</f>
        <v/>
      </c>
      <c r="F19" s="1703">
        <f>SUM(F15:F18)</f>
        <v/>
      </c>
      <c r="G19" s="1703">
        <f>SUM(G15:G18)</f>
        <v/>
      </c>
      <c r="H19" s="1829">
        <f>(G19*(1+C7)/(C6-C7))</f>
        <v/>
      </c>
    </row>
    <row r="20" ht="15" customHeight="1">
      <c r="A20" s="1087" t="n"/>
      <c r="B20" s="1087" t="n"/>
      <c r="C20" s="1087" t="n"/>
      <c r="D20" s="1087" t="n"/>
      <c r="E20" s="1087" t="n"/>
      <c r="F20" s="1087" t="n"/>
      <c r="G20" s="1087" t="n"/>
    </row>
    <row r="21" ht="15" customHeight="1">
      <c r="A21" s="1703" t="inlineStr">
        <is>
          <t>PV of FCFF</t>
        </is>
      </c>
      <c r="B21" s="1136" t="n"/>
      <c r="C21" s="1703">
        <f>C19/((1+$C$6)^C12)</f>
        <v/>
      </c>
      <c r="D21" s="1703">
        <f>D19/((1+$C$6)^D12)</f>
        <v/>
      </c>
      <c r="E21" s="1703">
        <f>E19/((1+$C$6)^E12)</f>
        <v/>
      </c>
      <c r="F21" s="1703">
        <f>F19/((1+$C$6)^F12)</f>
        <v/>
      </c>
      <c r="G21" s="1703">
        <f>G19/((1+$C$6)^G12)</f>
        <v/>
      </c>
      <c r="H21" s="1703">
        <f>H19/((1+$C$6)^H12)</f>
        <v/>
      </c>
    </row>
    <row r="22" ht="15" customHeight="1">
      <c r="A22" s="1087" t="n"/>
      <c r="B22" s="1087" t="n"/>
      <c r="C22" s="1087" t="n"/>
      <c r="D22" s="1087" t="n"/>
      <c r="E22" s="1087" t="n"/>
      <c r="F22" s="1087" t="n"/>
      <c r="G22" s="1087" t="n"/>
    </row>
    <row r="23" ht="15" customHeight="1">
      <c r="A23" s="1670" t="inlineStr">
        <is>
          <t>Enterprise Value</t>
        </is>
      </c>
      <c r="B23" s="1087" t="n"/>
      <c r="C23" s="1087" t="n"/>
      <c r="D23" s="1087" t="n"/>
      <c r="E23" s="1087" t="n"/>
      <c r="F23" s="1087" t="n"/>
      <c r="H23" s="1670">
        <f>SUM(C21:H21)</f>
        <v/>
      </c>
    </row>
    <row r="24" ht="15" customHeight="1">
      <c r="A24" s="1670" t="inlineStr">
        <is>
          <t>Less : Debt</t>
        </is>
      </c>
      <c r="B24" s="1087" t="n"/>
      <c r="C24" s="1087" t="n"/>
      <c r="D24" s="1087" t="n"/>
      <c r="E24" s="1087" t="n"/>
      <c r="F24" s="1087" t="n"/>
      <c r="H24" s="1696">
        <f>'TOWR-3-Statements'!G87+'TOWR-3-Statements'!G80</f>
        <v/>
      </c>
    </row>
    <row r="25" ht="15" customHeight="1">
      <c r="A25" s="1673" t="inlineStr">
        <is>
          <t>Add : Cash</t>
        </is>
      </c>
      <c r="B25" s="1117" t="n"/>
      <c r="C25" s="1117" t="n"/>
      <c r="D25" s="1117" t="n"/>
      <c r="E25" s="1117" t="n"/>
      <c r="F25" s="1117" t="n"/>
      <c r="G25" s="1117" t="n"/>
      <c r="H25" s="1671">
        <f>'TOWR-3-Statements'!G59</f>
        <v/>
      </c>
    </row>
    <row r="26" ht="15.75" customHeight="1">
      <c r="A26" s="1705" t="inlineStr">
        <is>
          <t>Equity Value</t>
        </is>
      </c>
      <c r="B26" s="1137" t="n"/>
      <c r="C26" s="1137" t="n"/>
      <c r="D26" s="1137" t="n"/>
      <c r="E26" s="1137" t="n"/>
      <c r="F26" s="1137" t="n"/>
      <c r="G26" s="1137" t="n"/>
      <c r="H26" s="1705">
        <f>H23-H24+H25</f>
        <v/>
      </c>
    </row>
    <row r="27" ht="15.75" customHeight="1">
      <c r="A27" s="1670" t="inlineStr">
        <is>
          <t>Shares Outstanding</t>
        </is>
      </c>
      <c r="B27" s="1087" t="n"/>
      <c r="C27" s="1087" t="n"/>
      <c r="D27" s="1087" t="n"/>
      <c r="E27" s="1087" t="n"/>
      <c r="F27" s="1087" t="n"/>
      <c r="G27" s="1087" t="n"/>
      <c r="H27" s="1755" t="n">
        <v>59100000000</v>
      </c>
    </row>
    <row r="28" ht="15" customHeight="1">
      <c r="A28" s="1830" t="inlineStr">
        <is>
          <t>Target Price</t>
        </is>
      </c>
      <c r="B28" s="1197" t="n"/>
      <c r="C28" s="1197" t="n"/>
      <c r="D28" s="1197" t="n"/>
      <c r="E28" s="1197" t="n"/>
      <c r="F28" s="1197" t="n"/>
      <c r="G28" s="682" t="n"/>
      <c r="H28" s="1830">
        <f>H26/H27*1000</f>
        <v/>
      </c>
    </row>
    <row r="29" ht="15" customHeight="1">
      <c r="A29" s="1670" t="inlineStr">
        <is>
          <t>Current Share Price</t>
        </is>
      </c>
      <c r="B29" s="1087" t="n"/>
      <c r="C29" s="1087" t="n"/>
      <c r="D29" s="1087" t="n"/>
      <c r="E29" s="1087" t="n"/>
      <c r="F29" s="1087" t="n"/>
      <c r="G29" s="1087" t="n"/>
      <c r="H29" s="1755" t="n">
        <v>434</v>
      </c>
    </row>
    <row r="30" ht="15" customHeight="1">
      <c r="A30" s="1703" t="inlineStr">
        <is>
          <t>Upside Potential</t>
        </is>
      </c>
      <c r="B30" s="1136" t="n"/>
      <c r="C30" s="1136" t="n"/>
      <c r="D30" s="1136" t="n"/>
      <c r="E30" s="1136" t="n"/>
      <c r="F30" s="1136" t="n"/>
      <c r="G30" s="1136" t="n"/>
      <c r="H30" s="1831">
        <f>H28/H29-1</f>
        <v/>
      </c>
    </row>
    <row r="32" ht="25.5" customHeight="1">
      <c r="A32" s="1631" t="inlineStr">
        <is>
          <t>Relative Valuation (Comparable Company Analysis)</t>
        </is>
      </c>
      <c r="B32" s="1632" t="n"/>
      <c r="C32" s="1832" t="n"/>
      <c r="D32" s="1832" t="n"/>
    </row>
    <row r="33" ht="25.5" customHeight="1">
      <c r="A33" s="419" t="n"/>
      <c r="B33" s="419" t="n"/>
      <c r="C33" s="1833" t="n"/>
      <c r="D33" s="1833" t="n"/>
    </row>
    <row r="34" ht="15" customHeight="1">
      <c r="A34" s="1713" t="inlineStr">
        <is>
          <t>Current Price (IDR)</t>
        </is>
      </c>
      <c r="B34" s="1087" t="n"/>
      <c r="D34" s="1834" t="n">
        <v>434</v>
      </c>
    </row>
    <row r="35" ht="15" customHeight="1">
      <c r="A35" s="1670" t="inlineStr">
        <is>
          <t>Shares Outstanding</t>
        </is>
      </c>
      <c r="B35" s="1087" t="n"/>
      <c r="D35" s="1835">
        <f>H27</f>
        <v/>
      </c>
    </row>
    <row r="36" ht="15" customHeight="1">
      <c r="A36" s="1142" t="n"/>
      <c r="B36" s="1087" t="n"/>
      <c r="C36" s="1200" t="n"/>
      <c r="D36" s="1087" t="n"/>
    </row>
    <row r="37" ht="15" customHeight="1">
      <c r="A37" s="1836" t="inlineStr">
        <is>
          <t>EV/EBITDA</t>
        </is>
      </c>
      <c r="B37" s="1202" t="n"/>
      <c r="C37" s="1202" t="n"/>
      <c r="D37" s="1202" t="n"/>
    </row>
    <row r="38" ht="15" customHeight="1">
      <c r="A38" s="1837" t="inlineStr">
        <is>
          <t>MTEL.IJ</t>
        </is>
      </c>
      <c r="B38" s="1199" t="n"/>
      <c r="C38" s="1199" t="n"/>
      <c r="D38" s="1838" t="n">
        <v>8.6</v>
      </c>
    </row>
    <row r="39" ht="15" customHeight="1">
      <c r="A39" s="1837" t="inlineStr">
        <is>
          <t>TBIG.IJ</t>
        </is>
      </c>
      <c r="B39" s="1199" t="n"/>
      <c r="C39" s="1199" t="n"/>
      <c r="D39" s="1838" t="n">
        <v>11.4</v>
      </c>
    </row>
    <row r="40" ht="15" customHeight="1">
      <c r="A40" s="1837" t="inlineStr">
        <is>
          <t>BALI.IJ</t>
        </is>
      </c>
      <c r="B40" s="1199" t="n"/>
      <c r="C40" s="1199" t="n"/>
      <c r="D40" s="1838" t="n">
        <v>10.4</v>
      </c>
    </row>
    <row r="41" ht="15" customHeight="1">
      <c r="A41" s="1839" t="inlineStr">
        <is>
          <t>GHON.IJ</t>
        </is>
      </c>
      <c r="B41" s="1202" t="n"/>
      <c r="C41" s="1202" t="n"/>
      <c r="D41" s="1840" t="n">
        <v>11.4</v>
      </c>
    </row>
    <row r="42" ht="15" customHeight="1">
      <c r="A42" s="1841" t="inlineStr">
        <is>
          <t>Average</t>
        </is>
      </c>
      <c r="B42" s="1206" t="n"/>
      <c r="C42" s="1206" t="n"/>
      <c r="D42" s="1842">
        <f>AVERAGE(D38:D41)</f>
        <v/>
      </c>
    </row>
    <row r="43" ht="15" customHeight="1">
      <c r="A43" s="1841" t="inlineStr">
        <is>
          <t>EBITDA</t>
        </is>
      </c>
      <c r="B43" s="1206" t="n"/>
      <c r="C43" s="1206" t="n"/>
      <c r="D43" s="1843">
        <f>'TOWR-3-Statements'!G41</f>
        <v/>
      </c>
    </row>
    <row r="44" ht="15" customHeight="1">
      <c r="A44" s="1087" t="n"/>
      <c r="B44" s="1199" t="n"/>
      <c r="C44" s="1199" t="n"/>
      <c r="D44" s="1087" t="n"/>
    </row>
    <row r="45" ht="15" customHeight="1">
      <c r="A45" s="1713" t="inlineStr">
        <is>
          <t xml:space="preserve">Forward EV/EBITDA Multiple </t>
        </is>
      </c>
      <c r="B45" s="1087" t="n"/>
      <c r="C45" s="1087" t="n"/>
      <c r="D45" s="1844">
        <f>D42</f>
        <v/>
      </c>
    </row>
    <row r="46" ht="15" customHeight="1">
      <c r="A46" s="1713" t="inlineStr">
        <is>
          <t>Enterprise Value</t>
        </is>
      </c>
      <c r="B46" s="1087" t="n"/>
      <c r="C46" s="1087" t="n"/>
      <c r="D46" s="1835">
        <f>D45*D43</f>
        <v/>
      </c>
    </row>
    <row r="47" ht="15" customHeight="1">
      <c r="A47" s="1837" t="inlineStr">
        <is>
          <t>Less: Debt</t>
        </is>
      </c>
      <c r="B47" s="1199" t="n"/>
      <c r="C47" s="1087" t="n"/>
      <c r="D47" s="1835">
        <f>H24</f>
        <v/>
      </c>
    </row>
    <row r="48" ht="15" customHeight="1">
      <c r="A48" s="1837" t="inlineStr">
        <is>
          <t>Plus: Cash</t>
        </is>
      </c>
      <c r="B48" s="1199" t="n"/>
      <c r="C48" s="1087" t="n"/>
      <c r="D48" s="1835">
        <f>H25</f>
        <v/>
      </c>
    </row>
    <row r="49" ht="15" customHeight="1">
      <c r="A49" s="1845" t="inlineStr">
        <is>
          <t>Equity Value</t>
        </is>
      </c>
      <c r="B49" s="1208" t="n"/>
      <c r="C49" s="1156" t="n"/>
      <c r="D49" s="1846">
        <f>D46-D47+D48</f>
        <v/>
      </c>
    </row>
    <row r="50" ht="15" customHeight="1">
      <c r="A50" s="1837" t="inlineStr">
        <is>
          <t>Shares Outstanding</t>
        </is>
      </c>
      <c r="B50" s="1199" t="n"/>
      <c r="C50" s="1087" t="n"/>
      <c r="D50" s="1835">
        <f>D35</f>
        <v/>
      </c>
    </row>
    <row r="51" ht="15" customHeight="1">
      <c r="A51" s="1847" t="inlineStr">
        <is>
          <t>Target Price</t>
        </is>
      </c>
      <c r="B51" s="1211" t="n"/>
      <c r="C51" s="1197" t="n"/>
      <c r="D51" s="1848">
        <f>D49/D50*1000</f>
        <v/>
      </c>
    </row>
    <row r="52" ht="15" customHeight="1">
      <c r="A52" s="1837" t="inlineStr">
        <is>
          <t>Current Share Price</t>
        </is>
      </c>
      <c r="B52" s="1199" t="n"/>
      <c r="C52" s="1087" t="n"/>
      <c r="D52" s="1849" t="n">
        <v>434</v>
      </c>
    </row>
    <row r="53" ht="15" customHeight="1">
      <c r="A53" s="1841" t="inlineStr">
        <is>
          <t>Upside Potential</t>
        </is>
      </c>
      <c r="B53" s="1206" t="n"/>
      <c r="C53" s="1136" t="n"/>
      <c r="D53" s="1850">
        <f>D51/D52-1</f>
        <v/>
      </c>
    </row>
    <row r="56" ht="25.5" customHeight="1">
      <c r="A56" s="1631" t="inlineStr">
        <is>
          <t>Tower Segment - EV/Tower Multiple (Precedent Transaction)</t>
        </is>
      </c>
      <c r="B56" s="1632" t="n"/>
      <c r="C56" s="1851" t="n"/>
      <c r="D56" s="1851" t="n"/>
    </row>
    <row r="57" ht="15" customHeight="1">
      <c r="A57" s="1142" t="n"/>
      <c r="B57" s="1087" t="n"/>
      <c r="C57" s="1200" t="n"/>
      <c r="D57" s="1087" t="n"/>
    </row>
    <row r="58" ht="15" customHeight="1">
      <c r="A58" s="1836" t="inlineStr">
        <is>
          <t>EV/Tower (in Rp billions )</t>
        </is>
      </c>
      <c r="B58" s="1202" t="n"/>
      <c r="C58" s="1202" t="n"/>
      <c r="D58" s="1202" t="n"/>
    </row>
    <row r="59" ht="15" customHeight="1">
      <c r="A59" s="1852">
        <f>'TOWR WIFI-Comparable Precedent'!L5</f>
        <v/>
      </c>
      <c r="B59" s="1199" t="n"/>
      <c r="C59" s="1199" t="n"/>
      <c r="D59" s="1853">
        <f>'TOWR WIFI-Comparable Precedent'!O5</f>
        <v/>
      </c>
    </row>
    <row r="60" ht="15" customHeight="1">
      <c r="A60" s="1837" t="inlineStr">
        <is>
          <t>Inti Bangun Sejahtera (IBST) 90.11%</t>
        </is>
      </c>
      <c r="B60" s="1199" t="n"/>
      <c r="C60" s="1199" t="n"/>
      <c r="D60" s="1853">
        <f>'TOWR WIFI-Comparable Precedent'!O6</f>
        <v/>
      </c>
    </row>
    <row r="61" ht="15" customHeight="1">
      <c r="A61" s="1837" t="inlineStr">
        <is>
          <t>3000 unit of IBST's Tower</t>
        </is>
      </c>
      <c r="B61" s="1199" t="n"/>
      <c r="C61" s="1199" t="n"/>
      <c r="D61" s="1853">
        <f>'TOWR WIFI-Comparable Precedent'!O7</f>
        <v/>
      </c>
    </row>
    <row r="62" ht="15" customHeight="1">
      <c r="A62" s="1839" t="inlineStr">
        <is>
          <t>6000 unit of Telkomsel's Tower</t>
        </is>
      </c>
      <c r="B62" s="1202" t="n"/>
      <c r="C62" s="1202" t="n"/>
      <c r="D62" s="1854">
        <f>'TOWR WIFI-Comparable Precedent'!O8</f>
        <v/>
      </c>
    </row>
    <row r="63" ht="15" customHeight="1">
      <c r="A63" s="1837" t="inlineStr">
        <is>
          <t>Average</t>
        </is>
      </c>
      <c r="B63" s="1199" t="n"/>
      <c r="C63" s="1199" t="n"/>
      <c r="D63" s="1844">
        <f>AVERAGE(D59:D62)</f>
        <v/>
      </c>
    </row>
    <row r="64" ht="15" customHeight="1">
      <c r="A64" s="1837" t="inlineStr">
        <is>
          <t>Tower Sites</t>
        </is>
      </c>
      <c r="B64" s="1199" t="n"/>
      <c r="C64" s="1199" t="n"/>
      <c r="D64" s="1696">
        <f>'TOWR-3-Statements'!G131</f>
        <v/>
      </c>
    </row>
    <row r="65" ht="15" customHeight="1">
      <c r="A65" s="1725" t="inlineStr">
        <is>
          <t>Enterprise Value</t>
        </is>
      </c>
      <c r="B65" s="1136" t="n"/>
      <c r="C65" s="1136" t="n"/>
      <c r="D65" s="1855">
        <f>D63*D64*1000000</f>
        <v/>
      </c>
    </row>
    <row r="68" ht="25.5" customHeight="1">
      <c r="A68" s="1631" t="inlineStr">
        <is>
          <t>Fiber and Connectivity Segment - EV / EBITDA Multiple</t>
        </is>
      </c>
      <c r="B68" s="1632" t="n"/>
      <c r="C68" s="1851" t="n"/>
      <c r="D68" s="1851" t="n"/>
    </row>
    <row r="69" ht="15" customHeight="1">
      <c r="A69" s="1142" t="n"/>
      <c r="B69" s="1087" t="n"/>
      <c r="C69" s="1200" t="n"/>
      <c r="D69" s="1087" t="n"/>
    </row>
    <row r="70" ht="15" customHeight="1">
      <c r="A70" s="1836" t="inlineStr">
        <is>
          <t xml:space="preserve">EV/EBITDA </t>
        </is>
      </c>
      <c r="B70" s="1202" t="n"/>
      <c r="C70" s="1202" t="n"/>
      <c r="D70" s="1202" t="n"/>
    </row>
    <row r="71" ht="15" customHeight="1">
      <c r="A71" s="1837" t="inlineStr">
        <is>
          <t>LINK.JK</t>
        </is>
      </c>
      <c r="B71" s="1199" t="n"/>
      <c r="C71" s="1199" t="n"/>
      <c r="D71" s="1853">
        <f>'TOWR WIFI-Comparable Precedent'!E40</f>
        <v/>
      </c>
    </row>
    <row r="72" ht="15" customHeight="1">
      <c r="A72" s="1837" t="inlineStr">
        <is>
          <t>DATA.JK</t>
        </is>
      </c>
      <c r="B72" s="1199" t="n"/>
      <c r="C72" s="1199" t="n"/>
      <c r="D72" s="1853">
        <f>'TOWR WIFI-Comparable Precedent'!E41</f>
        <v/>
      </c>
    </row>
    <row r="73" ht="15" customHeight="1">
      <c r="A73" s="1837" t="inlineStr">
        <is>
          <t>INET.JK</t>
        </is>
      </c>
      <c r="B73" s="1199" t="n"/>
      <c r="C73" s="1199" t="n"/>
      <c r="D73" s="1853">
        <f>'TOWR WIFI-Comparable Precedent'!E42</f>
        <v/>
      </c>
    </row>
    <row r="74" ht="15" customHeight="1">
      <c r="A74" s="1837" t="inlineStr">
        <is>
          <t>EDGE.JK</t>
        </is>
      </c>
      <c r="B74" s="1199" t="n"/>
      <c r="C74" s="1199" t="n"/>
      <c r="D74" s="1853">
        <f>'TOWR WIFI-Comparable Precedent'!E43</f>
        <v/>
      </c>
    </row>
    <row r="75" ht="15" customHeight="1">
      <c r="A75" s="1839" t="inlineStr">
        <is>
          <t>WIFI.JK</t>
        </is>
      </c>
      <c r="B75" s="1202" t="n"/>
      <c r="C75" s="1202" t="n"/>
      <c r="D75" s="1854">
        <f>'TOWR WIFI-Comparable Precedent'!E52</f>
        <v/>
      </c>
    </row>
    <row r="76" ht="15" customHeight="1">
      <c r="A76" s="1837" t="inlineStr">
        <is>
          <t>Median</t>
        </is>
      </c>
      <c r="B76" s="1206" t="n"/>
      <c r="C76" s="1206" t="n"/>
      <c r="D76" s="1856">
        <f>MEDIAN(D71:D75)</f>
        <v/>
      </c>
    </row>
    <row r="77" ht="15" customHeight="1">
      <c r="A77" s="1837" t="inlineStr">
        <is>
          <t>Fiber and Connectivity EBITDA</t>
        </is>
      </c>
      <c r="B77" s="1206" t="n"/>
      <c r="C77" s="1206" t="n"/>
      <c r="D77" s="1755" t="n">
        <v>3109993</v>
      </c>
    </row>
    <row r="78" ht="15" customHeight="1">
      <c r="A78" s="1725" t="inlineStr">
        <is>
          <t>Enterprise Value</t>
        </is>
      </c>
      <c r="B78" s="1136" t="n"/>
      <c r="C78" s="1136" t="n"/>
      <c r="D78" s="1855">
        <f>D76*D77*1000</f>
        <v/>
      </c>
    </row>
    <row r="80" ht="25.5" customHeight="1">
      <c r="A80" s="1631" t="inlineStr">
        <is>
          <t>Sum of the Parts Valuation</t>
        </is>
      </c>
      <c r="B80" s="1632" t="n"/>
      <c r="C80" s="1832" t="n"/>
      <c r="D80" s="1832" t="n"/>
    </row>
    <row r="82" ht="15" customHeight="1">
      <c r="A82" s="1708" t="inlineStr">
        <is>
          <t>Business Segment</t>
        </is>
      </c>
      <c r="B82" s="1140" t="n"/>
      <c r="C82" s="1857" t="inlineStr">
        <is>
          <t>Method</t>
        </is>
      </c>
      <c r="D82" s="1857" t="inlineStr">
        <is>
          <t>Implied Enterprise Value</t>
        </is>
      </c>
    </row>
    <row r="83" ht="15" customHeight="1">
      <c r="A83" s="1670" t="inlineStr">
        <is>
          <t>Tower Segment</t>
        </is>
      </c>
      <c r="B83" s="1087" t="n"/>
      <c r="C83" s="1858" t="inlineStr">
        <is>
          <t>EV/Tower</t>
        </is>
      </c>
      <c r="D83" s="1670">
        <f>D65</f>
        <v/>
      </c>
    </row>
    <row r="84" ht="15" customHeight="1">
      <c r="A84" s="1859" t="inlineStr">
        <is>
          <t>Fiber and Connectivity Segment</t>
        </is>
      </c>
      <c r="B84" s="1215" t="n"/>
      <c r="C84" s="1860" t="inlineStr">
        <is>
          <t>EV/EBITDA</t>
        </is>
      </c>
      <c r="D84" s="1859">
        <f>D78</f>
        <v/>
      </c>
    </row>
    <row r="85" ht="15" customHeight="1">
      <c r="A85" s="1670" t="inlineStr">
        <is>
          <t>Total Enterprise Value</t>
        </is>
      </c>
      <c r="B85" s="1087" t="n"/>
      <c r="C85" s="1087" t="n"/>
      <c r="D85" s="1670">
        <f>D83+D84</f>
        <v/>
      </c>
    </row>
    <row r="86" ht="15" customHeight="1">
      <c r="A86" s="1837" t="inlineStr">
        <is>
          <t>Less: Debt</t>
        </is>
      </c>
      <c r="B86" s="1199" t="n"/>
      <c r="C86" s="1087" t="n"/>
      <c r="D86" s="1835">
        <f>H24</f>
        <v/>
      </c>
    </row>
    <row r="87" ht="15" customHeight="1">
      <c r="A87" s="1837" t="inlineStr">
        <is>
          <t>Plus: Cash</t>
        </is>
      </c>
      <c r="B87" s="1199" t="n"/>
      <c r="C87" s="1087" t="n"/>
      <c r="D87" s="1835">
        <f>H25</f>
        <v/>
      </c>
    </row>
    <row r="88" ht="15" customHeight="1">
      <c r="A88" s="1845" t="inlineStr">
        <is>
          <t>Equity Value</t>
        </is>
      </c>
      <c r="B88" s="1208" t="n"/>
      <c r="C88" s="1156" t="n"/>
      <c r="D88" s="1846">
        <f>D85-D86+D87</f>
        <v/>
      </c>
    </row>
    <row r="89" ht="15" customHeight="1">
      <c r="A89" s="1837" t="inlineStr">
        <is>
          <t>Shares Outstanding</t>
        </is>
      </c>
      <c r="B89" s="1199" t="n"/>
      <c r="C89" s="1087" t="n"/>
      <c r="D89" s="1835">
        <f>H27</f>
        <v/>
      </c>
    </row>
    <row r="90" ht="15" customHeight="1">
      <c r="A90" s="1847" t="inlineStr">
        <is>
          <t>Target Price</t>
        </is>
      </c>
      <c r="B90" s="1211" t="n"/>
      <c r="C90" s="1197" t="n"/>
      <c r="D90" s="1848">
        <f>D88/D89*1000</f>
        <v/>
      </c>
    </row>
    <row r="91" ht="15" customHeight="1">
      <c r="A91" s="1837" t="inlineStr">
        <is>
          <t>Current Share Price</t>
        </is>
      </c>
      <c r="B91" s="1199" t="n"/>
      <c r="C91" s="1087" t="n"/>
      <c r="D91" s="1849" t="n">
        <v>434</v>
      </c>
    </row>
    <row r="92" ht="15" customHeight="1">
      <c r="A92" s="1841" t="inlineStr">
        <is>
          <t>Upside Potential</t>
        </is>
      </c>
      <c r="B92" s="1206" t="n"/>
      <c r="C92" s="1136" t="n"/>
      <c r="D92" s="1850">
        <f>D90/D91-1</f>
        <v/>
      </c>
    </row>
    <row r="95" ht="25.5" customHeight="1">
      <c r="A95" s="1631" t="inlineStr">
        <is>
          <t>Blended Valuation</t>
        </is>
      </c>
      <c r="B95" s="1632" t="n"/>
      <c r="C95" s="1832" t="n"/>
      <c r="D95" s="1832" t="n"/>
    </row>
    <row r="96" ht="15" customHeight="1">
      <c r="A96" s="1861" t="inlineStr">
        <is>
          <t>Method</t>
        </is>
      </c>
      <c r="B96" s="1857" t="inlineStr">
        <is>
          <t>Value</t>
        </is>
      </c>
      <c r="C96" s="1857" t="inlineStr">
        <is>
          <t>Weighting</t>
        </is>
      </c>
      <c r="D96" s="1857" t="inlineStr">
        <is>
          <t>Ending Value</t>
        </is>
      </c>
    </row>
    <row r="97" ht="15" customHeight="1">
      <c r="A97" s="1670">
        <f>A11</f>
        <v/>
      </c>
      <c r="B97" s="1858">
        <f>H28</f>
        <v/>
      </c>
      <c r="C97" s="1862" t="n">
        <v>0.7</v>
      </c>
      <c r="D97" s="1858">
        <f>B97*C97</f>
        <v/>
      </c>
    </row>
    <row r="98" ht="15" customHeight="1">
      <c r="A98" s="1670" t="inlineStr">
        <is>
          <t>Relative (EV/EBITDA)</t>
        </is>
      </c>
      <c r="B98" s="1858">
        <f>D51</f>
        <v/>
      </c>
      <c r="C98" s="1862" t="n">
        <v>0.15</v>
      </c>
      <c r="D98" s="1858">
        <f>B98*C98</f>
        <v/>
      </c>
    </row>
    <row r="99" ht="15" customHeight="1">
      <c r="A99" s="1673" t="inlineStr">
        <is>
          <t>Sum-of-the-parts (EV/Tower, EV/EBITDA)</t>
        </is>
      </c>
      <c r="B99" s="1863">
        <f>D90</f>
        <v/>
      </c>
      <c r="C99" s="1864" t="n">
        <v>0.15</v>
      </c>
      <c r="D99" s="1863">
        <f>B99*C99</f>
        <v/>
      </c>
    </row>
    <row r="100" ht="15" customHeight="1">
      <c r="A100" s="1703" t="inlineStr">
        <is>
          <t>Target Price</t>
        </is>
      </c>
      <c r="B100" s="10" t="n"/>
      <c r="C100" s="10" t="n"/>
      <c r="D100" s="1703">
        <f>SUM(D97:D99)</f>
        <v/>
      </c>
    </row>
    <row r="101" ht="15" customHeight="1">
      <c r="A101" s="1670">
        <f>A91</f>
        <v/>
      </c>
      <c r="D101" s="1670">
        <f>D91</f>
        <v/>
      </c>
    </row>
    <row r="102" ht="15" customHeight="1">
      <c r="A102" s="1703">
        <f>A92</f>
        <v/>
      </c>
      <c r="B102" s="10" t="n"/>
      <c r="C102" s="10" t="n"/>
      <c r="D102" s="1865">
        <f>D100/D101-1</f>
        <v/>
      </c>
    </row>
    <row r="103" ht="15" customHeight="1"/>
    <row r="104" ht="15" customHeight="1"/>
  </sheetData>
  <mergeCells count="2">
    <mergeCell ref="A1:B2"/>
    <mergeCell ref="C1:G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zoomScaleNormal="100" workbookViewId="0">
      <selection activeCell="D16" sqref="D16"/>
    </sheetView>
  </sheetViews>
  <sheetFormatPr baseColWidth="8" defaultColWidth="8.7109375" defaultRowHeight="15"/>
  <cols>
    <col width="42.42578125" customWidth="1" style="1087" min="1" max="1"/>
    <col width="8.7109375" customWidth="1" style="1087" min="2" max="3"/>
    <col width="21.5703125" customWidth="1" style="1087" min="4" max="4"/>
    <col width="34.42578125" customWidth="1" style="1087" min="5" max="5"/>
    <col width="8.7109375" customWidth="1" style="1087" min="6" max="16384"/>
  </cols>
  <sheetData>
    <row r="1" ht="15" customHeight="1">
      <c r="A1" s="1866" t="inlineStr">
        <is>
          <t>TOWR</t>
        </is>
      </c>
    </row>
    <row r="2" ht="15" customHeight="1"/>
    <row r="3" ht="15" customHeight="1">
      <c r="A3" s="1867" t="inlineStr">
        <is>
          <t>Weighted Average Cost of Capital</t>
        </is>
      </c>
    </row>
    <row r="5" ht="15" customHeight="1">
      <c r="A5" s="1670" t="inlineStr">
        <is>
          <t>Debt-to-Asset</t>
        </is>
      </c>
      <c r="D5" s="1868">
        <f>'TOWR-3-Statements'!G92/'TOWR-3-Statements'!G75</f>
        <v/>
      </c>
    </row>
    <row r="6" ht="15" customHeight="1">
      <c r="A6" s="1670" t="inlineStr">
        <is>
          <t>Equity-to-Asset</t>
        </is>
      </c>
      <c r="D6" s="1844">
        <f>1-D5</f>
        <v/>
      </c>
    </row>
    <row r="7" ht="15" customHeight="1">
      <c r="A7" s="1670" t="inlineStr">
        <is>
          <t>Cost of Equity (Ke)</t>
        </is>
      </c>
      <c r="D7" s="1780">
        <f>D24</f>
        <v/>
      </c>
    </row>
    <row r="8" ht="15" customHeight="1">
      <c r="A8" s="1673" t="inlineStr">
        <is>
          <t>Cost of Debt (Kd)</t>
        </is>
      </c>
      <c r="B8" s="1117" t="n"/>
      <c r="C8" s="1117" t="n"/>
      <c r="D8" s="1869">
        <f>D17</f>
        <v/>
      </c>
    </row>
    <row r="9" ht="15" customHeight="1">
      <c r="A9" s="1703" t="inlineStr">
        <is>
          <t>Weighted Average Cost of Capital</t>
        </is>
      </c>
      <c r="B9" s="1136" t="n"/>
      <c r="C9" s="1136" t="n"/>
      <c r="D9" s="1870">
        <f>D5*D8+D6*D7</f>
        <v/>
      </c>
    </row>
    <row r="11" ht="15" customHeight="1">
      <c r="A11" s="1867" t="inlineStr">
        <is>
          <t>Cost of Debt</t>
        </is>
      </c>
    </row>
    <row r="13" ht="15" customHeight="1">
      <c r="A13" s="1670" t="inlineStr">
        <is>
          <t>Interest Expense</t>
        </is>
      </c>
      <c r="D13" s="1696">
        <f>'TOWR-3-Statements'!G218</f>
        <v/>
      </c>
    </row>
    <row r="14" ht="15" customHeight="1">
      <c r="A14" s="1673" t="inlineStr">
        <is>
          <t>Average Total Debt</t>
        </is>
      </c>
      <c r="B14" s="1117" t="n"/>
      <c r="C14" s="1117" t="n"/>
      <c r="D14" s="1671">
        <f>('TOWR-3-Statements'!G80+'TOWR-3-Statements'!G87+'TOWR-3-Statements'!F87+'TOWR-3-Statements'!F79)/2</f>
        <v/>
      </c>
    </row>
    <row r="15" ht="15" customHeight="1">
      <c r="A15" s="1670" t="inlineStr">
        <is>
          <t>Pre-tax Cost of Debt</t>
        </is>
      </c>
      <c r="D15" s="1780">
        <f>D13/D14*-1</f>
        <v/>
      </c>
    </row>
    <row r="16" ht="15" customHeight="1">
      <c r="A16" s="1673" t="inlineStr">
        <is>
          <t>Tax Rate</t>
        </is>
      </c>
      <c r="B16" s="1117" t="n"/>
      <c r="C16" s="1117" t="n"/>
      <c r="D16" s="1828" t="n">
        <v>0.22</v>
      </c>
    </row>
    <row r="17" ht="15" customHeight="1">
      <c r="A17" s="1703" t="inlineStr">
        <is>
          <t>After Tax Cost of debt</t>
        </is>
      </c>
      <c r="B17" s="1136" t="n"/>
      <c r="C17" s="1136" t="n"/>
      <c r="D17" s="1870">
        <f>D15*(1-D16)</f>
        <v/>
      </c>
    </row>
    <row r="19" ht="15" customHeight="1">
      <c r="A19" s="1867" t="inlineStr">
        <is>
          <t>Cost of Debt</t>
        </is>
      </c>
    </row>
    <row r="21" ht="15" customHeight="1">
      <c r="A21" s="1670" t="inlineStr">
        <is>
          <t>Risk Free Rate (Indonesia 10Y Government Bond)</t>
        </is>
      </c>
      <c r="D21" s="1778" t="n">
        <v>0.0696</v>
      </c>
    </row>
    <row r="22" ht="15" customHeight="1">
      <c r="A22" s="1670" t="inlineStr">
        <is>
          <t>Equity Risk Premium</t>
        </is>
      </c>
      <c r="D22" s="1778" t="n">
        <v>0.0669</v>
      </c>
    </row>
    <row r="23" ht="15" customHeight="1">
      <c r="A23" s="1673" t="inlineStr">
        <is>
          <t>Beta</t>
        </is>
      </c>
      <c r="B23" s="1117" t="n"/>
      <c r="C23" s="1117" t="n"/>
      <c r="D23" s="1871">
        <f>'BETA TOWR'!L3</f>
        <v/>
      </c>
    </row>
    <row r="24" ht="15" customHeight="1">
      <c r="A24" s="1703" t="inlineStr">
        <is>
          <t>Cost of Equity</t>
        </is>
      </c>
      <c r="B24" s="1136" t="n"/>
      <c r="C24" s="1136" t="n"/>
      <c r="D24" s="1870">
        <f>D21+D23*(D22)</f>
        <v/>
      </c>
    </row>
  </sheetData>
  <mergeCells count="4">
    <mergeCell ref="A1:D2"/>
    <mergeCell ref="A3:D3"/>
    <mergeCell ref="A19:D19"/>
    <mergeCell ref="A11:D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374"/>
  <sheetViews>
    <sheetView zoomScaleNormal="100" workbookViewId="0">
      <selection activeCell="A1" sqref="A1"/>
    </sheetView>
  </sheetViews>
  <sheetFormatPr baseColWidth="8" defaultColWidth="8.7109375" defaultRowHeight="14.25" outlineLevelRow="1"/>
  <cols>
    <col width="85.7109375" customWidth="1" min="1" max="1"/>
    <col width="15.7109375" customWidth="1" min="2" max="7"/>
  </cols>
  <sheetData>
    <row r="1" ht="15" customHeight="1">
      <c r="A1" s="1872" t="inlineStr">
        <is>
          <t>Company Fundamentals - Income Statement</t>
        </is>
      </c>
      <c r="B1" s="1873" t="n"/>
      <c r="C1" s="1873" t="n"/>
      <c r="D1" s="1873" t="n"/>
      <c r="E1" s="1873" t="n"/>
      <c r="F1" s="1873" t="n"/>
      <c r="G1" s="1873" t="n"/>
    </row>
    <row r="2" ht="15" customHeight="1">
      <c r="A2" s="934" t="inlineStr">
        <is>
          <t>Company Name</t>
        </is>
      </c>
      <c r="B2" s="931" t="inlineStr">
        <is>
          <t>Sarana Menara Nusantara Tbk PT (TOWR.JK)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46247.28126640046</v>
      </c>
    </row>
    <row r="11" ht="14.25" customHeight="1">
      <c r="A11" s="1875" t="inlineStr">
        <is>
          <t>Statement Data</t>
        </is>
      </c>
      <c r="B11" s="1876" t="inlineStr">
        <is>
          <t>2020</t>
        </is>
      </c>
      <c r="C11" s="1876" t="inlineStr">
        <is>
          <t>2021</t>
        </is>
      </c>
      <c r="D11" s="1876" t="inlineStr">
        <is>
          <t>2022</t>
        </is>
      </c>
      <c r="E11" s="1876" t="inlineStr">
        <is>
          <t>2023</t>
        </is>
      </c>
      <c r="F11" s="1876" t="inlineStr">
        <is>
          <t>2024</t>
        </is>
      </c>
      <c r="G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B12" s="1878" t="n">
        <v>44196</v>
      </c>
      <c r="C12" s="1878" t="n">
        <v>44561</v>
      </c>
      <c r="D12" s="1878" t="n">
        <v>44926</v>
      </c>
      <c r="E12" s="1878" t="n">
        <v>45291</v>
      </c>
      <c r="F12" s="1878" t="n">
        <v>45657</v>
      </c>
      <c r="G12" s="1878" t="n">
        <v>46022</v>
      </c>
    </row>
    <row r="13" outlineLevel="1" ht="15" customHeight="1">
      <c r="A13" s="1877" t="inlineStr">
        <is>
          <t>Standardized Currency</t>
        </is>
      </c>
      <c r="B13" s="1879" t="inlineStr">
        <is>
          <t>IDR</t>
        </is>
      </c>
      <c r="C13" s="1879" t="inlineStr">
        <is>
          <t>IDR</t>
        </is>
      </c>
      <c r="D13" s="1879" t="inlineStr">
        <is>
          <t>IDR</t>
        </is>
      </c>
      <c r="E13" s="1879" t="inlineStr">
        <is>
          <t>IDR</t>
        </is>
      </c>
      <c r="F13" s="1879" t="inlineStr">
        <is>
          <t>IDR</t>
        </is>
      </c>
      <c r="G13" s="1879" t="inlineStr">
        <is>
          <t>IDR</t>
        </is>
      </c>
    </row>
    <row r="14" outlineLevel="1" ht="15" customHeight="1">
      <c r="A14" s="1877" t="inlineStr">
        <is>
          <t>Statement Date</t>
        </is>
      </c>
      <c r="B14" s="1878" t="n">
        <v>44196</v>
      </c>
      <c r="C14" s="1878" t="n">
        <v>44561</v>
      </c>
      <c r="D14" s="1878" t="n">
        <v>44926</v>
      </c>
      <c r="E14" s="1878" t="n">
        <v>45291</v>
      </c>
      <c r="F14" s="1878" t="n">
        <v>45657</v>
      </c>
      <c r="G14" s="1878" t="n">
        <v>46022</v>
      </c>
    </row>
    <row r="15" outlineLevel="1" ht="15" customHeight="1">
      <c r="A15" s="1877" t="inlineStr">
        <is>
          <t>Complete Statement</t>
        </is>
      </c>
      <c r="B15" s="1880" t="inlineStr">
        <is>
          <t>Complete</t>
        </is>
      </c>
      <c r="C15" s="1880" t="inlineStr">
        <is>
          <t>Complete</t>
        </is>
      </c>
      <c r="D15" s="1880" t="inlineStr">
        <is>
          <t>Complete</t>
        </is>
      </c>
      <c r="E15" s="1880" t="inlineStr">
        <is>
          <t>Complete</t>
        </is>
      </c>
      <c r="F15" s="1880" t="inlineStr">
        <is>
          <t>Complete</t>
        </is>
      </c>
      <c r="G15" s="1880" t="inlineStr">
        <is>
          <t>Complete</t>
        </is>
      </c>
    </row>
    <row r="16" outlineLevel="1" ht="15" customHeight="1">
      <c r="A16" s="1877" t="inlineStr">
        <is>
          <t>Consolidated</t>
        </is>
      </c>
      <c r="B16" s="1880" t="inlineStr">
        <is>
          <t>Consolidated</t>
        </is>
      </c>
      <c r="C16" s="1880" t="inlineStr">
        <is>
          <t>Consolidated</t>
        </is>
      </c>
      <c r="D16" s="1880" t="inlineStr">
        <is>
          <t>Consolidated</t>
        </is>
      </c>
      <c r="E16" s="1880" t="inlineStr">
        <is>
          <t>Consolidated</t>
        </is>
      </c>
      <c r="F16" s="1880" t="inlineStr">
        <is>
          <t>Consolidated</t>
        </is>
      </c>
      <c r="G16" s="1880" t="inlineStr">
        <is>
          <t>Consolidated</t>
        </is>
      </c>
    </row>
    <row r="17" outlineLevel="1" ht="15" customHeight="1">
      <c r="A17" s="1877" t="inlineStr">
        <is>
          <t>Accounting Standard</t>
        </is>
      </c>
      <c r="B17" s="1880" t="inlineStr">
        <is>
          <t>Indonesian</t>
        </is>
      </c>
      <c r="C17" s="1880" t="inlineStr">
        <is>
          <t>Indonesian</t>
        </is>
      </c>
      <c r="D17" s="1880" t="inlineStr">
        <is>
          <t>Indonesian</t>
        </is>
      </c>
      <c r="E17" s="1880" t="inlineStr">
        <is>
          <t>Indonesian</t>
        </is>
      </c>
      <c r="F17" s="1880" t="inlineStr">
        <is>
          <t>Indonesian</t>
        </is>
      </c>
      <c r="G17" s="1880" t="inlineStr">
        <is>
          <t>Indonesian</t>
        </is>
      </c>
    </row>
    <row r="18" ht="14.25" customHeight="1">
      <c r="A18" s="1881" t="inlineStr">
        <is>
          <t>Income Statement - Standardized (Currency: Indonesia Rupiah)</t>
        </is>
      </c>
      <c r="B18" s="1882" t="n"/>
      <c r="C18" s="1882" t="n"/>
      <c r="D18" s="1882" t="n"/>
      <c r="E18" s="1882" t="n"/>
      <c r="F18" s="1882" t="n"/>
      <c r="G18" s="1882" t="n"/>
    </row>
    <row r="19" ht="14.25" customHeight="1">
      <c r="A19" s="1881" t="inlineStr">
        <is>
          <t>Field Name</t>
        </is>
      </c>
      <c r="B19" s="1883" t="inlineStr">
        <is>
          <t>31-12-2020</t>
        </is>
      </c>
      <c r="C19" s="1883" t="inlineStr">
        <is>
          <t>31-12-2021</t>
        </is>
      </c>
      <c r="D19" s="1883" t="inlineStr">
        <is>
          <t>31-12-2022</t>
        </is>
      </c>
      <c r="E19" s="1883" t="inlineStr">
        <is>
          <t>31-12-2023</t>
        </is>
      </c>
      <c r="F19" s="1883" t="inlineStr">
        <is>
          <t>31-12-2024</t>
        </is>
      </c>
      <c r="G19" s="1883" t="inlineStr">
        <is>
          <t>31-12-2025</t>
        </is>
      </c>
    </row>
    <row r="20" ht="15" customHeight="1">
      <c r="A20" s="1884" t="inlineStr">
        <is>
          <t>Revenues</t>
        </is>
      </c>
      <c r="B20" s="734" t="n"/>
      <c r="C20" s="734" t="n"/>
      <c r="D20" s="734" t="n"/>
      <c r="E20" s="734" t="n"/>
      <c r="F20" s="734" t="n"/>
      <c r="G20" s="734" t="n"/>
    </row>
    <row r="21" ht="15" customHeight="1">
      <c r="A21" s="1885" t="inlineStr">
        <is>
          <t>Revenue from Goods &amp; Services</t>
        </is>
      </c>
      <c r="B21" s="1807" t="n">
        <v>7445426000</v>
      </c>
      <c r="C21" s="1807" t="n">
        <v>8635346000</v>
      </c>
      <c r="D21" s="1807" t="n">
        <v>11035650000</v>
      </c>
      <c r="E21" s="1807" t="n">
        <v>11740345000</v>
      </c>
      <c r="F21" s="1807" t="n">
        <v>12735815000</v>
      </c>
      <c r="G21" s="1807" t="n">
        <v>13327907000</v>
      </c>
    </row>
    <row r="22" ht="15" customHeight="1">
      <c r="A22" s="1886" t="inlineStr">
        <is>
          <t>Sales of Goods &amp; Services - Net - Unclassified</t>
        </is>
      </c>
      <c r="B22" s="1807" t="n">
        <v>7445426000</v>
      </c>
      <c r="C22" s="1807" t="n">
        <v>8635346000</v>
      </c>
      <c r="D22" s="1807" t="n">
        <v>11035650000</v>
      </c>
      <c r="E22" s="1807" t="n">
        <v>11740345000</v>
      </c>
      <c r="F22" s="1807" t="n">
        <v>12735815000</v>
      </c>
      <c r="G22" s="1807" t="n">
        <v>13327907000</v>
      </c>
    </row>
    <row r="23" ht="15" customHeight="1">
      <c r="A23" s="1886" t="inlineStr">
        <is>
          <t>Hotel Revenue</t>
        </is>
      </c>
      <c r="B23" s="731" t="n"/>
      <c r="C23" s="731" t="n"/>
      <c r="D23" s="731" t="n"/>
      <c r="E23" s="731" t="n"/>
      <c r="F23" s="731" t="n"/>
      <c r="G23" s="731" t="n"/>
    </row>
    <row r="24" ht="15" customHeight="1">
      <c r="A24" s="1887" t="inlineStr">
        <is>
          <t>Hotel Revenue - Rooms</t>
        </is>
      </c>
      <c r="B24" s="731" t="n"/>
      <c r="C24" s="731" t="n"/>
      <c r="D24" s="731" t="n"/>
      <c r="E24" s="731" t="n"/>
      <c r="F24" s="731" t="n"/>
      <c r="G24" s="731" t="n"/>
    </row>
    <row r="25" ht="15" customHeight="1">
      <c r="A25" s="1887" t="inlineStr">
        <is>
          <t>Hotel Revenue - Hotel Lease Income</t>
        </is>
      </c>
      <c r="B25" s="731" t="n"/>
      <c r="C25" s="731" t="n"/>
      <c r="D25" s="731" t="n"/>
      <c r="E25" s="731" t="n"/>
      <c r="F25" s="731" t="n"/>
      <c r="G25" s="731" t="n"/>
    </row>
    <row r="26" ht="15" customHeight="1">
      <c r="A26" s="1887" t="inlineStr">
        <is>
          <t>Hotel Revenue - Food &amp; Beverages</t>
        </is>
      </c>
      <c r="B26" s="731" t="n"/>
      <c r="C26" s="731" t="n"/>
      <c r="D26" s="731" t="n"/>
      <c r="E26" s="731" t="n"/>
      <c r="F26" s="731" t="n"/>
      <c r="G26" s="731" t="n"/>
    </row>
    <row r="27" ht="15" customHeight="1">
      <c r="A27" s="1887" t="inlineStr">
        <is>
          <t>Hotel Revenue - Other</t>
        </is>
      </c>
      <c r="B27" s="731" t="n"/>
      <c r="C27" s="731" t="n"/>
      <c r="D27" s="731" t="n"/>
      <c r="E27" s="731" t="n"/>
      <c r="F27" s="731" t="n"/>
      <c r="G27" s="731" t="n"/>
    </row>
    <row r="28" ht="15" customHeight="1">
      <c r="A28" s="1886" t="inlineStr">
        <is>
          <t>Utility Revenue - Total</t>
        </is>
      </c>
      <c r="B28" s="731" t="n"/>
      <c r="C28" s="731" t="n"/>
      <c r="D28" s="731" t="n"/>
      <c r="E28" s="731" t="n"/>
      <c r="F28" s="731" t="n"/>
      <c r="G28" s="731" t="n"/>
    </row>
    <row r="29" ht="15" customHeight="1">
      <c r="A29" s="1887" t="inlineStr">
        <is>
          <t>Utility Revenue - Other Utility Operations</t>
        </is>
      </c>
      <c r="B29" s="731" t="n"/>
      <c r="C29" s="731" t="n"/>
      <c r="D29" s="731" t="n"/>
      <c r="E29" s="731" t="n"/>
      <c r="F29" s="731" t="n"/>
      <c r="G29" s="731" t="n"/>
    </row>
    <row r="30" ht="15" customHeight="1">
      <c r="A30" s="1887" t="inlineStr">
        <is>
          <t>Utility Revenue - Steam Operations</t>
        </is>
      </c>
      <c r="B30" s="731" t="n"/>
      <c r="C30" s="731" t="n"/>
      <c r="D30" s="731" t="n"/>
      <c r="E30" s="731" t="n"/>
      <c r="F30" s="731" t="n"/>
      <c r="G30" s="731" t="n"/>
    </row>
    <row r="31" ht="15" customHeight="1">
      <c r="A31" s="1887" t="inlineStr">
        <is>
          <t>Utility Revenue - Water Operations</t>
        </is>
      </c>
      <c r="B31" s="731" t="n"/>
      <c r="C31" s="731" t="n"/>
      <c r="D31" s="731" t="n"/>
      <c r="E31" s="731" t="n"/>
      <c r="F31" s="731" t="n"/>
      <c r="G31" s="731" t="n"/>
    </row>
    <row r="32" ht="15" customHeight="1">
      <c r="A32" s="1887" t="inlineStr">
        <is>
          <t>Utility Revenue - Gas Operations</t>
        </is>
      </c>
      <c r="B32" s="731" t="n"/>
      <c r="C32" s="731" t="n"/>
      <c r="D32" s="731" t="n"/>
      <c r="E32" s="731" t="n"/>
      <c r="F32" s="731" t="n"/>
      <c r="G32" s="731" t="n"/>
    </row>
    <row r="33" ht="15" customHeight="1">
      <c r="A33" s="1887" t="inlineStr">
        <is>
          <t>Utility Revenue - Electric Operations</t>
        </is>
      </c>
      <c r="B33" s="731" t="n"/>
      <c r="C33" s="731" t="n"/>
      <c r="D33" s="731" t="n"/>
      <c r="E33" s="731" t="n"/>
      <c r="F33" s="731" t="n"/>
      <c r="G33" s="731" t="n"/>
    </row>
    <row r="34" ht="15" customHeight="1">
      <c r="A34" s="1887" t="inlineStr">
        <is>
          <t>Utility Revenue - Non-Utility Operations</t>
        </is>
      </c>
      <c r="B34" s="731" t="n"/>
      <c r="C34" s="731" t="n"/>
      <c r="D34" s="731" t="n"/>
      <c r="E34" s="731" t="n"/>
      <c r="F34" s="731" t="n"/>
      <c r="G34" s="731" t="n"/>
    </row>
    <row r="35" ht="15" customHeight="1">
      <c r="A35" s="1886" t="inlineStr">
        <is>
          <t>Sales Returns, Allowances &amp; Other Revenue Adjustments</t>
        </is>
      </c>
      <c r="B35" s="731" t="n"/>
      <c r="C35" s="731" t="n"/>
      <c r="D35" s="731" t="n"/>
      <c r="E35" s="731" t="n"/>
      <c r="F35" s="731" t="n"/>
      <c r="G35" s="731" t="n"/>
    </row>
    <row r="36" ht="15" customHeight="1">
      <c r="A36" s="1886" t="inlineStr">
        <is>
          <t>Revenue Taxes</t>
        </is>
      </c>
      <c r="B36" s="731" t="n"/>
      <c r="C36" s="731" t="n"/>
      <c r="D36" s="731" t="n"/>
      <c r="E36" s="731" t="n"/>
      <c r="F36" s="731" t="n"/>
      <c r="G36" s="731" t="n"/>
    </row>
    <row r="37" ht="15" customHeight="1">
      <c r="A37" s="1886" t="inlineStr">
        <is>
          <t>Gross Revenue from Business Activities - Total</t>
        </is>
      </c>
      <c r="B37" s="731" t="n"/>
      <c r="C37" s="731" t="n"/>
      <c r="D37" s="731" t="n"/>
      <c r="E37" s="731" t="n"/>
      <c r="F37" s="731" t="n"/>
      <c r="G37" s="731" t="n"/>
    </row>
    <row r="38" ht="15" customHeight="1">
      <c r="A38" s="1886" t="inlineStr">
        <is>
          <t>Rental &amp; Property-Related Operating Revenue</t>
        </is>
      </c>
      <c r="B38" s="731" t="n"/>
      <c r="C38" s="731" t="n"/>
      <c r="D38" s="731" t="n"/>
      <c r="E38" s="731" t="n"/>
      <c r="F38" s="731" t="n"/>
      <c r="G38" s="731" t="n"/>
    </row>
    <row r="39" ht="15" customHeight="1">
      <c r="A39" s="1885" t="inlineStr">
        <is>
          <t>Revenue from Financing-Related Operations</t>
        </is>
      </c>
      <c r="B39" s="731" t="n"/>
      <c r="C39" s="731" t="n"/>
      <c r="D39" s="731" t="n"/>
      <c r="E39" s="731" t="n"/>
      <c r="F39" s="731" t="n"/>
      <c r="G39" s="731" t="n"/>
    </row>
    <row r="40" ht="15" customHeight="1">
      <c r="A40" s="1886" t="inlineStr">
        <is>
          <t>Business-Related Financing Revenue - Other</t>
        </is>
      </c>
      <c r="B40" s="731" t="n"/>
      <c r="C40" s="731" t="n"/>
      <c r="D40" s="731" t="n"/>
      <c r="E40" s="731" t="n"/>
      <c r="F40" s="731" t="n"/>
      <c r="G40" s="731" t="n"/>
    </row>
    <row r="41" ht="15" customHeight="1">
      <c r="A41" s="1885" t="inlineStr">
        <is>
          <t>Revenue from Business-Related Activities - Other - Total</t>
        </is>
      </c>
      <c r="B41" s="731" t="n"/>
      <c r="C41" s="731" t="n"/>
      <c r="D41" s="731" t="n"/>
      <c r="E41" s="731" t="n"/>
      <c r="F41" s="731" t="n"/>
      <c r="G41" s="731" t="n"/>
    </row>
    <row r="42" ht="15" customHeight="1">
      <c r="A42" s="1886" t="inlineStr">
        <is>
          <t>Royalty Income - Business</t>
        </is>
      </c>
      <c r="B42" s="731" t="n"/>
      <c r="C42" s="731" t="n"/>
      <c r="D42" s="731" t="n"/>
      <c r="E42" s="731" t="n"/>
      <c r="F42" s="731" t="n"/>
      <c r="G42" s="731" t="n"/>
    </row>
    <row r="43" ht="15" customHeight="1">
      <c r="A43" s="1888" t="inlineStr">
        <is>
          <t>Revenue from Business Activities - Total</t>
        </is>
      </c>
      <c r="B43" s="1889" t="n">
        <v>7445426000</v>
      </c>
      <c r="C43" s="1889" t="n">
        <v>8635346000</v>
      </c>
      <c r="D43" s="1889" t="n">
        <v>11035650000</v>
      </c>
      <c r="E43" s="1889" t="n">
        <v>11740345000</v>
      </c>
      <c r="F43" s="1889" t="n">
        <v>12735815000</v>
      </c>
      <c r="G43" s="1889" t="n">
        <v>13327907000</v>
      </c>
    </row>
    <row r="44" ht="15" customHeight="1">
      <c r="A44" s="1884" t="inlineStr">
        <is>
          <t>Operating Expenses</t>
        </is>
      </c>
      <c r="B44" s="734" t="n"/>
      <c r="C44" s="734" t="n"/>
      <c r="D44" s="734" t="n"/>
      <c r="E44" s="734" t="n"/>
      <c r="F44" s="734" t="n"/>
      <c r="G44" s="734" t="n"/>
    </row>
    <row r="45" ht="15" customHeight="1">
      <c r="A45" s="1885" t="inlineStr">
        <is>
          <t>Cost of Operating Revenue</t>
        </is>
      </c>
      <c r="B45" s="1807" t="n">
        <v>2059254000</v>
      </c>
      <c r="C45" s="1807" t="n">
        <v>2340173000</v>
      </c>
      <c r="D45" s="1807" t="n">
        <v>2914450000</v>
      </c>
      <c r="E45" s="1807" t="n">
        <v>3527754000</v>
      </c>
      <c r="F45" s="1807" t="n">
        <v>3996322000</v>
      </c>
      <c r="G45" s="1807" t="n">
        <v>4188377000</v>
      </c>
    </row>
    <row r="46" ht="15" customHeight="1">
      <c r="A46" s="1886" t="inlineStr">
        <is>
          <t>Cost of Financing-Related Operations</t>
        </is>
      </c>
      <c r="B46" s="731" t="n"/>
      <c r="C46" s="731" t="n"/>
      <c r="D46" s="731" t="n"/>
      <c r="E46" s="731" t="n"/>
      <c r="F46" s="731" t="n"/>
      <c r="G46" s="731" t="n"/>
    </row>
    <row r="47" ht="15" customHeight="1">
      <c r="A47" s="1886" t="inlineStr">
        <is>
          <t>Cost of Revenues - Total</t>
        </is>
      </c>
      <c r="B47" s="1807" t="n">
        <v>2059254000</v>
      </c>
      <c r="C47" s="1807" t="n">
        <v>2340173000</v>
      </c>
      <c r="D47" s="1807" t="n">
        <v>2914450000</v>
      </c>
      <c r="E47" s="1807" t="n">
        <v>3527754000</v>
      </c>
      <c r="F47" s="1807" t="n">
        <v>3996322000</v>
      </c>
      <c r="G47" s="1807" t="n">
        <v>4188377000</v>
      </c>
    </row>
    <row r="48" ht="15" customHeight="1">
      <c r="A48" s="1887" t="inlineStr">
        <is>
          <t>Cost of Revenues - Unclassified</t>
        </is>
      </c>
      <c r="B48" s="1807" t="n">
        <v>415240000</v>
      </c>
      <c r="C48" s="1807" t="n">
        <v>480354000</v>
      </c>
      <c r="D48" s="1807" t="n">
        <v>607770000</v>
      </c>
      <c r="E48" s="1807" t="n">
        <v>684486000</v>
      </c>
      <c r="F48" s="1807" t="n">
        <v>898595000</v>
      </c>
      <c r="G48" s="1807" t="n">
        <v>1115112000</v>
      </c>
    </row>
    <row r="49" ht="15" customHeight="1">
      <c r="A49" s="1887" t="inlineStr">
        <is>
          <t>Production Taxes &amp; Royalty Expenses</t>
        </is>
      </c>
      <c r="B49" s="731" t="n"/>
      <c r="C49" s="731" t="n"/>
      <c r="D49" s="731" t="n"/>
      <c r="E49" s="731" t="n"/>
      <c r="F49" s="731" t="n"/>
      <c r="G49" s="731" t="n"/>
    </row>
    <row r="50" ht="15" customHeight="1">
      <c r="A50" s="1887" t="inlineStr">
        <is>
          <t>Amortization in Cost of Revenues</t>
        </is>
      </c>
      <c r="B50" s="1807" t="n">
        <v>215644000</v>
      </c>
      <c r="C50" s="1807" t="n">
        <v>222157000</v>
      </c>
      <c r="D50" s="1807" t="n">
        <v>246177000</v>
      </c>
      <c r="E50" s="1807" t="n">
        <v>270216000</v>
      </c>
      <c r="F50" s="1807" t="n">
        <v>297992000</v>
      </c>
      <c r="G50" s="1807" t="n">
        <v>202480000</v>
      </c>
    </row>
    <row r="51" ht="15" customHeight="1">
      <c r="A51" s="1887" t="inlineStr">
        <is>
          <t>Depreciation in Cost of Revenues</t>
        </is>
      </c>
      <c r="B51" s="1807" t="n">
        <v>1428370000</v>
      </c>
      <c r="C51" s="1807" t="n">
        <v>1637662000</v>
      </c>
      <c r="D51" s="1807" t="n">
        <v>2060503000</v>
      </c>
      <c r="E51" s="1807" t="n">
        <v>2573052000</v>
      </c>
      <c r="F51" s="1807" t="n">
        <v>2799735000</v>
      </c>
      <c r="G51" s="1807" t="n">
        <v>2870785000</v>
      </c>
    </row>
    <row r="52" ht="15" customHeight="1">
      <c r="A52" s="1887" t="inlineStr">
        <is>
          <t>Labor &amp; Related Expenses including Stock-Based Compensation in Cost of Revenues</t>
        </is>
      </c>
      <c r="B52" s="731" t="n"/>
      <c r="C52" s="731" t="n"/>
      <c r="D52" s="731" t="n"/>
      <c r="E52" s="731" t="n"/>
      <c r="F52" s="731" t="n"/>
      <c r="G52" s="731" t="n"/>
    </row>
    <row r="53" ht="15" customHeight="1">
      <c r="A53" s="1887" t="inlineStr">
        <is>
          <t>Material Expenses</t>
        </is>
      </c>
      <c r="B53" s="731" t="n"/>
      <c r="C53" s="731" t="n"/>
      <c r="D53" s="731" t="n"/>
      <c r="E53" s="731" t="n"/>
      <c r="F53" s="731" t="n"/>
      <c r="G53" s="731" t="n"/>
    </row>
    <row r="54" ht="15" customHeight="1">
      <c r="A54" s="1890" t="inlineStr">
        <is>
          <t>Material Expenses - Materials, Inventory, Own Work &amp; Utility - Unclassified</t>
        </is>
      </c>
      <c r="B54" s="731" t="n"/>
      <c r="C54" s="731" t="n"/>
      <c r="D54" s="731" t="n"/>
      <c r="E54" s="731" t="n"/>
      <c r="F54" s="731" t="n"/>
      <c r="G54" s="731" t="n"/>
    </row>
    <row r="55" ht="15" customHeight="1">
      <c r="A55" s="1890" t="inlineStr">
        <is>
          <t>Utility Cost of Revenue - Fuel Expense</t>
        </is>
      </c>
      <c r="B55" s="731" t="n"/>
      <c r="C55" s="731" t="n"/>
      <c r="D55" s="731" t="n"/>
      <c r="E55" s="731" t="n"/>
      <c r="F55" s="731" t="n"/>
      <c r="G55" s="731" t="n"/>
    </row>
    <row r="56" ht="15" customHeight="1">
      <c r="A56" s="1890" t="inlineStr">
        <is>
          <t>Utility Cost of Revenue - Fuel Purchased for Resale</t>
        </is>
      </c>
      <c r="B56" s="731" t="n"/>
      <c r="C56" s="731" t="n"/>
      <c r="D56" s="731" t="n"/>
      <c r="E56" s="731" t="n"/>
      <c r="F56" s="731" t="n"/>
      <c r="G56" s="731" t="n"/>
    </row>
    <row r="57" ht="15" customHeight="1">
      <c r="A57" s="1890" t="inlineStr">
        <is>
          <t>Utility Cost of Revenue - Purchased Power</t>
        </is>
      </c>
      <c r="B57" s="731" t="n"/>
      <c r="C57" s="731" t="n"/>
      <c r="D57" s="731" t="n"/>
      <c r="E57" s="731" t="n"/>
      <c r="F57" s="731" t="n"/>
      <c r="G57" s="731" t="n"/>
    </row>
    <row r="58" ht="15" customHeight="1">
      <c r="A58" s="1890" t="inlineStr">
        <is>
          <t>Own Work Capitalized</t>
        </is>
      </c>
      <c r="B58" s="731" t="n"/>
      <c r="C58" s="731" t="n"/>
      <c r="D58" s="731" t="n"/>
      <c r="E58" s="731" t="n"/>
      <c r="F58" s="731" t="n"/>
      <c r="G58" s="731" t="n"/>
    </row>
    <row r="59" ht="15" customHeight="1">
      <c r="A59" s="1890" t="inlineStr">
        <is>
          <t>Changes in Inventory</t>
        </is>
      </c>
      <c r="B59" s="731" t="n"/>
      <c r="C59" s="731" t="n"/>
      <c r="D59" s="731" t="n"/>
      <c r="E59" s="731" t="n"/>
      <c r="F59" s="731" t="n"/>
      <c r="G59" s="731" t="n"/>
    </row>
    <row r="60" ht="15" customHeight="1">
      <c r="A60" s="1890" t="inlineStr">
        <is>
          <t>Materials Purchased</t>
        </is>
      </c>
      <c r="B60" s="731" t="n"/>
      <c r="C60" s="731" t="n"/>
      <c r="D60" s="731" t="n"/>
      <c r="E60" s="731" t="n"/>
      <c r="F60" s="731" t="n"/>
      <c r="G60" s="731" t="n"/>
    </row>
    <row r="61" ht="15" customHeight="1">
      <c r="A61" s="1890" t="inlineStr">
        <is>
          <t>Ground leases/Rental Expenses in Cost of Revenues</t>
        </is>
      </c>
      <c r="B61" s="731" t="n"/>
      <c r="C61" s="731" t="n"/>
      <c r="D61" s="731" t="n"/>
      <c r="E61" s="731" t="n"/>
      <c r="F61" s="731" t="n"/>
      <c r="G61" s="731" t="n"/>
    </row>
    <row r="62" ht="15" customHeight="1">
      <c r="A62" s="1887" t="inlineStr">
        <is>
          <t>Property Operating Expenses - Hotel</t>
        </is>
      </c>
      <c r="B62" s="731" t="n"/>
      <c r="C62" s="731" t="n"/>
      <c r="D62" s="731" t="n"/>
      <c r="E62" s="731" t="n"/>
      <c r="F62" s="731" t="n"/>
      <c r="G62" s="731" t="n"/>
    </row>
    <row r="63" ht="15" customHeight="1">
      <c r="A63" s="1887" t="inlineStr">
        <is>
          <t>Cost of Revenues - Other - Total</t>
        </is>
      </c>
      <c r="B63" s="731" t="n"/>
      <c r="C63" s="731" t="n"/>
      <c r="D63" s="731" t="n"/>
      <c r="E63" s="731" t="n"/>
      <c r="F63" s="731" t="n"/>
      <c r="G63" s="731" t="n"/>
    </row>
    <row r="64" ht="15" customHeight="1">
      <c r="A64" s="1888" t="inlineStr">
        <is>
          <t>Gross Profit - Industrials/Property - Total</t>
        </is>
      </c>
      <c r="B64" s="1889" t="n">
        <v>5386172000</v>
      </c>
      <c r="C64" s="1889" t="n">
        <v>6295173000</v>
      </c>
      <c r="D64" s="1889" t="n">
        <v>8121200000</v>
      </c>
      <c r="E64" s="1889" t="n">
        <v>8212591000</v>
      </c>
      <c r="F64" s="1889" t="n">
        <v>8739493000</v>
      </c>
      <c r="G64" s="1889" t="n">
        <v>9139530000</v>
      </c>
    </row>
    <row r="65" ht="15" customHeight="1">
      <c r="A65" s="1885" t="inlineStr">
        <is>
          <t>Selling, General &amp; Administrative Expenses - Total</t>
        </is>
      </c>
      <c r="B65" s="1807" t="n">
        <v>592782000</v>
      </c>
      <c r="C65" s="1807" t="n">
        <v>707120000</v>
      </c>
      <c r="D65" s="1807" t="n">
        <v>916111000</v>
      </c>
      <c r="E65" s="1807" t="n">
        <v>1119731000</v>
      </c>
      <c r="F65" s="1807" t="n">
        <v>1217595000</v>
      </c>
      <c r="G65" s="1807" t="n">
        <v>1211640000</v>
      </c>
    </row>
    <row r="66" ht="15" customHeight="1">
      <c r="A66" s="1886" t="inlineStr">
        <is>
          <t>Selling, General &amp; Administrative Expenses - Unclassified</t>
        </is>
      </c>
      <c r="B66" s="1807" t="n">
        <v>205878000</v>
      </c>
      <c r="C66" s="1807" t="n">
        <v>250154000</v>
      </c>
      <c r="D66" s="1807" t="n">
        <v>230432000</v>
      </c>
      <c r="E66" s="1807" t="n">
        <v>243340000</v>
      </c>
      <c r="F66" s="1807" t="n">
        <v>295836000</v>
      </c>
      <c r="G66" s="1807" t="n">
        <v>313724000</v>
      </c>
    </row>
    <row r="67" ht="15" customHeight="1">
      <c r="A67" s="1886" t="inlineStr">
        <is>
          <t>Labor &amp; Related Expenses including Stock-Based Compensation in Selling, General &amp; Administrative Expenses</t>
        </is>
      </c>
      <c r="B67" s="1807" t="n">
        <v>419388000</v>
      </c>
      <c r="C67" s="1807" t="n">
        <v>470514000</v>
      </c>
      <c r="D67" s="1807" t="n">
        <v>680892000</v>
      </c>
      <c r="E67" s="1807" t="n">
        <v>788501000</v>
      </c>
      <c r="F67" s="1807" t="n">
        <v>818343000</v>
      </c>
      <c r="G67" s="1807" t="n">
        <v>917491000</v>
      </c>
    </row>
    <row r="68" ht="15" customHeight="1">
      <c r="A68" s="1886" t="inlineStr">
        <is>
          <t>Research &amp; Development Expense</t>
        </is>
      </c>
      <c r="B68" s="731" t="n"/>
      <c r="C68" s="731" t="n"/>
      <c r="D68" s="731" t="n"/>
      <c r="E68" s="731" t="n"/>
      <c r="F68" s="731" t="n"/>
      <c r="G68" s="731" t="n"/>
    </row>
    <row r="69" ht="15" customHeight="1">
      <c r="A69" s="1886" t="inlineStr">
        <is>
          <t>Exploration/Dry Hole Expenses (including Write-Off)</t>
        </is>
      </c>
      <c r="B69" s="731" t="n"/>
      <c r="C69" s="731" t="n"/>
      <c r="D69" s="731" t="n"/>
      <c r="E69" s="731" t="n"/>
      <c r="F69" s="731" t="n"/>
      <c r="G69" s="731" t="n"/>
    </row>
    <row r="70" ht="15" customHeight="1">
      <c r="A70" s="1886" t="inlineStr">
        <is>
          <t>Depreciation in Selling, General &amp; Administrative Expenses</t>
        </is>
      </c>
      <c r="B70" s="731" t="n"/>
      <c r="C70" s="731" t="n"/>
      <c r="D70" s="731" t="n"/>
      <c r="E70" s="731" t="n"/>
      <c r="F70" s="731" t="n"/>
      <c r="G70" s="731" t="n"/>
    </row>
    <row r="71" ht="15" customHeight="1">
      <c r="A71" s="1886" t="inlineStr">
        <is>
          <t>Amortization of Intangibles in Selling, General &amp; Administrative Expenses</t>
        </is>
      </c>
      <c r="B71" s="731" t="n"/>
      <c r="C71" s="731" t="n"/>
      <c r="D71" s="731" t="n"/>
      <c r="E71" s="731" t="n"/>
      <c r="F71" s="731" t="n"/>
      <c r="G71" s="731" t="n"/>
    </row>
    <row r="72" ht="15" customHeight="1">
      <c r="A72" s="1886" t="inlineStr">
        <is>
          <t>Operations &amp; Maintenance (Utility)</t>
        </is>
      </c>
      <c r="B72" s="731" t="n"/>
      <c r="C72" s="731" t="n"/>
      <c r="D72" s="731" t="n"/>
      <c r="E72" s="731" t="n"/>
      <c r="F72" s="731" t="n"/>
      <c r="G72" s="731" t="n"/>
    </row>
    <row r="73" ht="15" customHeight="1">
      <c r="A73" s="1886" t="inlineStr">
        <is>
          <t>Selling, General &amp; Administrative Expenses - Other - Total</t>
        </is>
      </c>
      <c r="B73" s="1807" t="n">
        <v>-32484000</v>
      </c>
      <c r="C73" s="1807" t="n">
        <v>-13548000</v>
      </c>
      <c r="D73" s="1807" t="n">
        <v>4787000</v>
      </c>
      <c r="E73" s="1807" t="n">
        <v>87890000</v>
      </c>
      <c r="F73" s="1807" t="n">
        <v>103416000</v>
      </c>
      <c r="G73" s="1807" t="n">
        <v>-19575000</v>
      </c>
    </row>
    <row r="74" ht="15" customHeight="1">
      <c r="A74" s="1887" t="inlineStr">
        <is>
          <t>Advertising Expense</t>
        </is>
      </c>
      <c r="B74" s="731" t="n"/>
      <c r="C74" s="731" t="n"/>
      <c r="D74" s="731" t="n"/>
      <c r="E74" s="731" t="n"/>
      <c r="F74" s="731" t="n"/>
      <c r="G74" s="731" t="n"/>
    </row>
    <row r="75" ht="15" customHeight="1">
      <c r="A75" s="1887" t="inlineStr">
        <is>
          <t>Property &amp; Other Taxes</t>
        </is>
      </c>
      <c r="B75" s="731" t="n"/>
      <c r="C75" s="731" t="n"/>
      <c r="D75" s="731" t="n"/>
      <c r="E75" s="731" t="n"/>
      <c r="F75" s="1807" t="n">
        <v>123833000</v>
      </c>
      <c r="G75" s="1807" t="n">
        <v>14583000</v>
      </c>
    </row>
    <row r="76" ht="15" customHeight="1">
      <c r="A76" s="1887" t="inlineStr">
        <is>
          <t>Rental Expense</t>
        </is>
      </c>
      <c r="B76" s="731" t="n"/>
      <c r="C76" s="731" t="n"/>
      <c r="D76" s="731" t="n"/>
      <c r="E76" s="731" t="n"/>
      <c r="F76" s="731" t="n"/>
      <c r="G76" s="731" t="n"/>
    </row>
    <row r="77" ht="15" customHeight="1">
      <c r="A77" s="1887" t="inlineStr">
        <is>
          <t>Occupancy Expense - Other</t>
        </is>
      </c>
      <c r="B77" s="731" t="n"/>
      <c r="C77" s="731" t="n"/>
      <c r="D77" s="731" t="n"/>
      <c r="E77" s="731" t="n"/>
      <c r="F77" s="731" t="n"/>
      <c r="G77" s="731" t="n"/>
    </row>
    <row r="78" ht="15" customHeight="1">
      <c r="A78" s="1887" t="inlineStr">
        <is>
          <t>Pre-Opening Expenses</t>
        </is>
      </c>
      <c r="B78" s="731" t="n"/>
      <c r="C78" s="731" t="n"/>
      <c r="D78" s="731" t="n"/>
      <c r="E78" s="731" t="n"/>
      <c r="F78" s="731" t="n"/>
      <c r="G78" s="731" t="n"/>
    </row>
    <row r="79" ht="15" customHeight="1">
      <c r="A79" s="1887" t="inlineStr">
        <is>
          <t>Provision for Doubtful Accounts &amp; Write-off</t>
        </is>
      </c>
      <c r="B79" s="1807" t="n">
        <v>-32484000</v>
      </c>
      <c r="C79" s="1807" t="n">
        <v>-13548000</v>
      </c>
      <c r="D79" s="1807" t="n">
        <v>4787000</v>
      </c>
      <c r="E79" s="1807" t="n">
        <v>43435000</v>
      </c>
      <c r="F79" s="1807" t="n">
        <v>-43315000</v>
      </c>
      <c r="G79" s="1807" t="n">
        <v>-45280000</v>
      </c>
    </row>
    <row r="80" ht="15" customHeight="1">
      <c r="A80" s="1887" t="inlineStr">
        <is>
          <t>Equipment/Occupancy Expense - Bank/Financial - Other</t>
        </is>
      </c>
      <c r="B80" s="731" t="n"/>
      <c r="C80" s="731" t="n"/>
      <c r="D80" s="731" t="n"/>
      <c r="E80" s="731" t="n"/>
      <c r="F80" s="731" t="n"/>
      <c r="G80" s="731" t="n"/>
    </row>
    <row r="81" ht="15" customHeight="1">
      <c r="A81" s="1885" t="inlineStr">
        <is>
          <t>Other Operating Expense/(Income) - Net</t>
        </is>
      </c>
      <c r="B81" s="1807" t="n">
        <v>22690000</v>
      </c>
      <c r="C81" s="1807" t="n">
        <v>167429000</v>
      </c>
      <c r="D81" s="1807" t="n">
        <v>88975000</v>
      </c>
      <c r="E81" s="1807" t="n">
        <v>-56826000</v>
      </c>
      <c r="F81" s="1807" t="n">
        <v>70469000</v>
      </c>
      <c r="G81" s="1807" t="n">
        <v>77056000</v>
      </c>
    </row>
    <row r="82" ht="15" customHeight="1">
      <c r="A82" s="1886" t="inlineStr">
        <is>
          <t>Other Operating Income - Total</t>
        </is>
      </c>
      <c r="B82" s="731" t="n"/>
      <c r="C82" s="731" t="n"/>
      <c r="D82" s="731" t="n"/>
      <c r="E82" s="731" t="n"/>
      <c r="F82" s="731" t="n"/>
      <c r="G82" s="731" t="n"/>
    </row>
    <row r="83" ht="15" customHeight="1">
      <c r="A83" s="1886" t="inlineStr">
        <is>
          <t>Other Operating Expense</t>
        </is>
      </c>
      <c r="B83" s="731" t="n"/>
      <c r="C83" s="731" t="n"/>
      <c r="D83" s="731" t="n"/>
      <c r="E83" s="731" t="n"/>
      <c r="F83" s="731" t="n"/>
      <c r="G83" s="731" t="n"/>
    </row>
    <row r="84" ht="15" customHeight="1">
      <c r="A84" s="1886" t="inlineStr">
        <is>
          <t>Provision for Decommissioning Fund &amp; Environmental Obligations</t>
        </is>
      </c>
      <c r="B84" s="731" t="n"/>
      <c r="C84" s="731" t="n"/>
      <c r="D84" s="731" t="n"/>
      <c r="E84" s="731" t="n"/>
      <c r="F84" s="731" t="n"/>
      <c r="G84" s="731" t="n"/>
    </row>
    <row r="85" ht="15" customHeight="1">
      <c r="A85" s="1886" t="inlineStr">
        <is>
          <t>Operating Provisions - Increase/(Decrease)</t>
        </is>
      </c>
      <c r="B85" s="731" t="n"/>
      <c r="C85" s="731" t="n"/>
      <c r="D85" s="731" t="n"/>
      <c r="E85" s="731" t="n"/>
      <c r="F85" s="731" t="n"/>
      <c r="G85" s="731" t="n"/>
    </row>
    <row r="86" ht="15" customHeight="1">
      <c r="A86" s="1886" t="inlineStr">
        <is>
          <t>Non-Recurring Adjustments - Operating - Decrease/(Increase)</t>
        </is>
      </c>
      <c r="B86" s="731" t="n"/>
      <c r="C86" s="731" t="n"/>
      <c r="D86" s="731" t="n"/>
      <c r="E86" s="731" t="n"/>
      <c r="F86" s="731" t="n"/>
      <c r="G86" s="731" t="n"/>
    </row>
    <row r="87" ht="15" customHeight="1">
      <c r="A87" s="1886" t="inlineStr">
        <is>
          <t>Supplementary Adjustments - Operating - Decrease/(Increase)</t>
        </is>
      </c>
      <c r="B87" s="731" t="n"/>
      <c r="C87" s="731" t="n"/>
      <c r="D87" s="731" t="n"/>
      <c r="E87" s="731" t="n"/>
      <c r="F87" s="731" t="n"/>
      <c r="G87" s="731" t="n"/>
    </row>
    <row r="88" ht="15" customHeight="1">
      <c r="A88" s="1885" t="inlineStr">
        <is>
          <t>Operating Expenses - Total</t>
        </is>
      </c>
      <c r="B88" s="1807" t="n">
        <v>2674726000</v>
      </c>
      <c r="C88" s="1807" t="n">
        <v>3214722000</v>
      </c>
      <c r="D88" s="1807" t="n">
        <v>3919536000</v>
      </c>
      <c r="E88" s="1807" t="n">
        <v>4590659000</v>
      </c>
      <c r="F88" s="1807" t="n">
        <v>5284386000</v>
      </c>
      <c r="G88" s="1807" t="n">
        <v>5477073000</v>
      </c>
    </row>
    <row r="89" ht="15" customHeight="1">
      <c r="A89" s="1884" t="inlineStr">
        <is>
          <t>Operating Profit</t>
        </is>
      </c>
      <c r="B89" s="734" t="n"/>
      <c r="C89" s="734" t="n"/>
      <c r="D89" s="734" t="n"/>
      <c r="E89" s="734" t="n"/>
      <c r="F89" s="734" t="n"/>
      <c r="G89" s="734" t="n"/>
    </row>
    <row r="90" ht="15" customHeight="1">
      <c r="A90" s="1888" t="inlineStr">
        <is>
          <t>Operating Profit before Non-Recurring Income/Expense</t>
        </is>
      </c>
      <c r="B90" s="1889" t="n">
        <v>4770700000</v>
      </c>
      <c r="C90" s="1889" t="n">
        <v>5420624000</v>
      </c>
      <c r="D90" s="1889" t="n">
        <v>7116114000</v>
      </c>
      <c r="E90" s="1889" t="n">
        <v>7149686000</v>
      </c>
      <c r="F90" s="1889" t="n">
        <v>7451429000</v>
      </c>
      <c r="G90" s="1889" t="n">
        <v>7850834000</v>
      </c>
    </row>
    <row r="91" ht="15" customHeight="1">
      <c r="A91" s="1884" t="inlineStr">
        <is>
          <t>Non-Operating Expenses</t>
        </is>
      </c>
      <c r="B91" s="734" t="n"/>
      <c r="C91" s="734" t="n"/>
      <c r="D91" s="734" t="n"/>
      <c r="E91" s="734" t="n"/>
      <c r="F91" s="734" t="n"/>
      <c r="G91" s="734" t="n"/>
    </row>
    <row r="92" ht="15" customHeight="1">
      <c r="A92" s="1885" t="inlineStr">
        <is>
          <t>Financing Income/(Expense) - Net - Total</t>
        </is>
      </c>
      <c r="B92" s="1807" t="n">
        <v>-1266742000</v>
      </c>
      <c r="C92" s="1807" t="n">
        <v>-1281231000</v>
      </c>
      <c r="D92" s="1807" t="n">
        <v>-2404208000</v>
      </c>
      <c r="E92" s="1807" t="n">
        <v>-2797013000</v>
      </c>
      <c r="F92" s="1807" t="n">
        <v>-3021973000</v>
      </c>
      <c r="G92" s="1807" t="n">
        <v>-3086514000</v>
      </c>
    </row>
    <row r="93" ht="15" customHeight="1">
      <c r="A93" s="1886" t="inlineStr">
        <is>
          <t>Interest Expense - Net of (Interest Income)</t>
        </is>
      </c>
      <c r="B93" s="1807" t="n">
        <v>1050842000</v>
      </c>
      <c r="C93" s="1807" t="n">
        <v>1254452000</v>
      </c>
      <c r="D93" s="1807" t="n">
        <v>2280344000</v>
      </c>
      <c r="E93" s="1807" t="n">
        <v>2694489000</v>
      </c>
      <c r="F93" s="1807" t="n">
        <v>2940697000</v>
      </c>
      <c r="G93" s="1807" t="n">
        <v>2831713000</v>
      </c>
    </row>
    <row r="94" ht="15" customHeight="1">
      <c r="A94" s="1887" t="inlineStr">
        <is>
          <t>Interest Income - Non-Bank</t>
        </is>
      </c>
      <c r="B94" s="1807" t="n">
        <v>33587000</v>
      </c>
      <c r="C94" s="1807" t="n">
        <v>30866000</v>
      </c>
      <c r="D94" s="1807" t="n">
        <v>29265000</v>
      </c>
      <c r="E94" s="1807" t="n">
        <v>25649000</v>
      </c>
      <c r="F94" s="1807" t="n">
        <v>84309000</v>
      </c>
      <c r="G94" s="1807" t="n">
        <v>44354000</v>
      </c>
    </row>
    <row r="95" ht="15" customHeight="1">
      <c r="A95" s="1887" t="inlineStr">
        <is>
          <t>Interest Expense - Net of Capitalized Interest</t>
        </is>
      </c>
      <c r="B95" s="1807" t="n">
        <v>1084429000</v>
      </c>
      <c r="C95" s="1807" t="n">
        <v>1285318000</v>
      </c>
      <c r="D95" s="1807" t="n">
        <v>2309609000</v>
      </c>
      <c r="E95" s="1807" t="n">
        <v>2720138000</v>
      </c>
      <c r="F95" s="1807" t="n">
        <v>3025006000</v>
      </c>
      <c r="G95" s="1807" t="n">
        <v>2876067000</v>
      </c>
    </row>
    <row r="96" ht="15" customHeight="1">
      <c r="A96" s="1890" t="inlineStr">
        <is>
          <t>Interest Expense on Capital Financing - Gross</t>
        </is>
      </c>
      <c r="B96" s="731" t="n"/>
      <c r="C96" s="731" t="n"/>
      <c r="D96" s="731" t="n"/>
      <c r="E96" s="731" t="n"/>
      <c r="F96" s="731" t="n"/>
      <c r="G96" s="731" t="n"/>
    </row>
    <row r="97" ht="15" customHeight="1">
      <c r="A97" s="1891" t="inlineStr">
        <is>
          <t>Dividends on Hybrid Financial Instruments - Liability Portion</t>
        </is>
      </c>
      <c r="B97" s="731" t="n"/>
      <c r="C97" s="731" t="n"/>
      <c r="D97" s="731" t="n"/>
      <c r="E97" s="731" t="n"/>
      <c r="F97" s="731" t="n"/>
      <c r="G97" s="731" t="n"/>
    </row>
    <row r="98" ht="15" customHeight="1">
      <c r="A98" s="1890" t="inlineStr">
        <is>
          <t>Interest Capitalized</t>
        </is>
      </c>
      <c r="B98" s="731" t="n"/>
      <c r="C98" s="731" t="n"/>
      <c r="D98" s="731" t="n"/>
      <c r="E98" s="731" t="n"/>
      <c r="F98" s="731" t="n"/>
      <c r="G98" s="731" t="n"/>
    </row>
    <row r="99" ht="15" customHeight="1">
      <c r="A99" s="1891" t="inlineStr">
        <is>
          <t>Allowance for Funds Used during Construction - Debt Portion (AFUDC)</t>
        </is>
      </c>
      <c r="B99" s="731" t="n"/>
      <c r="C99" s="731" t="n"/>
      <c r="D99" s="731" t="n"/>
      <c r="E99" s="731" t="n"/>
      <c r="F99" s="731" t="n"/>
      <c r="G99" s="731" t="n"/>
    </row>
    <row r="100" ht="15" customHeight="1">
      <c r="A100" s="1886" t="inlineStr">
        <is>
          <t>Non-Interest Financial Income/(Expense) - Total</t>
        </is>
      </c>
      <c r="B100" s="1807" t="n">
        <v>-215900000</v>
      </c>
      <c r="C100" s="1807" t="n">
        <v>-26779000</v>
      </c>
      <c r="D100" s="1807" t="n">
        <v>-123864000</v>
      </c>
      <c r="E100" s="1807" t="n">
        <v>-102524000</v>
      </c>
      <c r="F100" s="1807" t="n">
        <v>-81276000</v>
      </c>
      <c r="G100" s="1807" t="n">
        <v>-254801000</v>
      </c>
    </row>
    <row r="101" ht="15" customHeight="1">
      <c r="A101" s="1887" t="inlineStr">
        <is>
          <t>Dividend &amp; Investment Income</t>
        </is>
      </c>
      <c r="B101" s="731" t="n"/>
      <c r="C101" s="731" t="n"/>
      <c r="D101" s="731" t="n"/>
      <c r="E101" s="731" t="n"/>
      <c r="F101" s="731" t="n"/>
      <c r="G101" s="731" t="n"/>
    </row>
    <row r="102" ht="15" customHeight="1">
      <c r="A102" s="1887" t="inlineStr">
        <is>
          <t>Foreign Exchange Gain/(Loss) - Non-Business</t>
        </is>
      </c>
      <c r="B102" s="1807" t="n">
        <v>-182776000</v>
      </c>
      <c r="C102" s="1807" t="n">
        <v>8880000</v>
      </c>
      <c r="D102" s="1807" t="n">
        <v>-92842000</v>
      </c>
      <c r="E102" s="1807" t="n">
        <v>-14536000</v>
      </c>
      <c r="F102" s="1807" t="n">
        <v>-17317000</v>
      </c>
      <c r="G102" s="1807" t="n">
        <v>-83748000</v>
      </c>
    </row>
    <row r="103" ht="15" customHeight="1">
      <c r="A103" s="1887" t="inlineStr">
        <is>
          <t>Amortization of Deferred Financing Charges</t>
        </is>
      </c>
      <c r="B103" s="731" t="n"/>
      <c r="C103" s="731" t="n"/>
      <c r="D103" s="731" t="n"/>
      <c r="E103" s="731" t="n"/>
      <c r="F103" s="731" t="n"/>
      <c r="G103" s="731" t="n"/>
    </row>
    <row r="104" ht="15" customHeight="1">
      <c r="A104" s="1887" t="inlineStr">
        <is>
          <t>Sale of Investments Held for Sale, Maturity &amp; Trading - Gain/(Loss)</t>
        </is>
      </c>
      <c r="B104" s="731" t="n"/>
      <c r="C104" s="731" t="n"/>
      <c r="D104" s="731" t="n"/>
      <c r="E104" s="731" t="n"/>
      <c r="F104" s="731" t="n"/>
      <c r="G104" s="731" t="n"/>
    </row>
    <row r="105" ht="15" customHeight="1">
      <c r="A105" s="1887" t="inlineStr">
        <is>
          <t>Accretion - Site Closure &amp; Reclamation Expenses</t>
        </is>
      </c>
      <c r="B105" s="731" t="n"/>
      <c r="C105" s="731" t="n"/>
      <c r="D105" s="731" t="n"/>
      <c r="E105" s="731" t="n"/>
      <c r="F105" s="731" t="n"/>
      <c r="G105" s="731" t="n"/>
    </row>
    <row r="106" ht="15" customHeight="1">
      <c r="A106" s="1887" t="inlineStr">
        <is>
          <t>Non-Interest Financial Income/(Expense) - Other - Net</t>
        </is>
      </c>
      <c r="B106" s="1807" t="n">
        <v>-33124000</v>
      </c>
      <c r="C106" s="1807" t="n">
        <v>-35659000</v>
      </c>
      <c r="D106" s="1807" t="n">
        <v>-31022000</v>
      </c>
      <c r="E106" s="1807" t="n">
        <v>-87988000</v>
      </c>
      <c r="F106" s="1807" t="n">
        <v>-63959000</v>
      </c>
      <c r="G106" s="1807" t="n">
        <v>-171053000</v>
      </c>
    </row>
    <row r="107" ht="15" customHeight="1">
      <c r="A107" s="1885" t="inlineStr">
        <is>
          <t>Sale of Tangible &amp; Intangible Fixed Assets - Gain/(Loss)</t>
        </is>
      </c>
      <c r="B107" s="1807" t="n">
        <v>-43365000</v>
      </c>
      <c r="C107" s="1807" t="n">
        <v>-84504000</v>
      </c>
      <c r="D107" s="1807" t="n">
        <v>-144699000</v>
      </c>
      <c r="E107" s="1807" t="n">
        <v>-173608000</v>
      </c>
      <c r="F107" s="1807" t="n">
        <v>-168191000</v>
      </c>
      <c r="G107" s="1807" t="n">
        <v>-269391000</v>
      </c>
    </row>
    <row r="108" ht="15" customHeight="1">
      <c r="A108" s="1886" t="inlineStr">
        <is>
          <t>Sale of Leased Fixed Assets - Gain/(Loss)</t>
        </is>
      </c>
      <c r="B108" s="731" t="n"/>
      <c r="C108" s="731" t="n"/>
      <c r="D108" s="731" t="n"/>
      <c r="E108" s="731" t="n"/>
      <c r="F108" s="731" t="n"/>
      <c r="G108" s="731" t="n"/>
    </row>
    <row r="109" ht="15" customHeight="1">
      <c r="A109" s="1885" t="inlineStr">
        <is>
          <t>Equity Earnings/(Loss) - before Taxes including Non-Recurring</t>
        </is>
      </c>
      <c r="B109" s="731" t="n"/>
      <c r="C109" s="731" t="n"/>
      <c r="D109" s="731" t="n"/>
      <c r="E109" s="731" t="n"/>
      <c r="F109" s="731" t="n"/>
      <c r="G109" s="731" t="n"/>
    </row>
    <row r="110" ht="15" customHeight="1">
      <c r="A110" s="1886" t="inlineStr">
        <is>
          <t>Non-Recurring Portion of Equity Earnings before Taxes</t>
        </is>
      </c>
      <c r="B110" s="731" t="n"/>
      <c r="C110" s="731" t="n"/>
      <c r="D110" s="731" t="n"/>
      <c r="E110" s="731" t="n"/>
      <c r="F110" s="731" t="n"/>
      <c r="G110" s="731" t="n"/>
    </row>
    <row r="111" ht="15" customHeight="1">
      <c r="A111" s="1885" t="inlineStr">
        <is>
          <t>Other Non-Operating Income/(Expense) - Total</t>
        </is>
      </c>
      <c r="B111" s="1807" t="n">
        <v>-83740000</v>
      </c>
      <c r="C111" s="1807" t="n">
        <v>-55470000</v>
      </c>
      <c r="D111" s="1807" t="n">
        <v>-57023000</v>
      </c>
      <c r="E111" s="1807" t="n">
        <v>-55031000</v>
      </c>
      <c r="F111" s="1807" t="n">
        <v>-65570000</v>
      </c>
      <c r="G111" s="1807" t="n">
        <v>-41868000</v>
      </c>
    </row>
    <row r="112" ht="15" customHeight="1">
      <c r="A112" s="1886" t="inlineStr">
        <is>
          <t>Non-Operating Rental Income</t>
        </is>
      </c>
      <c r="B112" s="731" t="n"/>
      <c r="C112" s="731" t="n"/>
      <c r="D112" s="731" t="n"/>
      <c r="E112" s="731" t="n"/>
      <c r="F112" s="731" t="n"/>
      <c r="G112" s="731" t="n"/>
    </row>
    <row r="113" ht="15" customHeight="1">
      <c r="A113" s="1886" t="inlineStr">
        <is>
          <t>Transfer from/(to) Untaxed Reserves</t>
        </is>
      </c>
      <c r="B113" s="731" t="n"/>
      <c r="C113" s="731" t="n"/>
      <c r="D113" s="731" t="n"/>
      <c r="E113" s="731" t="n"/>
      <c r="F113" s="731" t="n"/>
      <c r="G113" s="731" t="n"/>
    </row>
    <row r="114" ht="15" customHeight="1">
      <c r="A114" s="1886" t="inlineStr">
        <is>
          <t>Trading Derivatives - Gain/(Loss)</t>
        </is>
      </c>
      <c r="B114" s="731" t="n"/>
      <c r="C114" s="731" t="n"/>
      <c r="D114" s="731" t="n"/>
      <c r="E114" s="731" t="n"/>
      <c r="F114" s="731" t="n"/>
      <c r="G114" s="731" t="n"/>
    </row>
    <row r="115" ht="15" customHeight="1">
      <c r="A115" s="1886" t="inlineStr">
        <is>
          <t>Derivatives - Hedging - Effective Gain/(Loss)</t>
        </is>
      </c>
      <c r="B115" s="731" t="n"/>
      <c r="C115" s="731" t="n"/>
      <c r="D115" s="731" t="n"/>
      <c r="E115" s="731" t="n"/>
      <c r="F115" s="731" t="n"/>
      <c r="G115" s="731" t="n"/>
    </row>
    <row r="116" ht="15" customHeight="1">
      <c r="A116" s="1886" t="inlineStr">
        <is>
          <t>Derivatives - Hedging - Realized Gain/(Loss)</t>
        </is>
      </c>
      <c r="B116" s="731" t="n"/>
      <c r="C116" s="731" t="n"/>
      <c r="D116" s="731" t="n"/>
      <c r="E116" s="731" t="n"/>
      <c r="F116" s="731" t="n"/>
      <c r="G116" s="731" t="n"/>
    </row>
    <row r="117" ht="15" customHeight="1">
      <c r="A117" s="1886" t="inlineStr">
        <is>
          <t>Non-Recurring Adjustments - Non-Operating- Decrease/(Increase)</t>
        </is>
      </c>
      <c r="B117" s="731" t="n"/>
      <c r="C117" s="731" t="n"/>
      <c r="D117" s="731" t="n"/>
      <c r="E117" s="731" t="n"/>
      <c r="F117" s="731" t="n"/>
      <c r="G117" s="731" t="n"/>
    </row>
    <row r="118" ht="15" customHeight="1">
      <c r="A118" s="1886" t="inlineStr">
        <is>
          <t>Supplementary Adjustments - Non-Operating- Decrease/(Increase)</t>
        </is>
      </c>
      <c r="B118" s="731" t="n"/>
      <c r="C118" s="731" t="n"/>
      <c r="D118" s="731" t="n"/>
      <c r="E118" s="731" t="n"/>
      <c r="F118" s="731" t="n"/>
      <c r="G118" s="731" t="n"/>
    </row>
    <row r="119" ht="15" customHeight="1">
      <c r="A119" s="1885" t="inlineStr">
        <is>
          <t>Normalized Pre-tax Profit</t>
        </is>
      </c>
      <c r="B119" s="1807" t="n">
        <v>3376853000</v>
      </c>
      <c r="C119" s="1807" t="n">
        <v>3999419000</v>
      </c>
      <c r="D119" s="1807" t="n">
        <v>4510184000</v>
      </c>
      <c r="E119" s="1807" t="n">
        <v>4124034000</v>
      </c>
      <c r="F119" s="1807" t="n">
        <v>4195695000</v>
      </c>
      <c r="G119" s="1807" t="n">
        <v>4453061000</v>
      </c>
    </row>
    <row r="120" ht="15" customHeight="1">
      <c r="A120" s="1884" t="inlineStr">
        <is>
          <t>Non-Recurring Income/Expense</t>
        </is>
      </c>
      <c r="B120" s="734" t="n"/>
      <c r="C120" s="734" t="n"/>
      <c r="D120" s="734" t="n"/>
      <c r="E120" s="734" t="n"/>
      <c r="F120" s="734" t="n"/>
      <c r="G120" s="734" t="n"/>
    </row>
    <row r="121" ht="15" customHeight="1">
      <c r="A121" s="1885" t="inlineStr">
        <is>
          <t>Non-Recurring Income/(Expense) - Total</t>
        </is>
      </c>
      <c r="B121" s="1807" t="n">
        <v>22068000</v>
      </c>
      <c r="C121" s="1807" t="n">
        <v>51549000</v>
      </c>
      <c r="D121" s="1807" t="n">
        <v>-50933000</v>
      </c>
      <c r="E121" s="1807" t="n">
        <v>-20240000</v>
      </c>
      <c r="F121" s="1807" t="n">
        <v>0</v>
      </c>
      <c r="G121" s="731" t="n"/>
    </row>
    <row r="122" ht="15" customHeight="1">
      <c r="A122" s="1886" t="inlineStr">
        <is>
          <t>Impairment - Deferred Costs</t>
        </is>
      </c>
      <c r="B122" s="731" t="n"/>
      <c r="C122" s="731" t="n"/>
      <c r="D122" s="731" t="n"/>
      <c r="E122" s="731" t="n"/>
      <c r="F122" s="731" t="n"/>
      <c r="G122" s="731" t="n"/>
    </row>
    <row r="123" ht="15" customHeight="1">
      <c r="A123" s="1886" t="inlineStr">
        <is>
          <t>Impairment - Tangible &amp; Intangible Fixed Assets</t>
        </is>
      </c>
      <c r="B123" s="731" t="n"/>
      <c r="C123" s="731" t="n"/>
      <c r="D123" s="731" t="n"/>
      <c r="E123" s="1807" t="n">
        <v>30000000</v>
      </c>
      <c r="F123" s="1807" t="n">
        <v>0</v>
      </c>
      <c r="G123" s="731" t="n"/>
    </row>
    <row r="124" ht="15" customHeight="1">
      <c r="A124" s="1887" t="inlineStr">
        <is>
          <t>Impairment - Fixed Assets</t>
        </is>
      </c>
      <c r="B124" s="731" t="n"/>
      <c r="C124" s="731" t="n"/>
      <c r="D124" s="731" t="n"/>
      <c r="E124" s="731" t="n"/>
      <c r="F124" s="731" t="n"/>
      <c r="G124" s="731" t="n"/>
    </row>
    <row r="125" ht="15" customHeight="1">
      <c r="A125" s="1887" t="inlineStr">
        <is>
          <t>Impairment - Goodwill</t>
        </is>
      </c>
      <c r="B125" s="731" t="n"/>
      <c r="C125" s="731" t="n"/>
      <c r="D125" s="731" t="n"/>
      <c r="E125" s="1807" t="n">
        <v>30000000</v>
      </c>
      <c r="F125" s="1807" t="n">
        <v>0</v>
      </c>
      <c r="G125" s="731" t="n"/>
    </row>
    <row r="126" ht="15" customHeight="1">
      <c r="A126" s="1887" t="inlineStr">
        <is>
          <t>Impairment - Intangibles excluding Goodwill</t>
        </is>
      </c>
      <c r="B126" s="731" t="n"/>
      <c r="C126" s="731" t="n"/>
      <c r="D126" s="731" t="n"/>
      <c r="E126" s="731" t="n"/>
      <c r="F126" s="731" t="n"/>
      <c r="G126" s="731" t="n"/>
    </row>
    <row r="127" ht="15" customHeight="1">
      <c r="A127" s="1887" t="inlineStr">
        <is>
          <t>Impairment - Oil &amp; Gas Assets</t>
        </is>
      </c>
      <c r="B127" s="731" t="n"/>
      <c r="C127" s="731" t="n"/>
      <c r="D127" s="731" t="n"/>
      <c r="E127" s="731" t="n"/>
      <c r="F127" s="731" t="n"/>
      <c r="G127" s="731" t="n"/>
    </row>
    <row r="128" ht="15" customHeight="1">
      <c r="A128" s="1886" t="inlineStr">
        <is>
          <t>Impairment - Investment Property</t>
        </is>
      </c>
      <c r="B128" s="731" t="n"/>
      <c r="C128" s="731" t="n"/>
      <c r="D128" s="731" t="n"/>
      <c r="E128" s="731" t="n"/>
      <c r="F128" s="731" t="n"/>
      <c r="G128" s="731" t="n"/>
    </row>
    <row r="129" ht="15" customHeight="1">
      <c r="A129" s="1886" t="inlineStr">
        <is>
          <t>Impairment - Financial Investments</t>
        </is>
      </c>
      <c r="B129" s="731" t="n"/>
      <c r="C129" s="731" t="n"/>
      <c r="D129" s="731" t="n"/>
      <c r="E129" s="731" t="n"/>
      <c r="F129" s="731" t="n"/>
      <c r="G129" s="731" t="n"/>
    </row>
    <row r="130" ht="15" customHeight="1">
      <c r="A130" s="1886" t="inlineStr">
        <is>
          <t>Other than Temporary Impairment Losses on Investments</t>
        </is>
      </c>
      <c r="B130" s="731" t="n"/>
      <c r="C130" s="731" t="n"/>
      <c r="D130" s="731" t="n"/>
      <c r="E130" s="731" t="n"/>
      <c r="F130" s="731" t="n"/>
      <c r="G130" s="731" t="n"/>
    </row>
    <row r="131" ht="15" customHeight="1">
      <c r="A131" s="1886" t="inlineStr">
        <is>
          <t>Restructuring Charges</t>
        </is>
      </c>
      <c r="B131" s="731" t="n"/>
      <c r="C131" s="731" t="n"/>
      <c r="D131" s="731" t="n"/>
      <c r="E131" s="731" t="n"/>
      <c r="F131" s="731" t="n"/>
      <c r="G131" s="731" t="n"/>
    </row>
    <row r="132" ht="15" customHeight="1">
      <c r="A132" s="1886" t="inlineStr">
        <is>
          <t>Research &amp; Development - in Process</t>
        </is>
      </c>
      <c r="B132" s="731" t="n"/>
      <c r="C132" s="731" t="n"/>
      <c r="D132" s="731" t="n"/>
      <c r="E132" s="731" t="n"/>
      <c r="F132" s="731" t="n"/>
      <c r="G132" s="731" t="n"/>
    </row>
    <row r="133" ht="15" customHeight="1">
      <c r="A133" s="1886" t="inlineStr">
        <is>
          <t>Litigation Expenses/Settlements</t>
        </is>
      </c>
      <c r="B133" s="731" t="n"/>
      <c r="C133" s="731" t="n"/>
      <c r="D133" s="731" t="n"/>
      <c r="E133" s="731" t="n"/>
      <c r="F133" s="731" t="n"/>
      <c r="G133" s="731" t="n"/>
    </row>
    <row r="134" ht="15" customHeight="1">
      <c r="A134" s="1886" t="inlineStr">
        <is>
          <t>Costs Associated with IPOs &amp; Mergers</t>
        </is>
      </c>
      <c r="B134" s="731" t="n"/>
      <c r="C134" s="731" t="n"/>
      <c r="D134" s="731" t="n"/>
      <c r="E134" s="731" t="n"/>
      <c r="F134" s="731" t="n"/>
      <c r="G134" s="731" t="n"/>
    </row>
    <row r="135" ht="15" customHeight="1">
      <c r="A135" s="1886" t="inlineStr">
        <is>
          <t>Derivatives - Hedging - Gain/(Loss)</t>
        </is>
      </c>
      <c r="B135" s="731" t="n"/>
      <c r="C135" s="731" t="n"/>
      <c r="D135" s="731" t="n"/>
      <c r="E135" s="731" t="n"/>
      <c r="F135" s="731" t="n"/>
      <c r="G135" s="731" t="n"/>
    </row>
    <row r="136" ht="15" customHeight="1">
      <c r="A136" s="1886" t="inlineStr">
        <is>
          <t>Early Termination of Derivatives - Hedging - Gain/(Loss)</t>
        </is>
      </c>
      <c r="B136" s="731" t="n"/>
      <c r="C136" s="731" t="n"/>
      <c r="D136" s="731" t="n"/>
      <c r="E136" s="731" t="n"/>
      <c r="F136" s="731" t="n"/>
      <c r="G136" s="731" t="n"/>
    </row>
    <row r="137" ht="15" customHeight="1">
      <c r="A137" s="1886" t="inlineStr">
        <is>
          <t>Derivatives - Hedging - Ineffective Gain/(Loss)</t>
        </is>
      </c>
      <c r="B137" s="731" t="n"/>
      <c r="C137" s="731" t="n"/>
      <c r="D137" s="731" t="n"/>
      <c r="E137" s="731" t="n"/>
      <c r="F137" s="731" t="n"/>
      <c r="G137" s="731" t="n"/>
    </row>
    <row r="138" ht="15" customHeight="1">
      <c r="A138" s="1886" t="inlineStr">
        <is>
          <t>Unrealized Adjustments on Derivatives for Hedging</t>
        </is>
      </c>
      <c r="B138" s="731" t="n"/>
      <c r="C138" s="731" t="n"/>
      <c r="D138" s="731" t="n"/>
      <c r="E138" s="731" t="n"/>
      <c r="F138" s="731" t="n"/>
      <c r="G138" s="731" t="n"/>
    </row>
    <row r="139" ht="15" customHeight="1">
      <c r="A139" s="1886" t="inlineStr">
        <is>
          <t>Early Extinguishment of Lease Related Debts - Gain/(Loss)</t>
        </is>
      </c>
      <c r="B139" s="731" t="n"/>
      <c r="C139" s="731" t="n"/>
      <c r="D139" s="731" t="n"/>
      <c r="E139" s="731" t="n"/>
      <c r="F139" s="731" t="n"/>
      <c r="G139" s="731" t="n"/>
    </row>
    <row r="140" ht="15" customHeight="1">
      <c r="A140" s="1886" t="inlineStr">
        <is>
          <t>Recognition of Negative Goodwill</t>
        </is>
      </c>
      <c r="B140" s="731" t="n"/>
      <c r="C140" s="731" t="n"/>
      <c r="D140" s="731" t="n"/>
      <c r="E140" s="731" t="n"/>
      <c r="F140" s="731" t="n"/>
      <c r="G140" s="731" t="n"/>
    </row>
    <row r="141" ht="15" customHeight="1">
      <c r="A141" s="1886" t="inlineStr">
        <is>
          <t>Fair Value Adjustments - Investment Property</t>
        </is>
      </c>
      <c r="B141" s="731" t="n"/>
      <c r="C141" s="731" t="n"/>
      <c r="D141" s="731" t="n"/>
      <c r="E141" s="731" t="n"/>
      <c r="F141" s="731" t="n"/>
      <c r="G141" s="731" t="n"/>
    </row>
    <row r="142" ht="15" customHeight="1">
      <c r="A142" s="1886" t="inlineStr">
        <is>
          <t>Fair Value Adjustments - Biological Assets</t>
        </is>
      </c>
      <c r="B142" s="731" t="n"/>
      <c r="C142" s="731" t="n"/>
      <c r="D142" s="731" t="n"/>
      <c r="E142" s="731" t="n"/>
      <c r="F142" s="731" t="n"/>
      <c r="G142" s="731" t="n"/>
    </row>
    <row r="143" ht="15" customHeight="1">
      <c r="A143" s="1886" t="inlineStr">
        <is>
          <t>Fair Value Adjustments - Financial Investments</t>
        </is>
      </c>
      <c r="B143" s="1807" t="n">
        <v>22068000</v>
      </c>
      <c r="C143" s="1807" t="n">
        <v>51549000</v>
      </c>
      <c r="D143" s="1807" t="n">
        <v>-50933000</v>
      </c>
      <c r="E143" s="1807" t="n">
        <v>9760000</v>
      </c>
      <c r="F143" s="1807" t="n">
        <v>0</v>
      </c>
      <c r="G143" s="731" t="n"/>
    </row>
    <row r="144" ht="15" customHeight="1">
      <c r="A144" s="1886" t="inlineStr">
        <is>
          <t>Fair Value Adjustments - Other Assets</t>
        </is>
      </c>
      <c r="B144" s="731" t="n"/>
      <c r="C144" s="731" t="n"/>
      <c r="D144" s="731" t="n"/>
      <c r="E144" s="731" t="n"/>
      <c r="F144" s="731" t="n"/>
      <c r="G144" s="731" t="n"/>
    </row>
    <row r="145" ht="15" customHeight="1">
      <c r="A145" s="1886" t="inlineStr">
        <is>
          <t>Compensation for Disaster - Pre-Tax</t>
        </is>
      </c>
      <c r="B145" s="731" t="n"/>
      <c r="C145" s="731" t="n"/>
      <c r="D145" s="731" t="n"/>
      <c r="E145" s="731" t="n"/>
      <c r="F145" s="731" t="n"/>
      <c r="G145" s="731" t="n"/>
    </row>
    <row r="146" ht="15" customHeight="1">
      <c r="A146" s="1886" t="inlineStr">
        <is>
          <t>Debt Restructuring - Gain/(Loss)</t>
        </is>
      </c>
      <c r="B146" s="731" t="n"/>
      <c r="C146" s="731" t="n"/>
      <c r="D146" s="731" t="n"/>
      <c r="E146" s="731" t="n"/>
      <c r="F146" s="731" t="n"/>
      <c r="G146" s="731" t="n"/>
    </row>
    <row r="147" ht="15" customHeight="1">
      <c r="A147" s="1886" t="inlineStr">
        <is>
          <t>Sale &amp; Acquisition of Group Companies - Gain/(Loss)</t>
        </is>
      </c>
      <c r="B147" s="731" t="n"/>
      <c r="C147" s="731" t="n"/>
      <c r="D147" s="731" t="n"/>
      <c r="E147" s="731" t="n"/>
      <c r="F147" s="731" t="n"/>
      <c r="G147" s="731" t="n"/>
    </row>
    <row r="148" ht="15" customHeight="1">
      <c r="A148" s="1886" t="inlineStr">
        <is>
          <t>Valuation of Inventory - Gain/(Loss)</t>
        </is>
      </c>
      <c r="B148" s="731" t="n"/>
      <c r="C148" s="731" t="n"/>
      <c r="D148" s="731" t="n"/>
      <c r="E148" s="731" t="n"/>
      <c r="F148" s="731" t="n"/>
      <c r="G148" s="731" t="n"/>
    </row>
    <row r="149" ht="15" customHeight="1">
      <c r="A149" s="1886" t="inlineStr">
        <is>
          <t>COVID-19 Non-Recurring Income/(Expense) - Total</t>
        </is>
      </c>
      <c r="B149" s="731" t="n"/>
      <c r="C149" s="731" t="n"/>
      <c r="D149" s="731" t="n"/>
      <c r="E149" s="731" t="n"/>
      <c r="F149" s="731" t="n"/>
      <c r="G149" s="731" t="n"/>
    </row>
    <row r="150" ht="15" customHeight="1">
      <c r="A150" s="1887" t="inlineStr">
        <is>
          <t>COVID-19 Non-Recurring Income/(Expense) - Other</t>
        </is>
      </c>
      <c r="B150" s="731" t="n"/>
      <c r="C150" s="731" t="n"/>
      <c r="D150" s="731" t="n"/>
      <c r="E150" s="731" t="n"/>
      <c r="F150" s="731" t="n"/>
      <c r="G150" s="731" t="n"/>
    </row>
    <row r="151" ht="15" customHeight="1">
      <c r="A151" s="1887" t="inlineStr">
        <is>
          <t>COVID-19 One-time Provisions</t>
        </is>
      </c>
      <c r="B151" s="731" t="n"/>
      <c r="C151" s="731" t="n"/>
      <c r="D151" s="731" t="n"/>
      <c r="E151" s="731" t="n"/>
      <c r="F151" s="731" t="n"/>
      <c r="G151" s="731" t="n"/>
    </row>
    <row r="152" ht="15" customHeight="1">
      <c r="A152" s="1887" t="inlineStr">
        <is>
          <t>COVID-19 Restructuring Charges &amp; Provisions</t>
        </is>
      </c>
      <c r="B152" s="731" t="n"/>
      <c r="C152" s="731" t="n"/>
      <c r="D152" s="731" t="n"/>
      <c r="E152" s="731" t="n"/>
      <c r="F152" s="731" t="n"/>
      <c r="G152" s="731" t="n"/>
    </row>
    <row r="153" ht="15" customHeight="1">
      <c r="A153" s="1887" t="inlineStr">
        <is>
          <t>COVID-19 Impairment of Long-Term Assets</t>
        </is>
      </c>
      <c r="B153" s="731" t="n"/>
      <c r="C153" s="731" t="n"/>
      <c r="D153" s="731" t="n"/>
      <c r="E153" s="731" t="n"/>
      <c r="F153" s="731" t="n"/>
      <c r="G153" s="731" t="n"/>
    </row>
    <row r="154" ht="15" customHeight="1">
      <c r="A154" s="1887" t="inlineStr">
        <is>
          <t>COVID-19 One-time Government Grants Received</t>
        </is>
      </c>
      <c r="B154" s="731" t="n"/>
      <c r="C154" s="731" t="n"/>
      <c r="D154" s="731" t="n"/>
      <c r="E154" s="731" t="n"/>
      <c r="F154" s="731" t="n"/>
      <c r="G154" s="731" t="n"/>
    </row>
    <row r="155" ht="15" customHeight="1">
      <c r="A155" s="1886" t="inlineStr">
        <is>
          <t>Non-Recurring Income/(Expense) - Other - Total</t>
        </is>
      </c>
      <c r="B155" s="731" t="n"/>
      <c r="C155" s="731" t="n"/>
      <c r="D155" s="731" t="n"/>
      <c r="E155" s="731" t="n"/>
      <c r="F155" s="731" t="n"/>
      <c r="G155" s="731" t="n"/>
    </row>
    <row r="156" ht="15" customHeight="1">
      <c r="A156" s="1884" t="inlineStr">
        <is>
          <t>Pre-Tax Income</t>
        </is>
      </c>
      <c r="B156" s="734" t="n"/>
      <c r="C156" s="734" t="n"/>
      <c r="D156" s="734" t="n"/>
      <c r="E156" s="734" t="n"/>
      <c r="F156" s="734" t="n"/>
      <c r="G156" s="734" t="n"/>
    </row>
    <row r="157" ht="15" customHeight="1">
      <c r="A157" s="1888" t="inlineStr">
        <is>
          <t>Income before Taxes</t>
        </is>
      </c>
      <c r="B157" s="1889" t="n">
        <v>3398921000</v>
      </c>
      <c r="C157" s="1889" t="n">
        <v>4050968000</v>
      </c>
      <c r="D157" s="1889" t="n">
        <v>4459251000</v>
      </c>
      <c r="E157" s="1889" t="n">
        <v>4103794000</v>
      </c>
      <c r="F157" s="1889" t="n">
        <v>4195695000</v>
      </c>
      <c r="G157" s="1889" t="n">
        <v>4453061000</v>
      </c>
    </row>
    <row r="158" ht="15" customHeight="1">
      <c r="A158" s="1884" t="inlineStr">
        <is>
          <t>Taxes</t>
        </is>
      </c>
      <c r="B158" s="734" t="n"/>
      <c r="C158" s="734" t="n"/>
      <c r="D158" s="734" t="n"/>
      <c r="E158" s="734" t="n"/>
      <c r="F158" s="734" t="n"/>
      <c r="G158" s="734" t="n"/>
    </row>
    <row r="159" ht="15" customHeight="1">
      <c r="A159" s="1885" t="inlineStr">
        <is>
          <t>Income Taxes</t>
        </is>
      </c>
      <c r="B159" s="1807" t="n">
        <v>545304000</v>
      </c>
      <c r="C159" s="1807" t="n">
        <v>603093000</v>
      </c>
      <c r="D159" s="1807" t="n">
        <v>962716000</v>
      </c>
      <c r="E159" s="1807" t="n">
        <v>800152000</v>
      </c>
      <c r="F159" s="1807" t="n">
        <v>831089000</v>
      </c>
      <c r="G159" s="1807" t="n">
        <v>770813000</v>
      </c>
    </row>
    <row r="160" ht="15" customHeight="1">
      <c r="A160" s="1886" t="inlineStr">
        <is>
          <t>Provision for Income Tax Expense- Unclassified</t>
        </is>
      </c>
      <c r="B160" s="731" t="n"/>
      <c r="C160" s="731" t="n"/>
      <c r="D160" s="731" t="n"/>
      <c r="E160" s="731" t="n"/>
      <c r="F160" s="731" t="n"/>
      <c r="G160" s="731" t="n"/>
    </row>
    <row r="161" ht="15" customHeight="1">
      <c r="A161" s="1886" t="inlineStr">
        <is>
          <t>Provision for Income Tax by Region - Total</t>
        </is>
      </c>
      <c r="B161" s="731" t="n"/>
      <c r="C161" s="731" t="n"/>
      <c r="D161" s="731" t="n"/>
      <c r="E161" s="731" t="n"/>
      <c r="F161" s="731" t="n"/>
      <c r="G161" s="731" t="n"/>
    </row>
    <row r="162" ht="15" customHeight="1">
      <c r="A162" s="1887" t="inlineStr">
        <is>
          <t>Income Taxes - Domestic</t>
        </is>
      </c>
      <c r="B162" s="731" t="n"/>
      <c r="C162" s="731" t="n"/>
      <c r="D162" s="731" t="n"/>
      <c r="E162" s="731" t="n"/>
      <c r="F162" s="731" t="n"/>
      <c r="G162" s="731" t="n"/>
    </row>
    <row r="163" ht="15" customHeight="1">
      <c r="A163" s="1887" t="inlineStr">
        <is>
          <t>Income Taxes - Foreign</t>
        </is>
      </c>
      <c r="B163" s="731" t="n"/>
      <c r="C163" s="731" t="n"/>
      <c r="D163" s="731" t="n"/>
      <c r="E163" s="731" t="n"/>
      <c r="F163" s="731" t="n"/>
      <c r="G163" s="731" t="n"/>
    </row>
    <row r="164" ht="15" customHeight="1">
      <c r="A164" s="1887" t="inlineStr">
        <is>
          <t>Income Taxes - Other (by Region)</t>
        </is>
      </c>
      <c r="B164" s="731" t="n"/>
      <c r="C164" s="731" t="n"/>
      <c r="D164" s="731" t="n"/>
      <c r="E164" s="731" t="n"/>
      <c r="F164" s="731" t="n"/>
      <c r="G164" s="731" t="n"/>
    </row>
    <row r="165" ht="15" customHeight="1">
      <c r="A165" s="1886" t="inlineStr">
        <is>
          <t>Income Taxes for the Year - Current</t>
        </is>
      </c>
      <c r="B165" s="1807" t="n">
        <v>691586000</v>
      </c>
      <c r="C165" s="1807" t="n">
        <v>810695000</v>
      </c>
      <c r="D165" s="1807" t="n">
        <v>930359000</v>
      </c>
      <c r="E165" s="1807" t="n">
        <v>903323000</v>
      </c>
      <c r="F165" s="1807" t="n">
        <v>978887000</v>
      </c>
      <c r="G165" s="1807" t="n">
        <v>1054298000</v>
      </c>
    </row>
    <row r="166" ht="15" customHeight="1">
      <c r="A166" s="1887" t="inlineStr">
        <is>
          <t>Income Taxes - Domestic - Current</t>
        </is>
      </c>
      <c r="B166" s="731" t="n"/>
      <c r="C166" s="731" t="n"/>
      <c r="D166" s="731" t="n"/>
      <c r="E166" s="731" t="n"/>
      <c r="F166" s="731" t="n"/>
      <c r="G166" s="731" t="n"/>
    </row>
    <row r="167" ht="15" customHeight="1">
      <c r="A167" s="1887" t="inlineStr">
        <is>
          <t>Income Taxes - Foreign - Current</t>
        </is>
      </c>
      <c r="B167" s="731" t="n"/>
      <c r="C167" s="731" t="n"/>
      <c r="D167" s="731" t="n"/>
      <c r="E167" s="731" t="n"/>
      <c r="F167" s="731" t="n"/>
      <c r="G167" s="731" t="n"/>
    </row>
    <row r="168" ht="15" customHeight="1">
      <c r="A168" s="1887" t="inlineStr">
        <is>
          <t>Income Taxes - Other (KFAS/NLST) - Current</t>
        </is>
      </c>
      <c r="B168" s="1807" t="n">
        <v>691586000</v>
      </c>
      <c r="C168" s="1807" t="n">
        <v>810695000</v>
      </c>
      <c r="D168" s="1807" t="n">
        <v>930359000</v>
      </c>
      <c r="E168" s="1807" t="n">
        <v>903323000</v>
      </c>
      <c r="F168" s="1807" t="n">
        <v>978887000</v>
      </c>
      <c r="G168" s="1807" t="n">
        <v>1054298000</v>
      </c>
    </row>
    <row r="169" ht="15" customHeight="1">
      <c r="A169" s="1886" t="inlineStr">
        <is>
          <t>Income Taxes - Deferred</t>
        </is>
      </c>
      <c r="B169" s="1807" t="n">
        <v>-146282000</v>
      </c>
      <c r="C169" s="1807" t="n">
        <v>-207602000</v>
      </c>
      <c r="D169" s="1807" t="n">
        <v>32357000</v>
      </c>
      <c r="E169" s="1807" t="n">
        <v>-103171000</v>
      </c>
      <c r="F169" s="1807" t="n">
        <v>-147798000</v>
      </c>
      <c r="G169" s="1807" t="n">
        <v>-283485000</v>
      </c>
    </row>
    <row r="170" ht="15" customHeight="1">
      <c r="A170" s="1887" t="inlineStr">
        <is>
          <t>Income Taxes - Domestic - Deferred</t>
        </is>
      </c>
      <c r="B170" s="731" t="n"/>
      <c r="C170" s="731" t="n"/>
      <c r="D170" s="731" t="n"/>
      <c r="E170" s="731" t="n"/>
      <c r="F170" s="731" t="n"/>
      <c r="G170" s="731" t="n"/>
    </row>
    <row r="171" ht="15" customHeight="1">
      <c r="A171" s="1887" t="inlineStr">
        <is>
          <t>Income Taxes - Foreign - Deferred</t>
        </is>
      </c>
      <c r="B171" s="731" t="n"/>
      <c r="C171" s="731" t="n"/>
      <c r="D171" s="731" t="n"/>
      <c r="E171" s="731" t="n"/>
      <c r="F171" s="731" t="n"/>
      <c r="G171" s="731" t="n"/>
    </row>
    <row r="172" ht="15" customHeight="1">
      <c r="A172" s="1887" t="inlineStr">
        <is>
          <t>Income Taxes - Other - Deferred</t>
        </is>
      </c>
      <c r="B172" s="731" t="n"/>
      <c r="C172" s="731" t="n"/>
      <c r="D172" s="731" t="n"/>
      <c r="E172" s="731" t="n"/>
      <c r="F172" s="731" t="n"/>
      <c r="G172" s="731" t="n"/>
    </row>
    <row r="173" ht="15" customHeight="1">
      <c r="A173" s="1886" t="inlineStr">
        <is>
          <t>Income Taxes - Other (by Type)</t>
        </is>
      </c>
      <c r="B173" s="731" t="n"/>
      <c r="C173" s="731" t="n"/>
      <c r="D173" s="731" t="n"/>
      <c r="E173" s="731" t="n"/>
      <c r="F173" s="731" t="n"/>
      <c r="G173" s="731" t="n"/>
    </row>
    <row r="174" ht="15" customHeight="1">
      <c r="A174" s="1884" t="inlineStr">
        <is>
          <t>Net Income After Tax</t>
        </is>
      </c>
      <c r="B174" s="734" t="n"/>
      <c r="C174" s="734" t="n"/>
      <c r="D174" s="734" t="n"/>
      <c r="E174" s="734" t="n"/>
      <c r="F174" s="734" t="n"/>
      <c r="G174" s="734" t="n"/>
    </row>
    <row r="175" ht="15" customHeight="1">
      <c r="A175" s="1885" t="inlineStr">
        <is>
          <t>Net Income after Tax</t>
        </is>
      </c>
      <c r="B175" s="1807" t="n">
        <v>2853617000</v>
      </c>
      <c r="C175" s="1807" t="n">
        <v>3447875000</v>
      </c>
      <c r="D175" s="1807" t="n">
        <v>3496535000</v>
      </c>
      <c r="E175" s="1807" t="n">
        <v>3303642000</v>
      </c>
      <c r="F175" s="1807" t="n">
        <v>3364606000</v>
      </c>
      <c r="G175" s="1807" t="n">
        <v>3682248000</v>
      </c>
    </row>
    <row r="176" ht="15" customHeight="1">
      <c r="A176" s="1884" t="inlineStr">
        <is>
          <t>After Tax Income/Expense</t>
        </is>
      </c>
      <c r="B176" s="734" t="n"/>
      <c r="C176" s="734" t="n"/>
      <c r="D176" s="734" t="n"/>
      <c r="E176" s="734" t="n"/>
      <c r="F176" s="734" t="n"/>
      <c r="G176" s="734" t="n"/>
    </row>
    <row r="177" ht="15" customHeight="1">
      <c r="A177" s="1885" t="inlineStr">
        <is>
          <t>Equity in Earnings/(Loss) of Affiliates (after Taxes)</t>
        </is>
      </c>
      <c r="B177" s="731" t="n"/>
      <c r="C177" s="731" t="n"/>
      <c r="D177" s="731" t="n"/>
      <c r="E177" s="731" t="n"/>
      <c r="F177" s="731" t="n"/>
      <c r="G177" s="731" t="n"/>
    </row>
    <row r="178" ht="15" customHeight="1">
      <c r="A178" s="1886" t="inlineStr">
        <is>
          <t>Non-Recurring Portion of Equity Earnings</t>
        </is>
      </c>
      <c r="B178" s="731" t="n"/>
      <c r="C178" s="731" t="n"/>
      <c r="D178" s="731" t="n"/>
      <c r="E178" s="731" t="n"/>
      <c r="F178" s="731" t="n"/>
      <c r="G178" s="731" t="n"/>
    </row>
    <row r="179" ht="15" customHeight="1">
      <c r="A179" s="1885" t="inlineStr">
        <is>
          <t>After-Tax Adjustments - Other - Income/(Expense) - Total</t>
        </is>
      </c>
      <c r="B179" s="731" t="n"/>
      <c r="C179" s="731" t="n"/>
      <c r="D179" s="731" t="n"/>
      <c r="E179" s="731" t="n"/>
      <c r="F179" s="731" t="n"/>
      <c r="G179" s="731" t="n"/>
    </row>
    <row r="180" ht="15" customHeight="1">
      <c r="A180" s="1886" t="inlineStr">
        <is>
          <t>Estimated Tax Impact on Pre-tax Discontinued Operations</t>
        </is>
      </c>
      <c r="B180" s="731" t="n"/>
      <c r="C180" s="731" t="n"/>
      <c r="D180" s="731" t="n"/>
      <c r="E180" s="731" t="n"/>
      <c r="F180" s="731" t="n"/>
      <c r="G180" s="731" t="n"/>
    </row>
    <row r="181" ht="15" customHeight="1">
      <c r="A181" s="1886" t="inlineStr">
        <is>
          <t>Zakat</t>
        </is>
      </c>
      <c r="B181" s="731" t="n"/>
      <c r="C181" s="731" t="n"/>
      <c r="D181" s="731" t="n"/>
      <c r="E181" s="731" t="n"/>
      <c r="F181" s="731" t="n"/>
      <c r="G181" s="731" t="n"/>
    </row>
    <row r="182" ht="15" customHeight="1">
      <c r="A182" s="1886" t="inlineStr">
        <is>
          <t>After-Tax Adjustments - Special Reserves</t>
        </is>
      </c>
      <c r="B182" s="731" t="n"/>
      <c r="C182" s="731" t="n"/>
      <c r="D182" s="731" t="n"/>
      <c r="E182" s="731" t="n"/>
      <c r="F182" s="731" t="n"/>
      <c r="G182" s="731" t="n"/>
    </row>
    <row r="183" ht="15" customHeight="1">
      <c r="A183" s="1888" t="inlineStr">
        <is>
          <t>Income before Discontinued Operations &amp; Extraordinary Items</t>
        </is>
      </c>
      <c r="B183" s="1889" t="n">
        <v>2853617000</v>
      </c>
      <c r="C183" s="1889" t="n">
        <v>3447875000</v>
      </c>
      <c r="D183" s="1889" t="n">
        <v>3496535000</v>
      </c>
      <c r="E183" s="1889" t="n">
        <v>3303642000</v>
      </c>
      <c r="F183" s="1889" t="n">
        <v>3364606000</v>
      </c>
      <c r="G183" s="1889" t="n">
        <v>3682248000</v>
      </c>
    </row>
    <row r="184" ht="15" customHeight="1">
      <c r="A184" s="1885" t="inlineStr">
        <is>
          <t>Extraordinary Activities - after Tax - Gain/(Loss)</t>
        </is>
      </c>
      <c r="B184" s="731" t="n"/>
      <c r="C184" s="731" t="n"/>
      <c r="D184" s="731" t="n"/>
      <c r="E184" s="731" t="n"/>
      <c r="F184" s="731" t="n"/>
      <c r="G184" s="731" t="n"/>
    </row>
    <row r="185" ht="15" customHeight="1">
      <c r="A185" s="1886" t="inlineStr">
        <is>
          <t>Discontinued Operations - Net of Taxes - Total - Income/(Expense)</t>
        </is>
      </c>
      <c r="B185" s="731" t="n"/>
      <c r="C185" s="731" t="n"/>
      <c r="D185" s="731" t="n"/>
      <c r="E185" s="731" t="n"/>
      <c r="F185" s="731" t="n"/>
      <c r="G185" s="731" t="n"/>
    </row>
    <row r="186" ht="15" customHeight="1">
      <c r="A186" s="1887" t="inlineStr">
        <is>
          <t>Discontinued Operations - Net - Income/(Expense)</t>
        </is>
      </c>
      <c r="B186" s="731" t="n"/>
      <c r="C186" s="731" t="n"/>
      <c r="D186" s="731" t="n"/>
      <c r="E186" s="731" t="n"/>
      <c r="F186" s="731" t="n"/>
      <c r="G186" s="731" t="n"/>
    </row>
    <row r="187" ht="15" customHeight="1">
      <c r="A187" s="1887" t="inlineStr">
        <is>
          <t>Sale of Discontinued Operations - Net - Gain/(Loss)</t>
        </is>
      </c>
      <c r="B187" s="731" t="n"/>
      <c r="C187" s="731" t="n"/>
      <c r="D187" s="731" t="n"/>
      <c r="E187" s="731" t="n"/>
      <c r="F187" s="731" t="n"/>
      <c r="G187" s="731" t="n"/>
    </row>
    <row r="188" ht="15" customHeight="1">
      <c r="A188" s="1887" t="inlineStr">
        <is>
          <t>Discontinued Operations before Tax - Total - Income/(Expense)</t>
        </is>
      </c>
      <c r="B188" s="731" t="n"/>
      <c r="C188" s="731" t="n"/>
      <c r="D188" s="731" t="n"/>
      <c r="E188" s="731" t="n"/>
      <c r="F188" s="731" t="n"/>
      <c r="G188" s="731" t="n"/>
    </row>
    <row r="189" ht="15" customHeight="1">
      <c r="A189" s="1890" t="inlineStr">
        <is>
          <t>Discontinued Operations before Tax - Income/(Expense)</t>
        </is>
      </c>
      <c r="B189" s="731" t="n"/>
      <c r="C189" s="731" t="n"/>
      <c r="D189" s="731" t="n"/>
      <c r="E189" s="731" t="n"/>
      <c r="F189" s="731" t="n"/>
      <c r="G189" s="731" t="n"/>
    </row>
    <row r="190" ht="15" customHeight="1">
      <c r="A190" s="1890" t="inlineStr">
        <is>
          <t>Sale of Discontinued Operations before Tax - Gain/(Loss)</t>
        </is>
      </c>
      <c r="B190" s="731" t="n"/>
      <c r="C190" s="731" t="n"/>
      <c r="D190" s="731" t="n"/>
      <c r="E190" s="731" t="n"/>
      <c r="F190" s="731" t="n"/>
      <c r="G190" s="731" t="n"/>
    </row>
    <row r="191" ht="15" customHeight="1">
      <c r="A191" s="1887" t="inlineStr">
        <is>
          <t>Discontinued Operations - Tax Impacts</t>
        </is>
      </c>
      <c r="B191" s="731" t="n"/>
      <c r="C191" s="731" t="n"/>
      <c r="D191" s="731" t="n"/>
      <c r="E191" s="731" t="n"/>
      <c r="F191" s="731" t="n"/>
      <c r="G191" s="731" t="n"/>
    </row>
    <row r="192" ht="15" customHeight="1">
      <c r="A192" s="1886" t="inlineStr">
        <is>
          <t>Impacts from Changes in Accounting Standards</t>
        </is>
      </c>
      <c r="B192" s="731" t="n"/>
      <c r="C192" s="731" t="n"/>
      <c r="D192" s="731" t="n"/>
      <c r="E192" s="731" t="n"/>
      <c r="F192" s="731" t="n"/>
      <c r="G192" s="731" t="n"/>
    </row>
    <row r="193" ht="15" customHeight="1">
      <c r="A193" s="1886" t="inlineStr">
        <is>
          <t>Extraordinary Items</t>
        </is>
      </c>
      <c r="B193" s="731" t="n"/>
      <c r="C193" s="731" t="n"/>
      <c r="D193" s="731" t="n"/>
      <c r="E193" s="731" t="n"/>
      <c r="F193" s="731" t="n"/>
      <c r="G193" s="731" t="n"/>
    </row>
    <row r="194" ht="15" customHeight="1">
      <c r="A194" s="1887" t="inlineStr">
        <is>
          <t>COVID-19 Income Taxes - Non-Recurring Charge/(Credit)</t>
        </is>
      </c>
      <c r="B194" s="731" t="n"/>
      <c r="C194" s="731" t="n"/>
      <c r="D194" s="731" t="n"/>
      <c r="E194" s="731" t="n"/>
      <c r="F194" s="731" t="n"/>
      <c r="G194" s="731" t="n"/>
    </row>
    <row r="195" ht="15" customHeight="1">
      <c r="A195" s="1886" t="inlineStr">
        <is>
          <t>Extraordinary Items - Tax Impact</t>
        </is>
      </c>
      <c r="B195" s="731" t="n"/>
      <c r="C195" s="731" t="n"/>
      <c r="D195" s="731" t="n"/>
      <c r="E195" s="731" t="n"/>
      <c r="F195" s="731" t="n"/>
      <c r="G195" s="731" t="n"/>
    </row>
    <row r="196" ht="15" customHeight="1">
      <c r="A196" s="1885" t="inlineStr">
        <is>
          <t>Net Income before Minority Interest</t>
        </is>
      </c>
      <c r="B196" s="1807" t="n">
        <v>2853617000</v>
      </c>
      <c r="C196" s="1807" t="n">
        <v>3447875000</v>
      </c>
      <c r="D196" s="1807" t="n">
        <v>3496535000</v>
      </c>
      <c r="E196" s="1807" t="n">
        <v>3303642000</v>
      </c>
      <c r="F196" s="1807" t="n">
        <v>3364606000</v>
      </c>
      <c r="G196" s="1807" t="n">
        <v>3682248000</v>
      </c>
    </row>
    <row r="197" ht="15" customHeight="1">
      <c r="A197" s="1885" t="inlineStr">
        <is>
          <t>Minority Interest</t>
        </is>
      </c>
      <c r="B197" s="1807" t="n">
        <v>17617000</v>
      </c>
      <c r="C197" s="1807" t="n">
        <v>20500000</v>
      </c>
      <c r="D197" s="1807" t="n">
        <v>54510000</v>
      </c>
      <c r="E197" s="1807" t="n">
        <v>50545000</v>
      </c>
      <c r="F197" s="1807" t="n">
        <v>29169000</v>
      </c>
      <c r="G197" s="1807" t="n">
        <v>3932000</v>
      </c>
    </row>
    <row r="198" ht="15" customHeight="1">
      <c r="A198" s="1885" t="inlineStr">
        <is>
          <t>Net Income after Minority Interest</t>
        </is>
      </c>
      <c r="B198" s="1807" t="n">
        <v>2836000000</v>
      </c>
      <c r="C198" s="1807" t="n">
        <v>3427375000</v>
      </c>
      <c r="D198" s="1807" t="n">
        <v>3442025000</v>
      </c>
      <c r="E198" s="1807" t="n">
        <v>3253097000</v>
      </c>
      <c r="F198" s="1807" t="n">
        <v>3335437000</v>
      </c>
      <c r="G198" s="1807" t="n">
        <v>3678316000</v>
      </c>
    </row>
    <row r="199" ht="15" customHeight="1">
      <c r="A199" s="1884" t="inlineStr">
        <is>
          <t>Net Income</t>
        </is>
      </c>
      <c r="B199" s="734" t="n"/>
      <c r="C199" s="734" t="n"/>
      <c r="D199" s="734" t="n"/>
      <c r="E199" s="734" t="n"/>
      <c r="F199" s="734" t="n"/>
      <c r="G199" s="734" t="n"/>
    </row>
    <row r="200" ht="15" customHeight="1">
      <c r="A200" s="1885" t="inlineStr">
        <is>
          <t>Interest Expense - Hybrid Debt Instruments - Equity</t>
        </is>
      </c>
      <c r="B200" s="731" t="n"/>
      <c r="C200" s="731" t="n"/>
      <c r="D200" s="731" t="n"/>
      <c r="E200" s="731" t="n"/>
      <c r="F200" s="731" t="n"/>
      <c r="G200" s="731" t="n"/>
    </row>
    <row r="201" ht="15" customHeight="1">
      <c r="A201" s="1885" t="inlineStr">
        <is>
          <t>Distribution for General Partners</t>
        </is>
      </c>
      <c r="B201" s="731" t="n"/>
      <c r="C201" s="731" t="n"/>
      <c r="D201" s="731" t="n"/>
      <c r="E201" s="731" t="n"/>
      <c r="F201" s="731" t="n"/>
      <c r="G201" s="731" t="n"/>
    </row>
    <row r="202" ht="15" customHeight="1">
      <c r="A202" s="1885" t="inlineStr">
        <is>
          <t>Distribution for Preferred Shares</t>
        </is>
      </c>
      <c r="B202" s="731" t="n"/>
      <c r="C202" s="731" t="n"/>
      <c r="D202" s="731" t="n"/>
      <c r="E202" s="731" t="n"/>
      <c r="F202" s="731" t="n"/>
      <c r="G202" s="731" t="n"/>
    </row>
    <row r="203" ht="15" customHeight="1">
      <c r="A203" s="1885" t="inlineStr">
        <is>
          <t>Earnings Adjustments to Net Income - Other Expense/(Income)</t>
        </is>
      </c>
      <c r="B203" s="731" t="n"/>
      <c r="C203" s="731" t="n"/>
      <c r="D203" s="731" t="n"/>
      <c r="E203" s="731" t="n"/>
      <c r="F203" s="731" t="n"/>
      <c r="G203" s="731" t="n"/>
    </row>
    <row r="204" ht="15" customHeight="1">
      <c r="A204" s="1888" t="inlineStr">
        <is>
          <t>Income Available to Common Shares</t>
        </is>
      </c>
      <c r="B204" s="1889" t="n">
        <v>2836000000</v>
      </c>
      <c r="C204" s="1889" t="n">
        <v>3427375000</v>
      </c>
      <c r="D204" s="1889" t="n">
        <v>3442025000</v>
      </c>
      <c r="E204" s="1889" t="n">
        <v>3253097000</v>
      </c>
      <c r="F204" s="1889" t="n">
        <v>3335437000</v>
      </c>
      <c r="G204" s="1889" t="n">
        <v>3678316000</v>
      </c>
    </row>
    <row r="205" ht="15" customHeight="1">
      <c r="A205" s="1884" t="inlineStr">
        <is>
          <t>Other Comprehensive Income</t>
        </is>
      </c>
      <c r="B205" s="734" t="n"/>
      <c r="C205" s="734" t="n"/>
      <c r="D205" s="734" t="n"/>
      <c r="E205" s="734" t="n"/>
      <c r="F205" s="734" t="n"/>
      <c r="G205" s="734" t="n"/>
    </row>
    <row r="206" ht="15" customHeight="1">
      <c r="A206" s="1885" t="inlineStr">
        <is>
          <t>Other Comprehensive Income - Starting Line</t>
        </is>
      </c>
      <c r="B206" s="1807" t="n">
        <v>2853617000</v>
      </c>
      <c r="C206" s="1807" t="n">
        <v>3447875000</v>
      </c>
      <c r="D206" s="1807" t="n">
        <v>3496535000</v>
      </c>
      <c r="E206" s="1807" t="n">
        <v>3303642000</v>
      </c>
      <c r="F206" s="1807" t="n">
        <v>3364606000</v>
      </c>
      <c r="G206" s="1807" t="n">
        <v>3682248000</v>
      </c>
    </row>
    <row r="207" ht="15" customHeight="1">
      <c r="A207" s="1885" t="inlineStr">
        <is>
          <t>Other Comprehensive Income - Foreign Currency</t>
        </is>
      </c>
      <c r="B207" s="731" t="n"/>
      <c r="C207" s="731" t="n"/>
      <c r="D207" s="731" t="n"/>
      <c r="E207" s="731" t="n"/>
      <c r="F207" s="731" t="n"/>
      <c r="G207" s="1807" t="n">
        <v>1302000</v>
      </c>
    </row>
    <row r="208" ht="15" customHeight="1">
      <c r="A208" s="1885" t="inlineStr">
        <is>
          <t>Other Comprehensive Income - Unrealized Investment Gain/(Loss)</t>
        </is>
      </c>
      <c r="B208" s="1807" t="n">
        <v>16713000</v>
      </c>
      <c r="C208" s="1807" t="n">
        <v>-1353000</v>
      </c>
      <c r="D208" s="1807" t="n">
        <v>-17565000</v>
      </c>
      <c r="E208" s="1807" t="n">
        <v>2219000</v>
      </c>
      <c r="F208" s="1807" t="n">
        <v>27000</v>
      </c>
      <c r="G208" s="1807" t="n">
        <v>-1854000</v>
      </c>
    </row>
    <row r="209" ht="15" customHeight="1">
      <c r="A209" s="1885" t="inlineStr">
        <is>
          <t>Other Comprehensive Income - Hedging Gain/(Loss)</t>
        </is>
      </c>
      <c r="B209" s="1807" t="n">
        <v>17174000</v>
      </c>
      <c r="C209" s="1807" t="n">
        <v>-23369000</v>
      </c>
      <c r="D209" s="1807" t="n">
        <v>110881000</v>
      </c>
      <c r="E209" s="1807" t="n">
        <v>-31157000</v>
      </c>
      <c r="F209" s="1807" t="n">
        <v>-4810000</v>
      </c>
      <c r="G209" s="1807" t="n">
        <v>-103264000</v>
      </c>
    </row>
    <row r="210" ht="15" customHeight="1">
      <c r="A210" s="1885" t="inlineStr">
        <is>
          <t>Other Comprehensive Income - Revaluation of Tangible &amp; Intangible Assets</t>
        </is>
      </c>
      <c r="B210" s="731" t="n"/>
      <c r="C210" s="731" t="n"/>
      <c r="D210" s="731" t="n"/>
      <c r="E210" s="731" t="n"/>
      <c r="F210" s="731" t="n"/>
      <c r="G210" s="731" t="n"/>
    </row>
    <row r="211" ht="15" customHeight="1">
      <c r="A211" s="1885" t="inlineStr">
        <is>
          <t>Other Comprehensive Income - Other</t>
        </is>
      </c>
      <c r="B211" s="731" t="n"/>
      <c r="C211" s="731" t="n"/>
      <c r="D211" s="731" t="n"/>
      <c r="E211" s="731" t="n"/>
      <c r="F211" s="731" t="n"/>
      <c r="G211" s="731" t="n"/>
    </row>
    <row r="212" ht="15" customHeight="1">
      <c r="A212" s="1885" t="inlineStr">
        <is>
          <t>Other Comprehensive Income - Unearned Income</t>
        </is>
      </c>
      <c r="B212" s="731" t="n"/>
      <c r="C212" s="731" t="n"/>
      <c r="D212" s="731" t="n"/>
      <c r="E212" s="731" t="n"/>
      <c r="F212" s="731" t="n"/>
      <c r="G212" s="731" t="n"/>
    </row>
    <row r="213" ht="15" customHeight="1">
      <c r="A213" s="1885" t="inlineStr">
        <is>
          <t>Other Comprehensive Income - Discontinued Operations</t>
        </is>
      </c>
      <c r="B213" s="731" t="n"/>
      <c r="C213" s="731" t="n"/>
      <c r="D213" s="731" t="n"/>
      <c r="E213" s="731" t="n"/>
      <c r="F213" s="731" t="n"/>
      <c r="G213" s="731" t="n"/>
    </row>
    <row r="214" ht="15" customHeight="1">
      <c r="A214" s="1885" t="inlineStr">
        <is>
          <t>Other Comprehensive Income - Associated Companies</t>
        </is>
      </c>
      <c r="B214" s="731" t="n"/>
      <c r="C214" s="731" t="n"/>
      <c r="D214" s="731" t="n"/>
      <c r="E214" s="731" t="n"/>
      <c r="F214" s="731" t="n"/>
      <c r="G214" s="731" t="n"/>
    </row>
    <row r="215" ht="15" customHeight="1">
      <c r="A215" s="1885" t="inlineStr">
        <is>
          <t>Other Comprehensive Income - Pension Related</t>
        </is>
      </c>
      <c r="B215" s="1807" t="n">
        <v>7923000</v>
      </c>
      <c r="C215" s="1807" t="n">
        <v>-6085000</v>
      </c>
      <c r="D215" s="1807" t="n">
        <v>-5771000</v>
      </c>
      <c r="E215" s="1807" t="n">
        <v>6347000</v>
      </c>
      <c r="F215" s="1807" t="n">
        <v>4872000</v>
      </c>
      <c r="G215" s="1807" t="n">
        <v>-22598000</v>
      </c>
    </row>
    <row r="216" ht="15" customHeight="1">
      <c r="A216" s="1885" t="inlineStr">
        <is>
          <t>Other Comprehensive Income - Income Tax</t>
        </is>
      </c>
      <c r="B216" s="731" t="n"/>
      <c r="C216" s="731" t="n"/>
      <c r="D216" s="731" t="n"/>
      <c r="E216" s="731" t="n"/>
      <c r="F216" s="731" t="n"/>
      <c r="G216" s="731" t="n"/>
    </row>
    <row r="217" ht="15" customHeight="1">
      <c r="A217" s="1885" t="inlineStr">
        <is>
          <t>Other Comprehensive Income - Net of Tax - Total</t>
        </is>
      </c>
      <c r="B217" s="1807" t="n">
        <v>41810000</v>
      </c>
      <c r="C217" s="1807" t="n">
        <v>-30807000</v>
      </c>
      <c r="D217" s="1807" t="n">
        <v>87545000</v>
      </c>
      <c r="E217" s="1807" t="n">
        <v>-22591000</v>
      </c>
      <c r="F217" s="1807" t="n">
        <v>89000</v>
      </c>
      <c r="G217" s="1807" t="n">
        <v>-126414000</v>
      </c>
    </row>
    <row r="218" ht="15" customHeight="1">
      <c r="A218" s="1888" t="inlineStr">
        <is>
          <t>Comprehensive Income before Minority Interest - Total</t>
        </is>
      </c>
      <c r="B218" s="1889" t="n">
        <v>2895427000</v>
      </c>
      <c r="C218" s="1889" t="n">
        <v>3417068000</v>
      </c>
      <c r="D218" s="1889" t="n">
        <v>3584080000</v>
      </c>
      <c r="E218" s="1889" t="n">
        <v>3281051000</v>
      </c>
      <c r="F218" s="1889" t="n">
        <v>3364695000</v>
      </c>
      <c r="G218" s="1889" t="n">
        <v>3555834000</v>
      </c>
    </row>
    <row r="219" ht="15" customHeight="1">
      <c r="A219" s="1885" t="inlineStr">
        <is>
          <t>Comprehensive Income - Attributable to Minority Interest - Total</t>
        </is>
      </c>
      <c r="B219" s="1807" t="n">
        <v>17617000</v>
      </c>
      <c r="C219" s="1807" t="n">
        <v>20500000</v>
      </c>
      <c r="D219" s="1807" t="n">
        <v>55347000</v>
      </c>
      <c r="E219" s="1807" t="n">
        <v>49594000</v>
      </c>
      <c r="F219" s="1807" t="n">
        <v>28916000</v>
      </c>
      <c r="G219" s="1807" t="n">
        <v>4271000</v>
      </c>
    </row>
    <row r="220" ht="15" customHeight="1">
      <c r="A220" s="1885" t="inlineStr">
        <is>
          <t>Comprehensive Income - Dividend on Preferred Stock</t>
        </is>
      </c>
      <c r="B220" s="731" t="n"/>
      <c r="C220" s="731" t="n"/>
      <c r="D220" s="731" t="n"/>
      <c r="E220" s="731" t="n"/>
      <c r="F220" s="731" t="n"/>
      <c r="G220" s="731" t="n"/>
    </row>
    <row r="221" ht="15" customHeight="1">
      <c r="A221" s="1885" t="inlineStr">
        <is>
          <t>Comprehensive Income - Attributable to Parent Company Equity Holders - Total</t>
        </is>
      </c>
      <c r="B221" s="1807" t="n">
        <v>2877810000</v>
      </c>
      <c r="C221" s="1807" t="n">
        <v>3396568000</v>
      </c>
      <c r="D221" s="1807" t="n">
        <v>3528733000</v>
      </c>
      <c r="E221" s="1807" t="n">
        <v>3231457000</v>
      </c>
      <c r="F221" s="1807" t="n">
        <v>3335779000</v>
      </c>
      <c r="G221" s="1807" t="n">
        <v>3551563000</v>
      </c>
    </row>
    <row r="222" ht="15" customHeight="1">
      <c r="A222" s="1884" t="inlineStr">
        <is>
          <t>Share/Per Share - Basic</t>
        </is>
      </c>
      <c r="B222" s="734" t="n"/>
      <c r="C222" s="734" t="n"/>
      <c r="D222" s="734" t="n"/>
      <c r="E222" s="734" t="n"/>
      <c r="F222" s="734" t="n"/>
      <c r="G222" s="734" t="n"/>
    </row>
    <row r="223" ht="15" customHeight="1">
      <c r="A223" s="1885" t="inlineStr">
        <is>
          <t>Net Income - Basic - including Extraordinary Items Applicable to Common - Total</t>
        </is>
      </c>
      <c r="B223" s="1807" t="n">
        <v>2836000000</v>
      </c>
      <c r="C223" s="1807" t="n">
        <v>3427375000</v>
      </c>
      <c r="D223" s="1807" t="n">
        <v>3442025000</v>
      </c>
      <c r="E223" s="1807" t="n">
        <v>3253097000</v>
      </c>
      <c r="F223" s="1807" t="n">
        <v>3335437000</v>
      </c>
      <c r="G223" s="1807" t="n">
        <v>3678316000</v>
      </c>
    </row>
    <row r="224" ht="15" customHeight="1">
      <c r="A224" s="1886" t="inlineStr">
        <is>
          <t>Income available to Common excluding Extraordinary Items</t>
        </is>
      </c>
      <c r="B224" s="1807" t="n">
        <v>2836000000</v>
      </c>
      <c r="C224" s="1807" t="n">
        <v>3427375000</v>
      </c>
      <c r="D224" s="1807" t="n">
        <v>3442025000</v>
      </c>
      <c r="E224" s="1807" t="n">
        <v>3253097000</v>
      </c>
      <c r="F224" s="1807" t="n">
        <v>3335437000</v>
      </c>
      <c r="G224" s="1807" t="n">
        <v>3678316000</v>
      </c>
    </row>
    <row r="225" ht="15" customHeight="1">
      <c r="A225" s="1886" t="inlineStr">
        <is>
          <t>Shares used to calculate Basic EPS - Total</t>
        </is>
      </c>
      <c r="B225" s="1807" t="n">
        <v>50148387.85</v>
      </c>
      <c r="C225" s="1807" t="n">
        <v>49824209.32</v>
      </c>
      <c r="D225" s="1807" t="n">
        <v>49798939.8</v>
      </c>
      <c r="E225" s="1807" t="n">
        <v>49798932.08</v>
      </c>
      <c r="F225" s="1807" t="n">
        <v>49834629.37</v>
      </c>
      <c r="G225" s="1807" t="n">
        <v>53601492.13</v>
      </c>
    </row>
    <row r="226" ht="15" customHeight="1">
      <c r="A226" s="1887" t="inlineStr">
        <is>
          <t>EPS - Basic - including Extraordinary Items Applicable to Common - Total</t>
        </is>
      </c>
      <c r="B226" s="1892" t="n">
        <v>56.55</v>
      </c>
      <c r="C226" s="1892" t="n">
        <v>68.79000000000001</v>
      </c>
      <c r="D226" s="1892" t="n">
        <v>69.12</v>
      </c>
      <c r="E226" s="1892" t="n">
        <v>65.31999999999999</v>
      </c>
      <c r="F226" s="1892" t="n">
        <v>66.93000000000001</v>
      </c>
      <c r="G226" s="1892" t="n">
        <v>68.62</v>
      </c>
    </row>
    <row r="227" ht="15" customHeight="1">
      <c r="A227" s="1887" t="inlineStr">
        <is>
          <t>EPS - Basic - excluding Extraordinary Items Applicable to Common - Total</t>
        </is>
      </c>
      <c r="B227" s="1892" t="n">
        <v>56.55</v>
      </c>
      <c r="C227" s="1892" t="n">
        <v>68.79000000000001</v>
      </c>
      <c r="D227" s="1892" t="n">
        <v>69.12</v>
      </c>
      <c r="E227" s="1892" t="n">
        <v>65.31999999999999</v>
      </c>
      <c r="F227" s="1892" t="n">
        <v>66.93000000000001</v>
      </c>
      <c r="G227" s="1892" t="n">
        <v>68.62</v>
      </c>
    </row>
    <row r="228" ht="15" customHeight="1">
      <c r="A228" s="1887" t="inlineStr">
        <is>
          <t>EPS - Basic - excluding Extraordinary Items - Normalized - Total</t>
        </is>
      </c>
      <c r="B228" s="1892" t="n">
        <v>56.11</v>
      </c>
      <c r="C228" s="1892" t="n">
        <v>67.75</v>
      </c>
      <c r="D228" s="1892" t="n">
        <v>70.14</v>
      </c>
      <c r="E228" s="1892" t="n">
        <v>65.73</v>
      </c>
      <c r="F228" s="1892" t="n">
        <v>66.93000000000001</v>
      </c>
      <c r="G228" s="1892" t="n">
        <v>68.62</v>
      </c>
    </row>
    <row r="229" ht="15" customHeight="1">
      <c r="A229" s="1887" t="inlineStr">
        <is>
          <t>EPS - Basic - Non-GAAP - Total</t>
        </is>
      </c>
      <c r="B229" s="731" t="n"/>
      <c r="C229" s="731" t="n"/>
      <c r="D229" s="731" t="n"/>
      <c r="E229" s="731" t="n"/>
      <c r="F229" s="731" t="n"/>
      <c r="G229" s="731" t="n"/>
    </row>
    <row r="230" ht="15" customHeight="1">
      <c r="A230" s="1885" t="inlineStr">
        <is>
          <t>Allocated Net Income including Extraordinary Items Applicable to Common - Issue Specific</t>
        </is>
      </c>
      <c r="B230" s="1807" t="n">
        <v>2836000000</v>
      </c>
      <c r="C230" s="1807" t="n">
        <v>3427375000</v>
      </c>
      <c r="D230" s="1807" t="n">
        <v>3442025000</v>
      </c>
      <c r="E230" s="1807" t="n">
        <v>3253097000</v>
      </c>
      <c r="F230" s="1807" t="n">
        <v>3335437000</v>
      </c>
      <c r="G230" s="1807" t="n">
        <v>3678316000</v>
      </c>
    </row>
    <row r="231" ht="15" customHeight="1">
      <c r="A231" s="1885" t="inlineStr">
        <is>
          <t>Earnings Allocation Factor - Basic - Issue Specific</t>
        </is>
      </c>
      <c r="B231" s="1892" t="n">
        <v>1</v>
      </c>
      <c r="C231" s="1892" t="n">
        <v>1</v>
      </c>
      <c r="D231" s="1892" t="n">
        <v>1</v>
      </c>
      <c r="E231" s="1892" t="n">
        <v>1</v>
      </c>
      <c r="F231" s="1892" t="n">
        <v>1</v>
      </c>
      <c r="G231" s="1892" t="n">
        <v>1</v>
      </c>
    </row>
    <row r="232" ht="15" customHeight="1">
      <c r="A232" s="1886" t="inlineStr">
        <is>
          <t>Shares used to calculate Basic EPS - Issue Specific</t>
        </is>
      </c>
      <c r="B232" s="1807" t="n">
        <v>50148387.85</v>
      </c>
      <c r="C232" s="1807" t="n">
        <v>49824209.32</v>
      </c>
      <c r="D232" s="1807" t="n">
        <v>49798939.8</v>
      </c>
      <c r="E232" s="1807" t="n">
        <v>49798932.08</v>
      </c>
      <c r="F232" s="1807" t="n">
        <v>49834629.37</v>
      </c>
      <c r="G232" s="1807" t="n">
        <v>53601492.13</v>
      </c>
    </row>
    <row r="233" ht="15" customHeight="1">
      <c r="A233" s="1887" t="inlineStr">
        <is>
          <t>EPS - Basic - including Extraordinary Items Applicable to Common - Issue Specific</t>
        </is>
      </c>
      <c r="B233" s="1892" t="n">
        <v>56.55</v>
      </c>
      <c r="C233" s="1892" t="n">
        <v>68.79000000000001</v>
      </c>
      <c r="D233" s="1892" t="n">
        <v>69.12</v>
      </c>
      <c r="E233" s="1892" t="n">
        <v>65.31999999999999</v>
      </c>
      <c r="F233" s="1892" t="n">
        <v>66.93000000000001</v>
      </c>
      <c r="G233" s="1892" t="n">
        <v>68.62</v>
      </c>
    </row>
    <row r="234" ht="15" customHeight="1">
      <c r="A234" s="1887" t="inlineStr">
        <is>
          <t>EPS - Basic - excluding Extraordinary Items Applicable to Common - Issue Specific</t>
        </is>
      </c>
      <c r="B234" s="1892" t="n">
        <v>56.55</v>
      </c>
      <c r="C234" s="1892" t="n">
        <v>68.79000000000001</v>
      </c>
      <c r="D234" s="1892" t="n">
        <v>69.12</v>
      </c>
      <c r="E234" s="1892" t="n">
        <v>65.31999999999999</v>
      </c>
      <c r="F234" s="1892" t="n">
        <v>66.93000000000001</v>
      </c>
      <c r="G234" s="1892" t="n">
        <v>68.62</v>
      </c>
    </row>
    <row r="235" ht="15" customHeight="1">
      <c r="A235" s="1887" t="inlineStr">
        <is>
          <t>EPS - Basic - excluding Extraordinary Items - Normalized - Issue Specific</t>
        </is>
      </c>
      <c r="B235" s="1892" t="n">
        <v>56.11</v>
      </c>
      <c r="C235" s="1892" t="n">
        <v>67.75</v>
      </c>
      <c r="D235" s="1892" t="n">
        <v>70.14</v>
      </c>
      <c r="E235" s="1892" t="n">
        <v>65.73</v>
      </c>
      <c r="F235" s="1892" t="n">
        <v>66.93000000000001</v>
      </c>
      <c r="G235" s="1892" t="n">
        <v>68.62</v>
      </c>
    </row>
    <row r="236" ht="15" customHeight="1">
      <c r="A236" s="1885" t="inlineStr">
        <is>
          <t>EPS - Basic from Discontinued Operations &amp; Extraordinary Items</t>
        </is>
      </c>
      <c r="B236" s="1807" t="n">
        <v>0</v>
      </c>
      <c r="C236" s="1807" t="n">
        <v>0</v>
      </c>
      <c r="D236" s="1807" t="n">
        <v>0</v>
      </c>
      <c r="E236" s="1807" t="n">
        <v>0</v>
      </c>
      <c r="F236" s="1807" t="n">
        <v>0</v>
      </c>
      <c r="G236" s="1807" t="n">
        <v>0</v>
      </c>
    </row>
    <row r="237" ht="15" customHeight="1">
      <c r="A237" s="1885" t="inlineStr">
        <is>
          <t>Participation Weighted Primary Shares for EPS Calculation - Issue Specific</t>
        </is>
      </c>
      <c r="B237" s="731" t="n"/>
      <c r="C237" s="731" t="n"/>
      <c r="D237" s="731" t="n"/>
      <c r="E237" s="731" t="n"/>
      <c r="F237" s="731" t="n"/>
      <c r="G237" s="731" t="n"/>
    </row>
    <row r="238" ht="15" customHeight="1">
      <c r="A238" s="1885" t="inlineStr">
        <is>
          <t>Earnings Participation Factor - Issue Specific</t>
        </is>
      </c>
      <c r="B238" s="731" t="n"/>
      <c r="C238" s="731" t="n"/>
      <c r="D238" s="731" t="n"/>
      <c r="E238" s="731" t="n"/>
      <c r="F238" s="731" t="n"/>
      <c r="G238" s="731" t="n"/>
    </row>
    <row r="239" ht="15" customHeight="1">
      <c r="A239" s="1885" t="inlineStr">
        <is>
          <t>Priority Dividends - Issue Specific</t>
        </is>
      </c>
      <c r="B239" s="731" t="n"/>
      <c r="C239" s="731" t="n"/>
      <c r="D239" s="731" t="n"/>
      <c r="E239" s="731" t="n"/>
      <c r="F239" s="731" t="n"/>
      <c r="G239" s="731" t="n"/>
    </row>
    <row r="240" ht="15" customHeight="1">
      <c r="A240" s="1885" t="inlineStr">
        <is>
          <t>Comprehensive Earnings Per Share - Basic - Issue Specific</t>
        </is>
      </c>
      <c r="B240" s="1892" t="n">
        <v>57.39</v>
      </c>
      <c r="C240" s="1892" t="n">
        <v>68.17</v>
      </c>
      <c r="D240" s="1892" t="n">
        <v>70.86</v>
      </c>
      <c r="E240" s="1892" t="n">
        <v>64.89</v>
      </c>
      <c r="F240" s="1892" t="n">
        <v>66.94</v>
      </c>
      <c r="G240" s="1892" t="n">
        <v>66.26000000000001</v>
      </c>
    </row>
    <row r="241" ht="15" customHeight="1">
      <c r="A241" s="1885" t="inlineStr">
        <is>
          <t>Comprehensive Earnings Per Share - Basic - Issue Specific - DR</t>
        </is>
      </c>
      <c r="B241" s="731" t="n"/>
      <c r="C241" s="731" t="n"/>
      <c r="D241" s="731" t="n"/>
      <c r="E241" s="731" t="n"/>
      <c r="F241" s="731" t="n"/>
      <c r="G241" s="731" t="n"/>
    </row>
    <row r="242" ht="15" customHeight="1">
      <c r="A242" s="1885" t="inlineStr">
        <is>
          <t>Comprehensive Earnings Per Share - Basic - Issue Specific - CPO</t>
        </is>
      </c>
      <c r="B242" s="731" t="n"/>
      <c r="C242" s="731" t="n"/>
      <c r="D242" s="731" t="n"/>
      <c r="E242" s="731" t="n"/>
      <c r="F242" s="731" t="n"/>
      <c r="G242" s="731" t="n"/>
    </row>
    <row r="243" ht="15" customHeight="1">
      <c r="A243" s="1884" t="inlineStr">
        <is>
          <t>Share/Per Share - Diluted</t>
        </is>
      </c>
      <c r="B243" s="734" t="n"/>
      <c r="C243" s="734" t="n"/>
      <c r="D243" s="734" t="n"/>
      <c r="E243" s="734" t="n"/>
      <c r="F243" s="734" t="n"/>
      <c r="G243" s="734" t="n"/>
    </row>
    <row r="244" ht="15" customHeight="1">
      <c r="A244" s="1885" t="inlineStr">
        <is>
          <t>Dilution Adjustment</t>
        </is>
      </c>
      <c r="B244" s="731" t="n"/>
      <c r="C244" s="731" t="n"/>
      <c r="D244" s="731" t="n"/>
      <c r="E244" s="731" t="n"/>
      <c r="F244" s="731" t="n"/>
      <c r="G244" s="731" t="n"/>
    </row>
    <row r="245" ht="15" customHeight="1">
      <c r="A245" s="1885" t="inlineStr">
        <is>
          <t>Net Income - Diluted - including Extraordinary Items Applicable to Common - Total</t>
        </is>
      </c>
      <c r="B245" s="1807" t="n">
        <v>2836000000</v>
      </c>
      <c r="C245" s="1807" t="n">
        <v>3427375000</v>
      </c>
      <c r="D245" s="1807" t="n">
        <v>3442025000</v>
      </c>
      <c r="E245" s="1807" t="n">
        <v>3253097000</v>
      </c>
      <c r="F245" s="1807" t="n">
        <v>3335437000</v>
      </c>
      <c r="G245" s="1807" t="n">
        <v>3678316000</v>
      </c>
    </row>
    <row r="246" ht="15" customHeight="1">
      <c r="A246" s="1886" t="inlineStr">
        <is>
          <t>Diluted Income available to Common excluding Extraordinary Items</t>
        </is>
      </c>
      <c r="B246" s="1807" t="n">
        <v>2836000000</v>
      </c>
      <c r="C246" s="1807" t="n">
        <v>3427375000</v>
      </c>
      <c r="D246" s="1807" t="n">
        <v>3442025000</v>
      </c>
      <c r="E246" s="1807" t="n">
        <v>3253097000</v>
      </c>
      <c r="F246" s="1807" t="n">
        <v>3335437000</v>
      </c>
      <c r="G246" s="1807" t="n">
        <v>3678316000</v>
      </c>
    </row>
    <row r="247" ht="15" customHeight="1">
      <c r="A247" s="1886" t="inlineStr">
        <is>
          <t>Shares used to calculate Diluted EPS - Total</t>
        </is>
      </c>
      <c r="B247" s="1807" t="n">
        <v>50148387.85</v>
      </c>
      <c r="C247" s="1807" t="n">
        <v>49858653.77</v>
      </c>
      <c r="D247" s="1807" t="n">
        <v>49798939.8</v>
      </c>
      <c r="E247" s="1807" t="n">
        <v>49798932.08</v>
      </c>
      <c r="F247" s="1807" t="n">
        <v>49834629.37</v>
      </c>
      <c r="G247" s="1807" t="n">
        <v>53601492.13</v>
      </c>
    </row>
    <row r="248" ht="15" customHeight="1">
      <c r="A248" s="1887" t="inlineStr">
        <is>
          <t>EPS - Diluted - including Extraordinary Items Applicable to Common - Total</t>
        </is>
      </c>
      <c r="B248" s="1892" t="n">
        <v>56.55</v>
      </c>
      <c r="C248" s="1892" t="n">
        <v>68.73999999999999</v>
      </c>
      <c r="D248" s="1892" t="n">
        <v>69.12</v>
      </c>
      <c r="E248" s="1892" t="n">
        <v>65.31999999999999</v>
      </c>
      <c r="F248" s="1892" t="n">
        <v>66.93000000000001</v>
      </c>
      <c r="G248" s="1892" t="n">
        <v>68.62</v>
      </c>
    </row>
    <row r="249" ht="15" customHeight="1">
      <c r="A249" s="1887" t="inlineStr">
        <is>
          <t>EPS - Diluted - excluding Extraordinary Items Applicable to Common - Total</t>
        </is>
      </c>
      <c r="B249" s="1892" t="n">
        <v>56.55</v>
      </c>
      <c r="C249" s="1892" t="n">
        <v>68.73999999999999</v>
      </c>
      <c r="D249" s="1892" t="n">
        <v>69.12</v>
      </c>
      <c r="E249" s="1892" t="n">
        <v>65.31999999999999</v>
      </c>
      <c r="F249" s="1892" t="n">
        <v>66.93000000000001</v>
      </c>
      <c r="G249" s="1892" t="n">
        <v>68.62</v>
      </c>
    </row>
    <row r="250" ht="15" customHeight="1">
      <c r="A250" s="1887" t="inlineStr">
        <is>
          <t>EPS - Diluted - excluding Extraordinary Items - Normalized - Total</t>
        </is>
      </c>
      <c r="B250" s="1892" t="n">
        <v>56.11</v>
      </c>
      <c r="C250" s="1892" t="n">
        <v>67.70999999999999</v>
      </c>
      <c r="D250" s="1892" t="n">
        <v>70.14</v>
      </c>
      <c r="E250" s="1892" t="n">
        <v>65.73</v>
      </c>
      <c r="F250" s="1892" t="n">
        <v>66.93000000000001</v>
      </c>
      <c r="G250" s="1892" t="n">
        <v>68.62</v>
      </c>
    </row>
    <row r="251" ht="15" customHeight="1">
      <c r="A251" s="1887" t="inlineStr">
        <is>
          <t>EPS - Diluted - Non-GAAP - Total</t>
        </is>
      </c>
      <c r="B251" s="731" t="n"/>
      <c r="C251" s="731" t="n"/>
      <c r="D251" s="731" t="n"/>
      <c r="E251" s="731" t="n"/>
      <c r="F251" s="731" t="n"/>
      <c r="G251" s="731" t="n"/>
    </row>
    <row r="252" ht="15" customHeight="1">
      <c r="A252" s="1885" t="inlineStr">
        <is>
          <t>Allocated Diluted Net Income including Extraordinary Items Applicable to Common - Issue Specific</t>
        </is>
      </c>
      <c r="B252" s="1807" t="n">
        <v>2836000000</v>
      </c>
      <c r="C252" s="1807" t="n">
        <v>3427375000</v>
      </c>
      <c r="D252" s="1807" t="n">
        <v>3442025000</v>
      </c>
      <c r="E252" s="1807" t="n">
        <v>3253097000</v>
      </c>
      <c r="F252" s="1807" t="n">
        <v>3335437000</v>
      </c>
      <c r="G252" s="1807" t="n">
        <v>3678316000</v>
      </c>
    </row>
    <row r="253" ht="15" customHeight="1">
      <c r="A253" s="1885" t="inlineStr">
        <is>
          <t>Earnings Allocation Factor - Diluted - Issue Specific</t>
        </is>
      </c>
      <c r="B253" s="1892" t="n">
        <v>1</v>
      </c>
      <c r="C253" s="1892" t="n">
        <v>1</v>
      </c>
      <c r="D253" s="1892" t="n">
        <v>1</v>
      </c>
      <c r="E253" s="1892" t="n">
        <v>1</v>
      </c>
      <c r="F253" s="1892" t="n">
        <v>1</v>
      </c>
      <c r="G253" s="1892" t="n">
        <v>1</v>
      </c>
    </row>
    <row r="254" ht="15" customHeight="1">
      <c r="A254" s="1886" t="inlineStr">
        <is>
          <t>Shares used to calculate Diluted EPS - Issue Specific</t>
        </is>
      </c>
      <c r="B254" s="1807" t="n">
        <v>50148387.85</v>
      </c>
      <c r="C254" s="1807" t="n">
        <v>49858653.77</v>
      </c>
      <c r="D254" s="1807" t="n">
        <v>49798939.8</v>
      </c>
      <c r="E254" s="1807" t="n">
        <v>49798932.08</v>
      </c>
      <c r="F254" s="1807" t="n">
        <v>49834629.37</v>
      </c>
      <c r="G254" s="1807" t="n">
        <v>53601492.13</v>
      </c>
    </row>
    <row r="255" ht="15" customHeight="1">
      <c r="A255" s="1887" t="inlineStr">
        <is>
          <t>EPS - Diluted - including Extraordinary Items Applicable to Common - Issue Specific</t>
        </is>
      </c>
      <c r="B255" s="1892" t="n">
        <v>56.55</v>
      </c>
      <c r="C255" s="1892" t="n">
        <v>68.73999999999999</v>
      </c>
      <c r="D255" s="1892" t="n">
        <v>69.12</v>
      </c>
      <c r="E255" s="1892" t="n">
        <v>65.31999999999999</v>
      </c>
      <c r="F255" s="1892" t="n">
        <v>66.93000000000001</v>
      </c>
      <c r="G255" s="1892" t="n">
        <v>68.62</v>
      </c>
    </row>
    <row r="256" ht="15" customHeight="1">
      <c r="A256" s="1887" t="inlineStr">
        <is>
          <t>EPS - Diluted - excluding Extraordinary Items Applicable to Common - Issue Specific</t>
        </is>
      </c>
      <c r="B256" s="1892" t="n">
        <v>56.55</v>
      </c>
      <c r="C256" s="1892" t="n">
        <v>68.73999999999999</v>
      </c>
      <c r="D256" s="1892" t="n">
        <v>69.12</v>
      </c>
      <c r="E256" s="1892" t="n">
        <v>65.31999999999999</v>
      </c>
      <c r="F256" s="1892" t="n">
        <v>66.93000000000001</v>
      </c>
      <c r="G256" s="1892" t="n">
        <v>68.62</v>
      </c>
    </row>
    <row r="257" ht="15" customHeight="1">
      <c r="A257" s="1887" t="inlineStr">
        <is>
          <t>EPS - Diluted - excluding Extraordinary Items - Normalized - Issue Specific</t>
        </is>
      </c>
      <c r="B257" s="1892" t="n">
        <v>56.11</v>
      </c>
      <c r="C257" s="1892" t="n">
        <v>67.70999999999999</v>
      </c>
      <c r="D257" s="1892" t="n">
        <v>70.14</v>
      </c>
      <c r="E257" s="1892" t="n">
        <v>65.73</v>
      </c>
      <c r="F257" s="1892" t="n">
        <v>66.93000000000001</v>
      </c>
      <c r="G257" s="1892" t="n">
        <v>68.62</v>
      </c>
    </row>
    <row r="258" ht="15" customHeight="1">
      <c r="A258" s="1885" t="inlineStr">
        <is>
          <t>EPS - Diluted from Discontinued Operations &amp; Extraordinary Items</t>
        </is>
      </c>
      <c r="B258" s="1807" t="n">
        <v>0</v>
      </c>
      <c r="C258" s="1807" t="n">
        <v>0</v>
      </c>
      <c r="D258" s="1807" t="n">
        <v>0</v>
      </c>
      <c r="E258" s="1807" t="n">
        <v>0</v>
      </c>
      <c r="F258" s="1807" t="n">
        <v>0</v>
      </c>
      <c r="G258" s="1807" t="n">
        <v>0</v>
      </c>
    </row>
    <row r="259" ht="15" customHeight="1">
      <c r="A259" s="1885" t="inlineStr">
        <is>
          <t>Comprehensive Earnings Per Share - Diluted - Issue Specific</t>
        </is>
      </c>
      <c r="B259" s="1892" t="n">
        <v>57.39</v>
      </c>
      <c r="C259" s="1892" t="n">
        <v>68.12</v>
      </c>
      <c r="D259" s="1892" t="n">
        <v>70.86</v>
      </c>
      <c r="E259" s="1892" t="n">
        <v>64.89</v>
      </c>
      <c r="F259" s="1892" t="n">
        <v>66.94</v>
      </c>
      <c r="G259" s="1892" t="n">
        <v>66.26000000000001</v>
      </c>
    </row>
    <row r="260" ht="15" customHeight="1">
      <c r="A260" s="1885" t="inlineStr">
        <is>
          <t>Comprehensive Earnings Per Share - Diluted - Issue Specific - DR</t>
        </is>
      </c>
      <c r="B260" s="731" t="n"/>
      <c r="C260" s="731" t="n"/>
      <c r="D260" s="731" t="n"/>
      <c r="E260" s="731" t="n"/>
      <c r="F260" s="731" t="n"/>
      <c r="G260" s="731" t="n"/>
    </row>
    <row r="261" ht="15" customHeight="1">
      <c r="A261" s="1885" t="inlineStr">
        <is>
          <t>Comprehensive Earnings Per Share - Diluted - Issue Specific - CPO</t>
        </is>
      </c>
      <c r="B261" s="731" t="n"/>
      <c r="C261" s="731" t="n"/>
      <c r="D261" s="731" t="n"/>
      <c r="E261" s="731" t="n"/>
      <c r="F261" s="731" t="n"/>
      <c r="G261" s="731" t="n"/>
    </row>
    <row r="262" ht="15" customHeight="1">
      <c r="A262" s="1884" t="inlineStr">
        <is>
          <t>Share/Per Share - Dividends</t>
        </is>
      </c>
      <c r="B262" s="734" t="n"/>
      <c r="C262" s="734" t="n"/>
      <c r="D262" s="734" t="n"/>
      <c r="E262" s="734" t="n"/>
      <c r="F262" s="734" t="n"/>
      <c r="G262" s="734" t="n"/>
    </row>
    <row r="263" ht="15" customHeight="1">
      <c r="A263" s="1885" t="inlineStr">
        <is>
          <t>DPS - Common - Gross - Issue - By Announcement Date</t>
        </is>
      </c>
      <c r="B263" s="1892" t="n">
        <v>23.86</v>
      </c>
      <c r="C263" s="1892" t="n">
        <v>28.09</v>
      </c>
      <c r="D263" s="1892" t="n">
        <v>24.1</v>
      </c>
      <c r="E263" s="1892" t="n">
        <v>24.1</v>
      </c>
      <c r="F263" s="1892" t="n">
        <v>24.1</v>
      </c>
      <c r="G263" s="1892" t="n">
        <v>16.77</v>
      </c>
    </row>
    <row r="264" ht="15" customHeight="1">
      <c r="A264" s="1885" t="inlineStr">
        <is>
          <t>DPS - Common - Net - Issue - By Announcement Date</t>
        </is>
      </c>
      <c r="B264" s="1892" t="n">
        <v>20.28</v>
      </c>
      <c r="C264" s="1892" t="n">
        <v>23.88</v>
      </c>
      <c r="D264" s="1892" t="n">
        <v>20.49</v>
      </c>
      <c r="E264" s="1892" t="n">
        <v>20.49</v>
      </c>
      <c r="F264" s="1892" t="n">
        <v>20.49</v>
      </c>
      <c r="G264" s="1892" t="n">
        <v>14.25</v>
      </c>
    </row>
    <row r="265" ht="15" customHeight="1">
      <c r="A265" s="1885" t="inlineStr">
        <is>
          <t>DPS - Special - Gross - Issue - By Announcement Date</t>
        </is>
      </c>
      <c r="B265" s="731" t="n"/>
      <c r="C265" s="731" t="n"/>
      <c r="D265" s="731" t="n"/>
      <c r="E265" s="731" t="n"/>
      <c r="F265" s="731" t="n"/>
      <c r="G265" s="731" t="n"/>
    </row>
    <row r="266" ht="15" customHeight="1">
      <c r="A266" s="1885" t="inlineStr">
        <is>
          <t>DPS - Special - Net - Issue - By Announcement Date</t>
        </is>
      </c>
      <c r="B266" s="731" t="n"/>
      <c r="C266" s="731" t="n"/>
      <c r="D266" s="731" t="n"/>
      <c r="E266" s="731" t="n"/>
      <c r="F266" s="731" t="n"/>
      <c r="G266" s="731" t="n"/>
    </row>
    <row r="267" ht="15" customHeight="1">
      <c r="A267" s="1885" t="inlineStr">
        <is>
          <t>DPS - Common - Gross - Issue - DR - By Announcement Date</t>
        </is>
      </c>
      <c r="B267" s="731" t="n"/>
      <c r="C267" s="731" t="n"/>
      <c r="D267" s="731" t="n"/>
      <c r="E267" s="731" t="n"/>
      <c r="F267" s="731" t="n"/>
      <c r="G267" s="731" t="n"/>
    </row>
    <row r="268" ht="15" customHeight="1">
      <c r="A268" s="1885" t="inlineStr">
        <is>
          <t>DPS - Common - Net - Issue - DR - By Announcement Date</t>
        </is>
      </c>
      <c r="B268" s="731" t="n"/>
      <c r="C268" s="731" t="n"/>
      <c r="D268" s="731" t="n"/>
      <c r="E268" s="731" t="n"/>
      <c r="F268" s="731" t="n"/>
      <c r="G268" s="731" t="n"/>
    </row>
    <row r="269" ht="15" customHeight="1">
      <c r="A269" s="1885" t="inlineStr">
        <is>
          <t>DPS - Special - Gross - Issue - DR - By Announcement Date</t>
        </is>
      </c>
      <c r="B269" s="731" t="n"/>
      <c r="C269" s="731" t="n"/>
      <c r="D269" s="731" t="n"/>
      <c r="E269" s="731" t="n"/>
      <c r="F269" s="731" t="n"/>
      <c r="G269" s="731" t="n"/>
    </row>
    <row r="270" ht="15" customHeight="1">
      <c r="A270" s="1885" t="inlineStr">
        <is>
          <t>DPS - Special - Net - Issue - DR - By Announcement Date</t>
        </is>
      </c>
      <c r="B270" s="731" t="n"/>
      <c r="C270" s="731" t="n"/>
      <c r="D270" s="731" t="n"/>
      <c r="E270" s="731" t="n"/>
      <c r="F270" s="731" t="n"/>
      <c r="G270" s="731" t="n"/>
    </row>
    <row r="271" ht="15" customHeight="1">
      <c r="A271" s="1885" t="inlineStr">
        <is>
          <t>DPS - Common - Gross - Issue - CPO - By Announcement Date</t>
        </is>
      </c>
      <c r="B271" s="731" t="n"/>
      <c r="C271" s="731" t="n"/>
      <c r="D271" s="731" t="n"/>
      <c r="E271" s="731" t="n"/>
      <c r="F271" s="731" t="n"/>
      <c r="G271" s="731" t="n"/>
    </row>
    <row r="272" ht="15" customHeight="1">
      <c r="A272" s="1885" t="inlineStr">
        <is>
          <t>DPS - Common - Net - Issue - CPO - By Announcement Date</t>
        </is>
      </c>
      <c r="B272" s="731" t="n"/>
      <c r="C272" s="731" t="n"/>
      <c r="D272" s="731" t="n"/>
      <c r="E272" s="731" t="n"/>
      <c r="F272" s="731" t="n"/>
      <c r="G272" s="731" t="n"/>
    </row>
    <row r="273" ht="15" customHeight="1">
      <c r="A273" s="1885" t="inlineStr">
        <is>
          <t>DPS - Special - Gross - Issue - CPO - By Announcement Date</t>
        </is>
      </c>
      <c r="B273" s="731" t="n"/>
      <c r="C273" s="731" t="n"/>
      <c r="D273" s="731" t="n"/>
      <c r="E273" s="731" t="n"/>
      <c r="F273" s="731" t="n"/>
      <c r="G273" s="731" t="n"/>
    </row>
    <row r="274" ht="15" customHeight="1">
      <c r="A274" s="1885" t="inlineStr">
        <is>
          <t>DPS - Special - Net - Issue - CPO - By Announcement Date</t>
        </is>
      </c>
      <c r="B274" s="731" t="n"/>
      <c r="C274" s="731" t="n"/>
      <c r="D274" s="731" t="n"/>
      <c r="E274" s="731" t="n"/>
      <c r="F274" s="731" t="n"/>
      <c r="G274" s="731" t="n"/>
    </row>
    <row r="275" ht="15" customHeight="1">
      <c r="A275" s="1884" t="inlineStr">
        <is>
          <t>EBIT/EBITDA &amp; related</t>
        </is>
      </c>
      <c r="B275" s="734" t="n"/>
      <c r="C275" s="734" t="n"/>
      <c r="D275" s="734" t="n"/>
      <c r="E275" s="734" t="n"/>
      <c r="F275" s="734" t="n"/>
      <c r="G275" s="734" t="n"/>
    </row>
    <row r="276" ht="15" customHeight="1">
      <c r="A276" s="1885" t="inlineStr">
        <is>
          <t>Earnings before Interest &amp; Taxes (EBIT)</t>
        </is>
      </c>
      <c r="B276" s="1807" t="n">
        <v>4770700000</v>
      </c>
      <c r="C276" s="1807" t="n">
        <v>5420624000</v>
      </c>
      <c r="D276" s="1807" t="n">
        <v>7116114000</v>
      </c>
      <c r="E276" s="1807" t="n">
        <v>7149686000</v>
      </c>
      <c r="F276" s="1807" t="n">
        <v>7451429000</v>
      </c>
      <c r="G276" s="1807" t="n">
        <v>7850834000</v>
      </c>
    </row>
    <row r="277" ht="15" customHeight="1">
      <c r="A277" s="1885" t="inlineStr">
        <is>
          <t>Earnings before Interest, Taxes, Depreciation &amp; Amortization (EBITDA)</t>
        </is>
      </c>
      <c r="B277" s="1807" t="n">
        <v>6414714000</v>
      </c>
      <c r="C277" s="1807" t="n">
        <v>7280443000</v>
      </c>
      <c r="D277" s="1807" t="n">
        <v>9422794000</v>
      </c>
      <c r="E277" s="1807" t="n">
        <v>9992954000</v>
      </c>
      <c r="F277" s="1807" t="n">
        <v>10549156000</v>
      </c>
      <c r="G277" s="1807" t="n">
        <v>10924099000</v>
      </c>
    </row>
    <row r="278" ht="15" customHeight="1">
      <c r="A278" s="1885" t="inlineStr">
        <is>
          <t>Earnings before Interest, Taxes, Depreciation, Amortization &amp; Exploration Expenses (EBITDAX)</t>
        </is>
      </c>
      <c r="B278" s="731" t="n"/>
      <c r="C278" s="731" t="n"/>
      <c r="D278" s="731" t="n"/>
      <c r="E278" s="731" t="n"/>
      <c r="F278" s="731" t="n"/>
      <c r="G278" s="731" t="n"/>
    </row>
    <row r="279" ht="15" customHeight="1">
      <c r="A279" s="1885" t="inlineStr">
        <is>
          <t>Earnings before Interest, Taxes, Depreciation &amp; Amortization (EBITDA) and Operating Lease Payments</t>
        </is>
      </c>
      <c r="B279" s="731" t="n"/>
      <c r="C279" s="731" t="n"/>
      <c r="D279" s="731" t="n"/>
      <c r="E279" s="731" t="n"/>
      <c r="F279" s="731" t="n"/>
      <c r="G279" s="731" t="n"/>
    </row>
    <row r="280" ht="15" customHeight="1">
      <c r="A280" s="1884" t="inlineStr">
        <is>
          <t>Depreciation/Amortization - Income Statement</t>
        </is>
      </c>
      <c r="B280" s="734" t="n"/>
      <c r="C280" s="734" t="n"/>
      <c r="D280" s="734" t="n"/>
      <c r="E280" s="734" t="n"/>
      <c r="F280" s="734" t="n"/>
      <c r="G280" s="734" t="n"/>
    </row>
    <row r="281" ht="15" customHeight="1">
      <c r="A281" s="1885" t="inlineStr">
        <is>
          <t>Depreciation - Investment Property - Supplemental</t>
        </is>
      </c>
      <c r="B281" s="731" t="n"/>
      <c r="C281" s="731" t="n"/>
      <c r="D281" s="731" t="n"/>
      <c r="E281" s="731" t="n"/>
      <c r="F281" s="731" t="n"/>
      <c r="G281" s="731" t="n"/>
    </row>
    <row r="282" ht="15" customHeight="1">
      <c r="A282" s="1885" t="inlineStr">
        <is>
          <t>Depreciation &amp; Amortization - Supplemental</t>
        </is>
      </c>
      <c r="B282" s="1807" t="n">
        <v>1520784000</v>
      </c>
      <c r="C282" s="1807" t="n">
        <v>1732665000</v>
      </c>
      <c r="D282" s="1807" t="n">
        <v>2170129000</v>
      </c>
      <c r="E282" s="1807" t="n">
        <v>2704026000</v>
      </c>
      <c r="F282" s="1807" t="n">
        <v>3097727000</v>
      </c>
      <c r="G282" s="1807" t="n">
        <v>3073265000</v>
      </c>
    </row>
    <row r="283" ht="15" customHeight="1">
      <c r="A283" s="1886" t="inlineStr">
        <is>
          <t>Depreciation Expense - Total - Supplemental</t>
        </is>
      </c>
      <c r="B283" s="1807" t="n">
        <v>1428370000</v>
      </c>
      <c r="C283" s="1807" t="n">
        <v>1637662000</v>
      </c>
      <c r="D283" s="1807" t="n">
        <v>2060503000</v>
      </c>
      <c r="E283" s="1807" t="n">
        <v>2573052000</v>
      </c>
      <c r="F283" s="1807" t="n">
        <v>2799735000</v>
      </c>
      <c r="G283" s="1807" t="n">
        <v>2870785000</v>
      </c>
    </row>
    <row r="284" ht="15" customHeight="1">
      <c r="A284" s="1887" t="inlineStr">
        <is>
          <t>Depreciation - Fin Lease Right-of-Use Assets - Total - Suppl</t>
        </is>
      </c>
      <c r="B284" s="1807" t="n">
        <v>816594000</v>
      </c>
      <c r="C284" s="1807" t="n">
        <v>900530000</v>
      </c>
      <c r="D284" s="1807" t="n">
        <v>1086388000</v>
      </c>
      <c r="E284" s="1807" t="n">
        <v>1183535000</v>
      </c>
      <c r="F284" s="1807" t="n">
        <v>1284349000</v>
      </c>
      <c r="G284" s="1807" t="n">
        <v>1126470000</v>
      </c>
    </row>
    <row r="285" ht="15" customHeight="1">
      <c r="A285" s="1886" t="inlineStr">
        <is>
          <t>Amortization - Total - Supplemental</t>
        </is>
      </c>
      <c r="B285" s="1807" t="n">
        <v>92414000</v>
      </c>
      <c r="C285" s="1807" t="n">
        <v>95003000</v>
      </c>
      <c r="D285" s="1807" t="n">
        <v>109626000</v>
      </c>
      <c r="E285" s="1807" t="n">
        <v>130974000</v>
      </c>
      <c r="F285" s="1807" t="n">
        <v>297992000</v>
      </c>
      <c r="G285" s="1807" t="n">
        <v>202480000</v>
      </c>
    </row>
    <row r="286" ht="15" customHeight="1">
      <c r="A286" s="1887" t="inlineStr">
        <is>
          <t>Goodwill Amortization - Supplemental</t>
        </is>
      </c>
      <c r="B286" s="731" t="n"/>
      <c r="C286" s="731" t="n"/>
      <c r="D286" s="731" t="n"/>
      <c r="E286" s="731" t="n"/>
      <c r="F286" s="731" t="n"/>
      <c r="G286" s="731" t="n"/>
    </row>
    <row r="287" ht="15" customHeight="1">
      <c r="A287" s="1887" t="inlineStr">
        <is>
          <t>Intangible Amortization - Other - Supplemental</t>
        </is>
      </c>
      <c r="B287" s="731" t="n"/>
      <c r="C287" s="731" t="n"/>
      <c r="D287" s="731" t="n"/>
      <c r="E287" s="731" t="n"/>
      <c r="F287" s="1807" t="n">
        <v>141871000</v>
      </c>
      <c r="G287" s="1807" t="n">
        <v>108855000</v>
      </c>
    </row>
    <row r="288" ht="15" customHeight="1">
      <c r="A288" s="1890" t="inlineStr">
        <is>
          <t>Amortization of Licenses, Copyrights, Property Rights &amp; Designs - Supplemental</t>
        </is>
      </c>
      <c r="B288" s="731" t="n"/>
      <c r="C288" s="731" t="n"/>
      <c r="D288" s="731" t="n"/>
      <c r="E288" s="731" t="n"/>
      <c r="F288" s="731" t="n"/>
      <c r="G288" s="731" t="n"/>
    </row>
    <row r="289" ht="15" customHeight="1">
      <c r="A289" s="1890" t="inlineStr">
        <is>
          <t>Amortization of Computer Software - Supplemental</t>
        </is>
      </c>
      <c r="B289" s="731" t="n"/>
      <c r="C289" s="731" t="n"/>
      <c r="D289" s="731" t="n"/>
      <c r="E289" s="731" t="n"/>
      <c r="F289" s="731" t="n"/>
      <c r="G289" s="731" t="n"/>
    </row>
    <row r="290" ht="15" customHeight="1">
      <c r="A290" s="1890" t="inlineStr">
        <is>
          <t>Amortization of Brands, Patents, Trademarks, Marketing &amp; Artistic Intangibles - Supplemental</t>
        </is>
      </c>
      <c r="B290" s="731" t="n"/>
      <c r="C290" s="731" t="n"/>
      <c r="D290" s="731" t="n"/>
      <c r="E290" s="731" t="n"/>
      <c r="F290" s="1807" t="n">
        <v>3743000</v>
      </c>
      <c r="G290" s="1807" t="n">
        <v>3742000</v>
      </c>
    </row>
    <row r="291" ht="15" customHeight="1">
      <c r="A291" s="1890" t="inlineStr">
        <is>
          <t>Amortization of Fin Lease Right-of-Use Assets Total - Suppl</t>
        </is>
      </c>
      <c r="B291" s="731" t="n"/>
      <c r="C291" s="731" t="n"/>
      <c r="D291" s="731" t="n"/>
      <c r="E291" s="731" t="n"/>
      <c r="F291" s="731" t="n"/>
      <c r="G291" s="731" t="n"/>
    </row>
    <row r="292" ht="15" customHeight="1">
      <c r="A292" s="1890" t="inlineStr">
        <is>
          <t>Amortization of Capitalized Research &amp; Development Expenses - Supplemental</t>
        </is>
      </c>
      <c r="B292" s="731" t="n"/>
      <c r="C292" s="731" t="n"/>
      <c r="D292" s="731" t="n"/>
      <c r="E292" s="731" t="n"/>
      <c r="F292" s="731" t="n"/>
      <c r="G292" s="731" t="n"/>
    </row>
    <row r="293" ht="15" customHeight="1">
      <c r="A293" s="1887" t="inlineStr">
        <is>
          <t>Amortization of Deferred Costs - Supplemental</t>
        </is>
      </c>
      <c r="B293" s="1807" t="n">
        <v>92414000</v>
      </c>
      <c r="C293" s="1807" t="n">
        <v>95003000</v>
      </c>
      <c r="D293" s="1807" t="n">
        <v>109626000</v>
      </c>
      <c r="E293" s="1807" t="n">
        <v>130974000</v>
      </c>
      <c r="F293" s="1807" t="n">
        <v>156121000</v>
      </c>
      <c r="G293" s="1807" t="n">
        <v>93625000</v>
      </c>
    </row>
    <row r="294" ht="15" customHeight="1">
      <c r="A294" s="1884" t="inlineStr">
        <is>
          <t>Depreciation/Amortization - Total</t>
        </is>
      </c>
      <c r="B294" s="734" t="n"/>
      <c r="C294" s="734" t="n"/>
      <c r="D294" s="734" t="n"/>
      <c r="E294" s="734" t="n"/>
      <c r="F294" s="734" t="n"/>
      <c r="G294" s="734" t="n"/>
    </row>
    <row r="295" ht="15" customHeight="1">
      <c r="A295" s="1885" t="inlineStr">
        <is>
          <t>Depreciation, Depletion &amp; Amortization - Total</t>
        </is>
      </c>
      <c r="B295" s="1807" t="n">
        <v>1644014000</v>
      </c>
      <c r="C295" s="1807" t="n">
        <v>1859819000</v>
      </c>
      <c r="D295" s="1807" t="n">
        <v>2306680000</v>
      </c>
      <c r="E295" s="1807" t="n">
        <v>2843268000</v>
      </c>
      <c r="F295" s="1807" t="n">
        <v>3097727000</v>
      </c>
      <c r="G295" s="1807" t="n">
        <v>3073265000</v>
      </c>
    </row>
    <row r="296" ht="15" customHeight="1">
      <c r="A296" s="1886" t="inlineStr">
        <is>
          <t>Depreciation - Total</t>
        </is>
      </c>
      <c r="B296" s="1807" t="n">
        <v>1428370000</v>
      </c>
      <c r="C296" s="1807" t="n">
        <v>1637662000</v>
      </c>
      <c r="D296" s="1807" t="n">
        <v>2060503000</v>
      </c>
      <c r="E296" s="1807" t="n">
        <v>2573052000</v>
      </c>
      <c r="F296" s="1807" t="n">
        <v>2799735000</v>
      </c>
      <c r="G296" s="1807" t="n">
        <v>2870785000</v>
      </c>
    </row>
    <row r="297" ht="15" customHeight="1">
      <c r="A297" s="1886" t="inlineStr">
        <is>
          <t>Amortization of Intangible Assets including Goodwill - Total</t>
        </is>
      </c>
      <c r="B297" s="731" t="n"/>
      <c r="C297" s="731" t="n"/>
      <c r="D297" s="731" t="n"/>
      <c r="E297" s="731" t="n"/>
      <c r="F297" s="731" t="n"/>
      <c r="G297" s="731" t="n"/>
    </row>
    <row r="298" ht="15" customHeight="1">
      <c r="A298" s="1886" t="inlineStr">
        <is>
          <t>Amortization of Goodwill - Total</t>
        </is>
      </c>
      <c r="B298" s="731" t="n"/>
      <c r="C298" s="731" t="n"/>
      <c r="D298" s="731" t="n"/>
      <c r="E298" s="731" t="n"/>
      <c r="F298" s="731" t="n"/>
      <c r="G298" s="731" t="n"/>
    </row>
    <row r="299" ht="15" customHeight="1">
      <c r="A299" s="1886" t="inlineStr">
        <is>
          <t>Amortization of Intangible Assets excluding Goodwill - Total</t>
        </is>
      </c>
      <c r="B299" s="1807" t="n">
        <v>123230000</v>
      </c>
      <c r="C299" s="1807" t="n">
        <v>127154000</v>
      </c>
      <c r="D299" s="1807" t="n">
        <v>136551000</v>
      </c>
      <c r="E299" s="1807" t="n">
        <v>139242000</v>
      </c>
      <c r="F299" s="1807" t="n">
        <v>141871000</v>
      </c>
      <c r="G299" s="1807" t="n">
        <v>108855000</v>
      </c>
    </row>
    <row r="300" ht="15" customHeight="1">
      <c r="A300" s="1886" t="inlineStr">
        <is>
          <t>Amortization of Deferred Charges - Total</t>
        </is>
      </c>
      <c r="B300" s="1807" t="n">
        <v>92414000</v>
      </c>
      <c r="C300" s="1807" t="n">
        <v>95003000</v>
      </c>
      <c r="D300" s="1807" t="n">
        <v>109626000</v>
      </c>
      <c r="E300" s="1807" t="n">
        <v>130974000</v>
      </c>
      <c r="F300" s="1807" t="n">
        <v>156121000</v>
      </c>
      <c r="G300" s="1807" t="n">
        <v>93625000</v>
      </c>
    </row>
    <row r="301" ht="15" customHeight="1">
      <c r="A301" s="1884" t="inlineStr">
        <is>
          <t>Islamic</t>
        </is>
      </c>
      <c r="B301" s="734" t="n"/>
      <c r="C301" s="734" t="n"/>
      <c r="D301" s="734" t="n"/>
      <c r="E301" s="734" t="n"/>
      <c r="F301" s="734" t="n"/>
      <c r="G301" s="734" t="n"/>
    </row>
    <row r="302" ht="15" customHeight="1">
      <c r="A302" s="1885" t="inlineStr">
        <is>
          <t>Islamic Income</t>
        </is>
      </c>
      <c r="B302" s="731" t="n"/>
      <c r="C302" s="731" t="n"/>
      <c r="D302" s="731" t="n"/>
      <c r="E302" s="731" t="n"/>
      <c r="F302" s="731" t="n"/>
      <c r="G302" s="731" t="n"/>
    </row>
    <row r="303" ht="15" customHeight="1">
      <c r="A303" s="1884" t="inlineStr">
        <is>
          <t>Research &amp; Development</t>
        </is>
      </c>
      <c r="B303" s="734" t="n"/>
      <c r="C303" s="734" t="n"/>
      <c r="D303" s="734" t="n"/>
      <c r="E303" s="734" t="n"/>
      <c r="F303" s="734" t="n"/>
      <c r="G303" s="734" t="n"/>
    </row>
    <row r="304" ht="15" customHeight="1">
      <c r="A304" s="1885" t="inlineStr">
        <is>
          <t>Research &amp; Development Expense - Expensed &amp; Capitalized - Total - Supplemental</t>
        </is>
      </c>
      <c r="B304" s="731" t="n"/>
      <c r="C304" s="731" t="n"/>
      <c r="D304" s="731" t="n"/>
      <c r="E304" s="731" t="n"/>
      <c r="F304" s="731" t="n"/>
      <c r="G304" s="731" t="n"/>
    </row>
    <row r="305" ht="15" customHeight="1">
      <c r="A305" s="1886" t="inlineStr">
        <is>
          <t>Research &amp; Development Expense - Supplemental</t>
        </is>
      </c>
      <c r="B305" s="731" t="n"/>
      <c r="C305" s="731" t="n"/>
      <c r="D305" s="731" t="n"/>
      <c r="E305" s="731" t="n"/>
      <c r="F305" s="731" t="n"/>
      <c r="G305" s="731" t="n"/>
    </row>
    <row r="306" ht="15" customHeight="1">
      <c r="A306" s="1886" t="inlineStr">
        <is>
          <t>Research &amp; Development Expense - Capitalized - Supplemental</t>
        </is>
      </c>
      <c r="B306" s="731" t="n"/>
      <c r="C306" s="731" t="n"/>
      <c r="D306" s="731" t="n"/>
      <c r="E306" s="731" t="n"/>
      <c r="F306" s="731" t="n"/>
      <c r="G306" s="731" t="n"/>
    </row>
    <row r="307" ht="15" customHeight="1">
      <c r="A307" s="1884" t="inlineStr">
        <is>
          <t>Labor &amp; Related Expenses</t>
        </is>
      </c>
      <c r="B307" s="734" t="n"/>
      <c r="C307" s="734" t="n"/>
      <c r="D307" s="734" t="n"/>
      <c r="E307" s="734" t="n"/>
      <c r="F307" s="734" t="n"/>
      <c r="G307" s="734" t="n"/>
    </row>
    <row r="308" ht="15" customHeight="1">
      <c r="A308" s="1885" t="inlineStr">
        <is>
          <t>Labor &amp; Related Expenses - Total</t>
        </is>
      </c>
      <c r="B308" s="1807" t="n">
        <v>419388000</v>
      </c>
      <c r="C308" s="1807" t="n">
        <v>470514000</v>
      </c>
      <c r="D308" s="1807" t="n">
        <v>680892000</v>
      </c>
      <c r="E308" s="1807" t="n">
        <v>788501000</v>
      </c>
      <c r="F308" s="1807" t="n">
        <v>818343000</v>
      </c>
      <c r="G308" s="1807" t="n">
        <v>917491000</v>
      </c>
    </row>
    <row r="309" ht="15" customHeight="1">
      <c r="A309" s="1885" t="inlineStr">
        <is>
          <t>Labor &amp; Related Expenses - Supplemental</t>
        </is>
      </c>
      <c r="B309" s="1807" t="n">
        <v>419388000</v>
      </c>
      <c r="C309" s="1807" t="n">
        <v>470514000</v>
      </c>
      <c r="D309" s="1807" t="n">
        <v>680892000</v>
      </c>
      <c r="E309" s="1807" t="n">
        <v>788501000</v>
      </c>
      <c r="F309" s="1807" t="n">
        <v>818343000</v>
      </c>
      <c r="G309" s="1807" t="n">
        <v>917491000</v>
      </c>
    </row>
    <row r="310" ht="15" customHeight="1">
      <c r="A310" s="1886" t="inlineStr">
        <is>
          <t>Stock-Based Compensation Expense - Net of Tax - Supplemental</t>
        </is>
      </c>
      <c r="B310" s="731" t="n"/>
      <c r="C310" s="731" t="n"/>
      <c r="D310" s="731" t="n"/>
      <c r="E310" s="731" t="n"/>
      <c r="F310" s="731" t="n"/>
      <c r="G310" s="731" t="n"/>
    </row>
    <row r="311" ht="15" customHeight="1">
      <c r="A311" s="1887" t="inlineStr">
        <is>
          <t>Stock-Based Compensation Expense - Pre-tax - Supplemental</t>
        </is>
      </c>
      <c r="B311" s="731" t="n"/>
      <c r="C311" s="731" t="n"/>
      <c r="D311" s="731" t="n"/>
      <c r="E311" s="731" t="n"/>
      <c r="F311" s="731" t="n"/>
      <c r="G311" s="731" t="n"/>
    </row>
    <row r="312" ht="15" customHeight="1">
      <c r="A312" s="1887" t="inlineStr">
        <is>
          <t>Stock-Based Compensation - Tax Benefit - Supplemental</t>
        </is>
      </c>
      <c r="B312" s="731" t="n"/>
      <c r="C312" s="731" t="n"/>
      <c r="D312" s="731" t="n"/>
      <c r="E312" s="731" t="n"/>
      <c r="F312" s="731" t="n"/>
      <c r="G312" s="731" t="n"/>
    </row>
    <row r="313" ht="15" customHeight="1">
      <c r="A313" s="1884" t="inlineStr">
        <is>
          <t>Auditor Fees</t>
        </is>
      </c>
      <c r="B313" s="734" t="n"/>
      <c r="C313" s="734" t="n"/>
      <c r="D313" s="734" t="n"/>
      <c r="E313" s="734" t="n"/>
      <c r="F313" s="734" t="n"/>
      <c r="G313" s="734" t="n"/>
    </row>
    <row r="314" ht="15" customHeight="1">
      <c r="A314" s="1885" t="inlineStr">
        <is>
          <t>Auditor Fees</t>
        </is>
      </c>
      <c r="B314" s="731" t="n"/>
      <c r="C314" s="731" t="n"/>
      <c r="D314" s="731" t="n"/>
      <c r="E314" s="731" t="n"/>
      <c r="F314" s="1807" t="n">
        <v>3400000</v>
      </c>
      <c r="G314" s="1807" t="n">
        <v>2200000</v>
      </c>
    </row>
    <row r="315" ht="15" customHeight="1">
      <c r="A315" s="1886" t="inlineStr">
        <is>
          <t>Audit-Related Fees</t>
        </is>
      </c>
      <c r="B315" s="731" t="n"/>
      <c r="C315" s="731" t="n"/>
      <c r="D315" s="731" t="n"/>
      <c r="E315" s="731" t="n"/>
      <c r="F315" s="1807" t="n">
        <v>3400000</v>
      </c>
      <c r="G315" s="1807" t="n">
        <v>2200000</v>
      </c>
    </row>
    <row r="316" ht="15" customHeight="1">
      <c r="A316" s="1886" t="inlineStr">
        <is>
          <t>Tax Fees</t>
        </is>
      </c>
      <c r="B316" s="731" t="n"/>
      <c r="C316" s="731" t="n"/>
      <c r="D316" s="731" t="n"/>
      <c r="E316" s="731" t="n"/>
      <c r="F316" s="731" t="n"/>
      <c r="G316" s="731" t="n"/>
    </row>
    <row r="317" ht="15" customHeight="1">
      <c r="A317" s="1886" t="inlineStr">
        <is>
          <t>Fees - Other</t>
        </is>
      </c>
      <c r="B317" s="731" t="n"/>
      <c r="C317" s="731" t="n"/>
      <c r="D317" s="731" t="n"/>
      <c r="E317" s="731" t="n"/>
      <c r="F317" s="731" t="n"/>
      <c r="G317" s="731" t="n"/>
    </row>
    <row r="318" ht="15" customHeight="1">
      <c r="A318" s="1884" t="inlineStr">
        <is>
          <t>Non-GAAP</t>
        </is>
      </c>
      <c r="B318" s="734" t="n"/>
      <c r="C318" s="734" t="n"/>
      <c r="D318" s="734" t="n"/>
      <c r="E318" s="734" t="n"/>
      <c r="F318" s="734" t="n"/>
      <c r="G318" s="734" t="n"/>
    </row>
    <row r="319" ht="15" customHeight="1">
      <c r="A319" s="1885" t="inlineStr">
        <is>
          <t>Non-GAAP Revenues - Company Reported</t>
        </is>
      </c>
      <c r="B319" s="731" t="n"/>
      <c r="C319" s="731" t="n"/>
      <c r="D319" s="731" t="n"/>
      <c r="E319" s="731" t="n"/>
      <c r="F319" s="731" t="n"/>
      <c r="G319" s="731" t="n"/>
    </row>
    <row r="320" ht="15" customHeight="1">
      <c r="A320" s="1885" t="inlineStr">
        <is>
          <t>Non-GAAP Income from Operations - Company Reported</t>
        </is>
      </c>
      <c r="B320" s="731" t="n"/>
      <c r="C320" s="731" t="n"/>
      <c r="D320" s="731" t="n"/>
      <c r="E320" s="731" t="n"/>
      <c r="F320" s="731" t="n"/>
      <c r="G320" s="731" t="n"/>
    </row>
    <row r="321" ht="15" customHeight="1">
      <c r="A321" s="1885" t="inlineStr">
        <is>
          <t>Non-GAAP Adjusted Net Earnings - Company Reported</t>
        </is>
      </c>
      <c r="B321" s="731" t="n"/>
      <c r="C321" s="731" t="n"/>
      <c r="D321" s="731" t="n"/>
      <c r="E321" s="731" t="n"/>
      <c r="F321" s="731" t="n"/>
      <c r="G321" s="731" t="n"/>
    </row>
    <row r="322" ht="15" customHeight="1">
      <c r="A322" s="1885" t="inlineStr">
        <is>
          <t>Non-GAAP Adjusted EBITDA - Company Reported</t>
        </is>
      </c>
      <c r="B322" s="731" t="n"/>
      <c r="C322" s="731" t="n"/>
      <c r="D322" s="731" t="n"/>
      <c r="E322" s="731" t="n"/>
      <c r="F322" s="731" t="n"/>
      <c r="G322" s="731" t="n"/>
    </row>
    <row r="323" ht="15" customHeight="1">
      <c r="A323" s="1885" t="inlineStr">
        <is>
          <t>Non-GAAP EPS Basic - Company Reported</t>
        </is>
      </c>
      <c r="B323" s="731" t="n"/>
      <c r="C323" s="731" t="n"/>
      <c r="D323" s="731" t="n"/>
      <c r="E323" s="731" t="n"/>
      <c r="F323" s="731" t="n"/>
      <c r="G323" s="731" t="n"/>
    </row>
    <row r="324" ht="15" customHeight="1">
      <c r="A324" s="1885" t="inlineStr">
        <is>
          <t>Non-GAAP EPS Diluted - Company Reported</t>
        </is>
      </c>
      <c r="B324" s="731" t="n"/>
      <c r="C324" s="731" t="n"/>
      <c r="D324" s="731" t="n"/>
      <c r="E324" s="731" t="n"/>
      <c r="F324" s="731" t="n"/>
      <c r="G324" s="731" t="n"/>
    </row>
    <row r="325" ht="15" customHeight="1">
      <c r="A325" s="1885" t="inlineStr">
        <is>
          <t>Non-GAAP Operating Margin % - Company Reported</t>
        </is>
      </c>
      <c r="B325" s="731" t="n"/>
      <c r="C325" s="731" t="n"/>
      <c r="D325" s="731" t="n"/>
      <c r="E325" s="731" t="n"/>
      <c r="F325" s="731" t="n"/>
      <c r="G325" s="731" t="n"/>
    </row>
    <row r="326" ht="15" customHeight="1">
      <c r="A326" s="1885" t="inlineStr">
        <is>
          <t>Reported - Net Income - Non-GAAP</t>
        </is>
      </c>
      <c r="B326" s="731" t="n"/>
      <c r="C326" s="731" t="n"/>
      <c r="D326" s="731" t="n"/>
      <c r="E326" s="731" t="n"/>
      <c r="F326" s="731" t="n"/>
      <c r="G326" s="731" t="n"/>
    </row>
    <row r="327" ht="15" customHeight="1">
      <c r="A327" s="1885" t="inlineStr">
        <is>
          <t>Reported - Non-Recurring Item - Non-GAAP</t>
        </is>
      </c>
      <c r="B327" s="731" t="n"/>
      <c r="C327" s="731" t="n"/>
      <c r="D327" s="731" t="n"/>
      <c r="E327" s="731" t="n"/>
      <c r="F327" s="731" t="n"/>
      <c r="G327" s="731" t="n"/>
    </row>
    <row r="328" ht="15" customHeight="1">
      <c r="A328" s="1885" t="inlineStr">
        <is>
          <t>Reported - Tax Impact from Non-Recurring Items - Non-GAAP</t>
        </is>
      </c>
      <c r="B328" s="731" t="n"/>
      <c r="C328" s="731" t="n"/>
      <c r="D328" s="731" t="n"/>
      <c r="E328" s="731" t="n"/>
      <c r="F328" s="731" t="n"/>
      <c r="G328" s="731" t="n"/>
    </row>
    <row r="329" ht="15" customHeight="1">
      <c r="A329" s="1885" t="inlineStr">
        <is>
          <t>Reported - Normalized Net Income</t>
        </is>
      </c>
      <c r="B329" s="731" t="n"/>
      <c r="C329" s="731" t="n"/>
      <c r="D329" s="731" t="n"/>
      <c r="E329" s="731" t="n"/>
      <c r="F329" s="731" t="n"/>
      <c r="G329" s="731" t="n"/>
    </row>
    <row r="330" ht="15" customHeight="1">
      <c r="A330" s="1885" t="inlineStr">
        <is>
          <t>Non-Recurring/Unusual Items - Tax Impact</t>
        </is>
      </c>
      <c r="B330" s="731" t="n"/>
      <c r="C330" s="731" t="n"/>
      <c r="D330" s="731" t="n"/>
      <c r="E330" s="731" t="n"/>
      <c r="F330" s="731" t="n"/>
      <c r="G330" s="731" t="n"/>
    </row>
    <row r="331" ht="15" customHeight="1">
      <c r="A331" s="1885" t="inlineStr">
        <is>
          <t>Non-Recurring Items - Impact on Income Tax</t>
        </is>
      </c>
      <c r="B331" s="731" t="n"/>
      <c r="C331" s="731" t="n"/>
      <c r="D331" s="731" t="n"/>
      <c r="E331" s="731" t="n"/>
      <c r="F331" s="731" t="n"/>
      <c r="G331" s="731" t="n"/>
    </row>
    <row r="332" ht="15" customHeight="1">
      <c r="A332" s="1884" t="inlineStr">
        <is>
          <t>Normalized</t>
        </is>
      </c>
      <c r="B332" s="734" t="n"/>
      <c r="C332" s="734" t="n"/>
      <c r="D332" s="734" t="n"/>
      <c r="E332" s="734" t="n"/>
      <c r="F332" s="734" t="n"/>
      <c r="G332" s="734" t="n"/>
    </row>
    <row r="333" ht="15" customHeight="1">
      <c r="A333" s="1885" t="inlineStr">
        <is>
          <t>Normalized after Tax Profit</t>
        </is>
      </c>
      <c r="B333" s="1807" t="n">
        <v>2831549000</v>
      </c>
      <c r="C333" s="1807" t="n">
        <v>3396326000</v>
      </c>
      <c r="D333" s="1807" t="n">
        <v>3547468000</v>
      </c>
      <c r="E333" s="1807" t="n">
        <v>3323882000</v>
      </c>
      <c r="F333" s="1807" t="n">
        <v>3364606000</v>
      </c>
      <c r="G333" s="1807" t="n">
        <v>3682248000</v>
      </c>
    </row>
    <row r="334" ht="15" customHeight="1">
      <c r="A334" s="1885" t="inlineStr">
        <is>
          <t>Normalized Net Income from Continuing Operations</t>
        </is>
      </c>
      <c r="B334" s="1807" t="n">
        <v>2831549000</v>
      </c>
      <c r="C334" s="1807" t="n">
        <v>3396326000</v>
      </c>
      <c r="D334" s="1807" t="n">
        <v>3547468000</v>
      </c>
      <c r="E334" s="1807" t="n">
        <v>3323882000</v>
      </c>
      <c r="F334" s="1807" t="n">
        <v>3364606000</v>
      </c>
      <c r="G334" s="1807" t="n">
        <v>3682248000</v>
      </c>
    </row>
    <row r="335" ht="15" customHeight="1">
      <c r="A335" s="1885" t="inlineStr">
        <is>
          <t>Normalized Net Income - Bottom Line</t>
        </is>
      </c>
      <c r="B335" s="1807" t="n">
        <v>2813932000</v>
      </c>
      <c r="C335" s="1807" t="n">
        <v>3375826000</v>
      </c>
      <c r="D335" s="1807" t="n">
        <v>3492958000</v>
      </c>
      <c r="E335" s="1807" t="n">
        <v>3273337000</v>
      </c>
      <c r="F335" s="1807" t="n">
        <v>3335437000</v>
      </c>
      <c r="G335" s="1807" t="n">
        <v>3678316000</v>
      </c>
    </row>
    <row r="336" ht="15" customHeight="1">
      <c r="A336" s="1885" t="inlineStr">
        <is>
          <t>Earnings before Interest &amp; Taxes (EBIT) - Normalized</t>
        </is>
      </c>
      <c r="B336" s="1807" t="n">
        <v>4427695000</v>
      </c>
      <c r="C336" s="1807" t="n">
        <v>5253871000</v>
      </c>
      <c r="D336" s="1807" t="n">
        <v>6790528000</v>
      </c>
      <c r="E336" s="1807" t="n">
        <v>6818523000</v>
      </c>
      <c r="F336" s="1807" t="n">
        <v>7136392000</v>
      </c>
      <c r="G336" s="1807" t="n">
        <v>7284774000</v>
      </c>
    </row>
    <row r="337" ht="15" customHeight="1">
      <c r="A337" s="1885" t="inlineStr">
        <is>
          <t>Earnings before Interest, Taxes, Depreciation &amp; Amortization (EBITDA) - Normalized</t>
        </is>
      </c>
      <c r="B337" s="1807" t="n">
        <v>6071709000</v>
      </c>
      <c r="C337" s="1807" t="n">
        <v>7113690000</v>
      </c>
      <c r="D337" s="1807" t="n">
        <v>9097208000</v>
      </c>
      <c r="E337" s="1807" t="n">
        <v>9661791000</v>
      </c>
      <c r="F337" s="1807" t="n">
        <v>10234119000</v>
      </c>
      <c r="G337" s="1807" t="n">
        <v>10358039000</v>
      </c>
    </row>
    <row r="338" ht="15" customHeight="1">
      <c r="A338" s="1884" t="inlineStr">
        <is>
          <t>Derivatives - Realized Gain/Loss</t>
        </is>
      </c>
      <c r="B338" s="734" t="n"/>
      <c r="C338" s="734" t="n"/>
      <c r="D338" s="734" t="n"/>
      <c r="E338" s="734" t="n"/>
      <c r="F338" s="734" t="n"/>
      <c r="G338" s="734" t="n"/>
    </row>
    <row r="339" ht="15" customHeight="1">
      <c r="A339" s="1885" t="inlineStr">
        <is>
          <t>Derivatives - Realized Gain/(Loss) (including Reclassified from OCI) - Revenue - Supplemental</t>
        </is>
      </c>
      <c r="B339" s="731" t="n"/>
      <c r="C339" s="731" t="n"/>
      <c r="D339" s="731" t="n"/>
      <c r="E339" s="731" t="n"/>
      <c r="F339" s="731" t="n"/>
      <c r="G339" s="731" t="n"/>
    </row>
    <row r="340" ht="15" customHeight="1">
      <c r="A340" s="1885" t="inlineStr">
        <is>
          <t>Derivatives - Realized Gain/(Loss) (including Reclassified from OCI) - Cost of Goods Sold - Supplemental</t>
        </is>
      </c>
      <c r="B340" s="731" t="n"/>
      <c r="C340" s="731" t="n"/>
      <c r="D340" s="731" t="n"/>
      <c r="E340" s="731" t="n"/>
      <c r="F340" s="731" t="n"/>
      <c r="G340" s="731" t="n"/>
    </row>
    <row r="341" ht="15" customHeight="1">
      <c r="A341" s="1885" t="inlineStr">
        <is>
          <t>Derivatives - Realized Gain/(Loss) (including Reclassified from OCI) - Interest Expenses - Supplemental</t>
        </is>
      </c>
      <c r="B341" s="731" t="n"/>
      <c r="C341" s="731" t="n"/>
      <c r="D341" s="731" t="n"/>
      <c r="E341" s="731" t="n"/>
      <c r="F341" s="731" t="n"/>
      <c r="G341" s="731" t="n"/>
    </row>
    <row r="342" ht="15" customHeight="1">
      <c r="A342" s="1885" t="inlineStr">
        <is>
          <t>Derivatives - Realized Gain/(Loss) (including Reclassified from OCI) - Other - Supplemental</t>
        </is>
      </c>
      <c r="B342" s="731" t="n"/>
      <c r="C342" s="731" t="n"/>
      <c r="D342" s="731" t="n"/>
      <c r="E342" s="731" t="n"/>
      <c r="F342" s="731" t="n"/>
      <c r="G342" s="731" t="n"/>
    </row>
    <row r="343" ht="15" customHeight="1">
      <c r="A343" s="1885" t="inlineStr">
        <is>
          <t>Derivatives - Realized Gain/(Loss) (including Reclassified from OCI) - Total - Supplemental</t>
        </is>
      </c>
      <c r="B343" s="731" t="n"/>
      <c r="C343" s="731" t="n"/>
      <c r="D343" s="731" t="n"/>
      <c r="E343" s="731" t="n"/>
      <c r="F343" s="731" t="n"/>
      <c r="G343" s="731" t="n"/>
    </row>
    <row r="344" ht="15" customHeight="1">
      <c r="A344" s="1884" t="inlineStr">
        <is>
          <t>Derivatives</t>
        </is>
      </c>
      <c r="B344" s="734" t="n"/>
      <c r="C344" s="734" t="n"/>
      <c r="D344" s="734" t="n"/>
      <c r="E344" s="734" t="n"/>
      <c r="F344" s="734" t="n"/>
      <c r="G344" s="734" t="n"/>
    </row>
    <row r="345" ht="15" customHeight="1">
      <c r="A345" s="1885" t="inlineStr">
        <is>
          <t>Derivatives - Hedging - Gain/(Loss) - Total - Supplemental</t>
        </is>
      </c>
      <c r="B345" s="731" t="n"/>
      <c r="C345" s="731" t="n"/>
      <c r="D345" s="731" t="n"/>
      <c r="E345" s="731" t="n"/>
      <c r="F345" s="731" t="n"/>
      <c r="G345" s="731" t="n"/>
    </row>
    <row r="346" ht="15" customHeight="1">
      <c r="A346" s="1886" t="inlineStr">
        <is>
          <t>Unrealized Adjustments on Derivatives for Hedging - Supplemental</t>
        </is>
      </c>
      <c r="B346" s="731" t="n"/>
      <c r="C346" s="731" t="n"/>
      <c r="D346" s="731" t="n"/>
      <c r="E346" s="731" t="n"/>
      <c r="F346" s="731" t="n"/>
      <c r="G346" s="731" t="n"/>
    </row>
    <row r="347" ht="15" customHeight="1">
      <c r="A347" s="1886" t="inlineStr">
        <is>
          <t>Derivatives - Hedging - Realized Gain/(Loss) - Total - Supplemental</t>
        </is>
      </c>
      <c r="B347" s="731" t="n"/>
      <c r="C347" s="731" t="n"/>
      <c r="D347" s="731" t="n"/>
      <c r="E347" s="731" t="n"/>
      <c r="F347" s="731" t="n"/>
      <c r="G347" s="731" t="n"/>
    </row>
    <row r="348" ht="15" customHeight="1">
      <c r="A348" s="1887" t="inlineStr">
        <is>
          <t>Derivatives - Hedging - Effective Gain/(Loss) - Supplemental</t>
        </is>
      </c>
      <c r="B348" s="731" t="n"/>
      <c r="C348" s="731" t="n"/>
      <c r="D348" s="731" t="n"/>
      <c r="E348" s="731" t="n"/>
      <c r="F348" s="731" t="n"/>
      <c r="G348" s="731" t="n"/>
    </row>
    <row r="349" ht="15" customHeight="1">
      <c r="A349" s="1887" t="inlineStr">
        <is>
          <t>Derivatives - Hedging - Ineffective Gain/(Loss) - Supplemental</t>
        </is>
      </c>
      <c r="B349" s="731" t="n"/>
      <c r="C349" s="731" t="n"/>
      <c r="D349" s="731" t="n"/>
      <c r="E349" s="731" t="n"/>
      <c r="F349" s="731" t="n"/>
      <c r="G349" s="731" t="n"/>
    </row>
    <row r="350" ht="15" customHeight="1">
      <c r="A350" s="1887" t="inlineStr">
        <is>
          <t>Early Termination of Derivatives - Hedging - Gain/(Loss) - Supplemental</t>
        </is>
      </c>
      <c r="B350" s="731" t="n"/>
      <c r="C350" s="731" t="n"/>
      <c r="D350" s="731" t="n"/>
      <c r="E350" s="731" t="n"/>
      <c r="F350" s="731" t="n"/>
      <c r="G350" s="731" t="n"/>
    </row>
    <row r="351" ht="15" customHeight="1">
      <c r="A351" s="1886" t="inlineStr">
        <is>
          <t>Trading Derivatives - Gain/(Loss) - Supplemental</t>
        </is>
      </c>
      <c r="B351" s="731" t="n"/>
      <c r="C351" s="731" t="n"/>
      <c r="D351" s="731" t="n"/>
      <c r="E351" s="731" t="n"/>
      <c r="F351" s="731" t="n"/>
      <c r="G351" s="731" t="n"/>
    </row>
    <row r="352" ht="15" customHeight="1">
      <c r="A352" s="1884" t="inlineStr">
        <is>
          <t>Lease Expenses</t>
        </is>
      </c>
      <c r="B352" s="734" t="n"/>
      <c r="C352" s="734" t="n"/>
      <c r="D352" s="734" t="n"/>
      <c r="E352" s="734" t="n"/>
      <c r="F352" s="734" t="n"/>
      <c r="G352" s="734" t="n"/>
    </row>
    <row r="353" ht="15" customHeight="1">
      <c r="A353" s="1885" t="inlineStr">
        <is>
          <t>Lease Expense -Total - Supplemental</t>
        </is>
      </c>
      <c r="B353" s="731" t="n"/>
      <c r="C353" s="731" t="n"/>
      <c r="D353" s="731" t="n"/>
      <c r="E353" s="731" t="n"/>
      <c r="F353" s="731" t="n"/>
      <c r="G353" s="731" t="n"/>
    </row>
    <row r="354" ht="15" customHeight="1">
      <c r="A354" s="1886" t="inlineStr">
        <is>
          <t>Operating /Rental Expense - Supplemental</t>
        </is>
      </c>
      <c r="B354" s="731" t="n"/>
      <c r="C354" s="731" t="n"/>
      <c r="D354" s="731" t="n"/>
      <c r="E354" s="731" t="n"/>
      <c r="F354" s="731" t="n"/>
      <c r="G354" s="731" t="n"/>
    </row>
    <row r="355" ht="15" customHeight="1">
      <c r="A355" s="1886" t="inlineStr">
        <is>
          <t>Depreciation of Financial Lease ROU Assets - Supplemental</t>
        </is>
      </c>
      <c r="B355" s="731" t="n"/>
      <c r="C355" s="731" t="n"/>
      <c r="D355" s="731" t="n"/>
      <c r="E355" s="731" t="n"/>
      <c r="F355" s="731" t="n"/>
      <c r="G355" s="731" t="n"/>
    </row>
    <row r="356" ht="15" customHeight="1">
      <c r="A356" s="1886" t="inlineStr">
        <is>
          <t>Amortization of Financial Lease ROU Assets - Supplemental</t>
        </is>
      </c>
      <c r="B356" s="731" t="n"/>
      <c r="C356" s="731" t="n"/>
      <c r="D356" s="731" t="n"/>
      <c r="E356" s="731" t="n"/>
      <c r="F356" s="731" t="n"/>
      <c r="G356" s="731" t="n"/>
    </row>
    <row r="357" ht="15" customHeight="1">
      <c r="A357" s="1886" t="inlineStr">
        <is>
          <t>Variable Lease Expense - Unclassified - Supplemental</t>
        </is>
      </c>
      <c r="B357" s="731" t="n"/>
      <c r="C357" s="731" t="n"/>
      <c r="D357" s="731" t="n"/>
      <c r="E357" s="731" t="n"/>
      <c r="F357" s="731" t="n"/>
      <c r="G357" s="731" t="n"/>
    </row>
    <row r="358" ht="15" customHeight="1">
      <c r="A358" s="1886" t="inlineStr">
        <is>
          <t>Variable Operating Lease Expenses - US GAAP - Supplemental</t>
        </is>
      </c>
      <c r="B358" s="731" t="n"/>
      <c r="C358" s="731" t="n"/>
      <c r="D358" s="731" t="n"/>
      <c r="E358" s="731" t="n"/>
      <c r="F358" s="731" t="n"/>
      <c r="G358" s="731" t="n"/>
    </row>
    <row r="359" ht="15" customHeight="1">
      <c r="A359" s="1886" t="inlineStr">
        <is>
          <t>Variable Financial Lease Expenses - Supplemental</t>
        </is>
      </c>
      <c r="B359" s="731" t="n"/>
      <c r="C359" s="731" t="n"/>
      <c r="D359" s="731" t="n"/>
      <c r="E359" s="731" t="n"/>
      <c r="F359" s="731" t="n"/>
      <c r="G359" s="731" t="n"/>
    </row>
    <row r="360" ht="15" customHeight="1">
      <c r="A360" s="1886" t="inlineStr">
        <is>
          <t>Interest Expense on Financial Lease Liabilities - Supple</t>
        </is>
      </c>
      <c r="B360" s="1807" t="n">
        <v>110687000</v>
      </c>
      <c r="C360" s="1807" t="n">
        <v>108255000</v>
      </c>
      <c r="D360" s="1807" t="n">
        <v>131077000</v>
      </c>
      <c r="E360" s="1807" t="n">
        <v>91905000</v>
      </c>
      <c r="F360" s="1807" t="n">
        <v>49785000</v>
      </c>
      <c r="G360" s="1807" t="n">
        <v>69340000</v>
      </c>
    </row>
    <row r="361" ht="15" customHeight="1">
      <c r="A361" s="1886" t="inlineStr">
        <is>
          <t>Short-Term Lease Cost - Supplemental</t>
        </is>
      </c>
      <c r="B361" s="731" t="n"/>
      <c r="C361" s="731" t="n"/>
      <c r="D361" s="731" t="n"/>
      <c r="E361" s="731" t="n"/>
      <c r="F361" s="731" t="n"/>
      <c r="G361" s="731" t="n"/>
    </row>
    <row r="362" ht="15" customHeight="1">
      <c r="A362" s="1886" t="inlineStr">
        <is>
          <t>Sublease Income - Supplemental</t>
        </is>
      </c>
      <c r="B362" s="731" t="n"/>
      <c r="C362" s="731" t="n"/>
      <c r="D362" s="731" t="n"/>
      <c r="E362" s="731" t="n"/>
      <c r="F362" s="731" t="n"/>
      <c r="G362" s="731" t="n"/>
    </row>
    <row r="363" ht="15" customHeight="1">
      <c r="A363" s="1884" t="inlineStr">
        <is>
          <t>Other</t>
        </is>
      </c>
      <c r="B363" s="734" t="n"/>
      <c r="C363" s="734" t="n"/>
      <c r="D363" s="734" t="n"/>
      <c r="E363" s="734" t="n"/>
      <c r="F363" s="734" t="n"/>
      <c r="G363" s="734" t="n"/>
    </row>
    <row r="364" ht="15" customHeight="1">
      <c r="A364" s="1885" t="inlineStr">
        <is>
          <t>Rental/Operating Lease Expense</t>
        </is>
      </c>
      <c r="B364" s="731" t="n"/>
      <c r="C364" s="731" t="n"/>
      <c r="D364" s="731" t="n"/>
      <c r="E364" s="731" t="n"/>
      <c r="F364" s="731" t="n"/>
      <c r="G364" s="731" t="n"/>
    </row>
    <row r="365" ht="15" customHeight="1">
      <c r="A365" s="1885" t="inlineStr">
        <is>
          <t>Advertising Expenses - Supplemental</t>
        </is>
      </c>
      <c r="B365" s="731" t="n"/>
      <c r="C365" s="731" t="n"/>
      <c r="D365" s="731" t="n"/>
      <c r="E365" s="731" t="n"/>
      <c r="F365" s="731" t="n"/>
      <c r="G365" s="731" t="n"/>
    </row>
    <row r="366" ht="15" customHeight="1">
      <c r="A366" s="1885" t="inlineStr">
        <is>
          <t>Exploration Expenses</t>
        </is>
      </c>
      <c r="B366" s="731" t="n"/>
      <c r="C366" s="731" t="n"/>
      <c r="D366" s="731" t="n"/>
      <c r="E366" s="731" t="n"/>
      <c r="F366" s="731" t="n"/>
      <c r="G366" s="731" t="n"/>
    </row>
    <row r="367" ht="15" customHeight="1">
      <c r="A367" s="1885" t="inlineStr">
        <is>
          <t>U.S. GAAP Adjustment</t>
        </is>
      </c>
      <c r="B367" s="731" t="n"/>
      <c r="C367" s="731" t="n"/>
      <c r="D367" s="731" t="n"/>
      <c r="E367" s="731" t="n"/>
      <c r="F367" s="731" t="n"/>
      <c r="G367" s="731" t="n"/>
    </row>
    <row r="368" ht="15" customHeight="1">
      <c r="A368" s="1885" t="inlineStr">
        <is>
          <t>Cost of Revenue including Operation &amp; Maintenance (Utility) - Total</t>
        </is>
      </c>
      <c r="B368" s="1807" t="n">
        <v>2059254000</v>
      </c>
      <c r="C368" s="1807" t="n">
        <v>2340173000</v>
      </c>
      <c r="D368" s="1807" t="n">
        <v>2914450000</v>
      </c>
      <c r="E368" s="1807" t="n">
        <v>3527754000</v>
      </c>
      <c r="F368" s="1807" t="n">
        <v>3996322000</v>
      </c>
      <c r="G368" s="1807" t="n">
        <v>4188377000</v>
      </c>
    </row>
    <row r="369" ht="15" customHeight="1">
      <c r="A369" s="1885" t="inlineStr">
        <is>
          <t>Cost of Revenues excluding Depreciation</t>
        </is>
      </c>
      <c r="B369" s="1807" t="n">
        <v>415240000</v>
      </c>
      <c r="C369" s="1807" t="n">
        <v>480354000</v>
      </c>
      <c r="D369" s="1807" t="n">
        <v>607770000</v>
      </c>
      <c r="E369" s="1807" t="n">
        <v>684486000</v>
      </c>
      <c r="F369" s="1807" t="n">
        <v>898595000</v>
      </c>
      <c r="G369" s="1807" t="n">
        <v>1115112000</v>
      </c>
    </row>
    <row r="370" ht="15" customHeight="1">
      <c r="A370" s="1885" t="inlineStr">
        <is>
          <t>Foreign Exchange Gain/(Loss)</t>
        </is>
      </c>
      <c r="B370" s="731" t="n"/>
      <c r="C370" s="731" t="n"/>
      <c r="D370" s="731" t="n"/>
      <c r="E370" s="731" t="n"/>
      <c r="F370" s="731" t="n"/>
      <c r="G370" s="731" t="n"/>
    </row>
    <row r="371" ht="15" customHeight="1">
      <c r="A371" s="1885" t="inlineStr">
        <is>
          <t>Generation Cost</t>
        </is>
      </c>
      <c r="B371" s="731" t="n"/>
      <c r="C371" s="731" t="n"/>
      <c r="D371" s="731" t="n"/>
      <c r="E371" s="731" t="n"/>
      <c r="F371" s="731" t="n"/>
      <c r="G371" s="731" t="n"/>
    </row>
    <row r="372" ht="15" customHeight="1">
      <c r="A372" s="1885" t="inlineStr">
        <is>
          <t>Interest Expense</t>
        </is>
      </c>
      <c r="B372" s="1807" t="n">
        <v>1084429000</v>
      </c>
      <c r="C372" s="1807" t="n">
        <v>1285318000</v>
      </c>
      <c r="D372" s="1807" t="n">
        <v>2309609000</v>
      </c>
      <c r="E372" s="1807" t="n">
        <v>2720138000</v>
      </c>
      <c r="F372" s="1807" t="n">
        <v>3025006000</v>
      </c>
      <c r="G372" s="1807" t="n">
        <v>2876067000</v>
      </c>
    </row>
    <row r="373" ht="15" customHeight="1">
      <c r="A373" s="1885" t="inlineStr">
        <is>
          <t>Operating Expenses</t>
        </is>
      </c>
      <c r="B373" s="1807" t="n">
        <v>2674726000</v>
      </c>
      <c r="C373" s="1807" t="n">
        <v>3214722000</v>
      </c>
      <c r="D373" s="1807" t="n">
        <v>3919536000</v>
      </c>
      <c r="E373" s="1807" t="n">
        <v>4590659000</v>
      </c>
      <c r="F373" s="1807" t="n">
        <v>5284386000</v>
      </c>
      <c r="G373" s="1807" t="n">
        <v>5477073000</v>
      </c>
    </row>
    <row r="374" ht="15" customHeight="1">
      <c r="A374" s="1885" t="inlineStr">
        <is>
          <t>Selling, General &amp; Administrative Expenses excluding Research &amp; Development Expenses</t>
        </is>
      </c>
      <c r="B374" s="1807" t="n">
        <v>592782000</v>
      </c>
      <c r="C374" s="1807" t="n">
        <v>707120000</v>
      </c>
      <c r="D374" s="1807" t="n">
        <v>916111000</v>
      </c>
      <c r="E374" s="1807" t="n">
        <v>1119731000</v>
      </c>
      <c r="F374" s="1807" t="n">
        <v>1217595000</v>
      </c>
      <c r="G374" s="1807" t="n">
        <v>1211640000</v>
      </c>
    </row>
  </sheetData>
  <pageMargins left="0.5" right="0.5" top="1" bottom="1" header="0.511811023622047" footer="0.511811023622047"/>
  <pageSetup orientation="portrait" fitToHeight="0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539"/>
  <sheetViews>
    <sheetView zoomScaleNormal="100" workbookViewId="0">
      <selection activeCell="A1" sqref="A1"/>
    </sheetView>
  </sheetViews>
  <sheetFormatPr baseColWidth="8" defaultColWidth="8.7109375" defaultRowHeight="14.25" outlineLevelRow="1"/>
  <cols>
    <col width="85.7109375" customWidth="1" min="1" max="1"/>
    <col width="15.7109375" customWidth="1" min="2" max="7"/>
  </cols>
  <sheetData>
    <row r="1" ht="15" customHeight="1">
      <c r="A1" s="1872" t="inlineStr">
        <is>
          <t>Company Fundamentals - Balance Sheet</t>
        </is>
      </c>
      <c r="B1" s="1873" t="n"/>
      <c r="C1" s="1873" t="n"/>
      <c r="D1" s="1873" t="n"/>
      <c r="E1" s="1873" t="n"/>
      <c r="F1" s="1873" t="n"/>
      <c r="G1" s="1873" t="n"/>
    </row>
    <row r="2" ht="15" customHeight="1">
      <c r="A2" s="934" t="inlineStr">
        <is>
          <t>Company Name</t>
        </is>
      </c>
      <c r="B2" s="931" t="inlineStr">
        <is>
          <t>Sarana Menara Nusantara Tbk PT (TOWR.JK)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46247.28126662037</v>
      </c>
    </row>
    <row r="11" ht="14.25" customHeight="1">
      <c r="A11" s="1875" t="inlineStr">
        <is>
          <t>Statement Data</t>
        </is>
      </c>
      <c r="B11" s="1876" t="inlineStr">
        <is>
          <t>2020</t>
        </is>
      </c>
      <c r="C11" s="1876" t="inlineStr">
        <is>
          <t>2021</t>
        </is>
      </c>
      <c r="D11" s="1876" t="inlineStr">
        <is>
          <t>2022</t>
        </is>
      </c>
      <c r="E11" s="1876" t="inlineStr">
        <is>
          <t>2023</t>
        </is>
      </c>
      <c r="F11" s="1876" t="inlineStr">
        <is>
          <t>2024</t>
        </is>
      </c>
      <c r="G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B12" s="1878" t="n">
        <v>44196</v>
      </c>
      <c r="C12" s="1878" t="n">
        <v>44561</v>
      </c>
      <c r="D12" s="1878" t="n">
        <v>44926</v>
      </c>
      <c r="E12" s="1878" t="n">
        <v>45291</v>
      </c>
      <c r="F12" s="1878" t="n">
        <v>45657</v>
      </c>
      <c r="G12" s="1878" t="n">
        <v>46022</v>
      </c>
    </row>
    <row r="13" outlineLevel="1" ht="15" customHeight="1">
      <c r="A13" s="1877" t="inlineStr">
        <is>
          <t>Standardized Currency</t>
        </is>
      </c>
      <c r="B13" s="1879" t="inlineStr">
        <is>
          <t>IDR</t>
        </is>
      </c>
      <c r="C13" s="1879" t="inlineStr">
        <is>
          <t>IDR</t>
        </is>
      </c>
      <c r="D13" s="1879" t="inlineStr">
        <is>
          <t>IDR</t>
        </is>
      </c>
      <c r="E13" s="1879" t="inlineStr">
        <is>
          <t>IDR</t>
        </is>
      </c>
      <c r="F13" s="1879" t="inlineStr">
        <is>
          <t>IDR</t>
        </is>
      </c>
      <c r="G13" s="1879" t="inlineStr">
        <is>
          <t>IDR</t>
        </is>
      </c>
    </row>
    <row r="14" outlineLevel="1" ht="15" customHeight="1">
      <c r="A14" s="1877" t="inlineStr">
        <is>
          <t>Statement Date</t>
        </is>
      </c>
      <c r="B14" s="1878" t="n">
        <v>44196</v>
      </c>
      <c r="C14" s="1878" t="n">
        <v>44561</v>
      </c>
      <c r="D14" s="1878" t="n">
        <v>44926</v>
      </c>
      <c r="E14" s="1878" t="n">
        <v>45291</v>
      </c>
      <c r="F14" s="1878" t="n">
        <v>45657</v>
      </c>
      <c r="G14" s="1878" t="n">
        <v>46022</v>
      </c>
    </row>
    <row r="15" outlineLevel="1" ht="15" customHeight="1">
      <c r="A15" s="1877" t="inlineStr">
        <is>
          <t>Complete Statement</t>
        </is>
      </c>
      <c r="B15" s="1880" t="inlineStr">
        <is>
          <t>Complete</t>
        </is>
      </c>
      <c r="C15" s="1880" t="inlineStr">
        <is>
          <t>Complete</t>
        </is>
      </c>
      <c r="D15" s="1880" t="inlineStr">
        <is>
          <t>Complete</t>
        </is>
      </c>
      <c r="E15" s="1880" t="inlineStr">
        <is>
          <t>Complete</t>
        </is>
      </c>
      <c r="F15" s="1880" t="inlineStr">
        <is>
          <t>Complete</t>
        </is>
      </c>
      <c r="G15" s="1880" t="inlineStr">
        <is>
          <t>Complete</t>
        </is>
      </c>
    </row>
    <row r="16" outlineLevel="1" ht="15" customHeight="1">
      <c r="A16" s="1877" t="inlineStr">
        <is>
          <t>Consolidated</t>
        </is>
      </c>
      <c r="B16" s="1880" t="inlineStr">
        <is>
          <t>Consolidated</t>
        </is>
      </c>
      <c r="C16" s="1880" t="inlineStr">
        <is>
          <t>Consolidated</t>
        </is>
      </c>
      <c r="D16" s="1880" t="inlineStr">
        <is>
          <t>Consolidated</t>
        </is>
      </c>
      <c r="E16" s="1880" t="inlineStr">
        <is>
          <t>Consolidated</t>
        </is>
      </c>
      <c r="F16" s="1880" t="inlineStr">
        <is>
          <t>Consolidated</t>
        </is>
      </c>
      <c r="G16" s="1880" t="inlineStr">
        <is>
          <t>Consolidated</t>
        </is>
      </c>
    </row>
    <row r="17" outlineLevel="1" ht="15" customHeight="1">
      <c r="A17" s="1877" t="inlineStr">
        <is>
          <t>Accounting Standard</t>
        </is>
      </c>
      <c r="B17" s="1880" t="inlineStr">
        <is>
          <t>Indonesian</t>
        </is>
      </c>
      <c r="C17" s="1880" t="inlineStr">
        <is>
          <t>Indonesian</t>
        </is>
      </c>
      <c r="D17" s="1880" t="inlineStr">
        <is>
          <t>Indonesian</t>
        </is>
      </c>
      <c r="E17" s="1880" t="inlineStr">
        <is>
          <t>Indonesian</t>
        </is>
      </c>
      <c r="F17" s="1880" t="inlineStr">
        <is>
          <t>Indonesian</t>
        </is>
      </c>
      <c r="G17" s="1880" t="inlineStr">
        <is>
          <t>Indonesian</t>
        </is>
      </c>
    </row>
    <row r="18" ht="14.25" customHeight="1">
      <c r="A18" s="1881" t="inlineStr">
        <is>
          <t>Balance Sheet - Standardized (Currency: Indonesia Rupiah)</t>
        </is>
      </c>
      <c r="B18" s="1882" t="n"/>
      <c r="C18" s="1882" t="n"/>
      <c r="D18" s="1882" t="n"/>
      <c r="E18" s="1882" t="n"/>
      <c r="F18" s="1882" t="n"/>
      <c r="G18" s="1882" t="n"/>
    </row>
    <row r="19" ht="14.25" customHeight="1">
      <c r="A19" s="1881" t="inlineStr">
        <is>
          <t>Field Name</t>
        </is>
      </c>
      <c r="B19" s="1883" t="inlineStr">
        <is>
          <t>31-12-2020</t>
        </is>
      </c>
      <c r="C19" s="1883" t="inlineStr">
        <is>
          <t>31-12-2021</t>
        </is>
      </c>
      <c r="D19" s="1883" t="inlineStr">
        <is>
          <t>31-12-2022</t>
        </is>
      </c>
      <c r="E19" s="1883" t="inlineStr">
        <is>
          <t>31-12-2023</t>
        </is>
      </c>
      <c r="F19" s="1883" t="inlineStr">
        <is>
          <t>31-12-2024</t>
        </is>
      </c>
      <c r="G19" s="1883" t="inlineStr">
        <is>
          <t>31-12-2025</t>
        </is>
      </c>
    </row>
    <row r="20" ht="15" customHeight="1">
      <c r="A20" s="1884" t="inlineStr">
        <is>
          <t>Current Assets</t>
        </is>
      </c>
      <c r="B20" s="734" t="n"/>
      <c r="C20" s="734" t="n"/>
      <c r="D20" s="734" t="n"/>
      <c r="E20" s="734" t="n"/>
      <c r="F20" s="734" t="n"/>
      <c r="G20" s="734" t="n"/>
    </row>
    <row r="21" ht="15" customHeight="1">
      <c r="A21" s="1885" t="inlineStr">
        <is>
          <t>Cash &amp; Short-Term Investments</t>
        </is>
      </c>
      <c r="B21" s="1807" t="n">
        <v>1442627000</v>
      </c>
      <c r="C21" s="1807" t="n">
        <v>4748364000</v>
      </c>
      <c r="D21" s="1807" t="n">
        <v>342703000</v>
      </c>
      <c r="E21" s="1807" t="n">
        <v>517126000</v>
      </c>
      <c r="F21" s="1807" t="n">
        <v>979223000</v>
      </c>
      <c r="G21" s="1807" t="n">
        <v>709858000</v>
      </c>
    </row>
    <row r="22" ht="15" customHeight="1">
      <c r="A22" s="1886" t="inlineStr">
        <is>
          <t>Cash &amp; Cash Equivalents</t>
        </is>
      </c>
      <c r="B22" s="1807" t="n">
        <v>1442627000</v>
      </c>
      <c r="C22" s="1807" t="n">
        <v>4748364000</v>
      </c>
      <c r="D22" s="1807" t="n">
        <v>308636000</v>
      </c>
      <c r="E22" s="1807" t="n">
        <v>428677000</v>
      </c>
      <c r="F22" s="1807" t="n">
        <v>940183000</v>
      </c>
      <c r="G22" s="1807" t="n">
        <v>647545000</v>
      </c>
    </row>
    <row r="23" ht="15" customHeight="1">
      <c r="A23" s="1886" t="inlineStr">
        <is>
          <t>Short-Term Investments - Total</t>
        </is>
      </c>
      <c r="B23" s="731" t="n"/>
      <c r="C23" s="731" t="n"/>
      <c r="D23" s="1807" t="n">
        <v>34067000</v>
      </c>
      <c r="E23" s="1807" t="n">
        <v>88449000</v>
      </c>
      <c r="F23" s="1807" t="n">
        <v>39040000</v>
      </c>
      <c r="G23" s="1807" t="n">
        <v>62313000</v>
      </c>
    </row>
    <row r="24" ht="15" customHeight="1">
      <c r="A24" s="1886" t="inlineStr">
        <is>
          <t>Financial Assets - Short-Term</t>
        </is>
      </c>
      <c r="B24" s="731" t="n"/>
      <c r="C24" s="731" t="n"/>
      <c r="D24" s="731" t="n"/>
      <c r="E24" s="731" t="n"/>
      <c r="F24" s="731" t="n"/>
      <c r="G24" s="731" t="n"/>
    </row>
    <row r="25" ht="15" customHeight="1">
      <c r="A25" s="1885" t="inlineStr">
        <is>
          <t>Derivative Financial Instruments - Hedging - Short-Term</t>
        </is>
      </c>
      <c r="B25" s="731" t="n"/>
      <c r="C25" s="731" t="n"/>
      <c r="D25" s="731" t="n"/>
      <c r="E25" s="731" t="n"/>
      <c r="F25" s="731" t="n"/>
      <c r="G25" s="731" t="n"/>
    </row>
    <row r="26" ht="15" customHeight="1">
      <c r="A26" s="1885" t="inlineStr">
        <is>
          <t>Loans &amp; Receivables - Net - Short-Term</t>
        </is>
      </c>
      <c r="B26" s="1807" t="n">
        <v>1275857000</v>
      </c>
      <c r="C26" s="1807" t="n">
        <v>2184362000</v>
      </c>
      <c r="D26" s="1807" t="n">
        <v>2615727000</v>
      </c>
      <c r="E26" s="1807" t="n">
        <v>3145293000</v>
      </c>
      <c r="F26" s="1807" t="n">
        <v>3564702000</v>
      </c>
      <c r="G26" s="1807" t="n">
        <v>2220530000</v>
      </c>
    </row>
    <row r="27" ht="15" customHeight="1">
      <c r="A27" s="1886" t="inlineStr">
        <is>
          <t>Trade Accounts &amp; Trade Notes Receivable - Net</t>
        </is>
      </c>
      <c r="B27" s="1807" t="n">
        <v>1240069000</v>
      </c>
      <c r="C27" s="1807" t="n">
        <v>2171296000</v>
      </c>
      <c r="D27" s="1807" t="n">
        <v>2557804000</v>
      </c>
      <c r="E27" s="1807" t="n">
        <v>3086334000</v>
      </c>
      <c r="F27" s="1807" t="n">
        <v>3292793000</v>
      </c>
      <c r="G27" s="1807" t="n">
        <v>1973530000</v>
      </c>
    </row>
    <row r="28" ht="15" customHeight="1">
      <c r="A28" s="1887" t="inlineStr">
        <is>
          <t>Trade Accounts &amp; Trade Notes Receivable - Gross</t>
        </is>
      </c>
      <c r="B28" s="1807" t="n">
        <v>1348589000</v>
      </c>
      <c r="C28" s="1807" t="n">
        <v>2269848000</v>
      </c>
      <c r="D28" s="1807" t="n">
        <v>2597461000</v>
      </c>
      <c r="E28" s="1807" t="n">
        <v>3169354000</v>
      </c>
      <c r="F28" s="1807" t="n">
        <v>3386022000</v>
      </c>
      <c r="G28" s="1807" t="n">
        <v>2008853000</v>
      </c>
    </row>
    <row r="29" ht="15" customHeight="1">
      <c r="A29" s="1887" t="inlineStr">
        <is>
          <t>Provision - Trade Accounts &amp; Trade Notes Receivable</t>
        </is>
      </c>
      <c r="B29" s="1807" t="n">
        <v>108520000</v>
      </c>
      <c r="C29" s="1807" t="n">
        <v>98552000</v>
      </c>
      <c r="D29" s="1807" t="n">
        <v>39657000</v>
      </c>
      <c r="E29" s="1807" t="n">
        <v>83020000</v>
      </c>
      <c r="F29" s="1807" t="n">
        <v>93229000</v>
      </c>
      <c r="G29" s="1807" t="n">
        <v>35323000</v>
      </c>
    </row>
    <row r="30" ht="15" customHeight="1">
      <c r="A30" s="1887" t="inlineStr">
        <is>
          <t>Unbilled Utility Revenue - Short-Term</t>
        </is>
      </c>
      <c r="B30" s="731" t="n"/>
      <c r="C30" s="731" t="n"/>
      <c r="D30" s="731" t="n"/>
      <c r="E30" s="731" t="n"/>
      <c r="F30" s="731" t="n"/>
      <c r="G30" s="731" t="n"/>
    </row>
    <row r="31" ht="15" customHeight="1">
      <c r="A31" s="1886" t="inlineStr">
        <is>
          <t>Loans - Short-Term</t>
        </is>
      </c>
      <c r="B31" s="731" t="n"/>
      <c r="C31" s="731" t="n"/>
      <c r="D31" s="731" t="n"/>
      <c r="E31" s="731" t="n"/>
      <c r="F31" s="1807" t="n">
        <v>168639000</v>
      </c>
      <c r="G31" s="1807" t="n">
        <v>175604000</v>
      </c>
    </row>
    <row r="32" ht="15" customHeight="1">
      <c r="A32" s="1886" t="inlineStr">
        <is>
          <t>Income Tax - Receivables - Short-Term</t>
        </is>
      </c>
      <c r="B32" s="731" t="n"/>
      <c r="C32" s="731" t="n"/>
      <c r="D32" s="731" t="n"/>
      <c r="E32" s="731" t="n"/>
      <c r="F32" s="731" t="n"/>
      <c r="G32" s="731" t="n"/>
    </row>
    <row r="33" ht="15" customHeight="1">
      <c r="A33" s="1886" t="inlineStr">
        <is>
          <t>Receivables - Other - Total</t>
        </is>
      </c>
      <c r="B33" s="1807" t="n">
        <v>35788000</v>
      </c>
      <c r="C33" s="1807" t="n">
        <v>13066000</v>
      </c>
      <c r="D33" s="1807" t="n">
        <v>57923000</v>
      </c>
      <c r="E33" s="1807" t="n">
        <v>58959000</v>
      </c>
      <c r="F33" s="1807" t="n">
        <v>103270000</v>
      </c>
      <c r="G33" s="1807" t="n">
        <v>71396000</v>
      </c>
    </row>
    <row r="34" ht="15" customHeight="1">
      <c r="A34" s="1886" t="inlineStr">
        <is>
          <t>Provision - Doubtful Accounts</t>
        </is>
      </c>
      <c r="B34" s="731" t="n"/>
      <c r="C34" s="731" t="n"/>
      <c r="D34" s="731" t="n"/>
      <c r="E34" s="731" t="n"/>
      <c r="F34" s="731" t="n"/>
      <c r="G34" s="731" t="n"/>
    </row>
    <row r="35" ht="15" customHeight="1">
      <c r="A35" s="1886" t="inlineStr">
        <is>
          <t>Receivables Over One Year included within Short-Term Receivables</t>
        </is>
      </c>
      <c r="B35" s="731" t="n"/>
      <c r="C35" s="731" t="n"/>
      <c r="D35" s="731" t="n"/>
      <c r="E35" s="731" t="n"/>
      <c r="F35" s="731" t="n"/>
      <c r="G35" s="731" t="n"/>
    </row>
    <row r="36" ht="15" customHeight="1">
      <c r="A36" s="1885" t="inlineStr">
        <is>
          <t>Inventories - Total</t>
        </is>
      </c>
      <c r="B36" s="731" t="n"/>
      <c r="C36" s="731" t="n"/>
      <c r="D36" s="731" t="n"/>
      <c r="E36" s="1807" t="n">
        <v>14572000</v>
      </c>
      <c r="F36" s="1807" t="n">
        <v>15943000</v>
      </c>
      <c r="G36" s="1807" t="n">
        <v>8517000</v>
      </c>
    </row>
    <row r="37" ht="15" customHeight="1">
      <c r="A37" s="1886" t="inlineStr">
        <is>
          <t>Inventories - Raw Materials</t>
        </is>
      </c>
      <c r="B37" s="731" t="n"/>
      <c r="C37" s="731" t="n"/>
      <c r="D37" s="731" t="n"/>
      <c r="E37" s="731" t="n"/>
      <c r="F37" s="731" t="n"/>
      <c r="G37" s="731" t="n"/>
    </row>
    <row r="38" ht="15" customHeight="1">
      <c r="A38" s="1886" t="inlineStr">
        <is>
          <t>Inventories - Work in Progress</t>
        </is>
      </c>
      <c r="B38" s="731" t="n"/>
      <c r="C38" s="731" t="n"/>
      <c r="D38" s="731" t="n"/>
      <c r="E38" s="731" t="n"/>
      <c r="F38" s="731" t="n"/>
      <c r="G38" s="731" t="n"/>
    </row>
    <row r="39" ht="15" customHeight="1">
      <c r="A39" s="1886" t="inlineStr">
        <is>
          <t>Inventories - Finished Goods</t>
        </is>
      </c>
      <c r="B39" s="731" t="n"/>
      <c r="C39" s="731" t="n"/>
      <c r="D39" s="731" t="n"/>
      <c r="E39" s="731" t="n"/>
      <c r="F39" s="731" t="n"/>
      <c r="G39" s="731" t="n"/>
    </row>
    <row r="40" ht="15" customHeight="1">
      <c r="A40" s="1886" t="inlineStr">
        <is>
          <t>Inventories - Other - Total</t>
        </is>
      </c>
      <c r="B40" s="731" t="n"/>
      <c r="C40" s="731" t="n"/>
      <c r="D40" s="731" t="n"/>
      <c r="E40" s="731" t="n"/>
      <c r="F40" s="731" t="n"/>
      <c r="G40" s="731" t="n"/>
    </row>
    <row r="41" ht="15" customHeight="1">
      <c r="A41" s="1887" t="inlineStr">
        <is>
          <t>Inventories - Cost in excess of Billings</t>
        </is>
      </c>
      <c r="B41" s="731" t="n"/>
      <c r="C41" s="731" t="n"/>
      <c r="D41" s="731" t="n"/>
      <c r="E41" s="731" t="n"/>
      <c r="F41" s="731" t="n"/>
      <c r="G41" s="731" t="n"/>
    </row>
    <row r="42" ht="15" customHeight="1">
      <c r="A42" s="1887" t="inlineStr">
        <is>
          <t>Inventories - Gas in Storage</t>
        </is>
      </c>
      <c r="B42" s="731" t="n"/>
      <c r="C42" s="731" t="n"/>
      <c r="D42" s="731" t="n"/>
      <c r="E42" s="731" t="n"/>
      <c r="F42" s="731" t="n"/>
      <c r="G42" s="731" t="n"/>
    </row>
    <row r="43" ht="15" customHeight="1">
      <c r="A43" s="1887" t="inlineStr">
        <is>
          <t>Inventories - LIFO Reserve</t>
        </is>
      </c>
      <c r="B43" s="731" t="n"/>
      <c r="C43" s="731" t="n"/>
      <c r="D43" s="731" t="n"/>
      <c r="E43" s="731" t="n"/>
      <c r="F43" s="731" t="n"/>
      <c r="G43" s="731" t="n"/>
    </row>
    <row r="44" ht="15" customHeight="1">
      <c r="A44" s="1887" t="inlineStr">
        <is>
          <t>Biological Assets - Short-Term</t>
        </is>
      </c>
      <c r="B44" s="731" t="n"/>
      <c r="C44" s="731" t="n"/>
      <c r="D44" s="731" t="n"/>
      <c r="E44" s="731" t="n"/>
      <c r="F44" s="731" t="n"/>
      <c r="G44" s="731" t="n"/>
    </row>
    <row r="45" ht="15" customHeight="1">
      <c r="A45" s="1885" t="inlineStr">
        <is>
          <t>Prepaid Expenses - Short-Term</t>
        </is>
      </c>
      <c r="B45" s="1807" t="n">
        <v>278899000</v>
      </c>
      <c r="C45" s="1807" t="n">
        <v>463431000</v>
      </c>
      <c r="D45" s="1807" t="n">
        <v>692688000</v>
      </c>
      <c r="E45" s="1807" t="n">
        <v>749770000</v>
      </c>
      <c r="F45" s="1807" t="n">
        <v>395437000</v>
      </c>
      <c r="G45" s="1807" t="n">
        <v>488811000</v>
      </c>
    </row>
    <row r="46" ht="15" customHeight="1">
      <c r="A46" s="1885" t="inlineStr">
        <is>
          <t>Assets Held for Sale/Discontinued Operations - Short-Term</t>
        </is>
      </c>
      <c r="B46" s="731" t="n"/>
      <c r="C46" s="731" t="n"/>
      <c r="D46" s="731" t="n"/>
      <c r="E46" s="731" t="n"/>
      <c r="F46" s="731" t="n"/>
      <c r="G46" s="731" t="n"/>
    </row>
    <row r="47" ht="15" customHeight="1">
      <c r="A47" s="1885" t="inlineStr">
        <is>
          <t>Other Current Assets - Total</t>
        </is>
      </c>
      <c r="B47" s="1807" t="n">
        <v>4949000</v>
      </c>
      <c r="C47" s="1807" t="n">
        <v>1981000</v>
      </c>
      <c r="D47" s="1807" t="n">
        <v>16000</v>
      </c>
      <c r="E47" s="1807" t="n">
        <v>122000</v>
      </c>
      <c r="F47" s="1807" t="n">
        <v>535000</v>
      </c>
      <c r="G47" s="1807" t="n">
        <v>5516000</v>
      </c>
    </row>
    <row r="48" ht="15" customHeight="1">
      <c r="A48" s="1886" t="inlineStr">
        <is>
          <t>Deferred Tax - Asset - Short-Term</t>
        </is>
      </c>
      <c r="B48" s="731" t="n"/>
      <c r="C48" s="731" t="n"/>
      <c r="D48" s="731" t="n"/>
      <c r="E48" s="731" t="n"/>
      <c r="F48" s="731" t="n"/>
      <c r="G48" s="731" t="n"/>
    </row>
    <row r="49" ht="15" customHeight="1">
      <c r="A49" s="1886" t="inlineStr">
        <is>
          <t>Deferred Costs - Short-Term</t>
        </is>
      </c>
      <c r="B49" s="731" t="n"/>
      <c r="C49" s="731" t="n"/>
      <c r="D49" s="731" t="n"/>
      <c r="E49" s="731" t="n"/>
      <c r="F49" s="731" t="n"/>
      <c r="G49" s="731" t="n"/>
    </row>
    <row r="50" ht="15" customHeight="1">
      <c r="A50" s="1886" t="inlineStr">
        <is>
          <t>Restricted Accounts - Short-Term</t>
        </is>
      </c>
      <c r="B50" s="1807" t="n">
        <v>4949000</v>
      </c>
      <c r="C50" s="1807" t="n">
        <v>1981000</v>
      </c>
      <c r="D50" s="1807" t="n">
        <v>16000</v>
      </c>
      <c r="E50" s="1807" t="n">
        <v>122000</v>
      </c>
      <c r="F50" s="1807" t="n">
        <v>535000</v>
      </c>
      <c r="G50" s="1807" t="n">
        <v>5516000</v>
      </c>
    </row>
    <row r="51" ht="15" customHeight="1">
      <c r="A51" s="1886" t="inlineStr">
        <is>
          <t>Regulatory Assets - Short-Term</t>
        </is>
      </c>
      <c r="B51" s="731" t="n"/>
      <c r="C51" s="731" t="n"/>
      <c r="D51" s="731" t="n"/>
      <c r="E51" s="731" t="n"/>
      <c r="F51" s="731" t="n"/>
      <c r="G51" s="731" t="n"/>
    </row>
    <row r="52" ht="15" customHeight="1">
      <c r="A52" s="1886" t="inlineStr">
        <is>
          <t>Other Current Assets</t>
        </is>
      </c>
      <c r="B52" s="731" t="n"/>
      <c r="C52" s="731" t="n"/>
      <c r="D52" s="731" t="n"/>
      <c r="E52" s="731" t="n"/>
      <c r="F52" s="731" t="n"/>
      <c r="G52" s="731" t="n"/>
    </row>
    <row r="53" ht="15" customHeight="1">
      <c r="A53" s="1888" t="inlineStr">
        <is>
          <t>Total Current Assets</t>
        </is>
      </c>
      <c r="B53" s="1889" t="n">
        <v>3002332000</v>
      </c>
      <c r="C53" s="1889" t="n">
        <v>7398138000</v>
      </c>
      <c r="D53" s="1889" t="n">
        <v>3651134000</v>
      </c>
      <c r="E53" s="1889" t="n">
        <v>4426883000</v>
      </c>
      <c r="F53" s="1889" t="n">
        <v>4955840000</v>
      </c>
      <c r="G53" s="1889" t="n">
        <v>3433232000</v>
      </c>
    </row>
    <row r="54" ht="15" customHeight="1">
      <c r="A54" s="1884" t="inlineStr">
        <is>
          <t>Non-Current Assets</t>
        </is>
      </c>
      <c r="B54" s="734" t="n"/>
      <c r="C54" s="734" t="n"/>
      <c r="D54" s="734" t="n"/>
      <c r="E54" s="734" t="n"/>
      <c r="F54" s="734" t="n"/>
      <c r="G54" s="734" t="n"/>
    </row>
    <row r="55" ht="15" customHeight="1">
      <c r="A55" s="1885" t="inlineStr">
        <is>
          <t>Investments - Long-Term</t>
        </is>
      </c>
      <c r="B55" s="1807" t="n">
        <v>476210000</v>
      </c>
      <c r="C55" s="1807" t="n">
        <v>531308000</v>
      </c>
      <c r="D55" s="1807" t="n">
        <v>506502000</v>
      </c>
      <c r="E55" s="1807" t="n">
        <v>0</v>
      </c>
      <c r="F55" s="731" t="n"/>
      <c r="G55" s="731" t="n"/>
    </row>
    <row r="56" ht="15" customHeight="1">
      <c r="A56" s="1886" t="inlineStr">
        <is>
          <t>Investment Property - Net</t>
        </is>
      </c>
      <c r="B56" s="731" t="n"/>
      <c r="C56" s="731" t="n"/>
      <c r="D56" s="731" t="n"/>
      <c r="E56" s="731" t="n"/>
      <c r="F56" s="731" t="n"/>
      <c r="G56" s="731" t="n"/>
    </row>
    <row r="57" ht="15" customHeight="1">
      <c r="A57" s="1887" t="inlineStr">
        <is>
          <t>Investment Property - Accumulated Depreciation &amp; Impairment</t>
        </is>
      </c>
      <c r="B57" s="731" t="n"/>
      <c r="C57" s="731" t="n"/>
      <c r="D57" s="731" t="n"/>
      <c r="E57" s="731" t="n"/>
      <c r="F57" s="731" t="n"/>
      <c r="G57" s="731" t="n"/>
    </row>
    <row r="58" ht="15" customHeight="1">
      <c r="A58" s="1887" t="inlineStr">
        <is>
          <t>Investment Property - Gross</t>
        </is>
      </c>
      <c r="B58" s="731" t="n"/>
      <c r="C58" s="731" t="n"/>
      <c r="D58" s="731" t="n"/>
      <c r="E58" s="731" t="n"/>
      <c r="F58" s="731" t="n"/>
      <c r="G58" s="731" t="n"/>
    </row>
    <row r="59" ht="15" customHeight="1">
      <c r="A59" s="1886" t="inlineStr">
        <is>
          <t>Investments - Available for Sale/Held to Maturity - Long-Term</t>
        </is>
      </c>
      <c r="B59" s="1807" t="n">
        <v>476210000</v>
      </c>
      <c r="C59" s="1807" t="n">
        <v>531308000</v>
      </c>
      <c r="D59" s="1807" t="n">
        <v>506502000</v>
      </c>
      <c r="E59" s="1807" t="n">
        <v>0</v>
      </c>
      <c r="F59" s="731" t="n"/>
      <c r="G59" s="731" t="n"/>
    </row>
    <row r="60" ht="15" customHeight="1">
      <c r="A60" s="1887" t="inlineStr">
        <is>
          <t>Marketable Securities - Long-Term</t>
        </is>
      </c>
      <c r="B60" s="731" t="n"/>
      <c r="C60" s="731" t="n"/>
      <c r="D60" s="731" t="n"/>
      <c r="E60" s="731" t="n"/>
      <c r="F60" s="731" t="n"/>
      <c r="G60" s="731" t="n"/>
    </row>
    <row r="61" ht="15" customHeight="1">
      <c r="A61" s="1886" t="inlineStr">
        <is>
          <t>Financial Assets - Long-Term</t>
        </is>
      </c>
      <c r="B61" s="731" t="n"/>
      <c r="C61" s="731" t="n"/>
      <c r="D61" s="731" t="n"/>
      <c r="E61" s="731" t="n"/>
      <c r="F61" s="731" t="n"/>
      <c r="G61" s="731" t="n"/>
    </row>
    <row r="62" ht="15" customHeight="1">
      <c r="A62" s="1885" t="inlineStr">
        <is>
          <t>Investments in Associates, Joint Ventures and Unconsolidated Subsidiaries</t>
        </is>
      </c>
      <c r="B62" s="731" t="n"/>
      <c r="C62" s="731" t="n"/>
      <c r="D62" s="731" t="n"/>
      <c r="E62" s="1807" t="n">
        <v>494088000</v>
      </c>
      <c r="F62" s="1807" t="n">
        <v>571632000</v>
      </c>
      <c r="G62" s="1807" t="n">
        <v>1225771000</v>
      </c>
    </row>
    <row r="63" ht="15" customHeight="1">
      <c r="A63" s="1885" t="inlineStr">
        <is>
          <t>Receivables &amp; Loans - Long-Term</t>
        </is>
      </c>
      <c r="B63" s="1807" t="n">
        <v>26524000</v>
      </c>
      <c r="C63" s="1807" t="n">
        <v>323304000</v>
      </c>
      <c r="D63" s="1807" t="n">
        <v>283839000</v>
      </c>
      <c r="E63" s="1807" t="n">
        <v>253419000</v>
      </c>
      <c r="F63" s="1807" t="n">
        <v>1059168000</v>
      </c>
      <c r="G63" s="1807" t="n">
        <v>512637000</v>
      </c>
    </row>
    <row r="64" ht="15" customHeight="1">
      <c r="A64" s="1886" t="inlineStr">
        <is>
          <t>Accounts &amp; Notes Receivable - Trade - Net - Long-Term</t>
        </is>
      </c>
      <c r="B64" s="1807" t="n">
        <v>0</v>
      </c>
      <c r="C64" s="1807" t="n">
        <v>0</v>
      </c>
      <c r="D64" s="1807" t="n">
        <v>-42748000</v>
      </c>
      <c r="E64" s="1807" t="n">
        <v>-42748000</v>
      </c>
      <c r="F64" s="1807" t="n">
        <v>-42748000</v>
      </c>
      <c r="G64" s="1807" t="n">
        <v>-42748000</v>
      </c>
    </row>
    <row r="65" ht="15" customHeight="1">
      <c r="A65" s="1887" t="inlineStr">
        <is>
          <t>Accounts &amp; Notes Receivable - Trade - Gross - Long-Term</t>
        </is>
      </c>
      <c r="B65" s="1807" t="n">
        <v>339195000</v>
      </c>
      <c r="C65" s="1807" t="n">
        <v>339195000</v>
      </c>
      <c r="D65" s="1807" t="n">
        <v>824542000</v>
      </c>
      <c r="E65" s="1807" t="n">
        <v>824542000</v>
      </c>
      <c r="F65" s="1807" t="n">
        <v>856631000</v>
      </c>
      <c r="G65" s="1807" t="n">
        <v>856631000</v>
      </c>
    </row>
    <row r="66" ht="15" customHeight="1">
      <c r="A66" s="1886" t="inlineStr">
        <is>
          <t>Loans - Long-Term</t>
        </is>
      </c>
      <c r="B66" s="731" t="n"/>
      <c r="C66" s="731" t="n"/>
      <c r="D66" s="731" t="n"/>
      <c r="E66" s="731" t="n"/>
      <c r="F66" s="731" t="n"/>
      <c r="G66" s="731" t="n"/>
    </row>
    <row r="67" ht="15" customHeight="1">
      <c r="A67" s="1886" t="inlineStr">
        <is>
          <t>Finance Lease Receivables - Long-Term</t>
        </is>
      </c>
      <c r="B67" s="731" t="n"/>
      <c r="C67" s="731" t="n"/>
      <c r="D67" s="731" t="n"/>
      <c r="E67" s="731" t="n"/>
      <c r="F67" s="1807" t="n">
        <v>685858000</v>
      </c>
      <c r="G67" s="1807" t="n">
        <v>452834000</v>
      </c>
    </row>
    <row r="68" ht="15" customHeight="1">
      <c r="A68" s="1886" t="inlineStr">
        <is>
          <t>Receivables - Other - Net - Long-Term</t>
        </is>
      </c>
      <c r="B68" s="1807" t="n">
        <v>26524000</v>
      </c>
      <c r="C68" s="1807" t="n">
        <v>323304000</v>
      </c>
      <c r="D68" s="1807" t="n">
        <v>326587000</v>
      </c>
      <c r="E68" s="1807" t="n">
        <v>296167000</v>
      </c>
      <c r="F68" s="1807" t="n">
        <v>416058000</v>
      </c>
      <c r="G68" s="1807" t="n">
        <v>102551000</v>
      </c>
    </row>
    <row r="69" ht="15" customHeight="1">
      <c r="A69" s="1886" t="inlineStr">
        <is>
          <t>Provision - Doubtful Accounts - Long-Term</t>
        </is>
      </c>
      <c r="B69" s="731" t="n"/>
      <c r="C69" s="731" t="n"/>
      <c r="D69" s="731" t="n"/>
      <c r="E69" s="731" t="n"/>
      <c r="F69" s="731" t="n"/>
      <c r="G69" s="731" t="n"/>
    </row>
    <row r="70" ht="15" customHeight="1">
      <c r="A70" s="1885" t="inlineStr">
        <is>
          <t>Derivative Financial Instruments - Hedging - Long-Term</t>
        </is>
      </c>
      <c r="B70" s="731" t="n"/>
      <c r="C70" s="731" t="n"/>
      <c r="D70" s="1807" t="n">
        <v>286484000</v>
      </c>
      <c r="E70" s="1807" t="n">
        <v>157051000</v>
      </c>
      <c r="F70" s="1807" t="n">
        <v>273499000</v>
      </c>
      <c r="G70" s="1807" t="n">
        <v>266109000</v>
      </c>
    </row>
    <row r="71" ht="15" customHeight="1">
      <c r="A71" s="1885" t="inlineStr">
        <is>
          <t>Property, Plant &amp; Equipment - Net - Total</t>
        </is>
      </c>
      <c r="B71" s="1807" t="n">
        <v>28208085000</v>
      </c>
      <c r="C71" s="1807" t="n">
        <v>39802265000</v>
      </c>
      <c r="D71" s="1807" t="n">
        <v>43374481000</v>
      </c>
      <c r="E71" s="1807" t="n">
        <v>45743956000</v>
      </c>
      <c r="F71" s="1807" t="n">
        <v>53256586000</v>
      </c>
      <c r="G71" s="1807" t="n">
        <v>53906900000</v>
      </c>
    </row>
    <row r="72" ht="15" customHeight="1">
      <c r="A72" s="1886" t="inlineStr">
        <is>
          <t>Assets Leased Out under Operating Lease - Net</t>
        </is>
      </c>
      <c r="B72" s="731" t="n"/>
      <c r="C72" s="731" t="n"/>
      <c r="D72" s="731" t="n"/>
      <c r="E72" s="731" t="n"/>
      <c r="F72" s="731" t="n"/>
      <c r="G72" s="731" t="n"/>
    </row>
    <row r="73" ht="15" customHeight="1">
      <c r="A73" s="1886" t="inlineStr">
        <is>
          <t>Property, Plant &amp; Equipment - excluding Assets Leased Out - Net - Total</t>
        </is>
      </c>
      <c r="B73" s="1807" t="n">
        <v>28208085000</v>
      </c>
      <c r="C73" s="1807" t="n">
        <v>39802265000</v>
      </c>
      <c r="D73" s="1807" t="n">
        <v>43374481000</v>
      </c>
      <c r="E73" s="1807" t="n">
        <v>45743956000</v>
      </c>
      <c r="F73" s="1807" t="n">
        <v>53256586000</v>
      </c>
      <c r="G73" s="1807" t="n">
        <v>53906900000</v>
      </c>
    </row>
    <row r="74" ht="15" customHeight="1">
      <c r="A74" s="1887" t="inlineStr">
        <is>
          <t>Land &amp; Buildings - Net</t>
        </is>
      </c>
      <c r="B74" s="1807" t="n">
        <v>20106446000</v>
      </c>
      <c r="C74" s="1807" t="n">
        <v>28745202000</v>
      </c>
      <c r="D74" s="1807" t="n">
        <v>29522908000</v>
      </c>
      <c r="E74" s="1807" t="n">
        <v>30407322000</v>
      </c>
      <c r="F74" s="1807" t="n">
        <v>35007835000</v>
      </c>
      <c r="G74" s="1807" t="n">
        <v>35515238000</v>
      </c>
    </row>
    <row r="75" ht="15" customHeight="1">
      <c r="A75" s="1890" t="inlineStr">
        <is>
          <t>Land/Improvements - Net</t>
        </is>
      </c>
      <c r="B75" s="1807" t="n">
        <v>9596000</v>
      </c>
      <c r="C75" s="1807" t="n">
        <v>15706000</v>
      </c>
      <c r="D75" s="1807" t="n">
        <v>16156000</v>
      </c>
      <c r="E75" s="1807" t="n">
        <v>14953000</v>
      </c>
      <c r="F75" s="1807" t="n">
        <v>132186000</v>
      </c>
      <c r="G75" s="1807" t="n">
        <v>202142000</v>
      </c>
    </row>
    <row r="76" ht="15" customHeight="1">
      <c r="A76" s="1890" t="inlineStr">
        <is>
          <t>Buildings - Net</t>
        </is>
      </c>
      <c r="B76" s="1807" t="n">
        <v>20096850000</v>
      </c>
      <c r="C76" s="1807" t="n">
        <v>28729496000</v>
      </c>
      <c r="D76" s="1807" t="n">
        <v>29506752000</v>
      </c>
      <c r="E76" s="1807" t="n">
        <v>30392369000</v>
      </c>
      <c r="F76" s="1807" t="n">
        <v>34875649000</v>
      </c>
      <c r="G76" s="1807" t="n">
        <v>35313096000</v>
      </c>
    </row>
    <row r="77" ht="15" customHeight="1">
      <c r="A77" s="1890" t="inlineStr">
        <is>
          <t>Leasehold Improvements - Net</t>
        </is>
      </c>
      <c r="B77" s="731" t="n"/>
      <c r="C77" s="731" t="n"/>
      <c r="D77" s="731" t="n"/>
      <c r="E77" s="731" t="n"/>
      <c r="F77" s="731" t="n"/>
      <c r="G77" s="731" t="n"/>
    </row>
    <row r="78" ht="15" customHeight="1">
      <c r="A78" s="1887" t="inlineStr">
        <is>
          <t>Plant, Machinery &amp; Equipment - Net</t>
        </is>
      </c>
      <c r="B78" s="1807" t="n">
        <v>1855939000</v>
      </c>
      <c r="C78" s="1807" t="n">
        <v>3059663000</v>
      </c>
      <c r="D78" s="1807" t="n">
        <v>6474261000</v>
      </c>
      <c r="E78" s="1807" t="n">
        <v>8454649000</v>
      </c>
      <c r="F78" s="1807" t="n">
        <v>10979962000</v>
      </c>
      <c r="G78" s="1807" t="n">
        <v>11415862000</v>
      </c>
    </row>
    <row r="79" ht="15" customHeight="1">
      <c r="A79" s="1890" t="inlineStr">
        <is>
          <t>Transportation Equipment - Net</t>
        </is>
      </c>
      <c r="B79" s="1807" t="n">
        <v>10566000</v>
      </c>
      <c r="C79" s="1807" t="n">
        <v>13790000</v>
      </c>
      <c r="D79" s="1807" t="n">
        <v>36049000</v>
      </c>
      <c r="E79" s="1807" t="n">
        <v>37060000</v>
      </c>
      <c r="F79" s="1807" t="n">
        <v>38327000</v>
      </c>
      <c r="G79" s="1807" t="n">
        <v>33989000</v>
      </c>
    </row>
    <row r="80" ht="15" customHeight="1">
      <c r="A80" s="1890" t="inlineStr">
        <is>
          <t>Computer Software &amp; Equipment - Net</t>
        </is>
      </c>
      <c r="B80" s="731" t="n"/>
      <c r="C80" s="731" t="n"/>
      <c r="D80" s="731" t="n"/>
      <c r="E80" s="731" t="n"/>
      <c r="F80" s="731" t="n"/>
      <c r="G80" s="731" t="n"/>
    </row>
    <row r="81" ht="15" customHeight="1">
      <c r="A81" s="1887" t="inlineStr">
        <is>
          <t>Construction in Progress - Net</t>
        </is>
      </c>
      <c r="B81" s="1807" t="n">
        <v>849501000</v>
      </c>
      <c r="C81" s="1807" t="n">
        <v>1168989000</v>
      </c>
      <c r="D81" s="1807" t="n">
        <v>1104049000</v>
      </c>
      <c r="E81" s="1807" t="n">
        <v>1618619000</v>
      </c>
      <c r="F81" s="1807" t="n">
        <v>1546908000</v>
      </c>
      <c r="G81" s="1807" t="n">
        <v>1455515000</v>
      </c>
    </row>
    <row r="82" ht="15" customHeight="1">
      <c r="A82" s="1887" t="inlineStr">
        <is>
          <t>Property, Plant &amp; Equipment - Under Capital Lease - Net</t>
        </is>
      </c>
      <c r="B82" s="731" t="n"/>
      <c r="C82" s="731" t="n"/>
      <c r="D82" s="731" t="n"/>
      <c r="E82" s="731" t="n"/>
      <c r="F82" s="1807" t="n">
        <v>21927000</v>
      </c>
      <c r="G82" s="1807" t="n">
        <v>17242000</v>
      </c>
    </row>
    <row r="83" ht="15" customHeight="1">
      <c r="A83" s="1887" t="inlineStr">
        <is>
          <t>Right of Use Tangible Assets - Total - Net</t>
        </is>
      </c>
      <c r="B83" s="1807" t="n">
        <v>5264096000</v>
      </c>
      <c r="C83" s="1807" t="n">
        <v>6676348000</v>
      </c>
      <c r="D83" s="1807" t="n">
        <v>6113351000</v>
      </c>
      <c r="E83" s="1807" t="n">
        <v>5121186000</v>
      </c>
      <c r="F83" s="1807" t="n">
        <v>5567137000</v>
      </c>
      <c r="G83" s="1807" t="n">
        <v>5371315000</v>
      </c>
    </row>
    <row r="84" ht="15" customHeight="1">
      <c r="A84" s="1890" t="inlineStr">
        <is>
          <t>Right of Use Tangible Assets - Operating Lease - Net</t>
        </is>
      </c>
      <c r="B84" s="731" t="n"/>
      <c r="C84" s="731" t="n"/>
      <c r="D84" s="731" t="n"/>
      <c r="E84" s="731" t="n"/>
      <c r="F84" s="731" t="n"/>
      <c r="G84" s="731" t="n"/>
    </row>
    <row r="85" ht="15" customHeight="1">
      <c r="A85" s="1890" t="inlineStr">
        <is>
          <t>Right of Use Tangible Assets - Capital/Finance Lease - Net</t>
        </is>
      </c>
      <c r="B85" s="1807" t="n">
        <v>5264096000</v>
      </c>
      <c r="C85" s="1807" t="n">
        <v>6676348000</v>
      </c>
      <c r="D85" s="1807" t="n">
        <v>6113351000</v>
      </c>
      <c r="E85" s="1807" t="n">
        <v>5121186000</v>
      </c>
      <c r="F85" s="1807" t="n">
        <v>5567137000</v>
      </c>
      <c r="G85" s="1807" t="n">
        <v>5371315000</v>
      </c>
    </row>
    <row r="86" ht="15" customHeight="1">
      <c r="A86" s="1887" t="inlineStr">
        <is>
          <t>Property, Plant &amp; Equipment - Other - Net</t>
        </is>
      </c>
      <c r="B86" s="1807" t="n">
        <v>132103000</v>
      </c>
      <c r="C86" s="1807" t="n">
        <v>152063000</v>
      </c>
      <c r="D86" s="1807" t="n">
        <v>159912000</v>
      </c>
      <c r="E86" s="1807" t="n">
        <v>142180000</v>
      </c>
      <c r="F86" s="1807" t="n">
        <v>132817000</v>
      </c>
      <c r="G86" s="1807" t="n">
        <v>131728000</v>
      </c>
    </row>
    <row r="87" ht="15" customHeight="1">
      <c r="A87" s="1890" t="inlineStr">
        <is>
          <t>Natural Resources/Biological Assets - Net</t>
        </is>
      </c>
      <c r="B87" s="731" t="n"/>
      <c r="C87" s="731" t="n"/>
      <c r="D87" s="731" t="n"/>
      <c r="E87" s="731" t="n"/>
      <c r="F87" s="731" t="n"/>
      <c r="G87" s="731" t="n"/>
    </row>
    <row r="88" ht="15" customHeight="1">
      <c r="A88" s="1890" t="inlineStr">
        <is>
          <t>Mining/Exploration Specific Assets - Net</t>
        </is>
      </c>
      <c r="B88" s="731" t="n"/>
      <c r="C88" s="731" t="n"/>
      <c r="D88" s="731" t="n"/>
      <c r="E88" s="731" t="n"/>
      <c r="F88" s="731" t="n"/>
      <c r="G88" s="731" t="n"/>
    </row>
    <row r="89" ht="15" customHeight="1">
      <c r="A89" s="1890" t="inlineStr">
        <is>
          <t>Utility Plant - Net</t>
        </is>
      </c>
      <c r="B89" s="731" t="n"/>
      <c r="C89" s="731" t="n"/>
      <c r="D89" s="731" t="n"/>
      <c r="E89" s="731" t="n"/>
      <c r="F89" s="731" t="n"/>
      <c r="G89" s="731" t="n"/>
    </row>
    <row r="90" ht="15" customHeight="1">
      <c r="A90" s="1886" t="inlineStr">
        <is>
          <t>Property, Plant &amp; Equipment - Gross - Total</t>
        </is>
      </c>
      <c r="B90" s="1807" t="n">
        <v>34253612000</v>
      </c>
      <c r="C90" s="1807" t="n">
        <v>49284395000</v>
      </c>
      <c r="D90" s="1807" t="n">
        <v>53913677000</v>
      </c>
      <c r="E90" s="1807" t="n">
        <v>57377186000</v>
      </c>
      <c r="F90" s="1807" t="n">
        <v>72855517000</v>
      </c>
      <c r="G90" s="1807" t="n">
        <v>75918546000</v>
      </c>
    </row>
    <row r="91" ht="15" customHeight="1">
      <c r="A91" s="1887" t="inlineStr">
        <is>
          <t>Assets Leased Out under Operating Lease - Gross</t>
        </is>
      </c>
      <c r="B91" s="731" t="n"/>
      <c r="C91" s="731" t="n"/>
      <c r="D91" s="731" t="n"/>
      <c r="E91" s="731" t="n"/>
      <c r="F91" s="731" t="n"/>
      <c r="G91" s="731" t="n"/>
    </row>
    <row r="92" ht="15" customHeight="1">
      <c r="A92" s="1887" t="inlineStr">
        <is>
          <t>Property, Plant &amp; Equipment - excluding Assets Leased Out - Gross</t>
        </is>
      </c>
      <c r="B92" s="1807" t="n">
        <v>34253612000</v>
      </c>
      <c r="C92" s="1807" t="n">
        <v>49284395000</v>
      </c>
      <c r="D92" s="1807" t="n">
        <v>53913677000</v>
      </c>
      <c r="E92" s="1807" t="n">
        <v>57377186000</v>
      </c>
      <c r="F92" s="1807" t="n">
        <v>72855517000</v>
      </c>
      <c r="G92" s="1807" t="n">
        <v>75918546000</v>
      </c>
    </row>
    <row r="93" ht="15" customHeight="1">
      <c r="A93" s="1890" t="inlineStr">
        <is>
          <t>Land &amp; Buildings - Gross</t>
        </is>
      </c>
      <c r="B93" s="1807" t="n">
        <v>25612484000</v>
      </c>
      <c r="C93" s="1807" t="n">
        <v>36921838000</v>
      </c>
      <c r="D93" s="1807" t="n">
        <v>38327559000</v>
      </c>
      <c r="E93" s="1807" t="n">
        <v>39800852000</v>
      </c>
      <c r="F93" s="1807" t="n">
        <v>45660307000</v>
      </c>
      <c r="G93" s="1807" t="n">
        <v>46940363000</v>
      </c>
    </row>
    <row r="94" ht="15" customHeight="1">
      <c r="A94" s="1891" t="inlineStr">
        <is>
          <t>Land/Improvements - Gross</t>
        </is>
      </c>
      <c r="B94" s="1807" t="n">
        <v>9596000</v>
      </c>
      <c r="C94" s="1807" t="n">
        <v>15706000</v>
      </c>
      <c r="D94" s="1807" t="n">
        <v>16156000</v>
      </c>
      <c r="E94" s="1807" t="n">
        <v>14953000</v>
      </c>
      <c r="F94" s="1807" t="n">
        <v>132186000</v>
      </c>
      <c r="G94" s="1807" t="n">
        <v>202142000</v>
      </c>
    </row>
    <row r="95" ht="15" customHeight="1">
      <c r="A95" s="1891" t="inlineStr">
        <is>
          <t>Buildings - Gross</t>
        </is>
      </c>
      <c r="B95" s="1807" t="n">
        <v>25602888000</v>
      </c>
      <c r="C95" s="1807" t="n">
        <v>36906132000</v>
      </c>
      <c r="D95" s="1807" t="n">
        <v>38311403000</v>
      </c>
      <c r="E95" s="1807" t="n">
        <v>39785899000</v>
      </c>
      <c r="F95" s="1807" t="n">
        <v>45528121000</v>
      </c>
      <c r="G95" s="1807" t="n">
        <v>46738221000</v>
      </c>
    </row>
    <row r="96" ht="15" customHeight="1">
      <c r="A96" s="1891" t="inlineStr">
        <is>
          <t>Leasehold Improvements - Gross</t>
        </is>
      </c>
      <c r="B96" s="731" t="n"/>
      <c r="C96" s="731" t="n"/>
      <c r="D96" s="731" t="n"/>
      <c r="E96" s="731" t="n"/>
      <c r="F96" s="731" t="n"/>
      <c r="G96" s="731" t="n"/>
    </row>
    <row r="97" ht="15" customHeight="1">
      <c r="A97" s="1890" t="inlineStr">
        <is>
          <t>Plant, Machinery &amp; Equipment - Gross</t>
        </is>
      </c>
      <c r="B97" s="1807" t="n">
        <v>2226051000</v>
      </c>
      <c r="C97" s="1807" t="n">
        <v>4086137000</v>
      </c>
      <c r="D97" s="1807" t="n">
        <v>7866586000</v>
      </c>
      <c r="E97" s="1807" t="n">
        <v>10281033000</v>
      </c>
      <c r="F97" s="1807" t="n">
        <v>13759442000</v>
      </c>
      <c r="G97" s="1807" t="n">
        <v>14831155000</v>
      </c>
    </row>
    <row r="98" ht="15" customHeight="1">
      <c r="A98" s="1891" t="inlineStr">
        <is>
          <t>Transportation Equipment - Gross</t>
        </is>
      </c>
      <c r="B98" s="1807" t="n">
        <v>24196000</v>
      </c>
      <c r="C98" s="1807" t="n">
        <v>33044000</v>
      </c>
      <c r="D98" s="1807" t="n">
        <v>59259000</v>
      </c>
      <c r="E98" s="1807" t="n">
        <v>67287000</v>
      </c>
      <c r="F98" s="1807" t="n">
        <v>86251000</v>
      </c>
      <c r="G98" s="1807" t="n">
        <v>86771000</v>
      </c>
    </row>
    <row r="99" ht="15" customHeight="1">
      <c r="A99" s="1891" t="inlineStr">
        <is>
          <t>Computer Software &amp; Equipment - Gross</t>
        </is>
      </c>
      <c r="B99" s="731" t="n"/>
      <c r="C99" s="731" t="n"/>
      <c r="D99" s="731" t="n"/>
      <c r="E99" s="731" t="n"/>
      <c r="F99" s="731" t="n"/>
      <c r="G99" s="731" t="n"/>
    </row>
    <row r="100" ht="15" customHeight="1">
      <c r="A100" s="1890" t="inlineStr">
        <is>
          <t>Construction in Progress - Gross</t>
        </is>
      </c>
      <c r="B100" s="1807" t="n">
        <v>849501000</v>
      </c>
      <c r="C100" s="1807" t="n">
        <v>1168989000</v>
      </c>
      <c r="D100" s="1807" t="n">
        <v>1104049000</v>
      </c>
      <c r="E100" s="1807" t="n">
        <v>1618619000</v>
      </c>
      <c r="F100" s="1807" t="n">
        <v>1546908000</v>
      </c>
      <c r="G100" s="1807" t="n">
        <v>1455515000</v>
      </c>
    </row>
    <row r="101" ht="15" customHeight="1">
      <c r="A101" s="1890" t="inlineStr">
        <is>
          <t>Property, Plant &amp; Equipment - Under Capital Lease - Gross</t>
        </is>
      </c>
      <c r="B101" s="731" t="n"/>
      <c r="C101" s="731" t="n"/>
      <c r="D101" s="731" t="n"/>
      <c r="E101" s="731" t="n"/>
      <c r="F101" s="1807" t="n">
        <v>36897000</v>
      </c>
      <c r="G101" s="1807" t="n">
        <v>36897000</v>
      </c>
    </row>
    <row r="102" ht="15" customHeight="1">
      <c r="A102" s="1890" t="inlineStr">
        <is>
          <t>Right of Use Tangible Assets - Total - Gross</t>
        </is>
      </c>
      <c r="B102" s="1807" t="n">
        <v>5264096000</v>
      </c>
      <c r="C102" s="1807" t="n">
        <v>6676348000</v>
      </c>
      <c r="D102" s="1807" t="n">
        <v>6113351000</v>
      </c>
      <c r="E102" s="1807" t="n">
        <v>5121186000</v>
      </c>
      <c r="F102" s="1807" t="n">
        <v>11232059000</v>
      </c>
      <c r="G102" s="1807" t="n">
        <v>12093812000</v>
      </c>
    </row>
    <row r="103" ht="15" customHeight="1">
      <c r="A103" s="1891" t="inlineStr">
        <is>
          <t>Right of Use Tangible Assets - Operating Lease - Gross</t>
        </is>
      </c>
      <c r="B103" s="731" t="n"/>
      <c r="C103" s="731" t="n"/>
      <c r="D103" s="731" t="n"/>
      <c r="E103" s="731" t="n"/>
      <c r="F103" s="731" t="n"/>
      <c r="G103" s="731" t="n"/>
    </row>
    <row r="104" ht="15" customHeight="1">
      <c r="A104" s="1891" t="inlineStr">
        <is>
          <t>Right of Use Tangible Assets - Capital/Finance Lease - Gross</t>
        </is>
      </c>
      <c r="B104" s="1807" t="n">
        <v>5264096000</v>
      </c>
      <c r="C104" s="1807" t="n">
        <v>6676348000</v>
      </c>
      <c r="D104" s="1807" t="n">
        <v>6113351000</v>
      </c>
      <c r="E104" s="1807" t="n">
        <v>5121186000</v>
      </c>
      <c r="F104" s="1807" t="n">
        <v>11232059000</v>
      </c>
      <c r="G104" s="1807" t="n">
        <v>12093812000</v>
      </c>
    </row>
    <row r="105" ht="15" customHeight="1">
      <c r="A105" s="1890" t="inlineStr">
        <is>
          <t>Property, Plant &amp; Equipment - Other - Gross</t>
        </is>
      </c>
      <c r="B105" s="1807" t="n">
        <v>301480000</v>
      </c>
      <c r="C105" s="1807" t="n">
        <v>431083000</v>
      </c>
      <c r="D105" s="1807" t="n">
        <v>502132000</v>
      </c>
      <c r="E105" s="1807" t="n">
        <v>555496000</v>
      </c>
      <c r="F105" s="1807" t="n">
        <v>619904000</v>
      </c>
      <c r="G105" s="1807" t="n">
        <v>560804000</v>
      </c>
    </row>
    <row r="106" ht="15" customHeight="1">
      <c r="A106" s="1891" t="inlineStr">
        <is>
          <t>Natural Resources/Biological Assets - Gross</t>
        </is>
      </c>
      <c r="B106" s="731" t="n"/>
      <c r="C106" s="731" t="n"/>
      <c r="D106" s="731" t="n"/>
      <c r="E106" s="731" t="n"/>
      <c r="F106" s="731" t="n"/>
      <c r="G106" s="731" t="n"/>
    </row>
    <row r="107" ht="15" customHeight="1">
      <c r="A107" s="1891" t="inlineStr">
        <is>
          <t>Mining/Exploration Specific Assets - Gross</t>
        </is>
      </c>
      <c r="B107" s="731" t="n"/>
      <c r="C107" s="731" t="n"/>
      <c r="D107" s="731" t="n"/>
      <c r="E107" s="731" t="n"/>
      <c r="F107" s="731" t="n"/>
      <c r="G107" s="731" t="n"/>
    </row>
    <row r="108" ht="15" customHeight="1">
      <c r="A108" s="1891" t="inlineStr">
        <is>
          <t>Utility Plant - Gross</t>
        </is>
      </c>
      <c r="B108" s="731" t="n"/>
      <c r="C108" s="731" t="n"/>
      <c r="D108" s="731" t="n"/>
      <c r="E108" s="731" t="n"/>
      <c r="F108" s="731" t="n"/>
      <c r="G108" s="731" t="n"/>
    </row>
    <row r="109" ht="15" customHeight="1">
      <c r="A109" s="1886" t="inlineStr">
        <is>
          <t>Property, Plant &amp; Equipment - Accumulated Depreciation &amp; Impairment - Total</t>
        </is>
      </c>
      <c r="B109" s="1807" t="n">
        <v>6045527000</v>
      </c>
      <c r="C109" s="1807" t="n">
        <v>9482130000</v>
      </c>
      <c r="D109" s="1807" t="n">
        <v>10539196000</v>
      </c>
      <c r="E109" s="1807" t="n">
        <v>11633230000</v>
      </c>
      <c r="F109" s="1807" t="n">
        <v>19598931000</v>
      </c>
      <c r="G109" s="1807" t="n">
        <v>22011646000</v>
      </c>
    </row>
    <row r="110" ht="15" customHeight="1">
      <c r="A110" s="1887" t="inlineStr">
        <is>
          <t>Assets Leased Out under Operating Lease - Accumulated Depreciation &amp; Impairment</t>
        </is>
      </c>
      <c r="B110" s="731" t="n"/>
      <c r="C110" s="731" t="n"/>
      <c r="D110" s="731" t="n"/>
      <c r="E110" s="731" t="n"/>
      <c r="F110" s="731" t="n"/>
      <c r="G110" s="731" t="n"/>
    </row>
    <row r="111" ht="15" customHeight="1">
      <c r="A111" s="1887" t="inlineStr">
        <is>
          <t>Property, Plant &amp; Equipment - excluding Assets Leased Out - Accumulated Depreciation &amp; Impairment - Total</t>
        </is>
      </c>
      <c r="B111" s="1807" t="n">
        <v>6045527000</v>
      </c>
      <c r="C111" s="1807" t="n">
        <v>9482130000</v>
      </c>
      <c r="D111" s="1807" t="n">
        <v>10539196000</v>
      </c>
      <c r="E111" s="1807" t="n">
        <v>11633230000</v>
      </c>
      <c r="F111" s="1807" t="n">
        <v>19598931000</v>
      </c>
      <c r="G111" s="1807" t="n">
        <v>22011646000</v>
      </c>
    </row>
    <row r="112" ht="15" customHeight="1">
      <c r="A112" s="1890" t="inlineStr">
        <is>
          <t>Land &amp; Buildings - Accumulated Depreciation &amp; Impairment</t>
        </is>
      </c>
      <c r="B112" s="1807" t="n">
        <v>5506038000</v>
      </c>
      <c r="C112" s="1807" t="n">
        <v>8176636000</v>
      </c>
      <c r="D112" s="1807" t="n">
        <v>8804651000</v>
      </c>
      <c r="E112" s="1807" t="n">
        <v>9393530000</v>
      </c>
      <c r="F112" s="1807" t="n">
        <v>10652472000</v>
      </c>
      <c r="G112" s="1807" t="n">
        <v>11425125000</v>
      </c>
    </row>
    <row r="113" ht="15" customHeight="1">
      <c r="A113" s="1891" t="inlineStr">
        <is>
          <t>Land/Improvements - Accumulated Depreciation &amp; Impairment</t>
        </is>
      </c>
      <c r="B113" s="731" t="n"/>
      <c r="C113" s="731" t="n"/>
      <c r="D113" s="731" t="n"/>
      <c r="E113" s="731" t="n"/>
      <c r="F113" s="731" t="n"/>
      <c r="G113" s="731" t="n"/>
    </row>
    <row r="114" ht="15" customHeight="1">
      <c r="A114" s="1891" t="inlineStr">
        <is>
          <t>Buildings - Accumulated Depreciation &amp; Impairment</t>
        </is>
      </c>
      <c r="B114" s="1807" t="n">
        <v>5506038000</v>
      </c>
      <c r="C114" s="1807" t="n">
        <v>8176636000</v>
      </c>
      <c r="D114" s="1807" t="n">
        <v>8804651000</v>
      </c>
      <c r="E114" s="1807" t="n">
        <v>9393530000</v>
      </c>
      <c r="F114" s="1807" t="n">
        <v>10652472000</v>
      </c>
      <c r="G114" s="1807" t="n">
        <v>11425125000</v>
      </c>
    </row>
    <row r="115" ht="15" customHeight="1">
      <c r="A115" s="1891" t="inlineStr">
        <is>
          <t>Leasehold Improvements - Accumulated Depreciation &amp; Impairment</t>
        </is>
      </c>
      <c r="B115" s="731" t="n"/>
      <c r="C115" s="731" t="n"/>
      <c r="D115" s="731" t="n"/>
      <c r="E115" s="731" t="n"/>
      <c r="F115" s="731" t="n"/>
      <c r="G115" s="731" t="n"/>
    </row>
    <row r="116" ht="15" customHeight="1">
      <c r="A116" s="1890" t="inlineStr">
        <is>
          <t>Plant, Machinery &amp; Equipment - Accumulated Depreciation &amp; Impairment</t>
        </is>
      </c>
      <c r="B116" s="1807" t="n">
        <v>370112000</v>
      </c>
      <c r="C116" s="1807" t="n">
        <v>1026474000</v>
      </c>
      <c r="D116" s="1807" t="n">
        <v>1392325000</v>
      </c>
      <c r="E116" s="1807" t="n">
        <v>1826384000</v>
      </c>
      <c r="F116" s="1807" t="n">
        <v>2779480000</v>
      </c>
      <c r="G116" s="1807" t="n">
        <v>3415293000</v>
      </c>
    </row>
    <row r="117" ht="15" customHeight="1">
      <c r="A117" s="1891" t="inlineStr">
        <is>
          <t>Transportation Equipment - Accumulated Depreciation &amp; Impairment</t>
        </is>
      </c>
      <c r="B117" s="1807" t="n">
        <v>13630000</v>
      </c>
      <c r="C117" s="1807" t="n">
        <v>19254000</v>
      </c>
      <c r="D117" s="1807" t="n">
        <v>23210000</v>
      </c>
      <c r="E117" s="1807" t="n">
        <v>30227000</v>
      </c>
      <c r="F117" s="1807" t="n">
        <v>47924000</v>
      </c>
      <c r="G117" s="1807" t="n">
        <v>52782000</v>
      </c>
    </row>
    <row r="118" ht="15" customHeight="1">
      <c r="A118" s="1891" t="inlineStr">
        <is>
          <t>Computer Software &amp; Equipment - Accumulated Depreciation &amp; Impairment</t>
        </is>
      </c>
      <c r="B118" s="731" t="n"/>
      <c r="C118" s="731" t="n"/>
      <c r="D118" s="731" t="n"/>
      <c r="E118" s="731" t="n"/>
      <c r="F118" s="731" t="n"/>
      <c r="G118" s="731" t="n"/>
    </row>
    <row r="119" ht="15" customHeight="1">
      <c r="A119" s="1890" t="inlineStr">
        <is>
          <t>Construction in Progress - Accumulated Depreciation &amp; Impairment</t>
        </is>
      </c>
      <c r="B119" s="731" t="n"/>
      <c r="C119" s="731" t="n"/>
      <c r="D119" s="731" t="n"/>
      <c r="E119" s="731" t="n"/>
      <c r="F119" s="731" t="n"/>
      <c r="G119" s="731" t="n"/>
    </row>
    <row r="120" ht="15" customHeight="1">
      <c r="A120" s="1890" t="inlineStr">
        <is>
          <t>Property, Plant &amp; Equipment - Under Capital Lease - Accumulated Depreciation &amp; Impairment</t>
        </is>
      </c>
      <c r="B120" s="731" t="n"/>
      <c r="C120" s="731" t="n"/>
      <c r="D120" s="731" t="n"/>
      <c r="E120" s="731" t="n"/>
      <c r="F120" s="1807" t="n">
        <v>14970000</v>
      </c>
      <c r="G120" s="1807" t="n">
        <v>19655000</v>
      </c>
    </row>
    <row r="121" ht="15" customHeight="1">
      <c r="A121" s="1890" t="inlineStr">
        <is>
          <t>Right of Use Tangible Assets - Total/Unspecified - Accumulated Depreciation</t>
        </is>
      </c>
      <c r="B121" s="731" t="n"/>
      <c r="C121" s="731" t="n"/>
      <c r="D121" s="731" t="n"/>
      <c r="E121" s="731" t="n"/>
      <c r="F121" s="1807" t="n">
        <v>5664922000</v>
      </c>
      <c r="G121" s="1807" t="n">
        <v>6722497000</v>
      </c>
    </row>
    <row r="122" ht="15" customHeight="1">
      <c r="A122" s="1891" t="inlineStr">
        <is>
          <t>Right of Use Tangible Assets - Operating Lease - Accumulated Depreciation</t>
        </is>
      </c>
      <c r="B122" s="731" t="n"/>
      <c r="C122" s="731" t="n"/>
      <c r="D122" s="731" t="n"/>
      <c r="E122" s="731" t="n"/>
      <c r="F122" s="731" t="n"/>
      <c r="G122" s="731" t="n"/>
    </row>
    <row r="123" ht="15" customHeight="1">
      <c r="A123" s="1891" t="inlineStr">
        <is>
          <t>Right of Use Tangible Assets - Capital/Finance Lease - Accumulated Depreciation</t>
        </is>
      </c>
      <c r="B123" s="731" t="n"/>
      <c r="C123" s="731" t="n"/>
      <c r="D123" s="731" t="n"/>
      <c r="E123" s="731" t="n"/>
      <c r="F123" s="1807" t="n">
        <v>5664922000</v>
      </c>
      <c r="G123" s="1807" t="n">
        <v>6722497000</v>
      </c>
    </row>
    <row r="124" ht="15" customHeight="1">
      <c r="A124" s="1890" t="inlineStr">
        <is>
          <t>Property, Plant &amp; Equipment - Other - Accumulated Depreciation &amp; Impairment</t>
        </is>
      </c>
      <c r="B124" s="1807" t="n">
        <v>169377000</v>
      </c>
      <c r="C124" s="1807" t="n">
        <v>279020000</v>
      </c>
      <c r="D124" s="1807" t="n">
        <v>342220000</v>
      </c>
      <c r="E124" s="1807" t="n">
        <v>413316000</v>
      </c>
      <c r="F124" s="1807" t="n">
        <v>487087000</v>
      </c>
      <c r="G124" s="1807" t="n">
        <v>429076000</v>
      </c>
    </row>
    <row r="125" ht="15" customHeight="1">
      <c r="A125" s="1891" t="inlineStr">
        <is>
          <t>Utility Plant - Accumulated Depreciation &amp; Impairment</t>
        </is>
      </c>
      <c r="B125" s="731" t="n"/>
      <c r="C125" s="731" t="n"/>
      <c r="D125" s="731" t="n"/>
      <c r="E125" s="731" t="n"/>
      <c r="F125" s="731" t="n"/>
      <c r="G125" s="731" t="n"/>
    </row>
    <row r="126" ht="15" customHeight="1">
      <c r="A126" s="1891" t="inlineStr">
        <is>
          <t>Mining/Exploration Specific Assets - Accumulated Depreciation &amp; Impairment</t>
        </is>
      </c>
      <c r="B126" s="731" t="n"/>
      <c r="C126" s="731" t="n"/>
      <c r="D126" s="731" t="n"/>
      <c r="E126" s="731" t="n"/>
      <c r="F126" s="731" t="n"/>
      <c r="G126" s="731" t="n"/>
    </row>
    <row r="127" ht="15" customHeight="1">
      <c r="A127" s="1891" t="inlineStr">
        <is>
          <t>Natural Resources/Biological Assets - Accumulated Depreciation &amp; Impairment</t>
        </is>
      </c>
      <c r="B127" s="731" t="n"/>
      <c r="C127" s="731" t="n"/>
      <c r="D127" s="731" t="n"/>
      <c r="E127" s="731" t="n"/>
      <c r="F127" s="731" t="n"/>
      <c r="G127" s="731" t="n"/>
    </row>
    <row r="128" ht="15" customHeight="1">
      <c r="A128" s="1885" t="inlineStr">
        <is>
          <t>Assets Held for Sale/Discontinued Operations - Long-Term</t>
        </is>
      </c>
      <c r="B128" s="731" t="n"/>
      <c r="C128" s="731" t="n"/>
      <c r="D128" s="731" t="n"/>
      <c r="E128" s="731" t="n"/>
      <c r="F128" s="731" t="n"/>
      <c r="G128" s="731" t="n"/>
    </row>
    <row r="129" ht="15" customHeight="1">
      <c r="A129" s="1885" t="inlineStr">
        <is>
          <t>Other Non-Current Assets - Total</t>
        </is>
      </c>
      <c r="B129" s="1807" t="n">
        <v>1192173000</v>
      </c>
      <c r="C129" s="1807" t="n">
        <v>1114153000</v>
      </c>
      <c r="D129" s="1807" t="n">
        <v>1000513000</v>
      </c>
      <c r="E129" s="1807" t="n">
        <v>844216000</v>
      </c>
      <c r="F129" s="1807" t="n">
        <v>1013845000</v>
      </c>
      <c r="G129" s="1807" t="n">
        <v>1389612000</v>
      </c>
    </row>
    <row r="130" ht="15" customHeight="1">
      <c r="A130" s="1886" t="inlineStr">
        <is>
          <t>Restricted Accounts - Long-Term</t>
        </is>
      </c>
      <c r="B130" s="731" t="n"/>
      <c r="C130" s="731" t="n"/>
      <c r="D130" s="731" t="n"/>
      <c r="E130" s="731" t="n"/>
      <c r="F130" s="731" t="n"/>
      <c r="G130" s="731" t="n"/>
    </row>
    <row r="131" ht="15" customHeight="1">
      <c r="A131" s="1886" t="inlineStr">
        <is>
          <t>Deferred Tax - Asset - Long-Term</t>
        </is>
      </c>
      <c r="B131" s="1807" t="n">
        <v>1701000</v>
      </c>
      <c r="C131" s="1807" t="n">
        <v>12715000</v>
      </c>
      <c r="D131" s="1807" t="n">
        <v>4527000</v>
      </c>
      <c r="E131" s="1807" t="n">
        <v>6645000</v>
      </c>
      <c r="F131" s="1807" t="n">
        <v>7216000</v>
      </c>
      <c r="G131" s="1807" t="n">
        <v>12567000</v>
      </c>
    </row>
    <row r="132" ht="15" customHeight="1">
      <c r="A132" s="1886" t="inlineStr">
        <is>
          <t>Deferred Charges - Long-Term</t>
        </is>
      </c>
      <c r="B132" s="1807" t="n">
        <v>738051000</v>
      </c>
      <c r="C132" s="1807" t="n">
        <v>687074000</v>
      </c>
      <c r="D132" s="1807" t="n">
        <v>617137000</v>
      </c>
      <c r="E132" s="1807" t="n">
        <v>551311000</v>
      </c>
      <c r="F132" s="1807" t="n">
        <v>730909000</v>
      </c>
      <c r="G132" s="1807" t="n">
        <v>1117017000</v>
      </c>
    </row>
    <row r="133" ht="15" customHeight="1">
      <c r="A133" s="1886" t="inlineStr">
        <is>
          <t>Prepaid Expenses - Long-Term</t>
        </is>
      </c>
      <c r="B133" s="1807" t="n">
        <v>433058000</v>
      </c>
      <c r="C133" s="1807" t="n">
        <v>385979000</v>
      </c>
      <c r="D133" s="1807" t="n">
        <v>290838000</v>
      </c>
      <c r="E133" s="1807" t="n">
        <v>183620000</v>
      </c>
      <c r="F133" s="1807" t="n">
        <v>175244000</v>
      </c>
      <c r="G133" s="1807" t="n">
        <v>162110000</v>
      </c>
    </row>
    <row r="134" ht="15" customHeight="1">
      <c r="A134" s="1886" t="inlineStr">
        <is>
          <t>Inventories - Long-Term</t>
        </is>
      </c>
      <c r="B134" s="731" t="n"/>
      <c r="C134" s="731" t="n"/>
      <c r="D134" s="731" t="n"/>
      <c r="E134" s="731" t="n"/>
      <c r="F134" s="731" t="n"/>
      <c r="G134" s="731" t="n"/>
    </row>
    <row r="135" ht="15" customHeight="1">
      <c r="A135" s="1886" t="inlineStr">
        <is>
          <t>Regulatory Assets - Long-Term</t>
        </is>
      </c>
      <c r="B135" s="731" t="n"/>
      <c r="C135" s="731" t="n"/>
      <c r="D135" s="731" t="n"/>
      <c r="E135" s="731" t="n"/>
      <c r="F135" s="731" t="n"/>
      <c r="G135" s="731" t="n"/>
    </row>
    <row r="136" ht="15" customHeight="1">
      <c r="A136" s="1886" t="inlineStr">
        <is>
          <t>Pension Assets - Long-Term</t>
        </is>
      </c>
      <c r="B136" s="1807" t="n">
        <v>411000</v>
      </c>
      <c r="C136" s="1807" t="n">
        <v>801000</v>
      </c>
      <c r="D136" s="1807" t="n">
        <v>465000</v>
      </c>
      <c r="E136" s="1807" t="n">
        <v>673000</v>
      </c>
      <c r="F136" s="1807" t="n">
        <v>74000</v>
      </c>
      <c r="G136" s="731" t="n"/>
    </row>
    <row r="137" ht="15" customHeight="1">
      <c r="A137" s="1886" t="inlineStr">
        <is>
          <t>Other Non-Current Assets</t>
        </is>
      </c>
      <c r="B137" s="1807" t="n">
        <v>18952000</v>
      </c>
      <c r="C137" s="1807" t="n">
        <v>27584000</v>
      </c>
      <c r="D137" s="1807" t="n">
        <v>87546000</v>
      </c>
      <c r="E137" s="1807" t="n">
        <v>101967000</v>
      </c>
      <c r="F137" s="1807" t="n">
        <v>100402000</v>
      </c>
      <c r="G137" s="1807" t="n">
        <v>97918000</v>
      </c>
    </row>
    <row r="138" ht="15" customHeight="1">
      <c r="A138" s="1885" t="inlineStr">
        <is>
          <t>Intangible Assets - Total - Net</t>
        </is>
      </c>
      <c r="B138" s="1807" t="n">
        <v>1344226000</v>
      </c>
      <c r="C138" s="1807" t="n">
        <v>16659502000</v>
      </c>
      <c r="D138" s="1807" t="n">
        <v>16522183000</v>
      </c>
      <c r="E138" s="1807" t="n">
        <v>16499333000</v>
      </c>
      <c r="F138" s="1807" t="n">
        <v>16697810000</v>
      </c>
      <c r="G138" s="1807" t="n">
        <v>16535431000</v>
      </c>
    </row>
    <row r="139" ht="15" customHeight="1">
      <c r="A139" s="1886" t="inlineStr">
        <is>
          <t>Goodwill/Cost in Excess of Assets Purchased - Net</t>
        </is>
      </c>
      <c r="B139" s="1807" t="n">
        <v>360279000</v>
      </c>
      <c r="C139" s="1807" t="n">
        <v>15475044000</v>
      </c>
      <c r="D139" s="1807" t="n">
        <v>15421546000</v>
      </c>
      <c r="E139" s="1807" t="n">
        <v>15508533000</v>
      </c>
      <c r="F139" s="1807" t="n">
        <v>15833997000</v>
      </c>
      <c r="G139" s="1807" t="n">
        <v>15779722000</v>
      </c>
    </row>
    <row r="140" ht="15" customHeight="1">
      <c r="A140" s="1886" t="inlineStr">
        <is>
          <t>Intangible Assets - excluding Goodwill - Net - Total</t>
        </is>
      </c>
      <c r="B140" s="1807" t="n">
        <v>983947000</v>
      </c>
      <c r="C140" s="1807" t="n">
        <v>1184458000</v>
      </c>
      <c r="D140" s="1807" t="n">
        <v>1100637000</v>
      </c>
      <c r="E140" s="1807" t="n">
        <v>990800000</v>
      </c>
      <c r="F140" s="1807" t="n">
        <v>863813000</v>
      </c>
      <c r="G140" s="1807" t="n">
        <v>755709000</v>
      </c>
    </row>
    <row r="141" ht="15" customHeight="1">
      <c r="A141" s="1887" t="inlineStr">
        <is>
          <t>Computer Software - Intangible Assets - Net</t>
        </is>
      </c>
      <c r="B141" s="731" t="n"/>
      <c r="C141" s="731" t="n"/>
      <c r="D141" s="731" t="n"/>
      <c r="E141" s="731" t="n"/>
      <c r="F141" s="731" t="n"/>
      <c r="G141" s="731" t="n"/>
    </row>
    <row r="142" ht="15" customHeight="1">
      <c r="A142" s="1887" t="inlineStr">
        <is>
          <t>Research &amp; Development Costs - Net</t>
        </is>
      </c>
      <c r="B142" s="731" t="n"/>
      <c r="C142" s="731" t="n"/>
      <c r="D142" s="731" t="n"/>
      <c r="E142" s="731" t="n"/>
      <c r="F142" s="731" t="n"/>
      <c r="G142" s="731" t="n"/>
    </row>
    <row r="143" ht="15" customHeight="1">
      <c r="A143" s="1887" t="inlineStr">
        <is>
          <t>Brands, Patents, Trademarks, Marketing &amp; Artistic Intangibles - Net</t>
        </is>
      </c>
      <c r="B143" s="731" t="n"/>
      <c r="C143" s="731" t="n"/>
      <c r="D143" s="731" t="n"/>
      <c r="E143" s="1807" t="n">
        <v>27222000</v>
      </c>
      <c r="F143" s="1807" t="n">
        <v>23479000</v>
      </c>
      <c r="G143" s="1807" t="n">
        <v>19737000</v>
      </c>
    </row>
    <row r="144" ht="15" customHeight="1">
      <c r="A144" s="1887" t="inlineStr">
        <is>
          <t>Licenses, Franchises, Copyrights, Property Rights, Prototypes, Contract Based, Models &amp; Designs - Net</t>
        </is>
      </c>
      <c r="B144" s="731" t="n"/>
      <c r="C144" s="731" t="n"/>
      <c r="D144" s="731" t="n"/>
      <c r="E144" s="731" t="n"/>
      <c r="F144" s="731" t="n"/>
      <c r="G144" s="731" t="n"/>
    </row>
    <row r="145" ht="15" customHeight="1">
      <c r="A145" s="1887" t="inlineStr">
        <is>
          <t>Right of Use Intangible Assets - Net</t>
        </is>
      </c>
      <c r="B145" s="731" t="n"/>
      <c r="C145" s="731" t="n"/>
      <c r="D145" s="731" t="n"/>
      <c r="E145" s="731" t="n"/>
      <c r="F145" s="731" t="n"/>
      <c r="G145" s="731" t="n"/>
    </row>
    <row r="146" ht="15" customHeight="1">
      <c r="A146" s="1887" t="inlineStr">
        <is>
          <t>Intangible Assets - Other - Net</t>
        </is>
      </c>
      <c r="B146" s="1807" t="n">
        <v>983947000</v>
      </c>
      <c r="C146" s="1807" t="n">
        <v>1184458000</v>
      </c>
      <c r="D146" s="1807" t="n">
        <v>1100637000</v>
      </c>
      <c r="E146" s="1807" t="n">
        <v>963578000</v>
      </c>
      <c r="F146" s="1807" t="n">
        <v>840334000</v>
      </c>
      <c r="G146" s="1807" t="n">
        <v>735972000</v>
      </c>
    </row>
    <row r="147" ht="15" customHeight="1">
      <c r="A147" s="1886" t="inlineStr">
        <is>
          <t>Intangible Assets - Gross - Total</t>
        </is>
      </c>
      <c r="B147" s="731" t="n"/>
      <c r="C147" s="731" t="n"/>
      <c r="D147" s="731" t="n"/>
      <c r="E147" s="731" t="n"/>
      <c r="F147" s="731" t="n"/>
      <c r="G147" s="731" t="n"/>
    </row>
    <row r="148" ht="15" customHeight="1">
      <c r="A148" s="1887" t="inlineStr">
        <is>
          <t>Goodwill/Cost in Excess of Assets Purchased - Gross</t>
        </is>
      </c>
      <c r="B148" s="731" t="n"/>
      <c r="C148" s="731" t="n"/>
      <c r="D148" s="731" t="n"/>
      <c r="E148" s="731" t="n"/>
      <c r="F148" s="731" t="n"/>
      <c r="G148" s="731" t="n"/>
    </row>
    <row r="149" ht="15" customHeight="1">
      <c r="A149" s="1887" t="inlineStr">
        <is>
          <t>Intangible Assets - excluding Goodwill - Gross</t>
        </is>
      </c>
      <c r="B149" s="1807" t="n">
        <v>1496373000</v>
      </c>
      <c r="C149" s="1807" t="n">
        <v>1879977000</v>
      </c>
      <c r="D149" s="1807" t="n">
        <v>1932707000</v>
      </c>
      <c r="E149" s="1807" t="n">
        <v>1962112000</v>
      </c>
      <c r="F149" s="1807" t="n">
        <v>1976996000</v>
      </c>
      <c r="G149" s="1807" t="n">
        <v>1977755000</v>
      </c>
    </row>
    <row r="150" ht="15" customHeight="1">
      <c r="A150" s="1890" t="inlineStr">
        <is>
          <t>Computer Software - Intangible Assets - Gross</t>
        </is>
      </c>
      <c r="B150" s="731" t="n"/>
      <c r="C150" s="731" t="n"/>
      <c r="D150" s="731" t="n"/>
      <c r="E150" s="731" t="n"/>
      <c r="F150" s="731" t="n"/>
      <c r="G150" s="731" t="n"/>
    </row>
    <row r="151" ht="15" customHeight="1">
      <c r="A151" s="1890" t="inlineStr">
        <is>
          <t>Research &amp; Development Costs - Gross</t>
        </is>
      </c>
      <c r="B151" s="731" t="n"/>
      <c r="C151" s="731" t="n"/>
      <c r="D151" s="731" t="n"/>
      <c r="E151" s="731" t="n"/>
      <c r="F151" s="731" t="n"/>
      <c r="G151" s="731" t="n"/>
    </row>
    <row r="152" ht="15" customHeight="1">
      <c r="A152" s="1890" t="inlineStr">
        <is>
          <t>Brands, Patents, Trademarks, Marketing &amp; Artistic Intangibles - Gross</t>
        </is>
      </c>
      <c r="B152" s="731" t="n"/>
      <c r="C152" s="731" t="n"/>
      <c r="D152" s="731" t="n"/>
      <c r="E152" s="1807" t="n">
        <v>29405000</v>
      </c>
      <c r="F152" s="1807" t="n">
        <v>29405000</v>
      </c>
      <c r="G152" s="1807" t="n">
        <v>29405000</v>
      </c>
    </row>
    <row r="153" ht="15" customHeight="1">
      <c r="A153" s="1890" t="inlineStr">
        <is>
          <t>Licenses, Franchises, Copyrights, Property Rights, Prototypes, Contract Based, Models &amp; Designs - Gross</t>
        </is>
      </c>
      <c r="B153" s="731" t="n"/>
      <c r="C153" s="731" t="n"/>
      <c r="D153" s="731" t="n"/>
      <c r="E153" s="731" t="n"/>
      <c r="F153" s="731" t="n"/>
      <c r="G153" s="731" t="n"/>
    </row>
    <row r="154" ht="15" customHeight="1">
      <c r="A154" s="1890" t="inlineStr">
        <is>
          <t>Right of Use Intangible Assets - Gross</t>
        </is>
      </c>
      <c r="B154" s="731" t="n"/>
      <c r="C154" s="731" t="n"/>
      <c r="D154" s="731" t="n"/>
      <c r="E154" s="731" t="n"/>
      <c r="F154" s="731" t="n"/>
      <c r="G154" s="731" t="n"/>
    </row>
    <row r="155" ht="15" customHeight="1">
      <c r="A155" s="1890" t="inlineStr">
        <is>
          <t>Intangible Assets - Other - Gross - Total</t>
        </is>
      </c>
      <c r="B155" s="1807" t="n">
        <v>1496373000</v>
      </c>
      <c r="C155" s="1807" t="n">
        <v>1879977000</v>
      </c>
      <c r="D155" s="1807" t="n">
        <v>1932707000</v>
      </c>
      <c r="E155" s="1807" t="n">
        <v>1932707000</v>
      </c>
      <c r="F155" s="1807" t="n">
        <v>1947591000</v>
      </c>
      <c r="G155" s="1807" t="n">
        <v>1948350000</v>
      </c>
    </row>
    <row r="156" ht="15" customHeight="1">
      <c r="A156" s="1886" t="inlineStr">
        <is>
          <t>Intangible Assets - Accumulated Amortization &amp; Impairment - Total</t>
        </is>
      </c>
      <c r="B156" s="731" t="n"/>
      <c r="C156" s="731" t="n"/>
      <c r="D156" s="731" t="n"/>
      <c r="E156" s="731" t="n"/>
      <c r="F156" s="731" t="n"/>
      <c r="G156" s="731" t="n"/>
    </row>
    <row r="157" ht="15" customHeight="1">
      <c r="A157" s="1887" t="inlineStr">
        <is>
          <t>Goodwill - Accumulated Amortization &amp; Impairment</t>
        </is>
      </c>
      <c r="B157" s="731" t="n"/>
      <c r="C157" s="731" t="n"/>
      <c r="D157" s="731" t="n"/>
      <c r="E157" s="731" t="n"/>
      <c r="F157" s="731" t="n"/>
      <c r="G157" s="731" t="n"/>
    </row>
    <row r="158" ht="15" customHeight="1">
      <c r="A158" s="1887" t="inlineStr">
        <is>
          <t>Intangible Assets - excluding Goodwill - Accumulated Amortization &amp; Impairment - Total</t>
        </is>
      </c>
      <c r="B158" s="1807" t="n">
        <v>512426000</v>
      </c>
      <c r="C158" s="1807" t="n">
        <v>695519000</v>
      </c>
      <c r="D158" s="1807" t="n">
        <v>832070000</v>
      </c>
      <c r="E158" s="1807" t="n">
        <v>971312000</v>
      </c>
      <c r="F158" s="1807" t="n">
        <v>1113183000</v>
      </c>
      <c r="G158" s="1807" t="n">
        <v>1222046000</v>
      </c>
    </row>
    <row r="159" ht="15" customHeight="1">
      <c r="A159" s="1890" t="inlineStr">
        <is>
          <t>Computer Software - Intangible Assets - Accumulated Amortization &amp; Impairment</t>
        </is>
      </c>
      <c r="B159" s="731" t="n"/>
      <c r="C159" s="731" t="n"/>
      <c r="D159" s="731" t="n"/>
      <c r="E159" s="731" t="n"/>
      <c r="F159" s="731" t="n"/>
      <c r="G159" s="731" t="n"/>
    </row>
    <row r="160" ht="15" customHeight="1">
      <c r="A160" s="1890" t="inlineStr">
        <is>
          <t>Research &amp; Development Costs - Accumulated Amortization &amp; Impairment</t>
        </is>
      </c>
      <c r="B160" s="731" t="n"/>
      <c r="C160" s="731" t="n"/>
      <c r="D160" s="731" t="n"/>
      <c r="E160" s="731" t="n"/>
      <c r="F160" s="731" t="n"/>
      <c r="G160" s="731" t="n"/>
    </row>
    <row r="161" ht="15" customHeight="1">
      <c r="A161" s="1890" t="inlineStr">
        <is>
          <t>Brands, Patents, Trademarks, Marketing &amp; Artistic Intangibles - Accumulated Amortization &amp; Impairment</t>
        </is>
      </c>
      <c r="B161" s="731" t="n"/>
      <c r="C161" s="731" t="n"/>
      <c r="D161" s="731" t="n"/>
      <c r="E161" s="1807" t="n">
        <v>2183000</v>
      </c>
      <c r="F161" s="1807" t="n">
        <v>5926000</v>
      </c>
      <c r="G161" s="1807" t="n">
        <v>9668000</v>
      </c>
    </row>
    <row r="162" ht="15" customHeight="1">
      <c r="A162" s="1890" t="inlineStr">
        <is>
          <t>Licenses, Franchises, Copy/Property Rights, Prototypes, Contract Based, Models &amp; Designs - Accumulated Amortization &amp; Impairment</t>
        </is>
      </c>
      <c r="B162" s="731" t="n"/>
      <c r="C162" s="731" t="n"/>
      <c r="D162" s="731" t="n"/>
      <c r="E162" s="731" t="n"/>
      <c r="F162" s="731" t="n"/>
      <c r="G162" s="731" t="n"/>
    </row>
    <row r="163" ht="15" customHeight="1">
      <c r="A163" s="1890" t="inlineStr">
        <is>
          <t>Right of Use Intangible Assets - Accumulated Amortization</t>
        </is>
      </c>
      <c r="B163" s="731" t="n"/>
      <c r="C163" s="731" t="n"/>
      <c r="D163" s="731" t="n"/>
      <c r="E163" s="731" t="n"/>
      <c r="F163" s="731" t="n"/>
      <c r="G163" s="731" t="n"/>
    </row>
    <row r="164" ht="15" customHeight="1">
      <c r="A164" s="1890" t="inlineStr">
        <is>
          <t>Intangible Assets - Other - Accumulated Amortization &amp; Impairment</t>
        </is>
      </c>
      <c r="B164" s="1807" t="n">
        <v>512426000</v>
      </c>
      <c r="C164" s="1807" t="n">
        <v>695519000</v>
      </c>
      <c r="D164" s="1807" t="n">
        <v>832070000</v>
      </c>
      <c r="E164" s="1807" t="n">
        <v>969129000</v>
      </c>
      <c r="F164" s="1807" t="n">
        <v>1107257000</v>
      </c>
      <c r="G164" s="1807" t="n">
        <v>1212378000</v>
      </c>
    </row>
    <row r="165" ht="15" customHeight="1">
      <c r="A165" s="1888" t="inlineStr">
        <is>
          <t>Total Non-Current Assets</t>
        </is>
      </c>
      <c r="B165" s="1889" t="n">
        <v>31247218000</v>
      </c>
      <c r="C165" s="1889" t="n">
        <v>58430532000</v>
      </c>
      <c r="D165" s="1889" t="n">
        <v>61974002000</v>
      </c>
      <c r="E165" s="1889" t="n">
        <v>63992063000</v>
      </c>
      <c r="F165" s="1889" t="n">
        <v>72872540000</v>
      </c>
      <c r="G165" s="1889" t="n">
        <v>73836460000</v>
      </c>
    </row>
    <row r="166" ht="15" customHeight="1">
      <c r="A166" s="1884" t="inlineStr">
        <is>
          <t>Total Assets</t>
        </is>
      </c>
      <c r="B166" s="734" t="n"/>
      <c r="C166" s="734" t="n"/>
      <c r="D166" s="734" t="n"/>
      <c r="E166" s="734" t="n"/>
      <c r="F166" s="734" t="n"/>
      <c r="G166" s="734" t="n"/>
    </row>
    <row r="167" ht="15" customHeight="1">
      <c r="A167" s="1888" t="inlineStr">
        <is>
          <t>Total Assets</t>
        </is>
      </c>
      <c r="B167" s="1889" t="n">
        <v>34249550000</v>
      </c>
      <c r="C167" s="1889" t="n">
        <v>65828670000</v>
      </c>
      <c r="D167" s="1889" t="n">
        <v>65625136000</v>
      </c>
      <c r="E167" s="1889" t="n">
        <v>68418946000</v>
      </c>
      <c r="F167" s="1889" t="n">
        <v>77828380000</v>
      </c>
      <c r="G167" s="1889" t="n">
        <v>77269692000</v>
      </c>
    </row>
    <row r="168" ht="15" customHeight="1">
      <c r="A168" s="1884" t="inlineStr">
        <is>
          <t>Current Liabilities</t>
        </is>
      </c>
      <c r="B168" s="734" t="n"/>
      <c r="C168" s="734" t="n"/>
      <c r="D168" s="734" t="n"/>
      <c r="E168" s="734" t="n"/>
      <c r="F168" s="734" t="n"/>
      <c r="G168" s="734" t="n"/>
    </row>
    <row r="169" ht="15" customHeight="1">
      <c r="A169" s="1885" t="inlineStr">
        <is>
          <t>Trade Accounts Payable &amp; Accruals - Short-Term</t>
        </is>
      </c>
      <c r="B169" s="1807" t="n">
        <v>1097761000</v>
      </c>
      <c r="C169" s="1807" t="n">
        <v>1617100000</v>
      </c>
      <c r="D169" s="1807" t="n">
        <v>2350846000</v>
      </c>
      <c r="E169" s="1807" t="n">
        <v>2669739000</v>
      </c>
      <c r="F169" s="1807" t="n">
        <v>2423471000</v>
      </c>
      <c r="G169" s="1807" t="n">
        <v>2364699000</v>
      </c>
    </row>
    <row r="170" ht="15" customHeight="1">
      <c r="A170" s="1886" t="inlineStr">
        <is>
          <t>Trade Accounts &amp; Trade Notes Payable - Short-Term</t>
        </is>
      </c>
      <c r="B170" s="1807" t="n">
        <v>534866000</v>
      </c>
      <c r="C170" s="1807" t="n">
        <v>521678000</v>
      </c>
      <c r="D170" s="1807" t="n">
        <v>839297000</v>
      </c>
      <c r="E170" s="1807" t="n">
        <v>1206943000</v>
      </c>
      <c r="F170" s="1807" t="n">
        <v>1008214000</v>
      </c>
      <c r="G170" s="1807" t="n">
        <v>1187895000</v>
      </c>
    </row>
    <row r="171" ht="15" customHeight="1">
      <c r="A171" s="1886" t="inlineStr">
        <is>
          <t>Accrued Expenses - Short-Term</t>
        </is>
      </c>
      <c r="B171" s="1807" t="n">
        <v>562895000</v>
      </c>
      <c r="C171" s="1807" t="n">
        <v>1095422000</v>
      </c>
      <c r="D171" s="1807" t="n">
        <v>1511549000</v>
      </c>
      <c r="E171" s="1807" t="n">
        <v>1462796000</v>
      </c>
      <c r="F171" s="1807" t="n">
        <v>1415257000</v>
      </c>
      <c r="G171" s="1807" t="n">
        <v>1176804000</v>
      </c>
    </row>
    <row r="172" ht="15" customHeight="1">
      <c r="A172" s="1885" t="inlineStr">
        <is>
          <t>Short-Term Debt &amp; Current Portion of Long-Term Debt</t>
        </is>
      </c>
      <c r="B172" s="1807" t="n">
        <v>4391102000</v>
      </c>
      <c r="C172" s="1807" t="n">
        <v>16793662000</v>
      </c>
      <c r="D172" s="1807" t="n">
        <v>9563552000</v>
      </c>
      <c r="E172" s="1807" t="n">
        <v>18644171000</v>
      </c>
      <c r="F172" s="1807" t="n">
        <v>15199870000</v>
      </c>
      <c r="G172" s="1807" t="n">
        <v>15747721000</v>
      </c>
    </row>
    <row r="173" ht="15" customHeight="1">
      <c r="A173" s="1886" t="inlineStr">
        <is>
          <t>Short-Term Debt &amp; Notes Payable</t>
        </is>
      </c>
      <c r="B173" s="731" t="n"/>
      <c r="C173" s="731" t="n"/>
      <c r="D173" s="731" t="n"/>
      <c r="E173" s="1807" t="n">
        <v>54500000</v>
      </c>
      <c r="F173" s="1807" t="n">
        <v>0</v>
      </c>
      <c r="G173" s="731" t="n"/>
    </row>
    <row r="174" ht="15" customHeight="1">
      <c r="A174" s="1887" t="inlineStr">
        <is>
          <t>Notes Payable - Short-Term</t>
        </is>
      </c>
      <c r="B174" s="731" t="n"/>
      <c r="C174" s="731" t="n"/>
      <c r="D174" s="731" t="n"/>
      <c r="E174" s="731" t="n"/>
      <c r="F174" s="731" t="n"/>
      <c r="G174" s="731" t="n"/>
    </row>
    <row r="175" ht="15" customHeight="1">
      <c r="A175" s="1886" t="inlineStr">
        <is>
          <t>Current Portion of Long-Term Debt including Capitalized Leases</t>
        </is>
      </c>
      <c r="B175" s="1807" t="n">
        <v>4391102000</v>
      </c>
      <c r="C175" s="1807" t="n">
        <v>16793662000</v>
      </c>
      <c r="D175" s="1807" t="n">
        <v>9563552000</v>
      </c>
      <c r="E175" s="1807" t="n">
        <v>18589671000</v>
      </c>
      <c r="F175" s="1807" t="n">
        <v>15199870000</v>
      </c>
      <c r="G175" s="1807" t="n">
        <v>15747721000</v>
      </c>
    </row>
    <row r="176" ht="15" customHeight="1">
      <c r="A176" s="1887" t="inlineStr">
        <is>
          <t>Current Portion of Long-Term Debt excluding Capitalized Leases</t>
        </is>
      </c>
      <c r="B176" s="1807" t="n">
        <v>4109801000</v>
      </c>
      <c r="C176" s="1807" t="n">
        <v>16440408000</v>
      </c>
      <c r="D176" s="1807" t="n">
        <v>9176580000</v>
      </c>
      <c r="E176" s="1807" t="n">
        <v>18324361000</v>
      </c>
      <c r="F176" s="1807" t="n">
        <v>14954175000</v>
      </c>
      <c r="G176" s="1807" t="n">
        <v>15520246000</v>
      </c>
    </row>
    <row r="177" ht="15" customHeight="1">
      <c r="A177" s="1887" t="inlineStr">
        <is>
          <t>Capitalized Leases - Current Portion</t>
        </is>
      </c>
      <c r="B177" s="1807" t="n">
        <v>281301000</v>
      </c>
      <c r="C177" s="1807" t="n">
        <v>353254000</v>
      </c>
      <c r="D177" s="1807" t="n">
        <v>386972000</v>
      </c>
      <c r="E177" s="1807" t="n">
        <v>265310000</v>
      </c>
      <c r="F177" s="1807" t="n">
        <v>245695000</v>
      </c>
      <c r="G177" s="1807" t="n">
        <v>227475000</v>
      </c>
    </row>
    <row r="178" ht="15" customHeight="1">
      <c r="A178" s="1886" t="inlineStr">
        <is>
          <t>Hybrid Financial Instrument - Liability - Current Portion</t>
        </is>
      </c>
      <c r="B178" s="731" t="n"/>
      <c r="C178" s="731" t="n"/>
      <c r="D178" s="731" t="n"/>
      <c r="E178" s="731" t="n"/>
      <c r="F178" s="731" t="n"/>
      <c r="G178" s="731" t="n"/>
    </row>
    <row r="179" ht="15" customHeight="1">
      <c r="A179" s="1885" t="inlineStr">
        <is>
          <t>Derivative Liabilities - Hedging - Short-Term</t>
        </is>
      </c>
      <c r="B179" s="731" t="n"/>
      <c r="C179" s="731" t="n"/>
      <c r="D179" s="731" t="n"/>
      <c r="E179" s="1807" t="n">
        <v>21922000</v>
      </c>
      <c r="F179" s="1807" t="n">
        <v>0</v>
      </c>
      <c r="G179" s="1807" t="n">
        <v>114000</v>
      </c>
    </row>
    <row r="180" ht="15" customHeight="1">
      <c r="A180" s="1885" t="inlineStr">
        <is>
          <t>Liabilities Held for Sale/Discontinued Operations - Short-Term</t>
        </is>
      </c>
      <c r="B180" s="731" t="n"/>
      <c r="C180" s="731" t="n"/>
      <c r="D180" s="731" t="n"/>
      <c r="E180" s="731" t="n"/>
      <c r="F180" s="731" t="n"/>
      <c r="G180" s="731" t="n"/>
    </row>
    <row r="181" ht="15" customHeight="1">
      <c r="A181" s="1885" t="inlineStr">
        <is>
          <t>Income Taxes - Payable - Short-Term</t>
        </is>
      </c>
      <c r="B181" s="1807" t="n">
        <v>137658000</v>
      </c>
      <c r="C181" s="1807" t="n">
        <v>142437000</v>
      </c>
      <c r="D181" s="1807" t="n">
        <v>167911000</v>
      </c>
      <c r="E181" s="1807" t="n">
        <v>193123000</v>
      </c>
      <c r="F181" s="1807" t="n">
        <v>120460000</v>
      </c>
      <c r="G181" s="1807" t="n">
        <v>55412000</v>
      </c>
    </row>
    <row r="182" ht="15" customHeight="1">
      <c r="A182" s="1885" t="inlineStr">
        <is>
          <t>Dividends/Distributions Payable</t>
        </is>
      </c>
      <c r="B182" s="731" t="n"/>
      <c r="C182" s="731" t="n"/>
      <c r="D182" s="731" t="n"/>
      <c r="E182" s="731" t="n"/>
      <c r="F182" s="731" t="n"/>
      <c r="G182" s="731" t="n"/>
    </row>
    <row r="183" ht="15" customHeight="1">
      <c r="A183" s="1885" t="inlineStr">
        <is>
          <t>Operating Lease Liabilities - Current Portion/Short-Term</t>
        </is>
      </c>
      <c r="B183" s="731" t="n"/>
      <c r="C183" s="731" t="n"/>
      <c r="D183" s="731" t="n"/>
      <c r="E183" s="731" t="n"/>
      <c r="F183" s="731" t="n"/>
      <c r="G183" s="731" t="n"/>
    </row>
    <row r="184" ht="15" customHeight="1">
      <c r="A184" s="1885" t="inlineStr">
        <is>
          <t>Other Current Liabilities - Total</t>
        </is>
      </c>
      <c r="B184" s="1807" t="n">
        <v>1598667000</v>
      </c>
      <c r="C184" s="1807" t="n">
        <v>3327065000</v>
      </c>
      <c r="D184" s="1807" t="n">
        <v>2363775000</v>
      </c>
      <c r="E184" s="1807" t="n">
        <v>2769998000</v>
      </c>
      <c r="F184" s="1807" t="n">
        <v>2380434000</v>
      </c>
      <c r="G184" s="1807" t="n">
        <v>1409724000</v>
      </c>
    </row>
    <row r="185" ht="15" customHeight="1">
      <c r="A185" s="1886" t="inlineStr">
        <is>
          <t>Deferred Income - Short-Term</t>
        </is>
      </c>
      <c r="B185" s="1807" t="n">
        <v>1532578000</v>
      </c>
      <c r="C185" s="1807" t="n">
        <v>2147433000</v>
      </c>
      <c r="D185" s="1807" t="n">
        <v>2148996000</v>
      </c>
      <c r="E185" s="1807" t="n">
        <v>2457037000</v>
      </c>
      <c r="F185" s="1807" t="n">
        <v>2190180000</v>
      </c>
      <c r="G185" s="1807" t="n">
        <v>1222926000</v>
      </c>
    </row>
    <row r="186" ht="15" customHeight="1">
      <c r="A186" s="1886" t="inlineStr">
        <is>
          <t>Security Deposits</t>
        </is>
      </c>
      <c r="B186" s="731" t="n"/>
      <c r="C186" s="731" t="n"/>
      <c r="D186" s="731" t="n"/>
      <c r="E186" s="731" t="n"/>
      <c r="F186" s="731" t="n"/>
      <c r="G186" s="731" t="n"/>
    </row>
    <row r="187" ht="15" customHeight="1">
      <c r="A187" s="1886" t="inlineStr">
        <is>
          <t>Billings in Excess of Cost - Short-Term</t>
        </is>
      </c>
      <c r="B187" s="731" t="n"/>
      <c r="C187" s="731" t="n"/>
      <c r="D187" s="731" t="n"/>
      <c r="E187" s="731" t="n"/>
      <c r="F187" s="731" t="n"/>
      <c r="G187" s="731" t="n"/>
    </row>
    <row r="188" ht="15" customHeight="1">
      <c r="A188" s="1886" t="inlineStr">
        <is>
          <t>Customer Advances - Short-Term</t>
        </is>
      </c>
      <c r="B188" s="731" t="n"/>
      <c r="C188" s="731" t="n"/>
      <c r="D188" s="731" t="n"/>
      <c r="E188" s="731" t="n"/>
      <c r="F188" s="731" t="n"/>
      <c r="G188" s="731" t="n"/>
    </row>
    <row r="189" ht="15" customHeight="1">
      <c r="A189" s="1886" t="inlineStr">
        <is>
          <t>Deferred Tax - Liability - Short-Term</t>
        </is>
      </c>
      <c r="B189" s="731" t="n"/>
      <c r="C189" s="731" t="n"/>
      <c r="D189" s="731" t="n"/>
      <c r="E189" s="731" t="n"/>
      <c r="F189" s="731" t="n"/>
      <c r="G189" s="731" t="n"/>
    </row>
    <row r="190" ht="15" customHeight="1">
      <c r="A190" s="1886" t="inlineStr">
        <is>
          <t>Provisions - Short-Term</t>
        </is>
      </c>
      <c r="B190" s="731" t="n"/>
      <c r="C190" s="731" t="n"/>
      <c r="D190" s="731" t="n"/>
      <c r="E190" s="731" t="n"/>
      <c r="F190" s="731" t="n"/>
      <c r="G190" s="731" t="n"/>
    </row>
    <row r="191" ht="15" customHeight="1">
      <c r="A191" s="1886" t="inlineStr">
        <is>
          <t>Regulatory Liability - Short-Term</t>
        </is>
      </c>
      <c r="B191" s="731" t="n"/>
      <c r="C191" s="731" t="n"/>
      <c r="D191" s="731" t="n"/>
      <c r="E191" s="731" t="n"/>
      <c r="F191" s="731" t="n"/>
      <c r="G191" s="731" t="n"/>
    </row>
    <row r="192" ht="15" customHeight="1">
      <c r="A192" s="1886" t="inlineStr">
        <is>
          <t>Other Current Liabilities</t>
        </is>
      </c>
      <c r="B192" s="1807" t="n">
        <v>66089000</v>
      </c>
      <c r="C192" s="1807" t="n">
        <v>1179632000</v>
      </c>
      <c r="D192" s="1807" t="n">
        <v>214779000</v>
      </c>
      <c r="E192" s="1807" t="n">
        <v>312961000</v>
      </c>
      <c r="F192" s="1807" t="n">
        <v>190254000</v>
      </c>
      <c r="G192" s="1807" t="n">
        <v>186798000</v>
      </c>
    </row>
    <row r="193" ht="15" customHeight="1">
      <c r="A193" s="1888" t="inlineStr">
        <is>
          <t>Total Current Liabilities</t>
        </is>
      </c>
      <c r="B193" s="1889" t="n">
        <v>7225188000</v>
      </c>
      <c r="C193" s="1889" t="n">
        <v>21880264000</v>
      </c>
      <c r="D193" s="1889" t="n">
        <v>14446084000</v>
      </c>
      <c r="E193" s="1889" t="n">
        <v>24298953000</v>
      </c>
      <c r="F193" s="1889" t="n">
        <v>20124235000</v>
      </c>
      <c r="G193" s="1889" t="n">
        <v>19577670000</v>
      </c>
    </row>
    <row r="194" ht="15" customHeight="1">
      <c r="A194" s="1884" t="inlineStr">
        <is>
          <t>Non-Current Liabilities</t>
        </is>
      </c>
      <c r="B194" s="734" t="n"/>
      <c r="C194" s="734" t="n"/>
      <c r="D194" s="734" t="n"/>
      <c r="E194" s="734" t="n"/>
      <c r="F194" s="734" t="n"/>
      <c r="G194" s="734" t="n"/>
    </row>
    <row r="195" ht="15" customHeight="1">
      <c r="A195" s="1885" t="inlineStr">
        <is>
          <t>Accounts Payable including Accrued Expenses - Long-Term</t>
        </is>
      </c>
      <c r="B195" s="731" t="n"/>
      <c r="C195" s="731" t="n"/>
      <c r="D195" s="731" t="n"/>
      <c r="E195" s="731" t="n"/>
      <c r="F195" s="731" t="n"/>
      <c r="G195" s="731" t="n"/>
    </row>
    <row r="196" ht="15" customHeight="1">
      <c r="A196" s="1886" t="inlineStr">
        <is>
          <t>Trade Accounts Payable - Long-Term</t>
        </is>
      </c>
      <c r="B196" s="731" t="n"/>
      <c r="C196" s="731" t="n"/>
      <c r="D196" s="731" t="n"/>
      <c r="E196" s="731" t="n"/>
      <c r="F196" s="731" t="n"/>
      <c r="G196" s="731" t="n"/>
    </row>
    <row r="197" ht="15" customHeight="1">
      <c r="A197" s="1886" t="inlineStr">
        <is>
          <t>Accrued Expenses - Long-Term</t>
        </is>
      </c>
      <c r="B197" s="731" t="n"/>
      <c r="C197" s="731" t="n"/>
      <c r="D197" s="731" t="n"/>
      <c r="E197" s="731" t="n"/>
      <c r="F197" s="731" t="n"/>
      <c r="G197" s="731" t="n"/>
    </row>
    <row r="198" ht="15" customHeight="1">
      <c r="A198" s="1885" t="inlineStr">
        <is>
          <t>Debt - Long-Term - Total</t>
        </is>
      </c>
      <c r="B198" s="1807" t="n">
        <v>15805689000</v>
      </c>
      <c r="C198" s="1807" t="n">
        <v>30191078000</v>
      </c>
      <c r="D198" s="1807" t="n">
        <v>35408616000</v>
      </c>
      <c r="E198" s="1807" t="n">
        <v>26323431000</v>
      </c>
      <c r="F198" s="1807" t="n">
        <v>37136265000</v>
      </c>
      <c r="G198" s="1807" t="n">
        <v>29471717000</v>
      </c>
    </row>
    <row r="199" ht="15" customHeight="1">
      <c r="A199" s="1886" t="inlineStr">
        <is>
          <t>Long-Term Debt excluding Capitalized Leases</t>
        </is>
      </c>
      <c r="B199" s="1807" t="n">
        <v>14074947000</v>
      </c>
      <c r="C199" s="1807" t="n">
        <v>27998782000</v>
      </c>
      <c r="D199" s="1807" t="n">
        <v>33818031000</v>
      </c>
      <c r="E199" s="1807" t="n">
        <v>26143323000</v>
      </c>
      <c r="F199" s="1807" t="n">
        <v>36463187000</v>
      </c>
      <c r="G199" s="1807" t="n">
        <v>29032812000</v>
      </c>
    </row>
    <row r="200" ht="15" customHeight="1">
      <c r="A200" s="1887" t="inlineStr">
        <is>
          <t>Debt - Non-Convertible - Long-Term</t>
        </is>
      </c>
      <c r="B200" s="1807" t="n">
        <v>14074947000</v>
      </c>
      <c r="C200" s="1807" t="n">
        <v>27998782000</v>
      </c>
      <c r="D200" s="1807" t="n">
        <v>33818031000</v>
      </c>
      <c r="E200" s="1807" t="n">
        <v>26143323000</v>
      </c>
      <c r="F200" s="1807" t="n">
        <v>36463187000</v>
      </c>
      <c r="G200" s="1807" t="n">
        <v>29032812000</v>
      </c>
    </row>
    <row r="201" ht="15" customHeight="1">
      <c r="A201" s="1890" t="inlineStr">
        <is>
          <t>Notes Payable - Long-Term</t>
        </is>
      </c>
      <c r="B201" s="731" t="n"/>
      <c r="C201" s="731" t="n"/>
      <c r="D201" s="731" t="n"/>
      <c r="E201" s="731" t="n"/>
      <c r="F201" s="731" t="n"/>
      <c r="G201" s="731" t="n"/>
    </row>
    <row r="202" ht="15" customHeight="1">
      <c r="A202" s="1887" t="inlineStr">
        <is>
          <t>Convertible Debt - Long-Term</t>
        </is>
      </c>
      <c r="B202" s="731" t="n"/>
      <c r="C202" s="731" t="n"/>
      <c r="D202" s="731" t="n"/>
      <c r="E202" s="731" t="n"/>
      <c r="F202" s="731" t="n"/>
      <c r="G202" s="731" t="n"/>
    </row>
    <row r="203" ht="15" customHeight="1">
      <c r="A203" s="1886" t="inlineStr">
        <is>
          <t>Hybrid Financial Instrument - Liability - Long-Term</t>
        </is>
      </c>
      <c r="B203" s="731" t="n"/>
      <c r="C203" s="731" t="n"/>
      <c r="D203" s="731" t="n"/>
      <c r="E203" s="731" t="n"/>
      <c r="F203" s="731" t="n"/>
      <c r="G203" s="731" t="n"/>
    </row>
    <row r="204" ht="15" customHeight="1">
      <c r="A204" s="1887" t="inlineStr">
        <is>
          <t>Mandatorily Redeemable Trust Certificates - Long-Term</t>
        </is>
      </c>
      <c r="B204" s="731" t="n"/>
      <c r="C204" s="731" t="n"/>
      <c r="D204" s="731" t="n"/>
      <c r="E204" s="731" t="n"/>
      <c r="F204" s="731" t="n"/>
      <c r="G204" s="731" t="n"/>
    </row>
    <row r="205" ht="15" customHeight="1">
      <c r="A205" s="1887" t="inlineStr">
        <is>
          <t>Other Mandatorily Redeemable Equity Instruments - Long-Term</t>
        </is>
      </c>
      <c r="B205" s="731" t="n"/>
      <c r="C205" s="731" t="n"/>
      <c r="D205" s="731" t="n"/>
      <c r="E205" s="731" t="n"/>
      <c r="F205" s="731" t="n"/>
      <c r="G205" s="731" t="n"/>
    </row>
    <row r="206" ht="15" customHeight="1">
      <c r="A206" s="1887" t="inlineStr">
        <is>
          <t>Preferred Stock - Liability Portion - Long-Term</t>
        </is>
      </c>
      <c r="B206" s="731" t="n"/>
      <c r="C206" s="731" t="n"/>
      <c r="D206" s="731" t="n"/>
      <c r="E206" s="731" t="n"/>
      <c r="F206" s="731" t="n"/>
      <c r="G206" s="731" t="n"/>
    </row>
    <row r="207" ht="15" customHeight="1">
      <c r="A207" s="1886" t="inlineStr">
        <is>
          <t>Capitalized Lease Obligations - Long-Term</t>
        </is>
      </c>
      <c r="B207" s="1807" t="n">
        <v>1730742000</v>
      </c>
      <c r="C207" s="1807" t="n">
        <v>2192296000</v>
      </c>
      <c r="D207" s="1807" t="n">
        <v>1590585000</v>
      </c>
      <c r="E207" s="1807" t="n">
        <v>180108000</v>
      </c>
      <c r="F207" s="1807" t="n">
        <v>673078000</v>
      </c>
      <c r="G207" s="1807" t="n">
        <v>438905000</v>
      </c>
    </row>
    <row r="208" ht="15" customHeight="1">
      <c r="A208" s="1885" t="inlineStr">
        <is>
          <t>Derivative Liabilities - Hedging - Long-Term</t>
        </is>
      </c>
      <c r="B208" s="1807" t="n">
        <v>83733000</v>
      </c>
      <c r="C208" s="1807" t="n">
        <v>137906000</v>
      </c>
      <c r="D208" s="1807" t="n">
        <v>39427000</v>
      </c>
      <c r="E208" s="1807" t="n">
        <v>22032000</v>
      </c>
      <c r="F208" s="1807" t="n">
        <v>167736000</v>
      </c>
      <c r="G208" s="1807" t="n">
        <v>84378000</v>
      </c>
    </row>
    <row r="209" ht="15" customHeight="1">
      <c r="A209" s="1885" t="inlineStr">
        <is>
          <t>Liabilities Held for Sale/Discontinued Operations - Long-Term</t>
        </is>
      </c>
      <c r="B209" s="731" t="n"/>
      <c r="C209" s="731" t="n"/>
      <c r="D209" s="731" t="n"/>
      <c r="E209" s="731" t="n"/>
      <c r="F209" s="731" t="n"/>
      <c r="G209" s="731" t="n"/>
    </row>
    <row r="210" ht="15" customHeight="1">
      <c r="A210" s="1885" t="inlineStr">
        <is>
          <t>Deferred Tax &amp; Investment Tax Credits - Long-Term</t>
        </is>
      </c>
      <c r="B210" s="1807" t="n">
        <v>461458000</v>
      </c>
      <c r="C210" s="1807" t="n">
        <v>977527000</v>
      </c>
      <c r="D210" s="1807" t="n">
        <v>944030000</v>
      </c>
      <c r="E210" s="1807" t="n">
        <v>841962000</v>
      </c>
      <c r="F210" s="1807" t="n">
        <v>724311000</v>
      </c>
      <c r="G210" s="1807" t="n">
        <v>442436000</v>
      </c>
    </row>
    <row r="211" ht="15" customHeight="1">
      <c r="A211" s="1886" t="inlineStr">
        <is>
          <t>Deferred Tax - Liability - Long-Term</t>
        </is>
      </c>
      <c r="B211" s="1807" t="n">
        <v>461458000</v>
      </c>
      <c r="C211" s="1807" t="n">
        <v>977527000</v>
      </c>
      <c r="D211" s="1807" t="n">
        <v>944030000</v>
      </c>
      <c r="E211" s="1807" t="n">
        <v>841962000</v>
      </c>
      <c r="F211" s="1807" t="n">
        <v>724311000</v>
      </c>
      <c r="G211" s="1807" t="n">
        <v>442436000</v>
      </c>
    </row>
    <row r="212" ht="15" customHeight="1">
      <c r="A212" s="1887" t="inlineStr">
        <is>
          <t>Deferred Tax - Liability - in Untaxed Reserves</t>
        </is>
      </c>
      <c r="B212" s="731" t="n"/>
      <c r="C212" s="731" t="n"/>
      <c r="D212" s="731" t="n"/>
      <c r="E212" s="731" t="n"/>
      <c r="F212" s="731" t="n"/>
      <c r="G212" s="731" t="n"/>
    </row>
    <row r="213" ht="15" customHeight="1">
      <c r="A213" s="1885" t="inlineStr">
        <is>
          <t>Operating Lease Liabilities - Long-Term</t>
        </is>
      </c>
      <c r="B213" s="731" t="n"/>
      <c r="C213" s="731" t="n"/>
      <c r="D213" s="731" t="n"/>
      <c r="E213" s="731" t="n"/>
      <c r="F213" s="731" t="n"/>
      <c r="G213" s="731" t="n"/>
    </row>
    <row r="214" ht="15" customHeight="1">
      <c r="A214" s="1885" t="inlineStr">
        <is>
          <t>Other Non-Current Liabilities - Total</t>
        </is>
      </c>
      <c r="B214" s="1807" t="n">
        <v>489434000</v>
      </c>
      <c r="C214" s="1807" t="n">
        <v>579879000</v>
      </c>
      <c r="D214" s="1807" t="n">
        <v>354645000</v>
      </c>
      <c r="E214" s="1807" t="n">
        <v>420904000</v>
      </c>
      <c r="F214" s="1807" t="n">
        <v>506624000</v>
      </c>
      <c r="G214" s="1807" t="n">
        <v>610185000</v>
      </c>
    </row>
    <row r="215" ht="15" customHeight="1">
      <c r="A215" s="1886" t="inlineStr">
        <is>
          <t>Provisions - Long-Term</t>
        </is>
      </c>
      <c r="B215" s="1807" t="n">
        <v>447452000</v>
      </c>
      <c r="C215" s="1807" t="n">
        <v>542732000</v>
      </c>
      <c r="D215" s="1807" t="n">
        <v>319344000</v>
      </c>
      <c r="E215" s="1807" t="n">
        <v>390532000</v>
      </c>
      <c r="F215" s="1807" t="n">
        <v>473384000</v>
      </c>
      <c r="G215" s="1807" t="n">
        <v>579845000</v>
      </c>
    </row>
    <row r="216" ht="15" customHeight="1">
      <c r="A216" s="1887" t="inlineStr">
        <is>
          <t>Post Employment Benefits - Pension &amp; Other - Long-Term</t>
        </is>
      </c>
      <c r="B216" s="1807" t="n">
        <v>24248000</v>
      </c>
      <c r="C216" s="1807" t="n">
        <v>65198000</v>
      </c>
      <c r="D216" s="1807" t="n">
        <v>46098000</v>
      </c>
      <c r="E216" s="1807" t="n">
        <v>76518000</v>
      </c>
      <c r="F216" s="1807" t="n">
        <v>119404000</v>
      </c>
      <c r="G216" s="1807" t="n">
        <v>199206000</v>
      </c>
    </row>
    <row r="217" ht="15" customHeight="1">
      <c r="A217" s="1887" t="inlineStr">
        <is>
          <t>Asset Retirement Obligation - Long-Term</t>
        </is>
      </c>
      <c r="B217" s="731" t="n"/>
      <c r="C217" s="731" t="n"/>
      <c r="D217" s="731" t="n"/>
      <c r="E217" s="731" t="n"/>
      <c r="F217" s="731" t="n"/>
      <c r="G217" s="731" t="n"/>
    </row>
    <row r="218" ht="15" customHeight="1">
      <c r="A218" s="1887" t="inlineStr">
        <is>
          <t>Provisions - Litigation - Long-Term</t>
        </is>
      </c>
      <c r="B218" s="731" t="n"/>
      <c r="C218" s="731" t="n"/>
      <c r="D218" s="731" t="n"/>
      <c r="E218" s="731" t="n"/>
      <c r="F218" s="731" t="n"/>
      <c r="G218" s="731" t="n"/>
    </row>
    <row r="219" ht="15" customHeight="1">
      <c r="A219" s="1887" t="inlineStr">
        <is>
          <t>Provisions - Restructuring - Long-Term</t>
        </is>
      </c>
      <c r="B219" s="731" t="n"/>
      <c r="C219" s="731" t="n"/>
      <c r="D219" s="731" t="n"/>
      <c r="E219" s="731" t="n"/>
      <c r="F219" s="731" t="n"/>
      <c r="G219" s="731" t="n"/>
    </row>
    <row r="220" ht="15" customHeight="1">
      <c r="A220" s="1887" t="inlineStr">
        <is>
          <t>Provisions - Environmental Obligations - Long-Term</t>
        </is>
      </c>
      <c r="B220" s="731" t="n"/>
      <c r="C220" s="731" t="n"/>
      <c r="D220" s="731" t="n"/>
      <c r="E220" s="731" t="n"/>
      <c r="F220" s="731" t="n"/>
      <c r="G220" s="731" t="n"/>
    </row>
    <row r="221" ht="15" customHeight="1">
      <c r="A221" s="1887" t="inlineStr">
        <is>
          <t>Provisions - Other - Long-Term</t>
        </is>
      </c>
      <c r="B221" s="1807" t="n">
        <v>423204000</v>
      </c>
      <c r="C221" s="1807" t="n">
        <v>477534000</v>
      </c>
      <c r="D221" s="1807" t="n">
        <v>273246000</v>
      </c>
      <c r="E221" s="1807" t="n">
        <v>314014000</v>
      </c>
      <c r="F221" s="1807" t="n">
        <v>353980000</v>
      </c>
      <c r="G221" s="1807" t="n">
        <v>380639000</v>
      </c>
    </row>
    <row r="222" ht="15" customHeight="1">
      <c r="A222" s="1886" t="inlineStr">
        <is>
          <t>Customer Advances - Long-Term</t>
        </is>
      </c>
      <c r="B222" s="731" t="n"/>
      <c r="C222" s="731" t="n"/>
      <c r="D222" s="731" t="n"/>
      <c r="E222" s="731" t="n"/>
      <c r="F222" s="731" t="n"/>
      <c r="G222" s="731" t="n"/>
    </row>
    <row r="223" ht="15" customHeight="1">
      <c r="A223" s="1886" t="inlineStr">
        <is>
          <t>Deferred Revenue - Long-Term</t>
        </is>
      </c>
      <c r="B223" s="1807" t="n">
        <v>41982000</v>
      </c>
      <c r="C223" s="1807" t="n">
        <v>37147000</v>
      </c>
      <c r="D223" s="1807" t="n">
        <v>35301000</v>
      </c>
      <c r="E223" s="1807" t="n">
        <v>30372000</v>
      </c>
      <c r="F223" s="1807" t="n">
        <v>33240000</v>
      </c>
      <c r="G223" s="1807" t="n">
        <v>30340000</v>
      </c>
    </row>
    <row r="224" ht="15" customHeight="1">
      <c r="A224" s="1886" t="inlineStr">
        <is>
          <t>Regulatory Liabilities - Long-Term</t>
        </is>
      </c>
      <c r="B224" s="731" t="n"/>
      <c r="C224" s="731" t="n"/>
      <c r="D224" s="731" t="n"/>
      <c r="E224" s="731" t="n"/>
      <c r="F224" s="731" t="n"/>
      <c r="G224" s="731" t="n"/>
    </row>
    <row r="225" ht="15" customHeight="1">
      <c r="A225" s="1886" t="inlineStr">
        <is>
          <t>Other Non-Current Liabilities</t>
        </is>
      </c>
      <c r="B225" s="731" t="n"/>
      <c r="C225" s="731" t="n"/>
      <c r="D225" s="731" t="n"/>
      <c r="E225" s="731" t="n"/>
      <c r="F225" s="731" t="n"/>
      <c r="G225" s="731" t="n"/>
    </row>
    <row r="226" ht="15" customHeight="1">
      <c r="A226" s="1885" t="inlineStr">
        <is>
          <t>Minority Interest - Non-Equity</t>
        </is>
      </c>
      <c r="B226" s="731" t="n"/>
      <c r="C226" s="731" t="n"/>
      <c r="D226" s="731" t="n"/>
      <c r="E226" s="731" t="n"/>
      <c r="F226" s="731" t="n"/>
      <c r="G226" s="731" t="n"/>
    </row>
    <row r="227" ht="15" customHeight="1">
      <c r="A227" s="1885" t="inlineStr">
        <is>
          <t>Total Non-Current Liabilities</t>
        </is>
      </c>
      <c r="B227" s="1807" t="n">
        <v>16840314000</v>
      </c>
      <c r="C227" s="1807" t="n">
        <v>31886390000</v>
      </c>
      <c r="D227" s="1807" t="n">
        <v>36746718000</v>
      </c>
      <c r="E227" s="1807" t="n">
        <v>27608329000</v>
      </c>
      <c r="F227" s="1807" t="n">
        <v>38534936000</v>
      </c>
      <c r="G227" s="1807" t="n">
        <v>30608716000</v>
      </c>
    </row>
    <row r="228" ht="15" customHeight="1">
      <c r="A228" s="1884" t="inlineStr">
        <is>
          <t>Total Liabilities</t>
        </is>
      </c>
      <c r="B228" s="734" t="n"/>
      <c r="C228" s="734" t="n"/>
      <c r="D228" s="734" t="n"/>
      <c r="E228" s="734" t="n"/>
      <c r="F228" s="734" t="n"/>
      <c r="G228" s="734" t="n"/>
    </row>
    <row r="229" ht="15" customHeight="1">
      <c r="A229" s="1888" t="inlineStr">
        <is>
          <t>Total Liabilities</t>
        </is>
      </c>
      <c r="B229" s="1889" t="n">
        <v>24065502000</v>
      </c>
      <c r="C229" s="1889" t="n">
        <v>53766654000</v>
      </c>
      <c r="D229" s="1889" t="n">
        <v>51192802000</v>
      </c>
      <c r="E229" s="1889" t="n">
        <v>51907282000</v>
      </c>
      <c r="F229" s="1889" t="n">
        <v>58659171000</v>
      </c>
      <c r="G229" s="1889" t="n">
        <v>50186386000</v>
      </c>
    </row>
    <row r="230" ht="15" customHeight="1">
      <c r="A230" s="1884" t="inlineStr">
        <is>
          <t>Shareholders' Equity</t>
        </is>
      </c>
      <c r="B230" s="734" t="n"/>
      <c r="C230" s="734" t="n"/>
      <c r="D230" s="734" t="n"/>
      <c r="E230" s="734" t="n"/>
      <c r="F230" s="734" t="n"/>
      <c r="G230" s="734" t="n"/>
    </row>
    <row r="231" ht="15" customHeight="1">
      <c r="A231" s="1885" t="inlineStr">
        <is>
          <t>Shareholders' Equity - Attributable to Parent Shareholders - Total</t>
        </is>
      </c>
      <c r="B231" s="1807" t="n">
        <v>10154040000</v>
      </c>
      <c r="C231" s="1807" t="n">
        <v>12030997000</v>
      </c>
      <c r="D231" s="1807" t="n">
        <v>14400568000</v>
      </c>
      <c r="E231" s="1807" t="n">
        <v>16456392000</v>
      </c>
      <c r="F231" s="1807" t="n">
        <v>19098622000</v>
      </c>
      <c r="G231" s="1807" t="n">
        <v>26972415000</v>
      </c>
    </row>
    <row r="232" ht="15" customHeight="1">
      <c r="A232" s="1886" t="inlineStr">
        <is>
          <t>Preferred Shareholders Equity</t>
        </is>
      </c>
      <c r="B232" s="731" t="n"/>
      <c r="C232" s="731" t="n"/>
      <c r="D232" s="731" t="n"/>
      <c r="E232" s="731" t="n"/>
      <c r="F232" s="731" t="n"/>
      <c r="G232" s="731" t="n"/>
    </row>
    <row r="233" ht="15" customHeight="1">
      <c r="A233" s="1887" t="inlineStr">
        <is>
          <t>Preferred Stock - Redeemable - Total</t>
        </is>
      </c>
      <c r="B233" s="731" t="n"/>
      <c r="C233" s="731" t="n"/>
      <c r="D233" s="731" t="n"/>
      <c r="E233" s="731" t="n"/>
      <c r="F233" s="731" t="n"/>
      <c r="G233" s="731" t="n"/>
    </row>
    <row r="234" ht="15" customHeight="1">
      <c r="A234" s="1890" t="inlineStr">
        <is>
          <t>Preferred Stock - Redeemable - Convertible</t>
        </is>
      </c>
      <c r="B234" s="731" t="n"/>
      <c r="C234" s="731" t="n"/>
      <c r="D234" s="731" t="n"/>
      <c r="E234" s="731" t="n"/>
      <c r="F234" s="731" t="n"/>
      <c r="G234" s="731" t="n"/>
    </row>
    <row r="235" ht="15" customHeight="1">
      <c r="A235" s="1887" t="inlineStr">
        <is>
          <t>Preferred Stock - Non-Redeemable</t>
        </is>
      </c>
      <c r="B235" s="731" t="n"/>
      <c r="C235" s="731" t="n"/>
      <c r="D235" s="731" t="n"/>
      <c r="E235" s="731" t="n"/>
      <c r="F235" s="731" t="n"/>
      <c r="G235" s="731" t="n"/>
    </row>
    <row r="236" ht="15" customHeight="1">
      <c r="A236" s="1890" t="inlineStr">
        <is>
          <t>Preferred Stock - Convertible - Non-Redeemable</t>
        </is>
      </c>
      <c r="B236" s="731" t="n"/>
      <c r="C236" s="731" t="n"/>
      <c r="D236" s="731" t="n"/>
      <c r="E236" s="731" t="n"/>
      <c r="F236" s="731" t="n"/>
      <c r="G236" s="731" t="n"/>
    </row>
    <row r="237" ht="15" customHeight="1">
      <c r="A237" s="1887" t="inlineStr">
        <is>
          <t>Preferred Equity - Contributed</t>
        </is>
      </c>
      <c r="B237" s="731" t="n"/>
      <c r="C237" s="731" t="n"/>
      <c r="D237" s="731" t="n"/>
      <c r="E237" s="731" t="n"/>
      <c r="F237" s="731" t="n"/>
      <c r="G237" s="731" t="n"/>
    </row>
    <row r="238" ht="15" customHeight="1">
      <c r="A238" s="1890" t="inlineStr">
        <is>
          <t>Preferred Stock - Issued for ESOP</t>
        </is>
      </c>
      <c r="B238" s="731" t="n"/>
      <c r="C238" s="731" t="n"/>
      <c r="D238" s="731" t="n"/>
      <c r="E238" s="731" t="n"/>
      <c r="F238" s="731" t="n"/>
      <c r="G238" s="731" t="n"/>
    </row>
    <row r="239" ht="15" customHeight="1">
      <c r="A239" s="1887" t="inlineStr">
        <is>
          <t>Preferred Stock - Treasury/Repurchased</t>
        </is>
      </c>
      <c r="B239" s="731" t="n"/>
      <c r="C239" s="731" t="n"/>
      <c r="D239" s="731" t="n"/>
      <c r="E239" s="731" t="n"/>
      <c r="F239" s="731" t="n"/>
      <c r="G239" s="731" t="n"/>
    </row>
    <row r="240" ht="15" customHeight="1">
      <c r="A240" s="1887" t="inlineStr">
        <is>
          <t>ESOP Guarantees - Preferred &amp; Deferred Compensation</t>
        </is>
      </c>
      <c r="B240" s="731" t="n"/>
      <c r="C240" s="731" t="n"/>
      <c r="D240" s="731" t="n"/>
      <c r="E240" s="731" t="n"/>
      <c r="F240" s="731" t="n"/>
      <c r="G240" s="731" t="n"/>
    </row>
    <row r="241" ht="15" customHeight="1">
      <c r="A241" s="1887" t="inlineStr">
        <is>
          <t>Preferred Stock - Redeemable - Temporary Equity</t>
        </is>
      </c>
      <c r="B241" s="731" t="n"/>
      <c r="C241" s="731" t="n"/>
      <c r="D241" s="731" t="n"/>
      <c r="E241" s="731" t="n"/>
      <c r="F241" s="731" t="n"/>
      <c r="G241" s="731" t="n"/>
    </row>
    <row r="242" ht="15" customHeight="1">
      <c r="A242" s="1886" t="inlineStr">
        <is>
          <t>Common Equity Attributable to Parent Shareholders</t>
        </is>
      </c>
      <c r="B242" s="1807" t="n">
        <v>10154040000</v>
      </c>
      <c r="C242" s="1807" t="n">
        <v>12030997000</v>
      </c>
      <c r="D242" s="1807" t="n">
        <v>14400568000</v>
      </c>
      <c r="E242" s="1807" t="n">
        <v>16456392000</v>
      </c>
      <c r="F242" s="1807" t="n">
        <v>19098622000</v>
      </c>
      <c r="G242" s="1807" t="n">
        <v>26972415000</v>
      </c>
    </row>
    <row r="243" ht="15" customHeight="1">
      <c r="A243" s="1887" t="inlineStr">
        <is>
          <t>Common Stock - Treasury/Repurchased</t>
        </is>
      </c>
      <c r="B243" s="1807" t="n">
        <v>786901000</v>
      </c>
      <c r="C243" s="1807" t="n">
        <v>931422000</v>
      </c>
      <c r="D243" s="1807" t="n">
        <v>931422000</v>
      </c>
      <c r="E243" s="1807" t="n">
        <v>931339000</v>
      </c>
      <c r="F243" s="1807" t="n">
        <v>738670000</v>
      </c>
      <c r="G243" s="1807" t="n">
        <v>636817000</v>
      </c>
    </row>
    <row r="244" ht="15" customHeight="1">
      <c r="A244" s="1887" t="inlineStr">
        <is>
          <t>Common Stock - Held in ESOP or Trust/Deferred Compensation</t>
        </is>
      </c>
      <c r="B244" s="731" t="n"/>
      <c r="C244" s="731" t="n"/>
      <c r="D244" s="731" t="n"/>
      <c r="E244" s="731" t="n"/>
      <c r="F244" s="731" t="n"/>
      <c r="G244" s="731" t="n"/>
    </row>
    <row r="245" ht="15" customHeight="1">
      <c r="A245" s="1887" t="inlineStr">
        <is>
          <t>Common Equity - Contributed</t>
        </is>
      </c>
      <c r="B245" s="1807" t="n">
        <v>530722000</v>
      </c>
      <c r="C245" s="1807" t="n">
        <v>554634000</v>
      </c>
      <c r="D245" s="1807" t="n">
        <v>595626000</v>
      </c>
      <c r="E245" s="1807" t="n">
        <v>620065000</v>
      </c>
      <c r="F245" s="1807" t="n">
        <v>635210000</v>
      </c>
      <c r="G245" s="1807" t="n">
        <v>6060742000</v>
      </c>
    </row>
    <row r="246" ht="15" customHeight="1">
      <c r="A246" s="1890" t="inlineStr">
        <is>
          <t>Common Stock - Issued &amp; Paid</t>
        </is>
      </c>
      <c r="B246" s="1807" t="n">
        <v>510146000</v>
      </c>
      <c r="C246" s="1807" t="n">
        <v>510146000</v>
      </c>
      <c r="D246" s="1807" t="n">
        <v>510146000</v>
      </c>
      <c r="E246" s="1807" t="n">
        <v>510146000</v>
      </c>
      <c r="F246" s="1807" t="n">
        <v>523691000</v>
      </c>
      <c r="G246" s="1807" t="n">
        <v>590981000</v>
      </c>
    </row>
    <row r="247" ht="15" customHeight="1">
      <c r="A247" s="1891" t="inlineStr">
        <is>
          <t>Limited Partner</t>
        </is>
      </c>
      <c r="B247" s="731" t="n"/>
      <c r="C247" s="731" t="n"/>
      <c r="D247" s="731" t="n"/>
      <c r="E247" s="731" t="n"/>
      <c r="F247" s="731" t="n"/>
      <c r="G247" s="731" t="n"/>
    </row>
    <row r="248" ht="15" customHeight="1">
      <c r="A248" s="1890" t="inlineStr">
        <is>
          <t>Common Stock - Additional Paid in Capital including Option Reserve</t>
        </is>
      </c>
      <c r="B248" s="1807" t="n">
        <v>20576000</v>
      </c>
      <c r="C248" s="1807" t="n">
        <v>44488000</v>
      </c>
      <c r="D248" s="1807" t="n">
        <v>85480000</v>
      </c>
      <c r="E248" s="1807" t="n">
        <v>109919000</v>
      </c>
      <c r="F248" s="1807" t="n">
        <v>111519000</v>
      </c>
      <c r="G248" s="1807" t="n">
        <v>5469761000</v>
      </c>
    </row>
    <row r="249" ht="15" customHeight="1">
      <c r="A249" s="1890" t="inlineStr">
        <is>
          <t>Common Share Capital including Additional Paid in Capital - Total</t>
        </is>
      </c>
      <c r="B249" s="731" t="n"/>
      <c r="C249" s="731" t="n"/>
      <c r="D249" s="731" t="n"/>
      <c r="E249" s="731" t="n"/>
      <c r="F249" s="731" t="n"/>
      <c r="G249" s="731" t="n"/>
    </row>
    <row r="250" ht="15" customHeight="1">
      <c r="A250" s="1887" t="inlineStr">
        <is>
          <t>Equity - Non-Contributed - Reserves &amp; Retained Earnings</t>
        </is>
      </c>
      <c r="B250" s="1807" t="n">
        <v>10410219000</v>
      </c>
      <c r="C250" s="1807" t="n">
        <v>12407785000</v>
      </c>
      <c r="D250" s="1807" t="n">
        <v>14736364000</v>
      </c>
      <c r="E250" s="1807" t="n">
        <v>16767666000</v>
      </c>
      <c r="F250" s="1807" t="n">
        <v>19202082000</v>
      </c>
      <c r="G250" s="1807" t="n">
        <v>21548490000</v>
      </c>
    </row>
    <row r="251" ht="15" customHeight="1">
      <c r="A251" s="1890" t="inlineStr">
        <is>
          <t>Retained Earnings - Total</t>
        </is>
      </c>
      <c r="B251" s="1807" t="n">
        <v>10365634000</v>
      </c>
      <c r="C251" s="1807" t="n">
        <v>12394007000</v>
      </c>
      <c r="D251" s="1807" t="n">
        <v>14635878000</v>
      </c>
      <c r="E251" s="1807" t="n">
        <v>16688820000</v>
      </c>
      <c r="F251" s="1807" t="n">
        <v>19122894000</v>
      </c>
      <c r="G251" s="1807" t="n">
        <v>21602062000</v>
      </c>
    </row>
    <row r="252" ht="15" customHeight="1">
      <c r="A252" s="1890" t="inlineStr">
        <is>
          <t>Comprehensive Income - Accumulated - Total</t>
        </is>
      </c>
      <c r="B252" s="1807" t="n">
        <v>44585000</v>
      </c>
      <c r="C252" s="1807" t="n">
        <v>13778000</v>
      </c>
      <c r="D252" s="1807" t="n">
        <v>100486000</v>
      </c>
      <c r="E252" s="1807" t="n">
        <v>78846000</v>
      </c>
      <c r="F252" s="1807" t="n">
        <v>79188000</v>
      </c>
      <c r="G252" s="1807" t="n">
        <v>-53572000</v>
      </c>
    </row>
    <row r="253" ht="15" customHeight="1">
      <c r="A253" s="1891" t="inlineStr">
        <is>
          <t>Investments - Unrealized Gain/Loss</t>
        </is>
      </c>
      <c r="B253" s="1807" t="n">
        <v>16713000</v>
      </c>
      <c r="C253" s="1807" t="n">
        <v>15360000</v>
      </c>
      <c r="D253" s="1807" t="n">
        <v>-2205000</v>
      </c>
      <c r="E253" s="1807" t="n">
        <v>0</v>
      </c>
      <c r="F253" s="731" t="n"/>
      <c r="G253" s="731" t="n"/>
    </row>
    <row r="254" ht="15" customHeight="1">
      <c r="A254" s="1891" t="inlineStr">
        <is>
          <t>Hedging Reserves</t>
        </is>
      </c>
      <c r="B254" s="1807" t="n">
        <v>8768000</v>
      </c>
      <c r="C254" s="1807" t="n">
        <v>-14601000</v>
      </c>
      <c r="D254" s="1807" t="n">
        <v>95443000</v>
      </c>
      <c r="E254" s="1807" t="n">
        <v>64785000</v>
      </c>
      <c r="F254" s="1807" t="n">
        <v>60313000</v>
      </c>
      <c r="G254" s="1807" t="n">
        <v>-42951000</v>
      </c>
    </row>
    <row r="255" ht="15" customHeight="1">
      <c r="A255" s="1891" t="inlineStr">
        <is>
          <t>Foreign Currency Translation Adjustment - Accumulated</t>
        </is>
      </c>
      <c r="B255" s="731" t="n"/>
      <c r="C255" s="731" t="n"/>
      <c r="D255" s="731" t="n"/>
      <c r="E255" s="731" t="n"/>
      <c r="F255" s="731" t="n"/>
      <c r="G255" s="1807" t="n">
        <v>1302000</v>
      </c>
    </row>
    <row r="256" ht="15" customHeight="1">
      <c r="A256" s="1891" t="inlineStr">
        <is>
          <t>Comprehensive Income - Pension Liabilities</t>
        </is>
      </c>
      <c r="B256" s="1807" t="n">
        <v>19104000</v>
      </c>
      <c r="C256" s="1807" t="n">
        <v>13019000</v>
      </c>
      <c r="D256" s="1807" t="n">
        <v>7248000</v>
      </c>
      <c r="E256" s="1807" t="n">
        <v>14047000</v>
      </c>
      <c r="F256" s="1807" t="n">
        <v>18834000</v>
      </c>
      <c r="G256" s="1807" t="n">
        <v>-10110000</v>
      </c>
    </row>
    <row r="257" ht="15" customHeight="1">
      <c r="A257" s="1891" t="inlineStr">
        <is>
          <t>Comprehensive Income - Unearned Compensation</t>
        </is>
      </c>
      <c r="B257" s="731" t="n"/>
      <c r="C257" s="731" t="n"/>
      <c r="D257" s="731" t="n"/>
      <c r="E257" s="731" t="n"/>
      <c r="F257" s="731" t="n"/>
      <c r="G257" s="731" t="n"/>
    </row>
    <row r="258" ht="15" customHeight="1">
      <c r="A258" s="1891" t="inlineStr">
        <is>
          <t>Revaluation Reserves</t>
        </is>
      </c>
      <c r="B258" s="731" t="n"/>
      <c r="C258" s="731" t="n"/>
      <c r="D258" s="731" t="n"/>
      <c r="E258" s="731" t="n"/>
      <c r="F258" s="731" t="n"/>
      <c r="G258" s="731" t="n"/>
    </row>
    <row r="259" ht="15" customHeight="1">
      <c r="A259" s="1891" t="inlineStr">
        <is>
          <t>Comprehensive Income - Other - Total</t>
        </is>
      </c>
      <c r="B259" s="731" t="n"/>
      <c r="C259" s="731" t="n"/>
      <c r="D259" s="731" t="n"/>
      <c r="E259" s="1807" t="n">
        <v>14000</v>
      </c>
      <c r="F259" s="1807" t="n">
        <v>41000</v>
      </c>
      <c r="G259" s="1807" t="n">
        <v>-1813000</v>
      </c>
    </row>
    <row r="260" ht="15" customHeight="1">
      <c r="A260" s="1890" t="inlineStr">
        <is>
          <t>Other Reserves/Equity - Total</t>
        </is>
      </c>
      <c r="B260" s="731" t="n"/>
      <c r="C260" s="731" t="n"/>
      <c r="D260" s="731" t="n"/>
      <c r="E260" s="731" t="n"/>
      <c r="F260" s="731" t="n"/>
      <c r="G260" s="731" t="n"/>
    </row>
    <row r="261" ht="15" customHeight="1">
      <c r="A261" s="1891" t="inlineStr">
        <is>
          <t>Goodwill - Cumulative Written Off</t>
        </is>
      </c>
      <c r="B261" s="731" t="n"/>
      <c r="C261" s="731" t="n"/>
      <c r="D261" s="731" t="n"/>
      <c r="E261" s="731" t="n"/>
      <c r="F261" s="731" t="n"/>
      <c r="G261" s="731" t="n"/>
    </row>
    <row r="262" ht="15" customHeight="1">
      <c r="A262" s="1891" t="inlineStr">
        <is>
          <t>Untaxed/Special Reserves</t>
        </is>
      </c>
      <c r="B262" s="731" t="n"/>
      <c r="C262" s="731" t="n"/>
      <c r="D262" s="731" t="n"/>
      <c r="E262" s="731" t="n"/>
      <c r="F262" s="731" t="n"/>
      <c r="G262" s="731" t="n"/>
    </row>
    <row r="263" ht="15" customHeight="1">
      <c r="A263" s="1891" t="inlineStr">
        <is>
          <t>Negative Consolidation Differences, Goodwill &amp; Cumulative Amount Written Off against Reserves</t>
        </is>
      </c>
      <c r="B263" s="731" t="n"/>
      <c r="C263" s="731" t="n"/>
      <c r="D263" s="731" t="n"/>
      <c r="E263" s="731" t="n"/>
      <c r="F263" s="731" t="n"/>
      <c r="G263" s="731" t="n"/>
    </row>
    <row r="264" ht="15" customHeight="1">
      <c r="A264" s="1886" t="inlineStr">
        <is>
          <t>Equity - Other</t>
        </is>
      </c>
      <c r="B264" s="731" t="n"/>
      <c r="C264" s="731" t="n"/>
      <c r="D264" s="731" t="n"/>
      <c r="E264" s="731" t="n"/>
      <c r="F264" s="731" t="n"/>
      <c r="G264" s="731" t="n"/>
    </row>
    <row r="265" ht="15" customHeight="1">
      <c r="A265" s="1887" t="inlineStr">
        <is>
          <t>General Partner</t>
        </is>
      </c>
      <c r="B265" s="731" t="n"/>
      <c r="C265" s="731" t="n"/>
      <c r="D265" s="731" t="n"/>
      <c r="E265" s="731" t="n"/>
      <c r="F265" s="731" t="n"/>
      <c r="G265" s="731" t="n"/>
    </row>
    <row r="266" ht="15" customHeight="1">
      <c r="A266" s="1887" t="inlineStr">
        <is>
          <t>Deferred Shares</t>
        </is>
      </c>
      <c r="B266" s="731" t="n"/>
      <c r="C266" s="731" t="n"/>
      <c r="D266" s="731" t="n"/>
      <c r="E266" s="731" t="n"/>
      <c r="F266" s="731" t="n"/>
      <c r="G266" s="731" t="n"/>
    </row>
    <row r="267" ht="15" customHeight="1">
      <c r="A267" s="1886" t="inlineStr">
        <is>
          <t>Common Equity - Total</t>
        </is>
      </c>
      <c r="B267" s="1807" t="n">
        <v>10154040000</v>
      </c>
      <c r="C267" s="1807" t="n">
        <v>12030997000</v>
      </c>
      <c r="D267" s="1807" t="n">
        <v>14400568000</v>
      </c>
      <c r="E267" s="1807" t="n">
        <v>16456392000</v>
      </c>
      <c r="F267" s="1807" t="n">
        <v>19098622000</v>
      </c>
      <c r="G267" s="1807" t="n">
        <v>26972415000</v>
      </c>
    </row>
    <row r="268" ht="15" customHeight="1">
      <c r="A268" s="1885" t="inlineStr">
        <is>
          <t>Minority Interest - Equity</t>
        </is>
      </c>
      <c r="B268" s="1807" t="n">
        <v>30008000</v>
      </c>
      <c r="C268" s="1807" t="n">
        <v>31019000</v>
      </c>
      <c r="D268" s="1807" t="n">
        <v>31766000</v>
      </c>
      <c r="E268" s="1807" t="n">
        <v>55272000</v>
      </c>
      <c r="F268" s="1807" t="n">
        <v>70587000</v>
      </c>
      <c r="G268" s="1807" t="n">
        <v>110891000</v>
      </c>
    </row>
    <row r="269" ht="15" customHeight="1">
      <c r="A269" s="1885" t="inlineStr">
        <is>
          <t>Hybrid Financial Instrument - Equity Portion</t>
        </is>
      </c>
      <c r="B269" s="731" t="n"/>
      <c r="C269" s="731" t="n"/>
      <c r="D269" s="731" t="n"/>
      <c r="E269" s="731" t="n"/>
      <c r="F269" s="731" t="n"/>
      <c r="G269" s="731" t="n"/>
    </row>
    <row r="270" ht="15" customHeight="1">
      <c r="A270" s="1884" t="inlineStr">
        <is>
          <t>Total Shareholders' Equity</t>
        </is>
      </c>
      <c r="B270" s="734" t="n"/>
      <c r="C270" s="734" t="n"/>
      <c r="D270" s="734" t="n"/>
      <c r="E270" s="734" t="n"/>
      <c r="F270" s="734" t="n"/>
      <c r="G270" s="734" t="n"/>
    </row>
    <row r="271" ht="15" customHeight="1">
      <c r="A271" s="1888" t="inlineStr">
        <is>
          <t>Total Shareholders' Equity - including Minority Interest &amp; Hybrid Debt</t>
        </is>
      </c>
      <c r="B271" s="1889" t="n">
        <v>10184048000</v>
      </c>
      <c r="C271" s="1889" t="n">
        <v>12062016000</v>
      </c>
      <c r="D271" s="1889" t="n">
        <v>14432334000</v>
      </c>
      <c r="E271" s="1889" t="n">
        <v>16511664000</v>
      </c>
      <c r="F271" s="1889" t="n">
        <v>19169209000</v>
      </c>
      <c r="G271" s="1889" t="n">
        <v>27083306000</v>
      </c>
    </row>
    <row r="272" ht="15" customHeight="1">
      <c r="A272" s="1884" t="inlineStr">
        <is>
          <t>Total Liabilities &amp; Shareholders' Equity</t>
        </is>
      </c>
      <c r="B272" s="734" t="n"/>
      <c r="C272" s="734" t="n"/>
      <c r="D272" s="734" t="n"/>
      <c r="E272" s="734" t="n"/>
      <c r="F272" s="734" t="n"/>
      <c r="G272" s="734" t="n"/>
    </row>
    <row r="273" ht="15" customHeight="1">
      <c r="A273" s="1888" t="inlineStr">
        <is>
          <t>Total Liabilities &amp; Equity</t>
        </is>
      </c>
      <c r="B273" s="1889" t="n">
        <v>34249550000</v>
      </c>
      <c r="C273" s="1889" t="n">
        <v>65828670000</v>
      </c>
      <c r="D273" s="1889" t="n">
        <v>65625136000</v>
      </c>
      <c r="E273" s="1889" t="n">
        <v>68418946000</v>
      </c>
      <c r="F273" s="1889" t="n">
        <v>77828380000</v>
      </c>
      <c r="G273" s="1889" t="n">
        <v>77269692000</v>
      </c>
    </row>
    <row r="274" ht="15" customHeight="1">
      <c r="A274" s="1884" t="inlineStr">
        <is>
          <t>Share/Per Share - Common</t>
        </is>
      </c>
      <c r="B274" s="734" t="n"/>
      <c r="C274" s="734" t="n"/>
      <c r="D274" s="734" t="n"/>
      <c r="E274" s="734" t="n"/>
      <c r="F274" s="734" t="n"/>
      <c r="G274" s="734" t="n"/>
    </row>
    <row r="275" ht="15" customHeight="1">
      <c r="A275" s="1885" t="inlineStr">
        <is>
          <t>Common Shares - Issued - Total</t>
        </is>
      </c>
      <c r="B275" s="1807" t="n">
        <v>51014625</v>
      </c>
      <c r="C275" s="1807" t="n">
        <v>51014625</v>
      </c>
      <c r="D275" s="1807" t="n">
        <v>51014625</v>
      </c>
      <c r="E275" s="1807" t="n">
        <v>51014625</v>
      </c>
      <c r="F275" s="1807" t="n">
        <v>51014625</v>
      </c>
      <c r="G275" s="1807" t="n">
        <v>59098103.73</v>
      </c>
    </row>
    <row r="276" ht="15" customHeight="1">
      <c r="A276" s="1886" t="inlineStr">
        <is>
          <t>Common Shares - Outstanding - Total</t>
        </is>
      </c>
      <c r="B276" s="1807" t="n">
        <v>49938135</v>
      </c>
      <c r="C276" s="1807" t="n">
        <v>49798939.8</v>
      </c>
      <c r="D276" s="1807" t="n">
        <v>49798939.8</v>
      </c>
      <c r="E276" s="1807" t="n">
        <v>49799041.6</v>
      </c>
      <c r="F276" s="1807" t="n">
        <v>50036733.35</v>
      </c>
      <c r="G276" s="1807" t="n">
        <v>58211582.38</v>
      </c>
    </row>
    <row r="277" ht="15" customHeight="1">
      <c r="A277" s="1886" t="inlineStr">
        <is>
          <t>Common Shares - Treasury - Total</t>
        </is>
      </c>
      <c r="B277" s="1807" t="n">
        <v>1076490</v>
      </c>
      <c r="C277" s="1807" t="n">
        <v>1215685.2</v>
      </c>
      <c r="D277" s="1807" t="n">
        <v>1215685.2</v>
      </c>
      <c r="E277" s="1807" t="n">
        <v>1215583.4</v>
      </c>
      <c r="F277" s="1807" t="n">
        <v>977891.65</v>
      </c>
      <c r="G277" s="1807" t="n">
        <v>886521.35</v>
      </c>
    </row>
    <row r="278" ht="15" customHeight="1">
      <c r="A278" s="1885" t="inlineStr">
        <is>
          <t>Common Shares - Authorized - Issue Specific</t>
        </is>
      </c>
      <c r="B278" s="1807" t="n">
        <v>100000000</v>
      </c>
      <c r="C278" s="1807" t="n">
        <v>100000000</v>
      </c>
      <c r="D278" s="1807" t="n">
        <v>100000000</v>
      </c>
      <c r="E278" s="1807" t="n">
        <v>100000000</v>
      </c>
      <c r="F278" s="1807" t="n">
        <v>200000000</v>
      </c>
      <c r="G278" s="1807" t="n">
        <v>200000000</v>
      </c>
    </row>
    <row r="279" ht="15" customHeight="1">
      <c r="A279" s="1885" t="inlineStr">
        <is>
          <t>Common Shares - Issued - Issue Specific</t>
        </is>
      </c>
      <c r="B279" s="1807" t="n">
        <v>51014625</v>
      </c>
      <c r="C279" s="1807" t="n">
        <v>51014625</v>
      </c>
      <c r="D279" s="1807" t="n">
        <v>51014625</v>
      </c>
      <c r="E279" s="1807" t="n">
        <v>51014625</v>
      </c>
      <c r="F279" s="1807" t="n">
        <v>51014625</v>
      </c>
      <c r="G279" s="1807" t="n">
        <v>59098103.73</v>
      </c>
    </row>
    <row r="280" ht="15" customHeight="1">
      <c r="A280" s="1886" t="inlineStr">
        <is>
          <t>Common Shares - Outstanding - Issue Specific</t>
        </is>
      </c>
      <c r="B280" s="1807" t="n">
        <v>49938135</v>
      </c>
      <c r="C280" s="1807" t="n">
        <v>49798939.8</v>
      </c>
      <c r="D280" s="1807" t="n">
        <v>49798939.8</v>
      </c>
      <c r="E280" s="1807" t="n">
        <v>49799041.6</v>
      </c>
      <c r="F280" s="1807" t="n">
        <v>50036733.35</v>
      </c>
      <c r="G280" s="1807" t="n">
        <v>58211582.38</v>
      </c>
    </row>
    <row r="281" ht="15" customHeight="1">
      <c r="A281" s="1886" t="inlineStr">
        <is>
          <t>Common Shares - Treasury - Issue Specific</t>
        </is>
      </c>
      <c r="B281" s="1807" t="n">
        <v>1076490</v>
      </c>
      <c r="C281" s="1807" t="n">
        <v>1215685.2</v>
      </c>
      <c r="D281" s="1807" t="n">
        <v>1215685.2</v>
      </c>
      <c r="E281" s="1807" t="n">
        <v>1215583.4</v>
      </c>
      <c r="F281" s="1807" t="n">
        <v>977891.65</v>
      </c>
      <c r="G281" s="1807" t="n">
        <v>886521.35</v>
      </c>
    </row>
    <row r="282" ht="15" customHeight="1">
      <c r="A282" s="1885" t="inlineStr">
        <is>
          <t>Common Shares - Issued - Issue Specific - Current</t>
        </is>
      </c>
      <c r="B282" s="731" t="n"/>
      <c r="C282" s="731" t="n"/>
      <c r="D282" s="731" t="n"/>
      <c r="E282" s="731" t="n"/>
      <c r="F282" s="731" t="n"/>
      <c r="G282" s="731" t="n"/>
    </row>
    <row r="283" ht="15" customHeight="1">
      <c r="A283" s="1886" t="inlineStr">
        <is>
          <t>Common Shares - Outstanding - Issue Specific - Current</t>
        </is>
      </c>
      <c r="B283" s="731" t="n"/>
      <c r="C283" s="731" t="n"/>
      <c r="D283" s="731" t="n"/>
      <c r="E283" s="731" t="n"/>
      <c r="F283" s="731" t="n"/>
      <c r="G283" s="731" t="n"/>
    </row>
    <row r="284" ht="15" customHeight="1">
      <c r="A284" s="1886" t="inlineStr">
        <is>
          <t>Common Shares - Treasury - Issue Specific - Current</t>
        </is>
      </c>
      <c r="B284" s="731" t="n"/>
      <c r="C284" s="731" t="n"/>
      <c r="D284" s="731" t="n"/>
      <c r="E284" s="731" t="n"/>
      <c r="F284" s="731" t="n"/>
      <c r="G284" s="731" t="n"/>
    </row>
    <row r="285" ht="15" customHeight="1">
      <c r="A285" s="1885" t="inlineStr">
        <is>
          <t>Common Shares - Issued - Issue Specific - DR</t>
        </is>
      </c>
      <c r="B285" s="731" t="n"/>
      <c r="C285" s="731" t="n"/>
      <c r="D285" s="731" t="n"/>
      <c r="E285" s="731" t="n"/>
      <c r="F285" s="731" t="n"/>
      <c r="G285" s="731" t="n"/>
    </row>
    <row r="286" ht="15" customHeight="1">
      <c r="A286" s="1886" t="inlineStr">
        <is>
          <t>Common Shares - Outstanding - Issue Specific - DR</t>
        </is>
      </c>
      <c r="B286" s="731" t="n"/>
      <c r="C286" s="731" t="n"/>
      <c r="D286" s="731" t="n"/>
      <c r="E286" s="731" t="n"/>
      <c r="F286" s="731" t="n"/>
      <c r="G286" s="731" t="n"/>
    </row>
    <row r="287" ht="15" customHeight="1">
      <c r="A287" s="1886" t="inlineStr">
        <is>
          <t>Common Shares - Treasury - Issue Specific - DR</t>
        </is>
      </c>
      <c r="B287" s="731" t="n"/>
      <c r="C287" s="731" t="n"/>
      <c r="D287" s="731" t="n"/>
      <c r="E287" s="731" t="n"/>
      <c r="F287" s="731" t="n"/>
      <c r="G287" s="731" t="n"/>
    </row>
    <row r="288" ht="15" customHeight="1">
      <c r="A288" s="1885" t="inlineStr">
        <is>
          <t>Common Shares - Issued - Issue Specific - CPO</t>
        </is>
      </c>
      <c r="B288" s="731" t="n"/>
      <c r="C288" s="731" t="n"/>
      <c r="D288" s="731" t="n"/>
      <c r="E288" s="731" t="n"/>
      <c r="F288" s="731" t="n"/>
      <c r="G288" s="731" t="n"/>
    </row>
    <row r="289" ht="15" customHeight="1">
      <c r="A289" s="1886" t="inlineStr">
        <is>
          <t>Common Shares - Outstanding - Issue Specific - CPO</t>
        </is>
      </c>
      <c r="B289" s="731" t="n"/>
      <c r="C289" s="731" t="n"/>
      <c r="D289" s="731" t="n"/>
      <c r="E289" s="731" t="n"/>
      <c r="F289" s="731" t="n"/>
      <c r="G289" s="731" t="n"/>
    </row>
    <row r="290" ht="15" customHeight="1">
      <c r="A290" s="1886" t="inlineStr">
        <is>
          <t>Common Shares - Treasury - Issue Specific - CPO</t>
        </is>
      </c>
      <c r="B290" s="731" t="n"/>
      <c r="C290" s="731" t="n"/>
      <c r="D290" s="731" t="n"/>
      <c r="E290" s="731" t="n"/>
      <c r="F290" s="731" t="n"/>
      <c r="G290" s="731" t="n"/>
    </row>
    <row r="291" ht="15" customHeight="1">
      <c r="A291" s="1884" t="inlineStr">
        <is>
          <t>Share/Per Share - Preferred</t>
        </is>
      </c>
      <c r="B291" s="734" t="n"/>
      <c r="C291" s="734" t="n"/>
      <c r="D291" s="734" t="n"/>
      <c r="E291" s="734" t="n"/>
      <c r="F291" s="734" t="n"/>
      <c r="G291" s="734" t="n"/>
    </row>
    <row r="292" ht="15" customHeight="1">
      <c r="A292" s="1885" t="inlineStr">
        <is>
          <t>Preferred Shares - Authorized - Issue Specific</t>
        </is>
      </c>
      <c r="B292" s="731" t="n"/>
      <c r="C292" s="731" t="n"/>
      <c r="D292" s="731" t="n"/>
      <c r="E292" s="731" t="n"/>
      <c r="F292" s="731" t="n"/>
      <c r="G292" s="731" t="n"/>
    </row>
    <row r="293" ht="15" customHeight="1">
      <c r="A293" s="1885" t="inlineStr">
        <is>
          <t>Preferred Shares - Issued - Issue Specific</t>
        </is>
      </c>
      <c r="B293" s="731" t="n"/>
      <c r="C293" s="731" t="n"/>
      <c r="D293" s="731" t="n"/>
      <c r="E293" s="731" t="n"/>
      <c r="F293" s="731" t="n"/>
      <c r="G293" s="731" t="n"/>
    </row>
    <row r="294" ht="15" customHeight="1">
      <c r="A294" s="1886" t="inlineStr">
        <is>
          <t>Preferred Shares - Outstanding - Issue Specific</t>
        </is>
      </c>
      <c r="B294" s="731" t="n"/>
      <c r="C294" s="731" t="n"/>
      <c r="D294" s="731" t="n"/>
      <c r="E294" s="731" t="n"/>
      <c r="F294" s="731" t="n"/>
      <c r="G294" s="731" t="n"/>
    </row>
    <row r="295" ht="15" customHeight="1">
      <c r="A295" s="1886" t="inlineStr">
        <is>
          <t>Preferred Shares - Treasury - Issue Specific</t>
        </is>
      </c>
      <c r="B295" s="731" t="n"/>
      <c r="C295" s="731" t="n"/>
      <c r="D295" s="731" t="n"/>
      <c r="E295" s="731" t="n"/>
      <c r="F295" s="731" t="n"/>
      <c r="G295" s="731" t="n"/>
    </row>
    <row r="296" ht="15" customHeight="1">
      <c r="A296" s="1885" t="inlineStr">
        <is>
          <t>Preferred Shares - Issued - Issue Specific - Current</t>
        </is>
      </c>
      <c r="B296" s="731" t="n"/>
      <c r="C296" s="731" t="n"/>
      <c r="D296" s="731" t="n"/>
      <c r="E296" s="731" t="n"/>
      <c r="F296" s="731" t="n"/>
      <c r="G296" s="731" t="n"/>
    </row>
    <row r="297" ht="15" customHeight="1">
      <c r="A297" s="1886" t="inlineStr">
        <is>
          <t>Preferred Shares - Outstanding - Issue Specific - Current</t>
        </is>
      </c>
      <c r="B297" s="731" t="n"/>
      <c r="C297" s="731" t="n"/>
      <c r="D297" s="731" t="n"/>
      <c r="E297" s="731" t="n"/>
      <c r="F297" s="731" t="n"/>
      <c r="G297" s="731" t="n"/>
    </row>
    <row r="298" ht="15" customHeight="1">
      <c r="A298" s="1886" t="inlineStr">
        <is>
          <t>Preferred Shares - Treasury - Issue Specific - Current</t>
        </is>
      </c>
      <c r="B298" s="731" t="n"/>
      <c r="C298" s="731" t="n"/>
      <c r="D298" s="731" t="n"/>
      <c r="E298" s="731" t="n"/>
      <c r="F298" s="731" t="n"/>
      <c r="G298" s="731" t="n"/>
    </row>
    <row r="299" ht="15" customHeight="1">
      <c r="A299" s="1884" t="inlineStr">
        <is>
          <t>Share/Per Share - Other</t>
        </is>
      </c>
      <c r="B299" s="734" t="n"/>
      <c r="C299" s="734" t="n"/>
      <c r="D299" s="734" t="n"/>
      <c r="E299" s="734" t="n"/>
      <c r="F299" s="734" t="n"/>
      <c r="G299" s="734" t="n"/>
    </row>
    <row r="300" ht="15" customHeight="1">
      <c r="A300" s="1885" t="inlineStr">
        <is>
          <t>Asset Allocation Factor - Issue Specific</t>
        </is>
      </c>
      <c r="B300" s="1892" t="n">
        <v>1</v>
      </c>
      <c r="C300" s="1892" t="n">
        <v>1</v>
      </c>
      <c r="D300" s="1892" t="n">
        <v>1</v>
      </c>
      <c r="E300" s="1892" t="n">
        <v>1</v>
      </c>
      <c r="F300" s="1892" t="n">
        <v>1</v>
      </c>
      <c r="G300" s="1892" t="n">
        <v>1</v>
      </c>
    </row>
    <row r="301" ht="15" customHeight="1">
      <c r="A301" s="1885" t="inlineStr">
        <is>
          <t>Asset Participation Factor - Issue Specific</t>
        </is>
      </c>
      <c r="B301" s="731" t="n"/>
      <c r="C301" s="731" t="n"/>
      <c r="D301" s="731" t="n"/>
      <c r="E301" s="731" t="n"/>
      <c r="F301" s="731" t="n"/>
      <c r="G301" s="731" t="n"/>
    </row>
    <row r="302" ht="15" customHeight="1">
      <c r="A302" s="1884" t="inlineStr">
        <is>
          <t>Right of Use Tangible Assets</t>
        </is>
      </c>
      <c r="B302" s="734" t="n"/>
      <c r="C302" s="734" t="n"/>
      <c r="D302" s="734" t="n"/>
      <c r="E302" s="734" t="n"/>
      <c r="F302" s="734" t="n"/>
      <c r="G302" s="734" t="n"/>
    </row>
    <row r="303" ht="15" customHeight="1">
      <c r="A303" s="1885" t="inlineStr">
        <is>
          <t>Right of Use Tangible Assets - Total - Net - Supplemental</t>
        </is>
      </c>
      <c r="B303" s="1807" t="n">
        <v>5264096000</v>
      </c>
      <c r="C303" s="1807" t="n">
        <v>6676348000</v>
      </c>
      <c r="D303" s="1807" t="n">
        <v>6113351000</v>
      </c>
      <c r="E303" s="1807" t="n">
        <v>5121186000</v>
      </c>
      <c r="F303" s="1807" t="n">
        <v>5567137000</v>
      </c>
      <c r="G303" s="1807" t="n">
        <v>5371315000</v>
      </c>
    </row>
    <row r="304" ht="15" customHeight="1">
      <c r="A304" s="1886" t="inlineStr">
        <is>
          <t>Right of Use Tangible Assets - Operating Lease - Net - Supplemental</t>
        </is>
      </c>
      <c r="B304" s="731" t="n"/>
      <c r="C304" s="731" t="n"/>
      <c r="D304" s="731" t="n"/>
      <c r="E304" s="731" t="n"/>
      <c r="F304" s="731" t="n"/>
      <c r="G304" s="731" t="n"/>
    </row>
    <row r="305" ht="15" customHeight="1">
      <c r="A305" s="1886" t="inlineStr">
        <is>
          <t>Right of Use Tangible Assets - Capital/Finance Lease - Net - Supplemental</t>
        </is>
      </c>
      <c r="B305" s="1807" t="n">
        <v>5264096000</v>
      </c>
      <c r="C305" s="1807" t="n">
        <v>6676348000</v>
      </c>
      <c r="D305" s="1807" t="n">
        <v>6113351000</v>
      </c>
      <c r="E305" s="1807" t="n">
        <v>5121186000</v>
      </c>
      <c r="F305" s="1807" t="n">
        <v>5567137000</v>
      </c>
      <c r="G305" s="1807" t="n">
        <v>5371315000</v>
      </c>
    </row>
    <row r="306" ht="15" customHeight="1">
      <c r="A306" s="1886" t="inlineStr">
        <is>
          <t>Right of Use Tangible Assets - Total - Gross - Supplemental</t>
        </is>
      </c>
      <c r="B306" s="731" t="n"/>
      <c r="C306" s="731" t="n"/>
      <c r="D306" s="731" t="n"/>
      <c r="E306" s="731" t="n"/>
      <c r="F306" s="1807" t="n">
        <v>11232059000</v>
      </c>
      <c r="G306" s="1807" t="n">
        <v>12093812000</v>
      </c>
    </row>
    <row r="307" ht="15" customHeight="1">
      <c r="A307" s="1887" t="inlineStr">
        <is>
          <t>Right of Use Tangible Assets - Operating Lease - Gross - Supplemental</t>
        </is>
      </c>
      <c r="B307" s="731" t="n"/>
      <c r="C307" s="731" t="n"/>
      <c r="D307" s="731" t="n"/>
      <c r="E307" s="731" t="n"/>
      <c r="F307" s="731" t="n"/>
      <c r="G307" s="731" t="n"/>
    </row>
    <row r="308" ht="15" customHeight="1">
      <c r="A308" s="1887" t="inlineStr">
        <is>
          <t>Right of Use Tangible Assets - Capital/Finance Lease - Gross - Supplemental</t>
        </is>
      </c>
      <c r="B308" s="731" t="n"/>
      <c r="C308" s="731" t="n"/>
      <c r="D308" s="731" t="n"/>
      <c r="E308" s="731" t="n"/>
      <c r="F308" s="1807" t="n">
        <v>11232059000</v>
      </c>
      <c r="G308" s="1807" t="n">
        <v>12093812000</v>
      </c>
    </row>
    <row r="309" ht="15" customHeight="1">
      <c r="A309" s="1886" t="inlineStr">
        <is>
          <t>Right of Use Tangible Assets - Total - Accumulated Depreciation - Supplemental</t>
        </is>
      </c>
      <c r="B309" s="731" t="n"/>
      <c r="C309" s="731" t="n"/>
      <c r="D309" s="731" t="n"/>
      <c r="E309" s="731" t="n"/>
      <c r="F309" s="1807" t="n">
        <v>5664922000</v>
      </c>
      <c r="G309" s="1807" t="n">
        <v>6722497000</v>
      </c>
    </row>
    <row r="310" ht="15" customHeight="1">
      <c r="A310" s="1887" t="inlineStr">
        <is>
          <t>Right of Use Tangible Assets - Operating Lease - Accumulated Depreciation - Supplemental</t>
        </is>
      </c>
      <c r="B310" s="731" t="n"/>
      <c r="C310" s="731" t="n"/>
      <c r="D310" s="731" t="n"/>
      <c r="E310" s="731" t="n"/>
      <c r="F310" s="731" t="n"/>
      <c r="G310" s="731" t="n"/>
    </row>
    <row r="311" ht="15" customHeight="1">
      <c r="A311" s="1887" t="inlineStr">
        <is>
          <t>Right of Use Tangible Assets - Capital/Finance Lease - Accumulated Depreciation - Supplemental</t>
        </is>
      </c>
      <c r="B311" s="731" t="n"/>
      <c r="C311" s="731" t="n"/>
      <c r="D311" s="731" t="n"/>
      <c r="E311" s="731" t="n"/>
      <c r="F311" s="1807" t="n">
        <v>5664922000</v>
      </c>
      <c r="G311" s="1807" t="n">
        <v>6722497000</v>
      </c>
    </row>
    <row r="312" ht="15" customHeight="1">
      <c r="A312" s="1885" t="inlineStr">
        <is>
          <t>Property, Plant &amp; Equipment - excluding Right of Use Tangible Assets &amp; Capital Leases - Net</t>
        </is>
      </c>
      <c r="B312" s="1807" t="n">
        <v>22943989000</v>
      </c>
      <c r="C312" s="1807" t="n">
        <v>33125917000</v>
      </c>
      <c r="D312" s="1807" t="n">
        <v>37261130000</v>
      </c>
      <c r="E312" s="1807" t="n">
        <v>40622770000</v>
      </c>
      <c r="F312" s="1807" t="n">
        <v>47667522000</v>
      </c>
      <c r="G312" s="1807" t="n">
        <v>48518343000</v>
      </c>
    </row>
    <row r="313" ht="15" customHeight="1">
      <c r="A313" s="1886" t="inlineStr">
        <is>
          <t>Property, Plant &amp; Equipment - excluding Right of Use Tangible Assets &amp; Capital Leases - Gross</t>
        </is>
      </c>
      <c r="B313" s="731" t="n"/>
      <c r="C313" s="731" t="n"/>
      <c r="D313" s="731" t="n"/>
      <c r="E313" s="731" t="n"/>
      <c r="F313" s="1807" t="n">
        <v>61586561000</v>
      </c>
      <c r="G313" s="1807" t="n">
        <v>63787837000</v>
      </c>
    </row>
    <row r="314" ht="15" customHeight="1">
      <c r="A314" s="1886" t="inlineStr">
        <is>
          <t>Property, Plant &amp; Equipment - excluding Right of Use Tangible Assets &amp; Capital Leases - Accumulated Depreciation</t>
        </is>
      </c>
      <c r="B314" s="731" t="n"/>
      <c r="C314" s="731" t="n"/>
      <c r="D314" s="731" t="n"/>
      <c r="E314" s="731" t="n"/>
      <c r="F314" s="1807" t="n">
        <v>13919039000</v>
      </c>
      <c r="G314" s="1807" t="n">
        <v>15269494000</v>
      </c>
    </row>
    <row r="315" ht="15" customHeight="1">
      <c r="A315" s="1884" t="inlineStr">
        <is>
          <t>Right of Use Intangible Assets</t>
        </is>
      </c>
      <c r="B315" s="734" t="n"/>
      <c r="C315" s="734" t="n"/>
      <c r="D315" s="734" t="n"/>
      <c r="E315" s="734" t="n"/>
      <c r="F315" s="734" t="n"/>
      <c r="G315" s="734" t="n"/>
    </row>
    <row r="316" ht="15" customHeight="1">
      <c r="A316" s="1885" t="inlineStr">
        <is>
          <t>Right of Use Intangible Assets - Net - Supplemental</t>
        </is>
      </c>
      <c r="B316" s="731" t="n"/>
      <c r="C316" s="731" t="n"/>
      <c r="D316" s="731" t="n"/>
      <c r="E316" s="731" t="n"/>
      <c r="F316" s="731" t="n"/>
      <c r="G316" s="731" t="n"/>
    </row>
    <row r="317" ht="15" customHeight="1">
      <c r="A317" s="1886" t="inlineStr">
        <is>
          <t>Right of Use Intangible Assets - Gross - Supplemental</t>
        </is>
      </c>
      <c r="B317" s="731" t="n"/>
      <c r="C317" s="731" t="n"/>
      <c r="D317" s="731" t="n"/>
      <c r="E317" s="731" t="n"/>
      <c r="F317" s="731" t="n"/>
      <c r="G317" s="731" t="n"/>
    </row>
    <row r="318" ht="15" customHeight="1">
      <c r="A318" s="1886" t="inlineStr">
        <is>
          <t>Right of Use Intangible Assets - Accumulated Amortization - Supplemental</t>
        </is>
      </c>
      <c r="B318" s="731" t="n"/>
      <c r="C318" s="731" t="n"/>
      <c r="D318" s="731" t="n"/>
      <c r="E318" s="731" t="n"/>
      <c r="F318" s="731" t="n"/>
      <c r="G318" s="731" t="n"/>
    </row>
    <row r="319" ht="15" customHeight="1">
      <c r="A319" s="1884" t="inlineStr">
        <is>
          <t>Right of Use Liabilities</t>
        </is>
      </c>
      <c r="B319" s="734" t="n"/>
      <c r="C319" s="734" t="n"/>
      <c r="D319" s="734" t="n"/>
      <c r="E319" s="734" t="n"/>
      <c r="F319" s="734" t="n"/>
      <c r="G319" s="734" t="n"/>
    </row>
    <row r="320" ht="15" customHeight="1">
      <c r="A320" s="1885" t="inlineStr">
        <is>
          <t>Total Operating Lease Liabilities</t>
        </is>
      </c>
      <c r="B320" s="731" t="n"/>
      <c r="C320" s="731" t="n"/>
      <c r="D320" s="731" t="n"/>
      <c r="E320" s="731" t="n"/>
      <c r="F320" s="731" t="n"/>
      <c r="G320" s="731" t="n"/>
    </row>
    <row r="321" ht="15" customHeight="1">
      <c r="A321" s="1886" t="inlineStr">
        <is>
          <t>Operating Lease Liabilities - Long-Term &amp; Short-Term - Supplemental</t>
        </is>
      </c>
      <c r="B321" s="731" t="n"/>
      <c r="C321" s="731" t="n"/>
      <c r="D321" s="731" t="n"/>
      <c r="E321" s="731" t="n"/>
      <c r="F321" s="731" t="n"/>
      <c r="G321" s="731" t="n"/>
    </row>
    <row r="322" ht="15" customHeight="1">
      <c r="A322" s="1886" t="inlineStr">
        <is>
          <t>Operating Lease Liabilities - Current Portion/Short-Term - Supplemental</t>
        </is>
      </c>
      <c r="B322" s="731" t="n"/>
      <c r="C322" s="731" t="n"/>
      <c r="D322" s="731" t="n"/>
      <c r="E322" s="731" t="n"/>
      <c r="F322" s="731" t="n"/>
      <c r="G322" s="731" t="n"/>
    </row>
    <row r="323" ht="15" customHeight="1">
      <c r="A323" s="1886" t="inlineStr">
        <is>
          <t>Operating Lease Liabilities - Long-Term - Supplemental</t>
        </is>
      </c>
      <c r="B323" s="731" t="n"/>
      <c r="C323" s="731" t="n"/>
      <c r="D323" s="731" t="n"/>
      <c r="E323" s="731" t="n"/>
      <c r="F323" s="731" t="n"/>
      <c r="G323" s="731" t="n"/>
    </row>
    <row r="324" ht="15" customHeight="1">
      <c r="A324" s="1885" t="inlineStr">
        <is>
          <t>Finance and Operating Lease Liabilities - Total</t>
        </is>
      </c>
      <c r="B324" s="1807" t="n">
        <v>2012043000</v>
      </c>
      <c r="C324" s="1807" t="n">
        <v>2545550000</v>
      </c>
      <c r="D324" s="1807" t="n">
        <v>1977557000</v>
      </c>
      <c r="E324" s="1807" t="n">
        <v>445418000</v>
      </c>
      <c r="F324" s="1807" t="n">
        <v>918773000</v>
      </c>
      <c r="G324" s="1807" t="n">
        <v>666380000</v>
      </c>
    </row>
    <row r="325" ht="15" customHeight="1">
      <c r="A325" s="1885" t="inlineStr">
        <is>
          <t>Debt including Finance and Operating Lease Liabilities</t>
        </is>
      </c>
      <c r="B325" s="1807" t="n">
        <v>20196791000</v>
      </c>
      <c r="C325" s="1807" t="n">
        <v>46984740000</v>
      </c>
      <c r="D325" s="1807" t="n">
        <v>44972168000</v>
      </c>
      <c r="E325" s="1807" t="n">
        <v>44967602000</v>
      </c>
      <c r="F325" s="1807" t="n">
        <v>52336135000</v>
      </c>
      <c r="G325" s="1807" t="n">
        <v>45219438000</v>
      </c>
    </row>
    <row r="326" ht="15" customHeight="1">
      <c r="A326" s="1884" t="inlineStr">
        <is>
          <t>Long-Term &amp; Short-Term</t>
        </is>
      </c>
      <c r="B326" s="734" t="n"/>
      <c r="C326" s="734" t="n"/>
      <c r="D326" s="734" t="n"/>
      <c r="E326" s="734" t="n"/>
      <c r="F326" s="734" t="n"/>
      <c r="G326" s="734" t="n"/>
    </row>
    <row r="327" ht="15" customHeight="1">
      <c r="A327" s="1885" t="inlineStr">
        <is>
          <t>Derivative Financial Instruments - Hedging - Total</t>
        </is>
      </c>
      <c r="B327" s="731" t="n"/>
      <c r="C327" s="731" t="n"/>
      <c r="D327" s="1807" t="n">
        <v>286484000</v>
      </c>
      <c r="E327" s="1807" t="n">
        <v>157051000</v>
      </c>
      <c r="F327" s="1807" t="n">
        <v>273499000</v>
      </c>
      <c r="G327" s="1807" t="n">
        <v>266109000</v>
      </c>
    </row>
    <row r="328" ht="15" customHeight="1">
      <c r="A328" s="1885" t="inlineStr">
        <is>
          <t>Investments - Total</t>
        </is>
      </c>
      <c r="B328" s="1807" t="n">
        <v>476210000</v>
      </c>
      <c r="C328" s="1807" t="n">
        <v>531308000</v>
      </c>
      <c r="D328" s="1807" t="n">
        <v>540569000</v>
      </c>
      <c r="E328" s="1807" t="n">
        <v>88449000</v>
      </c>
      <c r="F328" s="1807" t="n">
        <v>39040000</v>
      </c>
      <c r="G328" s="1807" t="n">
        <v>62313000</v>
      </c>
    </row>
    <row r="329" ht="15" customHeight="1">
      <c r="A329" s="1885" t="inlineStr">
        <is>
          <t>Loans &amp; Receivables - Total</t>
        </is>
      </c>
      <c r="B329" s="1807" t="n">
        <v>1302381000</v>
      </c>
      <c r="C329" s="1807" t="n">
        <v>2507666000</v>
      </c>
      <c r="D329" s="1807" t="n">
        <v>2899566000</v>
      </c>
      <c r="E329" s="1807" t="n">
        <v>3398712000</v>
      </c>
      <c r="F329" s="1807" t="n">
        <v>4623870000</v>
      </c>
      <c r="G329" s="1807" t="n">
        <v>2733167000</v>
      </c>
    </row>
    <row r="330" ht="15" customHeight="1">
      <c r="A330" s="1886" t="inlineStr">
        <is>
          <t>Accounts &amp; Notes Receivable - Trade - Gross - Total</t>
        </is>
      </c>
      <c r="B330" s="1807" t="n">
        <v>1687784000</v>
      </c>
      <c r="C330" s="1807" t="n">
        <v>2609043000</v>
      </c>
      <c r="D330" s="1807" t="n">
        <v>3422003000</v>
      </c>
      <c r="E330" s="1807" t="n">
        <v>3993896000</v>
      </c>
      <c r="F330" s="1807" t="n">
        <v>4242653000</v>
      </c>
      <c r="G330" s="1807" t="n">
        <v>2865484000</v>
      </c>
    </row>
    <row r="331" ht="15" customHeight="1">
      <c r="A331" s="1886" t="inlineStr">
        <is>
          <t>Provision - Doubtful Trade Accounts &amp; Trade Notes Payable - Total</t>
        </is>
      </c>
      <c r="B331" s="731" t="n"/>
      <c r="C331" s="731" t="n"/>
      <c r="D331" s="731" t="n"/>
      <c r="E331" s="731" t="n"/>
      <c r="F331" s="731" t="n"/>
      <c r="G331" s="731" t="n"/>
    </row>
    <row r="332" ht="15" customHeight="1">
      <c r="A332" s="1886" t="inlineStr">
        <is>
          <t>Provision - Doubtful Accounts - Total</t>
        </is>
      </c>
      <c r="B332" s="731" t="n"/>
      <c r="C332" s="731" t="n"/>
      <c r="D332" s="731" t="n"/>
      <c r="E332" s="731" t="n"/>
      <c r="F332" s="731" t="n"/>
      <c r="G332" s="731" t="n"/>
    </row>
    <row r="333" ht="15" customHeight="1">
      <c r="A333" s="1885" t="inlineStr">
        <is>
          <t>Assets Held for Sale/Discontinued Operations - Long-Term &amp; Short-Term</t>
        </is>
      </c>
      <c r="B333" s="731" t="n"/>
      <c r="C333" s="731" t="n"/>
      <c r="D333" s="731" t="n"/>
      <c r="E333" s="731" t="n"/>
      <c r="F333" s="731" t="n"/>
      <c r="G333" s="731" t="n"/>
    </row>
    <row r="334" ht="15" customHeight="1">
      <c r="A334" s="1885" t="inlineStr">
        <is>
          <t>Other Assets - Total</t>
        </is>
      </c>
      <c r="B334" s="1807" t="n">
        <v>1197122000</v>
      </c>
      <c r="C334" s="1807" t="n">
        <v>1116134000</v>
      </c>
      <c r="D334" s="1807" t="n">
        <v>1000529000</v>
      </c>
      <c r="E334" s="1807" t="n">
        <v>844338000</v>
      </c>
      <c r="F334" s="1807" t="n">
        <v>1014380000</v>
      </c>
      <c r="G334" s="1807" t="n">
        <v>1395128000</v>
      </c>
    </row>
    <row r="335" ht="15" customHeight="1">
      <c r="A335" s="1885" t="inlineStr">
        <is>
          <t>Income Taxes - Payable - Long-Term &amp; Short-Term</t>
        </is>
      </c>
      <c r="B335" s="1807" t="n">
        <v>137658000</v>
      </c>
      <c r="C335" s="1807" t="n">
        <v>142437000</v>
      </c>
      <c r="D335" s="1807" t="n">
        <v>167911000</v>
      </c>
      <c r="E335" s="1807" t="n">
        <v>193123000</v>
      </c>
      <c r="F335" s="1807" t="n">
        <v>120460000</v>
      </c>
      <c r="G335" s="1807" t="n">
        <v>55412000</v>
      </c>
    </row>
    <row r="336" ht="15" customHeight="1">
      <c r="A336" s="1885" t="inlineStr">
        <is>
          <t>Dividends Payable</t>
        </is>
      </c>
      <c r="B336" s="731" t="n"/>
      <c r="C336" s="731" t="n"/>
      <c r="D336" s="731" t="n"/>
      <c r="E336" s="731" t="n"/>
      <c r="F336" s="731" t="n"/>
      <c r="G336" s="731" t="n"/>
    </row>
    <row r="337" ht="15" customHeight="1">
      <c r="A337" s="1885" t="inlineStr">
        <is>
          <t>Payables &amp; Accrued Expenses</t>
        </is>
      </c>
      <c r="B337" s="1807" t="n">
        <v>1097761000</v>
      </c>
      <c r="C337" s="1807" t="n">
        <v>1617100000</v>
      </c>
      <c r="D337" s="1807" t="n">
        <v>2350846000</v>
      </c>
      <c r="E337" s="1807" t="n">
        <v>2669739000</v>
      </c>
      <c r="F337" s="1807" t="n">
        <v>2423471000</v>
      </c>
      <c r="G337" s="1807" t="n">
        <v>2364699000</v>
      </c>
    </row>
    <row r="338" ht="15" customHeight="1">
      <c r="A338" s="1886" t="inlineStr">
        <is>
          <t>Trade Account Payables - Total</t>
        </is>
      </c>
      <c r="B338" s="1807" t="n">
        <v>534866000</v>
      </c>
      <c r="C338" s="1807" t="n">
        <v>521678000</v>
      </c>
      <c r="D338" s="1807" t="n">
        <v>839297000</v>
      </c>
      <c r="E338" s="1807" t="n">
        <v>1206943000</v>
      </c>
      <c r="F338" s="1807" t="n">
        <v>1008214000</v>
      </c>
      <c r="G338" s="1807" t="n">
        <v>1187895000</v>
      </c>
    </row>
    <row r="339" ht="15" customHeight="1">
      <c r="A339" s="1886" t="inlineStr">
        <is>
          <t>Accrued Expenses</t>
        </is>
      </c>
      <c r="B339" s="1807" t="n">
        <v>562895000</v>
      </c>
      <c r="C339" s="1807" t="n">
        <v>1095422000</v>
      </c>
      <c r="D339" s="1807" t="n">
        <v>1511549000</v>
      </c>
      <c r="E339" s="1807" t="n">
        <v>1462796000</v>
      </c>
      <c r="F339" s="1807" t="n">
        <v>1415257000</v>
      </c>
      <c r="G339" s="1807" t="n">
        <v>1176804000</v>
      </c>
    </row>
    <row r="340" ht="15" customHeight="1">
      <c r="A340" s="1885" t="inlineStr">
        <is>
          <t>Derivative Liabilities - Hedging</t>
        </is>
      </c>
      <c r="B340" s="1807" t="n">
        <v>83733000</v>
      </c>
      <c r="C340" s="1807" t="n">
        <v>137906000</v>
      </c>
      <c r="D340" s="1807" t="n">
        <v>39427000</v>
      </c>
      <c r="E340" s="1807" t="n">
        <v>43954000</v>
      </c>
      <c r="F340" s="1807" t="n">
        <v>167736000</v>
      </c>
      <c r="G340" s="1807" t="n">
        <v>84492000</v>
      </c>
    </row>
    <row r="341" ht="15" customHeight="1">
      <c r="A341" s="1885" t="inlineStr">
        <is>
          <t>Billings in Excess of Costs - Total</t>
        </is>
      </c>
      <c r="B341" s="731" t="n"/>
      <c r="C341" s="731" t="n"/>
      <c r="D341" s="731" t="n"/>
      <c r="E341" s="731" t="n"/>
      <c r="F341" s="731" t="n"/>
      <c r="G341" s="731" t="n"/>
    </row>
    <row r="342" ht="15" customHeight="1">
      <c r="A342" s="1885" t="inlineStr">
        <is>
          <t>Liabilities Held for Sale/Discontinued Operations - Long-term &amp; Short-Term</t>
        </is>
      </c>
      <c r="B342" s="731" t="n"/>
      <c r="C342" s="731" t="n"/>
      <c r="D342" s="731" t="n"/>
      <c r="E342" s="731" t="n"/>
      <c r="F342" s="731" t="n"/>
      <c r="G342" s="731" t="n"/>
    </row>
    <row r="343" ht="15" customHeight="1">
      <c r="A343" s="1885" t="inlineStr">
        <is>
          <t>Contract Assets - Short-Term - Unbilled Revenue in Excess of Advance Consideration &amp; Progress Billings</t>
        </is>
      </c>
      <c r="B343" s="731" t="n"/>
      <c r="C343" s="731" t="n"/>
      <c r="D343" s="731" t="n"/>
      <c r="E343" s="731" t="n"/>
      <c r="F343" s="731" t="n"/>
      <c r="G343" s="731" t="n"/>
    </row>
    <row r="344" ht="15" customHeight="1">
      <c r="A344" s="1885" t="inlineStr">
        <is>
          <t>Contract Assets - Long-Term - Unbilled Revenue in Excess of Advance Consideration &amp; Progress Billings</t>
        </is>
      </c>
      <c r="B344" s="731" t="n"/>
      <c r="C344" s="731" t="n"/>
      <c r="D344" s="731" t="n"/>
      <c r="E344" s="731" t="n"/>
      <c r="F344" s="731" t="n"/>
      <c r="G344" s="731" t="n"/>
    </row>
    <row r="345" ht="15" customHeight="1">
      <c r="A345" s="1885" t="inlineStr">
        <is>
          <t>Investment Property - Fair Value</t>
        </is>
      </c>
      <c r="B345" s="731" t="n"/>
      <c r="C345" s="731" t="n"/>
      <c r="D345" s="731" t="n"/>
      <c r="E345" s="731" t="n"/>
      <c r="F345" s="731" t="n"/>
      <c r="G345" s="731" t="n"/>
    </row>
    <row r="346" ht="15" customHeight="1">
      <c r="A346" s="1884" t="inlineStr">
        <is>
          <t>Debt Related</t>
        </is>
      </c>
      <c r="B346" s="734" t="n"/>
      <c r="C346" s="734" t="n"/>
      <c r="D346" s="734" t="n"/>
      <c r="E346" s="734" t="n"/>
      <c r="F346" s="734" t="n"/>
      <c r="G346" s="734" t="n"/>
    </row>
    <row r="347" ht="15" customHeight="1">
      <c r="A347" s="1885" t="inlineStr">
        <is>
          <t>Net Debt</t>
        </is>
      </c>
      <c r="B347" s="1807" t="n">
        <v>18754164000</v>
      </c>
      <c r="C347" s="1807" t="n">
        <v>42236376000</v>
      </c>
      <c r="D347" s="1807" t="n">
        <v>44629465000</v>
      </c>
      <c r="E347" s="1807" t="n">
        <v>44450476000</v>
      </c>
      <c r="F347" s="1807" t="n">
        <v>51356912000</v>
      </c>
      <c r="G347" s="1807" t="n">
        <v>44509580000</v>
      </c>
    </row>
    <row r="348" ht="15" customHeight="1">
      <c r="A348" s="1885" t="inlineStr">
        <is>
          <t>Debt - Total</t>
        </is>
      </c>
      <c r="B348" s="1807" t="n">
        <v>20196791000</v>
      </c>
      <c r="C348" s="1807" t="n">
        <v>46984740000</v>
      </c>
      <c r="D348" s="1807" t="n">
        <v>44972168000</v>
      </c>
      <c r="E348" s="1807" t="n">
        <v>44967602000</v>
      </c>
      <c r="F348" s="1807" t="n">
        <v>52336135000</v>
      </c>
      <c r="G348" s="1807" t="n">
        <v>45219438000</v>
      </c>
    </row>
    <row r="349" ht="15" customHeight="1">
      <c r="A349" s="1885" t="inlineStr">
        <is>
          <t>Weighted Cost of Debt - %</t>
        </is>
      </c>
      <c r="B349" s="731" t="n"/>
      <c r="C349" s="731" t="n"/>
      <c r="D349" s="731" t="n"/>
      <c r="E349" s="731" t="n"/>
      <c r="F349" s="731" t="n"/>
      <c r="G349" s="731" t="n"/>
    </row>
    <row r="350" ht="15" customHeight="1">
      <c r="A350" s="1885" t="inlineStr">
        <is>
          <t>Revolving Line of Credit - Outstanding - Supplemental</t>
        </is>
      </c>
      <c r="B350" s="731" t="n"/>
      <c r="C350" s="731" t="n"/>
      <c r="D350" s="731" t="n"/>
      <c r="E350" s="731" t="n"/>
      <c r="F350" s="731" t="n"/>
      <c r="G350" s="731" t="n"/>
    </row>
    <row r="351" ht="15" customHeight="1">
      <c r="A351" s="1885" t="inlineStr">
        <is>
          <t>Revolving Line of Credit - Unutilized/Unused Amount</t>
        </is>
      </c>
      <c r="B351" s="731" t="n"/>
      <c r="C351" s="731" t="n"/>
      <c r="D351" s="731" t="n"/>
      <c r="E351" s="731" t="n"/>
      <c r="F351" s="731" t="n"/>
      <c r="G351" s="731" t="n"/>
    </row>
    <row r="352" ht="15" customHeight="1">
      <c r="A352" s="1885" t="inlineStr">
        <is>
          <t>Revolving Line of Credit - Total Principal Amount</t>
        </is>
      </c>
      <c r="B352" s="731" t="n"/>
      <c r="C352" s="731" t="n"/>
      <c r="D352" s="731" t="n"/>
      <c r="E352" s="731" t="n"/>
      <c r="F352" s="731" t="n"/>
      <c r="G352" s="731" t="n"/>
    </row>
    <row r="353" ht="15" customHeight="1">
      <c r="A353" s="1885" t="inlineStr">
        <is>
          <t>Debt - Financial Sector - Total</t>
        </is>
      </c>
      <c r="B353" s="731" t="n"/>
      <c r="C353" s="731" t="n"/>
      <c r="D353" s="731" t="n"/>
      <c r="E353" s="731" t="n"/>
      <c r="F353" s="731" t="n"/>
      <c r="G353" s="731" t="n"/>
    </row>
    <row r="354" ht="15" customHeight="1">
      <c r="A354" s="1885" t="inlineStr">
        <is>
          <t>Short-Term Debt - Financial Sector - Total</t>
        </is>
      </c>
      <c r="B354" s="731" t="n"/>
      <c r="C354" s="731" t="n"/>
      <c r="D354" s="731" t="n"/>
      <c r="E354" s="731" t="n"/>
      <c r="F354" s="731" t="n"/>
      <c r="G354" s="731" t="n"/>
    </row>
    <row r="355" ht="15" customHeight="1">
      <c r="A355" s="1885" t="inlineStr">
        <is>
          <t>Debt - Long-Term - Financial Sector - Total</t>
        </is>
      </c>
      <c r="B355" s="731" t="n"/>
      <c r="C355" s="731" t="n"/>
      <c r="D355" s="731" t="n"/>
      <c r="E355" s="731" t="n"/>
      <c r="F355" s="731" t="n"/>
      <c r="G355" s="731" t="n"/>
    </row>
    <row r="356" ht="15" customHeight="1">
      <c r="A356" s="1884" t="inlineStr">
        <is>
          <t>Islamic</t>
        </is>
      </c>
      <c r="B356" s="734" t="n"/>
      <c r="C356" s="734" t="n"/>
      <c r="D356" s="734" t="n"/>
      <c r="E356" s="734" t="n"/>
      <c r="F356" s="734" t="n"/>
      <c r="G356" s="734" t="n"/>
    </row>
    <row r="357" ht="15" customHeight="1">
      <c r="A357" s="1885" t="inlineStr">
        <is>
          <t>Islamic Investments &amp; Deposits</t>
        </is>
      </c>
      <c r="B357" s="731" t="n"/>
      <c r="C357" s="731" t="n"/>
      <c r="D357" s="731" t="n"/>
      <c r="E357" s="731" t="n"/>
      <c r="F357" s="731" t="n"/>
      <c r="G357" s="731" t="n"/>
    </row>
    <row r="358" ht="15" customHeight="1">
      <c r="A358" s="1885" t="inlineStr">
        <is>
          <t>Islamic Receivables - Short-Term</t>
        </is>
      </c>
      <c r="B358" s="731" t="n"/>
      <c r="C358" s="731" t="n"/>
      <c r="D358" s="731" t="n"/>
      <c r="E358" s="731" t="n"/>
      <c r="F358" s="731" t="n"/>
      <c r="G358" s="731" t="n"/>
    </row>
    <row r="359" ht="15" customHeight="1">
      <c r="A359" s="1885" t="inlineStr">
        <is>
          <t>Islamic Receivables - Long-Term</t>
        </is>
      </c>
      <c r="B359" s="731" t="n"/>
      <c r="C359" s="731" t="n"/>
      <c r="D359" s="731" t="n"/>
      <c r="E359" s="731" t="n"/>
      <c r="F359" s="731" t="n"/>
      <c r="G359" s="731" t="n"/>
    </row>
    <row r="360" ht="15" customHeight="1">
      <c r="A360" s="1885" t="inlineStr">
        <is>
          <t>Islamic Debt - Long-Term &amp; Short-Term</t>
        </is>
      </c>
      <c r="B360" s="731" t="n"/>
      <c r="C360" s="731" t="n"/>
      <c r="D360" s="731" t="n"/>
      <c r="E360" s="731" t="n"/>
      <c r="F360" s="731" t="n"/>
      <c r="G360" s="731" t="n"/>
    </row>
    <row r="361" ht="15" customHeight="1">
      <c r="A361" s="1884" t="inlineStr">
        <is>
          <t>Debt Maturity</t>
        </is>
      </c>
      <c r="B361" s="734" t="n"/>
      <c r="C361" s="734" t="n"/>
      <c r="D361" s="734" t="n"/>
      <c r="E361" s="734" t="n"/>
      <c r="F361" s="734" t="n"/>
      <c r="G361" s="734" t="n"/>
    </row>
    <row r="362" ht="15" customHeight="1">
      <c r="A362" s="1885" t="inlineStr">
        <is>
          <t>Debt - Long-Term - Maturities - Total</t>
        </is>
      </c>
      <c r="B362" s="731" t="n"/>
      <c r="C362" s="731" t="n"/>
      <c r="D362" s="731" t="n"/>
      <c r="E362" s="731" t="n"/>
      <c r="F362" s="731" t="n"/>
      <c r="G362" s="731" t="n"/>
    </row>
    <row r="363" ht="15" customHeight="1">
      <c r="A363" s="1886" t="inlineStr">
        <is>
          <t>Debt - Long-Term - Maturities - within 1 Year</t>
        </is>
      </c>
      <c r="B363" s="731" t="n"/>
      <c r="C363" s="731" t="n"/>
      <c r="D363" s="731" t="n"/>
      <c r="E363" s="731" t="n"/>
      <c r="F363" s="731" t="n"/>
      <c r="G363" s="731" t="n"/>
    </row>
    <row r="364" ht="15" customHeight="1">
      <c r="A364" s="1886" t="inlineStr">
        <is>
          <t>Debt - Long-Term - Maturities - Year 2</t>
        </is>
      </c>
      <c r="B364" s="731" t="n"/>
      <c r="C364" s="731" t="n"/>
      <c r="D364" s="731" t="n"/>
      <c r="E364" s="731" t="n"/>
      <c r="F364" s="731" t="n"/>
      <c r="G364" s="731" t="n"/>
    </row>
    <row r="365" ht="15" customHeight="1">
      <c r="A365" s="1886" t="inlineStr">
        <is>
          <t>Debt - Long-Term - Maturities - Year 3</t>
        </is>
      </c>
      <c r="B365" s="731" t="n"/>
      <c r="C365" s="731" t="n"/>
      <c r="D365" s="731" t="n"/>
      <c r="E365" s="731" t="n"/>
      <c r="F365" s="731" t="n"/>
      <c r="G365" s="731" t="n"/>
    </row>
    <row r="366" ht="15" customHeight="1">
      <c r="A366" s="1886" t="inlineStr">
        <is>
          <t>Debt - Long-Term - Maturities - Year 4</t>
        </is>
      </c>
      <c r="B366" s="731" t="n"/>
      <c r="C366" s="731" t="n"/>
      <c r="D366" s="731" t="n"/>
      <c r="E366" s="731" t="n"/>
      <c r="F366" s="731" t="n"/>
      <c r="G366" s="731" t="n"/>
    </row>
    <row r="367" ht="15" customHeight="1">
      <c r="A367" s="1886" t="inlineStr">
        <is>
          <t>Debt - Long-Term - Maturities - Year 5</t>
        </is>
      </c>
      <c r="B367" s="731" t="n"/>
      <c r="C367" s="731" t="n"/>
      <c r="D367" s="731" t="n"/>
      <c r="E367" s="731" t="n"/>
      <c r="F367" s="731" t="n"/>
      <c r="G367" s="731" t="n"/>
    </row>
    <row r="368" ht="15" customHeight="1">
      <c r="A368" s="1886" t="inlineStr">
        <is>
          <t>Debt - Long-Term - Maturities - Year 6</t>
        </is>
      </c>
      <c r="B368" s="731" t="n"/>
      <c r="C368" s="731" t="n"/>
      <c r="D368" s="731" t="n"/>
      <c r="E368" s="731" t="n"/>
      <c r="F368" s="731" t="n"/>
      <c r="G368" s="731" t="n"/>
    </row>
    <row r="369" ht="15" customHeight="1">
      <c r="A369" s="1886" t="inlineStr">
        <is>
          <t>Debt - Long-Term - Maturities - Year 7</t>
        </is>
      </c>
      <c r="B369" s="731" t="n"/>
      <c r="C369" s="731" t="n"/>
      <c r="D369" s="731" t="n"/>
      <c r="E369" s="731" t="n"/>
      <c r="F369" s="731" t="n"/>
      <c r="G369" s="731" t="n"/>
    </row>
    <row r="370" ht="15" customHeight="1">
      <c r="A370" s="1886" t="inlineStr">
        <is>
          <t>Debt - Long-Term - Maturities - Year 8</t>
        </is>
      </c>
      <c r="B370" s="731" t="n"/>
      <c r="C370" s="731" t="n"/>
      <c r="D370" s="731" t="n"/>
      <c r="E370" s="731" t="n"/>
      <c r="F370" s="731" t="n"/>
      <c r="G370" s="731" t="n"/>
    </row>
    <row r="371" ht="15" customHeight="1">
      <c r="A371" s="1886" t="inlineStr">
        <is>
          <t>Debt - Long-Term - Maturities - Year 9</t>
        </is>
      </c>
      <c r="B371" s="731" t="n"/>
      <c r="C371" s="731" t="n"/>
      <c r="D371" s="731" t="n"/>
      <c r="E371" s="731" t="n"/>
      <c r="F371" s="731" t="n"/>
      <c r="G371" s="731" t="n"/>
    </row>
    <row r="372" ht="15" customHeight="1">
      <c r="A372" s="1886" t="inlineStr">
        <is>
          <t>Debt - Long-Term - Maturities - Year 10</t>
        </is>
      </c>
      <c r="B372" s="731" t="n"/>
      <c r="C372" s="731" t="n"/>
      <c r="D372" s="731" t="n"/>
      <c r="E372" s="731" t="n"/>
      <c r="F372" s="731" t="n"/>
      <c r="G372" s="731" t="n"/>
    </row>
    <row r="373" ht="15" customHeight="1">
      <c r="A373" s="1886" t="inlineStr">
        <is>
          <t>Debt - Long-Term - Maturities - Remaining</t>
        </is>
      </c>
      <c r="B373" s="731" t="n"/>
      <c r="C373" s="731" t="n"/>
      <c r="D373" s="731" t="n"/>
      <c r="E373" s="731" t="n"/>
      <c r="F373" s="731" t="n"/>
      <c r="G373" s="731" t="n"/>
    </row>
    <row r="374" ht="15" customHeight="1">
      <c r="A374" s="1885" t="inlineStr">
        <is>
          <t>Debt - Long-Term - Maturities - 2-3 Years</t>
        </is>
      </c>
      <c r="B374" s="731" t="n"/>
      <c r="C374" s="731" t="n"/>
      <c r="D374" s="731" t="n"/>
      <c r="E374" s="731" t="n"/>
      <c r="F374" s="731" t="n"/>
      <c r="G374" s="731" t="n"/>
    </row>
    <row r="375" ht="15" customHeight="1">
      <c r="A375" s="1885" t="inlineStr">
        <is>
          <t>Debt - Long-Term - Maturities - 4-5 Years</t>
        </is>
      </c>
      <c r="B375" s="731" t="n"/>
      <c r="C375" s="731" t="n"/>
      <c r="D375" s="731" t="n"/>
      <c r="E375" s="731" t="n"/>
      <c r="F375" s="731" t="n"/>
      <c r="G375" s="731" t="n"/>
    </row>
    <row r="376" ht="15" customHeight="1">
      <c r="A376" s="1885" t="inlineStr">
        <is>
          <t>Debt - Long-Term - Maturities - Year 6 &amp; Beyond</t>
        </is>
      </c>
      <c r="B376" s="731" t="n"/>
      <c r="C376" s="731" t="n"/>
      <c r="D376" s="731" t="n"/>
      <c r="E376" s="731" t="n"/>
      <c r="F376" s="731" t="n"/>
      <c r="G376" s="731" t="n"/>
    </row>
    <row r="377" ht="15" customHeight="1">
      <c r="A377" s="1884" t="inlineStr">
        <is>
          <t>Capital Lease Maturity</t>
        </is>
      </c>
      <c r="B377" s="734" t="n"/>
      <c r="C377" s="734" t="n"/>
      <c r="D377" s="734" t="n"/>
      <c r="E377" s="734" t="n"/>
      <c r="F377" s="734" t="n"/>
      <c r="G377" s="734" t="n"/>
    </row>
    <row r="378" ht="15" customHeight="1">
      <c r="A378" s="1885" t="inlineStr">
        <is>
          <t>Capital Lease Maturities - Total</t>
        </is>
      </c>
      <c r="B378" s="731" t="n"/>
      <c r="C378" s="731" t="n"/>
      <c r="D378" s="731" t="n"/>
      <c r="E378" s="731" t="n"/>
      <c r="F378" s="731" t="n"/>
      <c r="G378" s="731" t="n"/>
    </row>
    <row r="379" ht="15" customHeight="1">
      <c r="A379" s="1886" t="inlineStr">
        <is>
          <t>Capital Lease Maturities - Due within 1 Year</t>
        </is>
      </c>
      <c r="B379" s="731" t="n"/>
      <c r="C379" s="731" t="n"/>
      <c r="D379" s="731" t="n"/>
      <c r="E379" s="731" t="n"/>
      <c r="F379" s="731" t="n"/>
      <c r="G379" s="731" t="n"/>
    </row>
    <row r="380" ht="15" customHeight="1">
      <c r="A380" s="1886" t="inlineStr">
        <is>
          <t>Capital Lease Maturities - Due in Year 2</t>
        </is>
      </c>
      <c r="B380" s="731" t="n"/>
      <c r="C380" s="731" t="n"/>
      <c r="D380" s="731" t="n"/>
      <c r="E380" s="731" t="n"/>
      <c r="F380" s="731" t="n"/>
      <c r="G380" s="731" t="n"/>
    </row>
    <row r="381" ht="15" customHeight="1">
      <c r="A381" s="1886" t="inlineStr">
        <is>
          <t>Capital Lease Maturities - Due in Year 3</t>
        </is>
      </c>
      <c r="B381" s="731" t="n"/>
      <c r="C381" s="731" t="n"/>
      <c r="D381" s="731" t="n"/>
      <c r="E381" s="731" t="n"/>
      <c r="F381" s="731" t="n"/>
      <c r="G381" s="731" t="n"/>
    </row>
    <row r="382" ht="15" customHeight="1">
      <c r="A382" s="1886" t="inlineStr">
        <is>
          <t>Capital Lease Maturities - Due in Year 4</t>
        </is>
      </c>
      <c r="B382" s="731" t="n"/>
      <c r="C382" s="731" t="n"/>
      <c r="D382" s="731" t="n"/>
      <c r="E382" s="731" t="n"/>
      <c r="F382" s="731" t="n"/>
      <c r="G382" s="731" t="n"/>
    </row>
    <row r="383" ht="15" customHeight="1">
      <c r="A383" s="1886" t="inlineStr">
        <is>
          <t>Capital Lease Maturities - Due in Year 5</t>
        </is>
      </c>
      <c r="B383" s="731" t="n"/>
      <c r="C383" s="731" t="n"/>
      <c r="D383" s="731" t="n"/>
      <c r="E383" s="731" t="n"/>
      <c r="F383" s="731" t="n"/>
      <c r="G383" s="731" t="n"/>
    </row>
    <row r="384" ht="15" customHeight="1">
      <c r="A384" s="1886" t="inlineStr">
        <is>
          <t>Capital Lease Maturities - Due in Year 6</t>
        </is>
      </c>
      <c r="B384" s="731" t="n"/>
      <c r="C384" s="731" t="n"/>
      <c r="D384" s="731" t="n"/>
      <c r="E384" s="731" t="n"/>
      <c r="F384" s="731" t="n"/>
      <c r="G384" s="731" t="n"/>
    </row>
    <row r="385" ht="15" customHeight="1">
      <c r="A385" s="1886" t="inlineStr">
        <is>
          <t>Capital Lease Maturities - Due in Year 7</t>
        </is>
      </c>
      <c r="B385" s="731" t="n"/>
      <c r="C385" s="731" t="n"/>
      <c r="D385" s="731" t="n"/>
      <c r="E385" s="731" t="n"/>
      <c r="F385" s="731" t="n"/>
      <c r="G385" s="731" t="n"/>
    </row>
    <row r="386" ht="15" customHeight="1">
      <c r="A386" s="1886" t="inlineStr">
        <is>
          <t>Capital Lease Maturities - Due in Year 8</t>
        </is>
      </c>
      <c r="B386" s="731" t="n"/>
      <c r="C386" s="731" t="n"/>
      <c r="D386" s="731" t="n"/>
      <c r="E386" s="731" t="n"/>
      <c r="F386" s="731" t="n"/>
      <c r="G386" s="731" t="n"/>
    </row>
    <row r="387" ht="15" customHeight="1">
      <c r="A387" s="1886" t="inlineStr">
        <is>
          <t>Capital Lease Maturities - Due in Year 9</t>
        </is>
      </c>
      <c r="B387" s="731" t="n"/>
      <c r="C387" s="731" t="n"/>
      <c r="D387" s="731" t="n"/>
      <c r="E387" s="731" t="n"/>
      <c r="F387" s="731" t="n"/>
      <c r="G387" s="731" t="n"/>
    </row>
    <row r="388" ht="15" customHeight="1">
      <c r="A388" s="1886" t="inlineStr">
        <is>
          <t>Capital Lease Maturities - Due in Year 10</t>
        </is>
      </c>
      <c r="B388" s="731" t="n"/>
      <c r="C388" s="731" t="n"/>
      <c r="D388" s="731" t="n"/>
      <c r="E388" s="731" t="n"/>
      <c r="F388" s="731" t="n"/>
      <c r="G388" s="731" t="n"/>
    </row>
    <row r="389" ht="15" customHeight="1">
      <c r="A389" s="1886" t="inlineStr">
        <is>
          <t>Capital Lease Maturities - Remaining Maturities</t>
        </is>
      </c>
      <c r="B389" s="731" t="n"/>
      <c r="C389" s="731" t="n"/>
      <c r="D389" s="731" t="n"/>
      <c r="E389" s="731" t="n"/>
      <c r="F389" s="731" t="n"/>
      <c r="G389" s="731" t="n"/>
    </row>
    <row r="390" ht="15" customHeight="1">
      <c r="A390" s="1886" t="inlineStr">
        <is>
          <t>Capital Lease Maturities - Interest Costs</t>
        </is>
      </c>
      <c r="B390" s="731" t="n"/>
      <c r="C390" s="731" t="n"/>
      <c r="D390" s="731" t="n"/>
      <c r="E390" s="731" t="n"/>
      <c r="F390" s="731" t="n"/>
      <c r="G390" s="731" t="n"/>
    </row>
    <row r="391" ht="15" customHeight="1">
      <c r="A391" s="1886" t="inlineStr">
        <is>
          <t>Capital Lease Maturities - Executory Costs</t>
        </is>
      </c>
      <c r="B391" s="731" t="n"/>
      <c r="C391" s="731" t="n"/>
      <c r="D391" s="731" t="n"/>
      <c r="E391" s="731" t="n"/>
      <c r="F391" s="731" t="n"/>
      <c r="G391" s="731" t="n"/>
    </row>
    <row r="392" ht="15" customHeight="1">
      <c r="A392" s="1885" t="inlineStr">
        <is>
          <t>Capital Lease Maturities - Due in 2-3 Years</t>
        </is>
      </c>
      <c r="B392" s="731" t="n"/>
      <c r="C392" s="731" t="n"/>
      <c r="D392" s="731" t="n"/>
      <c r="E392" s="731" t="n"/>
      <c r="F392" s="731" t="n"/>
      <c r="G392" s="731" t="n"/>
    </row>
    <row r="393" ht="15" customHeight="1">
      <c r="A393" s="1885" t="inlineStr">
        <is>
          <t>Capital Lease Maturities - Due in 4-5 Years</t>
        </is>
      </c>
      <c r="B393" s="731" t="n"/>
      <c r="C393" s="731" t="n"/>
      <c r="D393" s="731" t="n"/>
      <c r="E393" s="731" t="n"/>
      <c r="F393" s="731" t="n"/>
      <c r="G393" s="731" t="n"/>
    </row>
    <row r="394" ht="15" customHeight="1">
      <c r="A394" s="1885" t="inlineStr">
        <is>
          <t>Capital Lease Maturities - Due in Year 6 &amp; Beyond</t>
        </is>
      </c>
      <c r="B394" s="731" t="n"/>
      <c r="C394" s="731" t="n"/>
      <c r="D394" s="731" t="n"/>
      <c r="E394" s="731" t="n"/>
      <c r="F394" s="731" t="n"/>
      <c r="G394" s="731" t="n"/>
    </row>
    <row r="395" ht="15" customHeight="1">
      <c r="A395" s="1884" t="inlineStr">
        <is>
          <t>Weighted Average Leases</t>
        </is>
      </c>
      <c r="B395" s="734" t="n"/>
      <c r="C395" s="734" t="n"/>
      <c r="D395" s="734" t="n"/>
      <c r="E395" s="734" t="n"/>
      <c r="F395" s="734" t="n"/>
      <c r="G395" s="734" t="n"/>
    </row>
    <row r="396" ht="15" customHeight="1">
      <c r="A396" s="1885" t="inlineStr">
        <is>
          <t>Wgt Avg Remaining Lease Term (Years)-Operating Lease-US GAAP</t>
        </is>
      </c>
      <c r="B396" s="731" t="n"/>
      <c r="C396" s="731" t="n"/>
      <c r="D396" s="731" t="n"/>
      <c r="E396" s="731" t="n"/>
      <c r="F396" s="731" t="n"/>
      <c r="G396" s="731" t="n"/>
    </row>
    <row r="397" ht="15" customHeight="1">
      <c r="A397" s="1885" t="inlineStr">
        <is>
          <t>Wgt Avg Remaining Lease Term (Years) - Finance Lease</t>
        </is>
      </c>
      <c r="B397" s="731" t="n"/>
      <c r="C397" s="731" t="n"/>
      <c r="D397" s="731" t="n"/>
      <c r="E397" s="731" t="n"/>
      <c r="F397" s="731" t="n"/>
      <c r="G397" s="731" t="n"/>
    </row>
    <row r="398" ht="15" customHeight="1">
      <c r="A398" s="1885" t="inlineStr">
        <is>
          <t>Weighted Average Discount Rate - Operating Lease - US GAAP</t>
        </is>
      </c>
      <c r="B398" s="731" t="n"/>
      <c r="C398" s="731" t="n"/>
      <c r="D398" s="731" t="n"/>
      <c r="E398" s="731" t="n"/>
      <c r="F398" s="731" t="n"/>
      <c r="G398" s="731" t="n"/>
    </row>
    <row r="399" ht="15" customHeight="1">
      <c r="A399" s="1885" t="inlineStr">
        <is>
          <t>Weighted Average Discount Rate - Finance Lease</t>
        </is>
      </c>
      <c r="B399" s="731" t="n"/>
      <c r="C399" s="731" t="n"/>
      <c r="D399" s="731" t="n"/>
      <c r="E399" s="731" t="n"/>
      <c r="F399" s="731" t="n"/>
      <c r="G399" s="731" t="n"/>
    </row>
    <row r="400" ht="15" customHeight="1">
      <c r="A400" s="1884" t="inlineStr">
        <is>
          <t>Other</t>
        </is>
      </c>
      <c r="B400" s="734" t="n"/>
      <c r="C400" s="734" t="n"/>
      <c r="D400" s="734" t="n"/>
      <c r="E400" s="734" t="n"/>
      <c r="F400" s="734" t="n"/>
      <c r="G400" s="734" t="n"/>
    </row>
    <row r="401" ht="15" customHeight="1">
      <c r="A401" s="1885" t="inlineStr">
        <is>
          <t>Contract Liabilities - Short-Term - Advance Consideration &amp; Progress Billings in Excess of Unbilled Revenue</t>
        </is>
      </c>
      <c r="B401" s="731" t="n"/>
      <c r="C401" s="731" t="n"/>
      <c r="D401" s="731" t="n"/>
      <c r="E401" s="731" t="n"/>
      <c r="F401" s="731" t="n"/>
      <c r="G401" s="731" t="n"/>
    </row>
    <row r="402" ht="15" customHeight="1">
      <c r="A402" s="1885" t="inlineStr">
        <is>
          <t>Contract Liabilities - Long-Term - Advance Consideration &amp; Progress Billings in Excess of Unbilled Revenue</t>
        </is>
      </c>
      <c r="B402" s="731" t="n"/>
      <c r="C402" s="731" t="n"/>
      <c r="D402" s="731" t="n"/>
      <c r="E402" s="731" t="n"/>
      <c r="F402" s="731" t="n"/>
      <c r="G402" s="731" t="n"/>
    </row>
    <row r="403" ht="15" customHeight="1">
      <c r="A403" s="1885" t="inlineStr">
        <is>
          <t>Minority Interest - Total</t>
        </is>
      </c>
      <c r="B403" s="1807" t="n">
        <v>30008000</v>
      </c>
      <c r="C403" s="1807" t="n">
        <v>31019000</v>
      </c>
      <c r="D403" s="1807" t="n">
        <v>31766000</v>
      </c>
      <c r="E403" s="1807" t="n">
        <v>55272000</v>
      </c>
      <c r="F403" s="1807" t="n">
        <v>70587000</v>
      </c>
      <c r="G403" s="1807" t="n">
        <v>110891000</v>
      </c>
    </row>
    <row r="404" ht="15" customHeight="1">
      <c r="A404" s="1885" t="inlineStr">
        <is>
          <t>Accruals - Short-Term</t>
        </is>
      </c>
      <c r="B404" s="1807" t="n">
        <v>-5665483000</v>
      </c>
      <c r="C404" s="1807" t="n">
        <v>-19230490000</v>
      </c>
      <c r="D404" s="1807" t="n">
        <v>-11103586000</v>
      </c>
      <c r="E404" s="1807" t="n">
        <v>-20300747000</v>
      </c>
      <c r="F404" s="1807" t="n">
        <v>-16108578000</v>
      </c>
      <c r="G404" s="1807" t="n">
        <v>-16791983000</v>
      </c>
    </row>
    <row r="405" ht="15" customHeight="1">
      <c r="A405" s="1885" t="inlineStr">
        <is>
          <t>Asset Accruals</t>
        </is>
      </c>
      <c r="B405" s="1807" t="n">
        <v>32420120000</v>
      </c>
      <c r="C405" s="1807" t="n">
        <v>45281958000</v>
      </c>
      <c r="D405" s="1807" t="n">
        <v>49611115000</v>
      </c>
      <c r="E405" s="1807" t="n">
        <v>52228317000</v>
      </c>
      <c r="F405" s="1807" t="n">
        <v>59995032000</v>
      </c>
      <c r="G405" s="1807" t="n">
        <v>60329788000</v>
      </c>
    </row>
    <row r="406" ht="15" customHeight="1">
      <c r="A406" s="1885" t="inlineStr">
        <is>
          <t>Cash &amp; Cash Equivalents - Total</t>
        </is>
      </c>
      <c r="B406" s="1807" t="n">
        <v>1442627000</v>
      </c>
      <c r="C406" s="1807" t="n">
        <v>4748364000</v>
      </c>
      <c r="D406" s="1807" t="n">
        <v>308636000</v>
      </c>
      <c r="E406" s="1807" t="n">
        <v>428677000</v>
      </c>
      <c r="F406" s="1807" t="n">
        <v>940183000</v>
      </c>
      <c r="G406" s="1807" t="n">
        <v>647545000</v>
      </c>
    </row>
    <row r="407" ht="15" customHeight="1">
      <c r="A407" s="1885" t="inlineStr">
        <is>
          <t>Cash &amp; Short Term Investments - Total</t>
        </is>
      </c>
      <c r="B407" s="1807" t="n">
        <v>1442627000</v>
      </c>
      <c r="C407" s="1807" t="n">
        <v>4748364000</v>
      </c>
      <c r="D407" s="1807" t="n">
        <v>342703000</v>
      </c>
      <c r="E407" s="1807" t="n">
        <v>517126000</v>
      </c>
      <c r="F407" s="1807" t="n">
        <v>979223000</v>
      </c>
      <c r="G407" s="1807" t="n">
        <v>709858000</v>
      </c>
    </row>
    <row r="408" ht="15" customHeight="1">
      <c r="A408" s="1885" t="inlineStr">
        <is>
          <t>Debt - including Preferred Equity &amp; Minority Interest - Total</t>
        </is>
      </c>
      <c r="B408" s="1807" t="n">
        <v>20226799000</v>
      </c>
      <c r="C408" s="1807" t="n">
        <v>47015759000</v>
      </c>
      <c r="D408" s="1807" t="n">
        <v>45003934000</v>
      </c>
      <c r="E408" s="1807" t="n">
        <v>45022874000</v>
      </c>
      <c r="F408" s="1807" t="n">
        <v>52406722000</v>
      </c>
      <c r="G408" s="1807" t="n">
        <v>45330329000</v>
      </c>
    </row>
    <row r="409" ht="15" customHeight="1">
      <c r="A409" s="1885" t="inlineStr">
        <is>
          <t>Investments - Permanent</t>
        </is>
      </c>
      <c r="B409" s="1807" t="n">
        <v>476210000</v>
      </c>
      <c r="C409" s="1807" t="n">
        <v>531308000</v>
      </c>
      <c r="D409" s="1807" t="n">
        <v>506502000</v>
      </c>
      <c r="E409" s="1807" t="n">
        <v>494088000</v>
      </c>
      <c r="F409" s="1807" t="n">
        <v>571632000</v>
      </c>
      <c r="G409" s="1807" t="n">
        <v>1225771000</v>
      </c>
    </row>
    <row r="410" ht="15" customHeight="1">
      <c r="A410" s="1885" t="inlineStr">
        <is>
          <t>Net Book Capital</t>
        </is>
      </c>
      <c r="B410" s="1807" t="n">
        <v>28938212000</v>
      </c>
      <c r="C410" s="1807" t="n">
        <v>54298392000</v>
      </c>
      <c r="D410" s="1807" t="n">
        <v>59061799000</v>
      </c>
      <c r="E410" s="1807" t="n">
        <v>60962140000</v>
      </c>
      <c r="F410" s="1807" t="n">
        <v>70526121000</v>
      </c>
      <c r="G410" s="1807" t="n">
        <v>71592886000</v>
      </c>
    </row>
    <row r="411" ht="15" customHeight="1">
      <c r="A411" s="1885" t="inlineStr">
        <is>
          <t>Net Operating Assets</t>
        </is>
      </c>
      <c r="B411" s="1807" t="n">
        <v>28938212000</v>
      </c>
      <c r="C411" s="1807" t="n">
        <v>54298392000</v>
      </c>
      <c r="D411" s="1807" t="n">
        <v>59061799000</v>
      </c>
      <c r="E411" s="1807" t="n">
        <v>60962140000</v>
      </c>
      <c r="F411" s="1807" t="n">
        <v>70526121000</v>
      </c>
      <c r="G411" s="1807" t="n">
        <v>71592886000</v>
      </c>
    </row>
    <row r="412" ht="15" customHeight="1">
      <c r="A412" s="1885" t="inlineStr">
        <is>
          <t>Provisions - Total</t>
        </is>
      </c>
      <c r="B412" s="1807" t="n">
        <v>908910000</v>
      </c>
      <c r="C412" s="1807" t="n">
        <v>1520259000</v>
      </c>
      <c r="D412" s="1807" t="n">
        <v>1263374000</v>
      </c>
      <c r="E412" s="1807" t="n">
        <v>1232494000</v>
      </c>
      <c r="F412" s="1807" t="n">
        <v>1197695000</v>
      </c>
      <c r="G412" s="1807" t="n">
        <v>1022281000</v>
      </c>
    </row>
    <row r="413" ht="15" customHeight="1">
      <c r="A413" s="1885" t="inlineStr">
        <is>
          <t>Shareholders Equity - Common</t>
        </is>
      </c>
      <c r="B413" s="1807" t="n">
        <v>10154040000</v>
      </c>
      <c r="C413" s="1807" t="n">
        <v>12030997000</v>
      </c>
      <c r="D413" s="1807" t="n">
        <v>14400568000</v>
      </c>
      <c r="E413" s="1807" t="n">
        <v>16456392000</v>
      </c>
      <c r="F413" s="1807" t="n">
        <v>19098622000</v>
      </c>
      <c r="G413" s="1807" t="n">
        <v>26972415000</v>
      </c>
    </row>
    <row r="414" ht="15" customHeight="1">
      <c r="A414" s="1885" t="inlineStr">
        <is>
          <t>Tangible Total Equity</t>
        </is>
      </c>
      <c r="B414" s="1807" t="n">
        <v>8839822000</v>
      </c>
      <c r="C414" s="1807" t="n">
        <v>-4597486000</v>
      </c>
      <c r="D414" s="1807" t="n">
        <v>-2089849000</v>
      </c>
      <c r="E414" s="1807" t="n">
        <v>12331000</v>
      </c>
      <c r="F414" s="1807" t="n">
        <v>2471399000</v>
      </c>
      <c r="G414" s="1807" t="n">
        <v>10547875000</v>
      </c>
    </row>
    <row r="415" ht="15" customHeight="1">
      <c r="A415" s="1885" t="inlineStr">
        <is>
          <t>Tangible Book Value</t>
        </is>
      </c>
      <c r="B415" s="1807" t="n">
        <v>8809814000</v>
      </c>
      <c r="C415" s="1807" t="n">
        <v>-4628505000</v>
      </c>
      <c r="D415" s="1807" t="n">
        <v>-2121615000</v>
      </c>
      <c r="E415" s="1807" t="n">
        <v>-42941000</v>
      </c>
      <c r="F415" s="1807" t="n">
        <v>2400812000</v>
      </c>
      <c r="G415" s="1807" t="n">
        <v>10436984000</v>
      </c>
    </row>
    <row r="416" ht="15" customHeight="1">
      <c r="A416" s="1885" t="inlineStr">
        <is>
          <t>Total Book Capital</t>
        </is>
      </c>
      <c r="B416" s="1807" t="n">
        <v>30350831000</v>
      </c>
      <c r="C416" s="1807" t="n">
        <v>59015737000</v>
      </c>
      <c r="D416" s="1807" t="n">
        <v>59372736000</v>
      </c>
      <c r="E416" s="1807" t="n">
        <v>61423994000</v>
      </c>
      <c r="F416" s="1807" t="n">
        <v>71434757000</v>
      </c>
      <c r="G416" s="1807" t="n">
        <v>72191853000</v>
      </c>
    </row>
    <row r="417" ht="15" customHeight="1">
      <c r="A417" s="1885" t="inlineStr">
        <is>
          <t>Total Capital</t>
        </is>
      </c>
      <c r="B417" s="1807" t="n">
        <v>30380839000</v>
      </c>
      <c r="C417" s="1807" t="n">
        <v>59046756000</v>
      </c>
      <c r="D417" s="1807" t="n">
        <v>59404502000</v>
      </c>
      <c r="E417" s="1807" t="n">
        <v>61479266000</v>
      </c>
      <c r="F417" s="1807" t="n">
        <v>71505344000</v>
      </c>
      <c r="G417" s="1807" t="n">
        <v>72302744000</v>
      </c>
    </row>
    <row r="418" ht="15" customHeight="1">
      <c r="A418" s="1885" t="inlineStr">
        <is>
          <t>Total Long Term Capital</t>
        </is>
      </c>
      <c r="B418" s="1807" t="n">
        <v>27024362000</v>
      </c>
      <c r="C418" s="1807" t="n">
        <v>43948406000</v>
      </c>
      <c r="D418" s="1807" t="n">
        <v>51179052000</v>
      </c>
      <c r="E418" s="1807" t="n">
        <v>44119993000</v>
      </c>
      <c r="F418" s="1807" t="n">
        <v>57704145000</v>
      </c>
      <c r="G418" s="1807" t="n">
        <v>57692022000</v>
      </c>
    </row>
    <row r="419" ht="15" customHeight="1">
      <c r="A419" s="1885" t="inlineStr">
        <is>
          <t>Total Fixed Assets - Net</t>
        </is>
      </c>
      <c r="B419" s="1807" t="n">
        <v>30860415000</v>
      </c>
      <c r="C419" s="1807" t="n">
        <v>42632184000</v>
      </c>
      <c r="D419" s="1807" t="n">
        <v>46268617000</v>
      </c>
      <c r="E419" s="1807" t="n">
        <v>48230111000</v>
      </c>
      <c r="F419" s="1807" t="n">
        <v>55979375000</v>
      </c>
      <c r="G419" s="1807" t="n">
        <v>57544101000</v>
      </c>
    </row>
    <row r="420" ht="15" customHeight="1">
      <c r="A420" s="1885" t="inlineStr">
        <is>
          <t>Unearned Revenue - Total</t>
        </is>
      </c>
      <c r="B420" s="1807" t="n">
        <v>1574560000</v>
      </c>
      <c r="C420" s="1807" t="n">
        <v>2184580000</v>
      </c>
      <c r="D420" s="1807" t="n">
        <v>2184297000</v>
      </c>
      <c r="E420" s="1807" t="n">
        <v>2487409000</v>
      </c>
      <c r="F420" s="1807" t="n">
        <v>2223420000</v>
      </c>
      <c r="G420" s="1807" t="n">
        <v>1253266000</v>
      </c>
    </row>
    <row r="421" ht="15" customHeight="1">
      <c r="A421" s="1885" t="inlineStr">
        <is>
          <t>Working Capital</t>
        </is>
      </c>
      <c r="B421" s="1807" t="n">
        <v>-4222856000</v>
      </c>
      <c r="C421" s="1807" t="n">
        <v>-14482126000</v>
      </c>
      <c r="D421" s="1807" t="n">
        <v>-10794950000</v>
      </c>
      <c r="E421" s="1807" t="n">
        <v>-19872070000</v>
      </c>
      <c r="F421" s="1807" t="n">
        <v>-15168395000</v>
      </c>
      <c r="G421" s="1807" t="n">
        <v>-16144438000</v>
      </c>
    </row>
    <row r="422" ht="15" customHeight="1">
      <c r="A422" s="1885" t="inlineStr">
        <is>
          <t>Working Capital - Non-Cash</t>
        </is>
      </c>
      <c r="B422" s="1807" t="n">
        <v>-5665483000</v>
      </c>
      <c r="C422" s="1807" t="n">
        <v>-19230490000</v>
      </c>
      <c r="D422" s="1807" t="n">
        <v>-11137653000</v>
      </c>
      <c r="E422" s="1807" t="n">
        <v>-20389196000</v>
      </c>
      <c r="F422" s="1807" t="n">
        <v>-16147618000</v>
      </c>
      <c r="G422" s="1807" t="n">
        <v>-16854296000</v>
      </c>
    </row>
    <row r="423" ht="15" customHeight="1">
      <c r="A423" s="1885" t="inlineStr">
        <is>
          <t>Working Capital excluding Other Current Assets &amp; Liabilities</t>
        </is>
      </c>
      <c r="B423" s="1807" t="n">
        <v>-2629138000</v>
      </c>
      <c r="C423" s="1807" t="n">
        <v>-11157042000</v>
      </c>
      <c r="D423" s="1807" t="n">
        <v>-8431191000</v>
      </c>
      <c r="E423" s="1807" t="n">
        <v>-17102194000</v>
      </c>
      <c r="F423" s="1807" t="n">
        <v>-12788496000</v>
      </c>
      <c r="G423" s="1807" t="n">
        <v>-14740230000</v>
      </c>
    </row>
    <row r="424" ht="15" customHeight="1">
      <c r="A424" s="1885" t="inlineStr">
        <is>
          <t>Book Value excluding Other Equity</t>
        </is>
      </c>
      <c r="B424" s="1807" t="n">
        <v>10154040000</v>
      </c>
      <c r="C424" s="1807" t="n">
        <v>12030997000</v>
      </c>
      <c r="D424" s="1807" t="n">
        <v>14400568000</v>
      </c>
      <c r="E424" s="1807" t="n">
        <v>16456392000</v>
      </c>
      <c r="F424" s="1807" t="n">
        <v>19098622000</v>
      </c>
      <c r="G424" s="1807" t="n">
        <v>26972415000</v>
      </c>
    </row>
    <row r="425" ht="15" customHeight="1">
      <c r="A425" s="1885" t="inlineStr">
        <is>
          <t>Total Indefinite-lived Intangible Assets - Net (excl Goodwill) - Supplemental</t>
        </is>
      </c>
      <c r="B425" s="731" t="n"/>
      <c r="C425" s="731" t="n"/>
      <c r="D425" s="731" t="n"/>
      <c r="E425" s="731" t="n"/>
      <c r="F425" s="731" t="n"/>
      <c r="G425" s="731" t="n"/>
    </row>
    <row r="426" ht="15" customHeight="1">
      <c r="A426" s="1885" t="inlineStr">
        <is>
          <t>Tangible Common Equity Ratio - Total</t>
        </is>
      </c>
      <c r="B426" s="731" t="n"/>
      <c r="C426" s="731" t="n"/>
      <c r="D426" s="731" t="n"/>
      <c r="E426" s="731" t="n"/>
      <c r="F426" s="731" t="n"/>
      <c r="G426" s="731" t="n"/>
    </row>
    <row r="427" ht="15" customHeight="1">
      <c r="A427" s="1885" t="inlineStr">
        <is>
          <t>Order Backlog</t>
        </is>
      </c>
      <c r="B427" s="731" t="n"/>
      <c r="C427" s="731" t="n"/>
      <c r="D427" s="731" t="n"/>
      <c r="E427" s="731" t="n"/>
      <c r="F427" s="731" t="n"/>
      <c r="G427" s="731" t="n"/>
    </row>
    <row r="428" ht="15" customHeight="1">
      <c r="A428" s="1885" t="inlineStr">
        <is>
          <t>Customer Liabilities on Acceptances - Assets</t>
        </is>
      </c>
      <c r="B428" s="731" t="n"/>
      <c r="C428" s="731" t="n"/>
      <c r="D428" s="731" t="n"/>
      <c r="E428" s="731" t="n"/>
      <c r="F428" s="731" t="n"/>
      <c r="G428" s="731" t="n"/>
    </row>
    <row r="429" ht="15" customHeight="1">
      <c r="A429" s="1885" t="inlineStr">
        <is>
          <t>Customer Liabilities on Acceptances - Liabilities</t>
        </is>
      </c>
      <c r="B429" s="731" t="n"/>
      <c r="C429" s="731" t="n"/>
      <c r="D429" s="731" t="n"/>
      <c r="E429" s="731" t="n"/>
      <c r="F429" s="731" t="n"/>
      <c r="G429" s="731" t="n"/>
    </row>
    <row r="430" ht="15" customHeight="1">
      <c r="A430" s="1885" t="inlineStr">
        <is>
          <t>Average Assets Under Management</t>
        </is>
      </c>
      <c r="B430" s="731" t="n"/>
      <c r="C430" s="731" t="n"/>
      <c r="D430" s="731" t="n"/>
      <c r="E430" s="731" t="n"/>
      <c r="F430" s="731" t="n"/>
      <c r="G430" s="731" t="n"/>
    </row>
    <row r="431" ht="15" customHeight="1">
      <c r="A431" s="1885" t="inlineStr">
        <is>
          <t>Total High Quality Liquid Assets (HQLA)</t>
        </is>
      </c>
      <c r="B431" s="731" t="n"/>
      <c r="C431" s="731" t="n"/>
      <c r="D431" s="731" t="n"/>
      <c r="E431" s="731" t="n"/>
      <c r="F431" s="731" t="n"/>
      <c r="G431" s="731" t="n"/>
    </row>
    <row r="432" ht="15" customHeight="1">
      <c r="A432" s="1885" t="inlineStr">
        <is>
          <t>Total Net Cash Outflows (NCO)</t>
        </is>
      </c>
      <c r="B432" s="731" t="n"/>
      <c r="C432" s="731" t="n"/>
      <c r="D432" s="731" t="n"/>
      <c r="E432" s="731" t="n"/>
      <c r="F432" s="731" t="n"/>
      <c r="G432" s="731" t="n"/>
    </row>
    <row r="433" ht="15" customHeight="1">
      <c r="A433" s="1885" t="inlineStr">
        <is>
          <t>Number of Branches - Domestic</t>
        </is>
      </c>
      <c r="B433" s="731" t="n"/>
      <c r="C433" s="731" t="n"/>
      <c r="D433" s="731" t="n"/>
      <c r="E433" s="731" t="n"/>
      <c r="F433" s="731" t="n"/>
      <c r="G433" s="731" t="n"/>
    </row>
    <row r="434" ht="15" customHeight="1">
      <c r="A434" s="1885" t="inlineStr">
        <is>
          <t>Number of Branches - Total</t>
        </is>
      </c>
      <c r="B434" s="731" t="n"/>
      <c r="C434" s="731" t="n"/>
      <c r="D434" s="731" t="n"/>
      <c r="E434" s="731" t="n"/>
      <c r="F434" s="731" t="n"/>
      <c r="G434" s="731" t="n"/>
    </row>
    <row r="435" ht="15" customHeight="1">
      <c r="A435" s="1885" t="inlineStr">
        <is>
          <t>Number of Branches - Foreign</t>
        </is>
      </c>
      <c r="B435" s="731" t="n"/>
      <c r="C435" s="731" t="n"/>
      <c r="D435" s="731" t="n"/>
      <c r="E435" s="731" t="n"/>
      <c r="F435" s="731" t="n"/>
      <c r="G435" s="731" t="n"/>
    </row>
    <row r="436" ht="15" customHeight="1">
      <c r="A436" s="733" t="n"/>
      <c r="B436" s="734" t="n"/>
      <c r="C436" s="734" t="n"/>
      <c r="D436" s="734" t="n"/>
      <c r="E436" s="734" t="n"/>
      <c r="F436" s="734" t="n"/>
      <c r="G436" s="734" t="n"/>
    </row>
    <row r="437" ht="15" customHeight="1">
      <c r="A437" s="1885" t="inlineStr">
        <is>
          <t>Tangible Common Equity Ratio - Total</t>
        </is>
      </c>
      <c r="B437" s="731" t="n"/>
      <c r="C437" s="731" t="n"/>
      <c r="D437" s="731" t="n"/>
      <c r="E437" s="731" t="n"/>
      <c r="F437" s="731" t="n"/>
      <c r="G437" s="731" t="n"/>
    </row>
    <row r="438" ht="15" customHeight="1">
      <c r="A438" s="1884" t="inlineStr">
        <is>
          <t>Shareholders</t>
        </is>
      </c>
      <c r="B438" s="734" t="n"/>
      <c r="C438" s="734" t="n"/>
      <c r="D438" s="734" t="n"/>
      <c r="E438" s="734" t="n"/>
      <c r="F438" s="734" t="n"/>
      <c r="G438" s="734" t="n"/>
    </row>
    <row r="439" ht="15" customHeight="1">
      <c r="A439" s="1885" t="inlineStr">
        <is>
          <t>Common Shareholders - Number</t>
        </is>
      </c>
      <c r="B439" s="731" t="n"/>
      <c r="C439" s="731" t="n"/>
      <c r="D439" s="731" t="n"/>
      <c r="E439" s="731" t="n"/>
      <c r="F439" s="731" t="n"/>
      <c r="G439" s="731" t="n"/>
    </row>
    <row r="440" ht="15" customHeight="1">
      <c r="A440" s="1884" t="inlineStr">
        <is>
          <t>Operating Lease Maturity</t>
        </is>
      </c>
      <c r="B440" s="734" t="n"/>
      <c r="C440" s="734" t="n"/>
      <c r="D440" s="734" t="n"/>
      <c r="E440" s="734" t="n"/>
      <c r="F440" s="734" t="n"/>
      <c r="G440" s="734" t="n"/>
    </row>
    <row r="441" ht="15" customHeight="1">
      <c r="A441" s="1885" t="inlineStr">
        <is>
          <t>Operating Lease Payments - Total</t>
        </is>
      </c>
      <c r="B441" s="731" t="n"/>
      <c r="C441" s="731" t="n"/>
      <c r="D441" s="731" t="n"/>
      <c r="E441" s="731" t="n"/>
      <c r="F441" s="731" t="n"/>
      <c r="G441" s="731" t="n"/>
    </row>
    <row r="442" ht="15" customHeight="1">
      <c r="A442" s="1886" t="inlineStr">
        <is>
          <t>Operating Lease Payments - Due in Year 1</t>
        </is>
      </c>
      <c r="B442" s="731" t="n"/>
      <c r="C442" s="731" t="n"/>
      <c r="D442" s="731" t="n"/>
      <c r="E442" s="731" t="n"/>
      <c r="F442" s="731" t="n"/>
      <c r="G442" s="731" t="n"/>
    </row>
    <row r="443" ht="15" customHeight="1">
      <c r="A443" s="1886" t="inlineStr">
        <is>
          <t>Operating Lease Payments - Due in Year 2</t>
        </is>
      </c>
      <c r="B443" s="731" t="n"/>
      <c r="C443" s="731" t="n"/>
      <c r="D443" s="731" t="n"/>
      <c r="E443" s="731" t="n"/>
      <c r="F443" s="731" t="n"/>
      <c r="G443" s="731" t="n"/>
    </row>
    <row r="444" ht="15" customHeight="1">
      <c r="A444" s="1886" t="inlineStr">
        <is>
          <t>Operating Lease Payments - Due in Year 3</t>
        </is>
      </c>
      <c r="B444" s="731" t="n"/>
      <c r="C444" s="731" t="n"/>
      <c r="D444" s="731" t="n"/>
      <c r="E444" s="731" t="n"/>
      <c r="F444" s="731" t="n"/>
      <c r="G444" s="731" t="n"/>
    </row>
    <row r="445" ht="15" customHeight="1">
      <c r="A445" s="1886" t="inlineStr">
        <is>
          <t>Operating Lease Payments - Due in Year 4</t>
        </is>
      </c>
      <c r="B445" s="731" t="n"/>
      <c r="C445" s="731" t="n"/>
      <c r="D445" s="731" t="n"/>
      <c r="E445" s="731" t="n"/>
      <c r="F445" s="731" t="n"/>
      <c r="G445" s="731" t="n"/>
    </row>
    <row r="446" ht="15" customHeight="1">
      <c r="A446" s="1886" t="inlineStr">
        <is>
          <t>Operating Lease Payments - Due in Year 5</t>
        </is>
      </c>
      <c r="B446" s="731" t="n"/>
      <c r="C446" s="731" t="n"/>
      <c r="D446" s="731" t="n"/>
      <c r="E446" s="731" t="n"/>
      <c r="F446" s="731" t="n"/>
      <c r="G446" s="731" t="n"/>
    </row>
    <row r="447" ht="15" customHeight="1">
      <c r="A447" s="1886" t="inlineStr">
        <is>
          <t>Operating Lease Payments - Due in Year 6</t>
        </is>
      </c>
      <c r="B447" s="731" t="n"/>
      <c r="C447" s="731" t="n"/>
      <c r="D447" s="731" t="n"/>
      <c r="E447" s="731" t="n"/>
      <c r="F447" s="731" t="n"/>
      <c r="G447" s="731" t="n"/>
    </row>
    <row r="448" ht="15" customHeight="1">
      <c r="A448" s="1886" t="inlineStr">
        <is>
          <t>Operating Lease Payments - Due in Year 7</t>
        </is>
      </c>
      <c r="B448" s="731" t="n"/>
      <c r="C448" s="731" t="n"/>
      <c r="D448" s="731" t="n"/>
      <c r="E448" s="731" t="n"/>
      <c r="F448" s="731" t="n"/>
      <c r="G448" s="731" t="n"/>
    </row>
    <row r="449" ht="15" customHeight="1">
      <c r="A449" s="1886" t="inlineStr">
        <is>
          <t>Operating Lease Payments - Due in Year 8</t>
        </is>
      </c>
      <c r="B449" s="731" t="n"/>
      <c r="C449" s="731" t="n"/>
      <c r="D449" s="731" t="n"/>
      <c r="E449" s="731" t="n"/>
      <c r="F449" s="731" t="n"/>
      <c r="G449" s="731" t="n"/>
    </row>
    <row r="450" ht="15" customHeight="1">
      <c r="A450" s="1886" t="inlineStr">
        <is>
          <t>Operating Lease Payments - Due in Year 9</t>
        </is>
      </c>
      <c r="B450" s="731" t="n"/>
      <c r="C450" s="731" t="n"/>
      <c r="D450" s="731" t="n"/>
      <c r="E450" s="731" t="n"/>
      <c r="F450" s="731" t="n"/>
      <c r="G450" s="731" t="n"/>
    </row>
    <row r="451" ht="15" customHeight="1">
      <c r="A451" s="1886" t="inlineStr">
        <is>
          <t>Operating Lease Payments - Due in Year 10</t>
        </is>
      </c>
      <c r="B451" s="731" t="n"/>
      <c r="C451" s="731" t="n"/>
      <c r="D451" s="731" t="n"/>
      <c r="E451" s="731" t="n"/>
      <c r="F451" s="731" t="n"/>
      <c r="G451" s="731" t="n"/>
    </row>
    <row r="452" ht="15" customHeight="1">
      <c r="A452" s="1886" t="inlineStr">
        <is>
          <t>Operating Lease Payments - Remaining Maturities</t>
        </is>
      </c>
      <c r="B452" s="731" t="n"/>
      <c r="C452" s="731" t="n"/>
      <c r="D452" s="731" t="n"/>
      <c r="E452" s="731" t="n"/>
      <c r="F452" s="731" t="n"/>
      <c r="G452" s="731" t="n"/>
    </row>
    <row r="453" ht="15" customHeight="1">
      <c r="A453" s="1886" t="inlineStr">
        <is>
          <t>Operating Lease Payments - Interest Cost/Imputed Interest</t>
        </is>
      </c>
      <c r="B453" s="731" t="n"/>
      <c r="C453" s="731" t="n"/>
      <c r="D453" s="731" t="n"/>
      <c r="E453" s="731" t="n"/>
      <c r="F453" s="731" t="n"/>
      <c r="G453" s="731" t="n"/>
    </row>
    <row r="454" ht="15" customHeight="1">
      <c r="A454" s="1885" t="inlineStr">
        <is>
          <t>Operating Lease Payments - Due in 2-3 Years</t>
        </is>
      </c>
      <c r="B454" s="731" t="n"/>
      <c r="C454" s="731" t="n"/>
      <c r="D454" s="731" t="n"/>
      <c r="E454" s="731" t="n"/>
      <c r="F454" s="731" t="n"/>
      <c r="G454" s="731" t="n"/>
    </row>
    <row r="455" ht="15" customHeight="1">
      <c r="A455" s="1885" t="inlineStr">
        <is>
          <t>Operating Lease Payments - Due in 4-5 Years</t>
        </is>
      </c>
      <c r="B455" s="731" t="n"/>
      <c r="C455" s="731" t="n"/>
      <c r="D455" s="731" t="n"/>
      <c r="E455" s="731" t="n"/>
      <c r="F455" s="731" t="n"/>
      <c r="G455" s="731" t="n"/>
    </row>
    <row r="456" ht="15" customHeight="1">
      <c r="A456" s="1885" t="inlineStr">
        <is>
          <t>Operating Lease Payments - Due in Year 6 &amp; Beyond</t>
        </is>
      </c>
      <c r="B456" s="731" t="n"/>
      <c r="C456" s="731" t="n"/>
      <c r="D456" s="731" t="n"/>
      <c r="E456" s="731" t="n"/>
      <c r="F456" s="731" t="n"/>
      <c r="G456" s="731" t="n"/>
    </row>
    <row r="457" ht="15" customHeight="1">
      <c r="A457" s="1884" t="inlineStr">
        <is>
          <t>Risk Related</t>
        </is>
      </c>
      <c r="B457" s="734" t="n"/>
      <c r="C457" s="734" t="n"/>
      <c r="D457" s="734" t="n"/>
      <c r="E457" s="734" t="n"/>
      <c r="F457" s="734" t="n"/>
      <c r="G457" s="734" t="n"/>
    </row>
    <row r="458" ht="15" customHeight="1">
      <c r="A458" s="1885" t="inlineStr">
        <is>
          <t>Level 1 Assets - Fair Value</t>
        </is>
      </c>
      <c r="B458" s="731" t="n"/>
      <c r="C458" s="731" t="n"/>
      <c r="D458" s="731" t="n"/>
      <c r="E458" s="731" t="n"/>
      <c r="F458" s="731" t="n"/>
      <c r="G458" s="731" t="n"/>
    </row>
    <row r="459" ht="15" customHeight="1">
      <c r="A459" s="1885" t="inlineStr">
        <is>
          <t>Level 2 Assets - Fair Value</t>
        </is>
      </c>
      <c r="B459" s="731" t="n"/>
      <c r="C459" s="731" t="n"/>
      <c r="D459" s="731" t="n"/>
      <c r="E459" s="731" t="n"/>
      <c r="F459" s="731" t="n"/>
      <c r="G459" s="731" t="n"/>
    </row>
    <row r="460" ht="15" customHeight="1">
      <c r="A460" s="1885" t="inlineStr">
        <is>
          <t>Level 3 Assets - Fair Value</t>
        </is>
      </c>
      <c r="B460" s="731" t="n"/>
      <c r="C460" s="731" t="n"/>
      <c r="D460" s="731" t="n"/>
      <c r="E460" s="731" t="n"/>
      <c r="F460" s="731" t="n"/>
      <c r="G460" s="731" t="n"/>
    </row>
    <row r="461" ht="15" customHeight="1">
      <c r="A461" s="1885" t="inlineStr">
        <is>
          <t>Level 1 Liabilities - Fair Value</t>
        </is>
      </c>
      <c r="B461" s="731" t="n"/>
      <c r="C461" s="731" t="n"/>
      <c r="D461" s="731" t="n"/>
      <c r="E461" s="731" t="n"/>
      <c r="F461" s="731" t="n"/>
      <c r="G461" s="731" t="n"/>
    </row>
    <row r="462" ht="15" customHeight="1">
      <c r="A462" s="1885" t="inlineStr">
        <is>
          <t>Level 2 Liabilities - Fair Value</t>
        </is>
      </c>
      <c r="B462" s="731" t="n"/>
      <c r="C462" s="731" t="n"/>
      <c r="D462" s="731" t="n"/>
      <c r="E462" s="731" t="n"/>
      <c r="F462" s="731" t="n"/>
      <c r="G462" s="731" t="n"/>
    </row>
    <row r="463" ht="15" customHeight="1">
      <c r="A463" s="1885" t="inlineStr">
        <is>
          <t>Level 3 Liabilities - Fair Value</t>
        </is>
      </c>
      <c r="B463" s="731" t="n"/>
      <c r="C463" s="731" t="n"/>
      <c r="D463" s="731" t="n"/>
      <c r="E463" s="731" t="n"/>
      <c r="F463" s="731" t="n"/>
      <c r="G463" s="731" t="n"/>
    </row>
    <row r="464" ht="15" customHeight="1">
      <c r="A464" s="1885" t="inlineStr">
        <is>
          <t>Credit Exposure</t>
        </is>
      </c>
      <c r="B464" s="731" t="n"/>
      <c r="C464" s="731" t="n"/>
      <c r="D464" s="731" t="n"/>
      <c r="E464" s="731" t="n"/>
      <c r="F464" s="731" t="n"/>
      <c r="G464" s="731" t="n"/>
    </row>
    <row r="465" ht="15" customHeight="1">
      <c r="A465" s="1885" t="inlineStr">
        <is>
          <t>Assets Under Management (AUM)</t>
        </is>
      </c>
      <c r="B465" s="731" t="n"/>
      <c r="C465" s="731" t="n"/>
      <c r="D465" s="731" t="n"/>
      <c r="E465" s="731" t="n"/>
      <c r="F465" s="731" t="n"/>
      <c r="G465" s="731" t="n"/>
    </row>
    <row r="466" ht="15" customHeight="1">
      <c r="A466" s="1884" t="inlineStr">
        <is>
          <t>Capital Adequacy</t>
        </is>
      </c>
      <c r="B466" s="734" t="n"/>
      <c r="C466" s="734" t="n"/>
      <c r="D466" s="734" t="n"/>
      <c r="E466" s="734" t="n"/>
      <c r="F466" s="734" t="n"/>
      <c r="G466" s="734" t="n"/>
    </row>
    <row r="467" ht="15" customHeight="1">
      <c r="A467" s="1885" t="inlineStr">
        <is>
          <t>Capital Adequacy - Total (Value)</t>
        </is>
      </c>
      <c r="B467" s="731" t="n"/>
      <c r="C467" s="731" t="n"/>
      <c r="D467" s="731" t="n"/>
      <c r="E467" s="731" t="n"/>
      <c r="F467" s="731" t="n"/>
      <c r="G467" s="731" t="n"/>
    </row>
    <row r="468" ht="15" customHeight="1">
      <c r="A468" s="1886" t="inlineStr">
        <is>
          <t>Capital Adequacy - Tier 1 (Value)</t>
        </is>
      </c>
      <c r="B468" s="731" t="n"/>
      <c r="C468" s="731" t="n"/>
      <c r="D468" s="731" t="n"/>
      <c r="E468" s="731" t="n"/>
      <c r="F468" s="731" t="n"/>
      <c r="G468" s="731" t="n"/>
    </row>
    <row r="469" ht="15" customHeight="1">
      <c r="A469" s="1887" t="inlineStr">
        <is>
          <t>Capital Adequacy - Core Tier 1 (Value)</t>
        </is>
      </c>
      <c r="B469" s="731" t="n"/>
      <c r="C469" s="731" t="n"/>
      <c r="D469" s="731" t="n"/>
      <c r="E469" s="731" t="n"/>
      <c r="F469" s="731" t="n"/>
      <c r="G469" s="731" t="n"/>
    </row>
    <row r="470" ht="15" customHeight="1">
      <c r="A470" s="1887" t="inlineStr">
        <is>
          <t>Capital Adequacy - Hybrid Tier 1 (included in Tier 1 Capital - Value)</t>
        </is>
      </c>
      <c r="B470" s="731" t="n"/>
      <c r="C470" s="731" t="n"/>
      <c r="D470" s="731" t="n"/>
      <c r="E470" s="731" t="n"/>
      <c r="F470" s="731" t="n"/>
      <c r="G470" s="731" t="n"/>
    </row>
    <row r="471" ht="15" customHeight="1">
      <c r="A471" s="1886" t="inlineStr">
        <is>
          <t>Capital Adequacy - Tier 2 (Value)</t>
        </is>
      </c>
      <c r="B471" s="731" t="n"/>
      <c r="C471" s="731" t="n"/>
      <c r="D471" s="731" t="n"/>
      <c r="E471" s="731" t="n"/>
      <c r="F471" s="731" t="n"/>
      <c r="G471" s="731" t="n"/>
    </row>
    <row r="472" ht="15" customHeight="1">
      <c r="A472" s="1886" t="inlineStr">
        <is>
          <t>Capital Adequacy - Tier 3 (Value)</t>
        </is>
      </c>
      <c r="B472" s="731" t="n"/>
      <c r="C472" s="731" t="n"/>
      <c r="D472" s="731" t="n"/>
      <c r="E472" s="731" t="n"/>
      <c r="F472" s="731" t="n"/>
      <c r="G472" s="731" t="n"/>
    </row>
    <row r="473" ht="15" customHeight="1">
      <c r="A473" s="1885" t="inlineStr">
        <is>
          <t>Capital Adequacy - Total (%)</t>
        </is>
      </c>
      <c r="B473" s="731" t="n"/>
      <c r="C473" s="731" t="n"/>
      <c r="D473" s="731" t="n"/>
      <c r="E473" s="731" t="n"/>
      <c r="F473" s="731" t="n"/>
      <c r="G473" s="731" t="n"/>
    </row>
    <row r="474" ht="15" customHeight="1">
      <c r="A474" s="1886" t="inlineStr">
        <is>
          <t>Capital Adequacy - Tier 1 (%)</t>
        </is>
      </c>
      <c r="B474" s="731" t="n"/>
      <c r="C474" s="731" t="n"/>
      <c r="D474" s="731" t="n"/>
      <c r="E474" s="731" t="n"/>
      <c r="F474" s="731" t="n"/>
      <c r="G474" s="731" t="n"/>
    </row>
    <row r="475" ht="15" customHeight="1">
      <c r="A475" s="1887" t="inlineStr">
        <is>
          <t>Capital Adequacy - Core Tier 1 (%)</t>
        </is>
      </c>
      <c r="B475" s="731" t="n"/>
      <c r="C475" s="731" t="n"/>
      <c r="D475" s="731" t="n"/>
      <c r="E475" s="731" t="n"/>
      <c r="F475" s="731" t="n"/>
      <c r="G475" s="731" t="n"/>
    </row>
    <row r="476" ht="15" customHeight="1">
      <c r="A476" s="1886" t="inlineStr">
        <is>
          <t>Capital Adequacy - Tier 2 (%)</t>
        </is>
      </c>
      <c r="B476" s="731" t="n"/>
      <c r="C476" s="731" t="n"/>
      <c r="D476" s="731" t="n"/>
      <c r="E476" s="731" t="n"/>
      <c r="F476" s="731" t="n"/>
      <c r="G476" s="731" t="n"/>
    </row>
    <row r="477" ht="15" customHeight="1">
      <c r="A477" s="1886" t="inlineStr">
        <is>
          <t>Capital Adequacy - Tier 3 (%)</t>
        </is>
      </c>
      <c r="B477" s="731" t="n"/>
      <c r="C477" s="731" t="n"/>
      <c r="D477" s="731" t="n"/>
      <c r="E477" s="731" t="n"/>
      <c r="F477" s="731" t="n"/>
      <c r="G477" s="731" t="n"/>
    </row>
    <row r="478" ht="15" customHeight="1">
      <c r="A478" s="1885" t="inlineStr">
        <is>
          <t>Risk Weighted Assets</t>
        </is>
      </c>
      <c r="B478" s="731" t="n"/>
      <c r="C478" s="731" t="n"/>
      <c r="D478" s="731" t="n"/>
      <c r="E478" s="731" t="n"/>
      <c r="F478" s="731" t="n"/>
      <c r="G478" s="731" t="n"/>
    </row>
    <row r="479" ht="15" customHeight="1">
      <c r="A479" s="1885" t="inlineStr">
        <is>
          <t>Liquidity Coverage Ratio - Basel 3 - %</t>
        </is>
      </c>
      <c r="B479" s="731" t="n"/>
      <c r="C479" s="731" t="n"/>
      <c r="D479" s="731" t="n"/>
      <c r="E479" s="731" t="n"/>
      <c r="F479" s="731" t="n"/>
      <c r="G479" s="731" t="n"/>
    </row>
    <row r="480" ht="15" customHeight="1">
      <c r="A480" s="1885" t="inlineStr">
        <is>
          <t>Solvency Margin Ratio – Insurance</t>
        </is>
      </c>
      <c r="B480" s="731" t="n"/>
      <c r="C480" s="731" t="n"/>
      <c r="D480" s="731" t="n"/>
      <c r="E480" s="731" t="n"/>
      <c r="F480" s="731" t="n"/>
      <c r="G480" s="731" t="n"/>
    </row>
    <row r="481" ht="15" customHeight="1">
      <c r="A481" s="1885" t="inlineStr">
        <is>
          <t>Leverage Ratio - Basel 3 - %</t>
        </is>
      </c>
      <c r="B481" s="731" t="n"/>
      <c r="C481" s="731" t="n"/>
      <c r="D481" s="731" t="n"/>
      <c r="E481" s="731" t="n"/>
      <c r="F481" s="731" t="n"/>
      <c r="G481" s="731" t="n"/>
    </row>
    <row r="482" ht="15" customHeight="1">
      <c r="A482" s="1885" t="inlineStr">
        <is>
          <t>Net Stable Funding Ratio - Basel 3 - %</t>
        </is>
      </c>
      <c r="B482" s="731" t="n"/>
      <c r="C482" s="731" t="n"/>
      <c r="D482" s="731" t="n"/>
      <c r="E482" s="731" t="n"/>
      <c r="F482" s="731" t="n"/>
      <c r="G482" s="731" t="n"/>
    </row>
    <row r="483" ht="15" customHeight="1">
      <c r="A483" s="1885" t="inlineStr">
        <is>
          <t>Solvency Ratio – Insurance</t>
        </is>
      </c>
      <c r="B483" s="731" t="n"/>
      <c r="C483" s="731" t="n"/>
      <c r="D483" s="731" t="n"/>
      <c r="E483" s="731" t="n"/>
      <c r="F483" s="731" t="n"/>
      <c r="G483" s="731" t="n"/>
    </row>
    <row r="484" ht="15" customHeight="1">
      <c r="A484" s="1884" t="inlineStr">
        <is>
          <t>Nonperforming Loans/Assets</t>
        </is>
      </c>
      <c r="B484" s="734" t="n"/>
      <c r="C484" s="734" t="n"/>
      <c r="D484" s="734" t="n"/>
      <c r="E484" s="734" t="n"/>
      <c r="F484" s="734" t="n"/>
      <c r="G484" s="734" t="n"/>
    </row>
    <row r="485" ht="15" customHeight="1">
      <c r="A485" s="1885" t="inlineStr">
        <is>
          <t>Non-Performing Assets - Loans &amp; Other</t>
        </is>
      </c>
      <c r="B485" s="731" t="n"/>
      <c r="C485" s="731" t="n"/>
      <c r="D485" s="731" t="n"/>
      <c r="E485" s="731" t="n"/>
      <c r="F485" s="731" t="n"/>
      <c r="G485" s="731" t="n"/>
    </row>
    <row r="486" ht="15" customHeight="1">
      <c r="A486" s="1886" t="inlineStr">
        <is>
          <t>Non-Performing Assets - Other than Loans</t>
        </is>
      </c>
      <c r="B486" s="731" t="n"/>
      <c r="C486" s="731" t="n"/>
      <c r="D486" s="731" t="n"/>
      <c r="E486" s="731" t="n"/>
      <c r="F486" s="731" t="n"/>
      <c r="G486" s="731" t="n"/>
    </row>
    <row r="487" ht="15" customHeight="1">
      <c r="A487" s="1886" t="inlineStr">
        <is>
          <t>Loans - Non-Performing &amp; Impaired</t>
        </is>
      </c>
      <c r="B487" s="731" t="n"/>
      <c r="C487" s="731" t="n"/>
      <c r="D487" s="731" t="n"/>
      <c r="E487" s="731" t="n"/>
      <c r="F487" s="731" t="n"/>
      <c r="G487" s="731" t="n"/>
    </row>
    <row r="488" ht="15" customHeight="1">
      <c r="A488" s="1887" t="inlineStr">
        <is>
          <t>Loans - Impaired -Total</t>
        </is>
      </c>
      <c r="B488" s="731" t="n"/>
      <c r="C488" s="731" t="n"/>
      <c r="D488" s="731" t="n"/>
      <c r="E488" s="731" t="n"/>
      <c r="F488" s="731" t="n"/>
      <c r="G488" s="731" t="n"/>
    </row>
    <row r="489" ht="15" customHeight="1">
      <c r="A489" s="1890" t="inlineStr">
        <is>
          <t>Loans - Impaired - Non-Performing</t>
        </is>
      </c>
      <c r="B489" s="731" t="n"/>
      <c r="C489" s="731" t="n"/>
      <c r="D489" s="731" t="n"/>
      <c r="E489" s="731" t="n"/>
      <c r="F489" s="731" t="n"/>
      <c r="G489" s="731" t="n"/>
    </row>
    <row r="490" ht="15" customHeight="1">
      <c r="A490" s="1890" t="inlineStr">
        <is>
          <t>Loans - Impaired - Sub-Performing &amp; Performing but Impaired</t>
        </is>
      </c>
      <c r="B490" s="731" t="n"/>
      <c r="C490" s="731" t="n"/>
      <c r="D490" s="731" t="n"/>
      <c r="E490" s="731" t="n"/>
      <c r="F490" s="731" t="n"/>
      <c r="G490" s="731" t="n"/>
    </row>
    <row r="491" ht="15" customHeight="1">
      <c r="A491" s="1887" t="inlineStr">
        <is>
          <t>Loans - Performing and Non-Performing - Not Impaired</t>
        </is>
      </c>
      <c r="B491" s="731" t="n"/>
      <c r="C491" s="731" t="n"/>
      <c r="D491" s="731" t="n"/>
      <c r="E491" s="731" t="n"/>
      <c r="F491" s="731" t="n"/>
      <c r="G491" s="731" t="n"/>
    </row>
    <row r="492" ht="15" customHeight="1">
      <c r="A492" s="1887" t="inlineStr">
        <is>
          <t>Loans - Non Performing - Not Impaired but Past Due</t>
        </is>
      </c>
      <c r="B492" s="731" t="n"/>
      <c r="C492" s="731" t="n"/>
      <c r="D492" s="731" t="n"/>
      <c r="E492" s="731" t="n"/>
      <c r="F492" s="731" t="n"/>
      <c r="G492" s="731" t="n"/>
    </row>
    <row r="493" ht="15" customHeight="1">
      <c r="A493" s="1890" t="inlineStr">
        <is>
          <t>Loans - Non-Performing - Not Impaired but Past Due - 0 to 90 Days</t>
        </is>
      </c>
      <c r="B493" s="731" t="n"/>
      <c r="C493" s="731" t="n"/>
      <c r="D493" s="731" t="n"/>
      <c r="E493" s="731" t="n"/>
      <c r="F493" s="731" t="n"/>
      <c r="G493" s="731" t="n"/>
    </row>
    <row r="494" ht="15" customHeight="1">
      <c r="A494" s="1890" t="inlineStr">
        <is>
          <t>Loans - Non-Performing - Not Impaired but Past Due - over 90 Days</t>
        </is>
      </c>
      <c r="B494" s="731" t="n"/>
      <c r="C494" s="731" t="n"/>
      <c r="D494" s="731" t="n"/>
      <c r="E494" s="731" t="n"/>
      <c r="F494" s="731" t="n"/>
      <c r="G494" s="731" t="n"/>
    </row>
    <row r="495" ht="15" customHeight="1">
      <c r="A495" s="1887" t="inlineStr">
        <is>
          <t>Loans - Performing - Not Impaired &amp; Not Past Due</t>
        </is>
      </c>
      <c r="B495" s="731" t="n"/>
      <c r="C495" s="731" t="n"/>
      <c r="D495" s="731" t="n"/>
      <c r="E495" s="731" t="n"/>
      <c r="F495" s="731" t="n"/>
      <c r="G495" s="731" t="n"/>
    </row>
    <row r="496" ht="15" customHeight="1">
      <c r="A496" s="1886" t="inlineStr">
        <is>
          <t>Impaired Assets - Total</t>
        </is>
      </c>
      <c r="B496" s="731" t="n"/>
      <c r="C496" s="731" t="n"/>
      <c r="D496" s="731" t="n"/>
      <c r="E496" s="731" t="n"/>
      <c r="F496" s="731" t="n"/>
      <c r="G496" s="731" t="n"/>
    </row>
    <row r="497" ht="15" customHeight="1">
      <c r="A497" s="1887" t="inlineStr">
        <is>
          <t>Impaired Assets - Impaired Loans and Other</t>
        </is>
      </c>
      <c r="B497" s="731" t="n"/>
      <c r="C497" s="731" t="n"/>
      <c r="D497" s="731" t="n"/>
      <c r="E497" s="731" t="n"/>
      <c r="F497" s="731" t="n"/>
      <c r="G497" s="731" t="n"/>
    </row>
    <row r="498" ht="15" customHeight="1">
      <c r="A498" s="1887" t="inlineStr">
        <is>
          <t>Impaired Assets - excluding Impaired Loans</t>
        </is>
      </c>
      <c r="B498" s="731" t="n"/>
      <c r="C498" s="731" t="n"/>
      <c r="D498" s="731" t="n"/>
      <c r="E498" s="731" t="n"/>
      <c r="F498" s="731" t="n"/>
      <c r="G498" s="731" t="n"/>
    </row>
    <row r="499" ht="15" customHeight="1">
      <c r="A499" s="1885" t="inlineStr">
        <is>
          <t>Loans - Stage 1 - Gross, Total</t>
        </is>
      </c>
      <c r="B499" s="731" t="n"/>
      <c r="C499" s="731" t="n"/>
      <c r="D499" s="731" t="n"/>
      <c r="E499" s="731" t="n"/>
      <c r="F499" s="731" t="n"/>
      <c r="G499" s="731" t="n"/>
    </row>
    <row r="500" ht="15" customHeight="1">
      <c r="A500" s="1885" t="inlineStr">
        <is>
          <t>Loans - Stage 2 - Gross, Total</t>
        </is>
      </c>
      <c r="B500" s="731" t="n"/>
      <c r="C500" s="731" t="n"/>
      <c r="D500" s="731" t="n"/>
      <c r="E500" s="731" t="n"/>
      <c r="F500" s="731" t="n"/>
      <c r="G500" s="731" t="n"/>
    </row>
    <row r="501" ht="15" customHeight="1">
      <c r="A501" s="1885" t="inlineStr">
        <is>
          <t>Loans - Stage 3 - Gross, Total</t>
        </is>
      </c>
      <c r="B501" s="731" t="n"/>
      <c r="C501" s="731" t="n"/>
      <c r="D501" s="731" t="n"/>
      <c r="E501" s="731" t="n"/>
      <c r="F501" s="731" t="n"/>
      <c r="G501" s="731" t="n"/>
    </row>
    <row r="502" ht="15" customHeight="1">
      <c r="A502" s="1885" t="inlineStr">
        <is>
          <t>Loans - Not Past Due</t>
        </is>
      </c>
      <c r="B502" s="731" t="n"/>
      <c r="C502" s="731" t="n"/>
      <c r="D502" s="731" t="n"/>
      <c r="E502" s="731" t="n"/>
      <c r="F502" s="731" t="n"/>
      <c r="G502" s="731" t="n"/>
    </row>
    <row r="503" ht="15" customHeight="1">
      <c r="A503" s="1885" t="inlineStr">
        <is>
          <t>Loans - Total Past Due</t>
        </is>
      </c>
      <c r="B503" s="731" t="n"/>
      <c r="C503" s="731" t="n"/>
      <c r="D503" s="731" t="n"/>
      <c r="E503" s="731" t="n"/>
      <c r="F503" s="731" t="n"/>
      <c r="G503" s="731" t="n"/>
    </row>
    <row r="504" ht="15" customHeight="1">
      <c r="A504" s="1886" t="inlineStr">
        <is>
          <t>Loans - Past Due &lt; 90 days</t>
        </is>
      </c>
      <c r="B504" s="731" t="n"/>
      <c r="C504" s="731" t="n"/>
      <c r="D504" s="731" t="n"/>
      <c r="E504" s="731" t="n"/>
      <c r="F504" s="731" t="n"/>
      <c r="G504" s="731" t="n"/>
    </row>
    <row r="505" ht="15" customHeight="1">
      <c r="A505" s="1886" t="inlineStr">
        <is>
          <t>Loans - Past Due - Remaining Portion</t>
        </is>
      </c>
      <c r="B505" s="731" t="n"/>
      <c r="C505" s="731" t="n"/>
      <c r="D505" s="731" t="n"/>
      <c r="E505" s="731" t="n"/>
      <c r="F505" s="731" t="n"/>
      <c r="G505" s="731" t="n"/>
    </row>
    <row r="506" ht="15" customHeight="1">
      <c r="A506" s="1885" t="inlineStr">
        <is>
          <t>Loans Purchased or Originated Credit-Impaired (POCI) - Gross, Total</t>
        </is>
      </c>
      <c r="B506" s="731" t="n"/>
      <c r="C506" s="731" t="n"/>
      <c r="D506" s="731" t="n"/>
      <c r="E506" s="731" t="n"/>
      <c r="F506" s="731" t="n"/>
      <c r="G506" s="731" t="n"/>
    </row>
    <row r="507" ht="15" customHeight="1">
      <c r="A507" s="1885" t="inlineStr">
        <is>
          <t>Other Assets - Stage 1, Gross</t>
        </is>
      </c>
      <c r="B507" s="731" t="n"/>
      <c r="C507" s="731" t="n"/>
      <c r="D507" s="731" t="n"/>
      <c r="E507" s="731" t="n"/>
      <c r="F507" s="731" t="n"/>
      <c r="G507" s="731" t="n"/>
    </row>
    <row r="508" ht="15" customHeight="1">
      <c r="A508" s="1885" t="inlineStr">
        <is>
          <t>Other Assets - Stage 2, Gross</t>
        </is>
      </c>
      <c r="B508" s="731" t="n"/>
      <c r="C508" s="731" t="n"/>
      <c r="D508" s="731" t="n"/>
      <c r="E508" s="731" t="n"/>
      <c r="F508" s="731" t="n"/>
      <c r="G508" s="731" t="n"/>
    </row>
    <row r="509" ht="15" customHeight="1">
      <c r="A509" s="1885" t="inlineStr">
        <is>
          <t>Other Assets - Stage 3, Gross</t>
        </is>
      </c>
      <c r="B509" s="731" t="n"/>
      <c r="C509" s="731" t="n"/>
      <c r="D509" s="731" t="n"/>
      <c r="E509" s="731" t="n"/>
      <c r="F509" s="731" t="n"/>
      <c r="G509" s="731" t="n"/>
    </row>
    <row r="510" ht="15" customHeight="1">
      <c r="A510" s="1885" t="inlineStr">
        <is>
          <t>Loans - Net Non-Performing - Company Reported</t>
        </is>
      </c>
      <c r="B510" s="731" t="n"/>
      <c r="C510" s="731" t="n"/>
      <c r="D510" s="731" t="n"/>
      <c r="E510" s="731" t="n"/>
      <c r="F510" s="731" t="n"/>
      <c r="G510" s="731" t="n"/>
    </row>
    <row r="511" ht="15" customHeight="1">
      <c r="A511" s="1885" t="inlineStr">
        <is>
          <t>Loans - Net Non-Performing - %</t>
        </is>
      </c>
      <c r="B511" s="731" t="n"/>
      <c r="C511" s="731" t="n"/>
      <c r="D511" s="731" t="n"/>
      <c r="E511" s="731" t="n"/>
      <c r="F511" s="731" t="n"/>
      <c r="G511" s="731" t="n"/>
    </row>
    <row r="512" ht="15" customHeight="1">
      <c r="A512" s="1885" t="inlineStr">
        <is>
          <t>Loans - Gross Non-Performing - As Reported</t>
        </is>
      </c>
      <c r="B512" s="731" t="n"/>
      <c r="C512" s="731" t="n"/>
      <c r="D512" s="731" t="n"/>
      <c r="E512" s="731" t="n"/>
      <c r="F512" s="731" t="n"/>
      <c r="G512" s="731" t="n"/>
    </row>
    <row r="513" ht="15" customHeight="1">
      <c r="A513" s="1885" t="inlineStr">
        <is>
          <t>Loans - Gross Non-Performing - As Reported - %</t>
        </is>
      </c>
      <c r="B513" s="731" t="n"/>
      <c r="C513" s="731" t="n"/>
      <c r="D513" s="731" t="n"/>
      <c r="E513" s="731" t="n"/>
      <c r="F513" s="731" t="n"/>
      <c r="G513" s="731" t="n"/>
    </row>
    <row r="514" ht="15" customHeight="1">
      <c r="A514" s="1885" t="inlineStr">
        <is>
          <t>Non-Performing Assets - Other than Loans - As Reported</t>
        </is>
      </c>
      <c r="B514" s="731" t="n"/>
      <c r="C514" s="731" t="n"/>
      <c r="D514" s="731" t="n"/>
      <c r="E514" s="731" t="n"/>
      <c r="F514" s="731" t="n"/>
      <c r="G514" s="731" t="n"/>
    </row>
    <row r="515" ht="15" customHeight="1">
      <c r="A515" s="1885" t="inlineStr">
        <is>
          <t>Non-Performing Assets - Loans &amp; Other - As Reported</t>
        </is>
      </c>
      <c r="B515" s="731" t="n"/>
      <c r="C515" s="731" t="n"/>
      <c r="D515" s="731" t="n"/>
      <c r="E515" s="731" t="n"/>
      <c r="F515" s="731" t="n"/>
      <c r="G515" s="731" t="n"/>
    </row>
    <row r="516" ht="15" customHeight="1">
      <c r="A516" s="1885" t="inlineStr">
        <is>
          <t>Interest Earning Assets - Average</t>
        </is>
      </c>
      <c r="B516" s="731" t="n"/>
      <c r="C516" s="731" t="n"/>
      <c r="D516" s="731" t="n"/>
      <c r="E516" s="731" t="n"/>
      <c r="F516" s="731" t="n"/>
      <c r="G516" s="731" t="n"/>
    </row>
    <row r="517" ht="15" customHeight="1">
      <c r="A517" s="1885" t="inlineStr">
        <is>
          <t>Interest Bearing Liabilities - Average</t>
        </is>
      </c>
      <c r="B517" s="731" t="n"/>
      <c r="C517" s="731" t="n"/>
      <c r="D517" s="731" t="n"/>
      <c r="E517" s="731" t="n"/>
      <c r="F517" s="731" t="n"/>
      <c r="G517" s="731" t="n"/>
    </row>
    <row r="518" ht="15" customHeight="1">
      <c r="A518" s="1885" t="inlineStr">
        <is>
          <t>Short-Term - Lending</t>
        </is>
      </c>
      <c r="B518" s="731" t="n"/>
      <c r="C518" s="731" t="n"/>
      <c r="D518" s="731" t="n"/>
      <c r="E518" s="731" t="n"/>
      <c r="F518" s="731" t="n"/>
      <c r="G518" s="731" t="n"/>
    </row>
    <row r="519" ht="15" customHeight="1">
      <c r="A519" s="1885" t="inlineStr">
        <is>
          <t>Short-Term - Lending to Total Lending - %</t>
        </is>
      </c>
      <c r="B519" s="731" t="n"/>
      <c r="C519" s="731" t="n"/>
      <c r="D519" s="731" t="n"/>
      <c r="E519" s="731" t="n"/>
      <c r="F519" s="731" t="n"/>
      <c r="G519" s="731" t="n"/>
    </row>
    <row r="520" ht="15" customHeight="1">
      <c r="A520" s="1885" t="inlineStr">
        <is>
          <t>Long-Term - Lending</t>
        </is>
      </c>
      <c r="B520" s="731" t="n"/>
      <c r="C520" s="731" t="n"/>
      <c r="D520" s="731" t="n"/>
      <c r="E520" s="731" t="n"/>
      <c r="F520" s="731" t="n"/>
      <c r="G520" s="731" t="n"/>
    </row>
    <row r="521" ht="15" customHeight="1">
      <c r="A521" s="1885" t="inlineStr">
        <is>
          <t>Long-Term - Lending to Total Lending - %</t>
        </is>
      </c>
      <c r="B521" s="731" t="n"/>
      <c r="C521" s="731" t="n"/>
      <c r="D521" s="731" t="n"/>
      <c r="E521" s="731" t="n"/>
      <c r="F521" s="731" t="n"/>
      <c r="G521" s="731" t="n"/>
    </row>
    <row r="522" ht="15" customHeight="1">
      <c r="A522" s="1885" t="inlineStr">
        <is>
          <t>Provision Coverage Ratio - %</t>
        </is>
      </c>
      <c r="B522" s="731" t="n"/>
      <c r="C522" s="731" t="n"/>
      <c r="D522" s="731" t="n"/>
      <c r="E522" s="731" t="n"/>
      <c r="F522" s="731" t="n"/>
      <c r="G522" s="731" t="n"/>
    </row>
    <row r="523" ht="15" customHeight="1">
      <c r="A523" s="1885" t="inlineStr">
        <is>
          <t>CASA Ratio - %</t>
        </is>
      </c>
      <c r="B523" s="731" t="n"/>
      <c r="C523" s="731" t="n"/>
      <c r="D523" s="731" t="n"/>
      <c r="E523" s="731" t="n"/>
      <c r="F523" s="731" t="n"/>
      <c r="G523" s="731" t="n"/>
    </row>
    <row r="524" ht="15" customHeight="1">
      <c r="A524" s="1885" t="inlineStr">
        <is>
          <t>Collection Efficiency Ratio - %</t>
        </is>
      </c>
      <c r="B524" s="731" t="n"/>
      <c r="C524" s="731" t="n"/>
      <c r="D524" s="731" t="n"/>
      <c r="E524" s="731" t="n"/>
      <c r="F524" s="731" t="n"/>
      <c r="G524" s="731" t="n"/>
    </row>
    <row r="525" ht="15" customHeight="1">
      <c r="A525" s="1884" t="inlineStr">
        <is>
          <t>Employees</t>
        </is>
      </c>
      <c r="B525" s="734" t="n"/>
      <c r="C525" s="734" t="n"/>
      <c r="D525" s="734" t="n"/>
      <c r="E525" s="734" t="n"/>
      <c r="F525" s="734" t="n"/>
      <c r="G525" s="734" t="n"/>
    </row>
    <row r="526" ht="15" customHeight="1">
      <c r="A526" s="1885" t="inlineStr">
        <is>
          <t>Employees - Full-Time/Full-Time Equivalents - Period End</t>
        </is>
      </c>
      <c r="B526" s="1893" t="n">
        <v>1024</v>
      </c>
      <c r="C526" s="1893" t="n">
        <v>1427</v>
      </c>
      <c r="D526" s="1893" t="n">
        <v>1479</v>
      </c>
      <c r="E526" s="1893" t="n">
        <v>1747</v>
      </c>
      <c r="F526" s="1893" t="n">
        <v>1863</v>
      </c>
      <c r="G526" s="1893" t="n">
        <v>1905</v>
      </c>
    </row>
    <row r="527" ht="15" customHeight="1">
      <c r="A527" s="1885" t="inlineStr">
        <is>
          <t>Employees - Full-Time/Full-Time Equivalents - Current Date</t>
        </is>
      </c>
      <c r="B527" s="1893" t="n">
        <v>1024</v>
      </c>
      <c r="C527" s="1893" t="n">
        <v>1427</v>
      </c>
      <c r="D527" s="1893" t="n">
        <v>1479</v>
      </c>
      <c r="E527" s="1893" t="n">
        <v>1747</v>
      </c>
      <c r="F527" s="1893" t="n">
        <v>1863</v>
      </c>
      <c r="G527" s="1893" t="n">
        <v>1905</v>
      </c>
    </row>
    <row r="528" ht="15" customHeight="1">
      <c r="A528" s="1885" t="inlineStr">
        <is>
          <t>Employees - Part-Time - Period End</t>
        </is>
      </c>
      <c r="B528" s="731" t="n"/>
      <c r="C528" s="731" t="n"/>
      <c r="D528" s="731" t="n"/>
      <c r="E528" s="731" t="n"/>
      <c r="F528" s="731" t="n"/>
      <c r="G528" s="731" t="n"/>
    </row>
    <row r="529" ht="15" customHeight="1">
      <c r="A529" s="1885" t="inlineStr">
        <is>
          <t>Employees - Full-Time/Full-Time Equiv -Period End-Range High</t>
        </is>
      </c>
      <c r="B529" s="731" t="n"/>
      <c r="C529" s="731" t="n"/>
      <c r="D529" s="731" t="n"/>
      <c r="E529" s="731" t="n"/>
      <c r="F529" s="731" t="n"/>
      <c r="G529" s="731" t="n"/>
    </row>
    <row r="530" ht="15" customHeight="1">
      <c r="A530" s="1885" t="inlineStr">
        <is>
          <t>Employees - Full-Time/Full-Time Equiv - Period End-Range Low</t>
        </is>
      </c>
      <c r="B530" s="731" t="n"/>
      <c r="C530" s="731" t="n"/>
      <c r="D530" s="731" t="n"/>
      <c r="E530" s="731" t="n"/>
      <c r="F530" s="731" t="n"/>
      <c r="G530" s="731" t="n"/>
    </row>
    <row r="531" ht="15" customHeight="1">
      <c r="A531" s="1884" t="inlineStr">
        <is>
          <t>Japan Specific</t>
        </is>
      </c>
      <c r="B531" s="734" t="n"/>
      <c r="C531" s="734" t="n"/>
      <c r="D531" s="734" t="n"/>
      <c r="E531" s="734" t="n"/>
      <c r="F531" s="734" t="n"/>
      <c r="G531" s="734" t="n"/>
    </row>
    <row r="532" ht="15" customHeight="1">
      <c r="A532" s="1885" t="inlineStr">
        <is>
          <t>Reported - Total Assets</t>
        </is>
      </c>
      <c r="B532" s="731" t="n"/>
      <c r="C532" s="731" t="n"/>
      <c r="D532" s="731" t="n"/>
      <c r="E532" s="731" t="n"/>
      <c r="F532" s="731" t="n"/>
      <c r="G532" s="731" t="n"/>
    </row>
    <row r="533" ht="15" customHeight="1">
      <c r="A533" s="1885" t="inlineStr">
        <is>
          <t>Reported - Total Liabilities</t>
        </is>
      </c>
      <c r="B533" s="731" t="n"/>
      <c r="C533" s="731" t="n"/>
      <c r="D533" s="731" t="n"/>
      <c r="E533" s="731" t="n"/>
      <c r="F533" s="731" t="n"/>
      <c r="G533" s="731" t="n"/>
    </row>
    <row r="534" ht="15" customHeight="1">
      <c r="A534" s="1885" t="inlineStr">
        <is>
          <t>Reported - Shareholders' Equity excluding New Stock Subscription</t>
        </is>
      </c>
      <c r="B534" s="731" t="n"/>
      <c r="C534" s="731" t="n"/>
      <c r="D534" s="731" t="n"/>
      <c r="E534" s="731" t="n"/>
      <c r="F534" s="731" t="n"/>
      <c r="G534" s="731" t="n"/>
    </row>
    <row r="535" ht="15" customHeight="1">
      <c r="A535" s="1885" t="inlineStr">
        <is>
          <t>Reported – Shareholders’ Equity</t>
        </is>
      </c>
      <c r="B535" s="731" t="n"/>
      <c r="C535" s="731" t="n"/>
      <c r="D535" s="731" t="n"/>
      <c r="E535" s="731" t="n"/>
      <c r="F535" s="731" t="n"/>
      <c r="G535" s="731" t="n"/>
    </row>
    <row r="536" ht="15" customHeight="1">
      <c r="A536" s="1885" t="inlineStr">
        <is>
          <t>Reported - Net Assets</t>
        </is>
      </c>
      <c r="B536" s="731" t="n"/>
      <c r="C536" s="731" t="n"/>
      <c r="D536" s="731" t="n"/>
      <c r="E536" s="731" t="n"/>
      <c r="F536" s="731" t="n"/>
      <c r="G536" s="731" t="n"/>
    </row>
    <row r="537" ht="15" customHeight="1">
      <c r="A537" s="1885" t="inlineStr">
        <is>
          <t>Reported - Net Assets to Total Assets</t>
        </is>
      </c>
      <c r="B537" s="731" t="n"/>
      <c r="C537" s="731" t="n"/>
      <c r="D537" s="731" t="n"/>
      <c r="E537" s="731" t="n"/>
      <c r="F537" s="731" t="n"/>
      <c r="G537" s="731" t="n"/>
    </row>
    <row r="538" ht="15" customHeight="1">
      <c r="A538" s="1885" t="inlineStr">
        <is>
          <t>Reported - Return on Assets</t>
        </is>
      </c>
      <c r="B538" s="731" t="n"/>
      <c r="C538" s="731" t="n"/>
      <c r="D538" s="731" t="n"/>
      <c r="E538" s="731" t="n"/>
      <c r="F538" s="731" t="n"/>
      <c r="G538" s="731" t="n"/>
    </row>
    <row r="539" ht="15" customHeight="1">
      <c r="A539" s="1885" t="inlineStr">
        <is>
          <t>Reported - Return on Equity</t>
        </is>
      </c>
      <c r="B539" s="731" t="n"/>
      <c r="C539" s="731" t="n"/>
      <c r="D539" s="731" t="n"/>
      <c r="E539" s="731" t="n"/>
      <c r="F539" s="731" t="n"/>
      <c r="G539" s="731" t="n"/>
    </row>
  </sheetData>
  <pageMargins left="0.5" right="0.5" top="1" bottom="1" header="0.511811023622047" footer="0.511811023622047"/>
  <pageSetup orientation="portrait" fitToHeight="0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zoomScale="77" zoomScaleNormal="77" workbookViewId="0">
      <selection activeCell="I16" sqref="I16"/>
    </sheetView>
  </sheetViews>
  <sheetFormatPr baseColWidth="8" defaultColWidth="8.7109375" defaultRowHeight="14.25"/>
  <cols>
    <col width="46" customWidth="1" min="1" max="1"/>
    <col width="12.42578125" customWidth="1" min="4" max="6"/>
    <col width="15.5703125" customWidth="1" min="7" max="13"/>
  </cols>
  <sheetData>
    <row r="1" ht="15" customHeight="1">
      <c r="A1" s="1657" t="inlineStr">
        <is>
          <t>WIFI  |  Detailed Revenue &amp; Cost-of-Revenue Schedule</t>
        </is>
      </c>
    </row>
    <row r="2" ht="14.25" customHeight="1">
      <c r="A2" s="1394" t="inlineStr">
        <is>
          <t xml:space="preserve">In Thousands of Rupiah (IDR '000). </t>
        </is>
      </c>
    </row>
    <row r="3" ht="14.25" customHeight="1">
      <c r="D3" s="1894" t="inlineStr">
        <is>
          <t>2021A</t>
        </is>
      </c>
      <c r="E3" s="1894" t="inlineStr">
        <is>
          <t>2022A</t>
        </is>
      </c>
      <c r="F3" s="1894" t="inlineStr">
        <is>
          <t>2023A</t>
        </is>
      </c>
      <c r="G3" s="1894" t="inlineStr">
        <is>
          <t>2024A</t>
        </is>
      </c>
      <c r="H3" s="1894" t="inlineStr">
        <is>
          <t>2025A</t>
        </is>
      </c>
      <c r="I3" s="1894" t="inlineStr">
        <is>
          <t>2026F</t>
        </is>
      </c>
      <c r="J3" s="1894" t="inlineStr">
        <is>
          <t>2027F</t>
        </is>
      </c>
      <c r="K3" s="1894" t="inlineStr">
        <is>
          <t>2028F</t>
        </is>
      </c>
      <c r="L3" s="1894" t="inlineStr">
        <is>
          <t>2029F</t>
        </is>
      </c>
      <c r="M3" s="1894" t="inlineStr">
        <is>
          <t>2030F</t>
        </is>
      </c>
    </row>
    <row r="5" ht="14.25" customHeight="1">
      <c r="A5" s="1786" t="inlineStr">
        <is>
          <t>A.  REVENUE BUILD</t>
        </is>
      </c>
      <c r="B5" s="1895" t="n"/>
      <c r="C5" s="1895" t="n"/>
      <c r="D5" s="1895" t="n"/>
      <c r="E5" s="1895" t="n"/>
      <c r="F5" s="1895" t="n"/>
      <c r="G5" s="1895" t="n"/>
      <c r="H5" s="1895" t="n"/>
      <c r="I5" s="1895" t="n"/>
      <c r="J5" s="1895" t="n"/>
      <c r="K5" s="1895" t="n"/>
      <c r="L5" s="1895" t="n"/>
      <c r="M5" s="1895" t="n"/>
    </row>
    <row r="6" ht="14.25" customHeight="1">
      <c r="A6" s="1394" t="inlineStr">
        <is>
          <t>Forward growth / driver assumptions (YoY %)</t>
        </is>
      </c>
    </row>
    <row r="8" ht="14.25" customHeight="1">
      <c r="A8" s="1896" t="inlineStr">
        <is>
          <t xml:space="preserve">   Bandwidth growth (YoY)</t>
        </is>
      </c>
      <c r="I8" s="1897" t="n">
        <v>0.3</v>
      </c>
      <c r="J8" s="1897" t="n">
        <v>0.22</v>
      </c>
      <c r="K8" s="1897" t="n">
        <v>0.16</v>
      </c>
      <c r="L8" s="1897" t="n">
        <v>0.11</v>
      </c>
      <c r="M8" s="1897" t="n">
        <v>0.08</v>
      </c>
    </row>
    <row r="9" ht="14.25" customHeight="1">
      <c r="A9" s="1896" t="inlineStr">
        <is>
          <t xml:space="preserve">   Sewa core growth (YoY)</t>
        </is>
      </c>
      <c r="I9" s="1897" t="n">
        <v>0</v>
      </c>
      <c r="J9" s="1897" t="n">
        <v>0</v>
      </c>
      <c r="K9" s="1897" t="n">
        <v>0</v>
      </c>
      <c r="L9" s="1897" t="n">
        <v>0</v>
      </c>
      <c r="M9" s="1897" t="n">
        <v>0</v>
      </c>
    </row>
    <row r="10" ht="14.25" customHeight="1">
      <c r="A10" s="1896" t="inlineStr">
        <is>
          <t xml:space="preserve">   Colocation growth (YoY)</t>
        </is>
      </c>
      <c r="I10" s="1897" t="n">
        <v>0.05</v>
      </c>
      <c r="J10" s="1897" t="n">
        <v>0.05</v>
      </c>
      <c r="K10" s="1897" t="n">
        <v>0.05</v>
      </c>
      <c r="L10" s="1897" t="n">
        <v>0.05</v>
      </c>
      <c r="M10" s="1897" t="n">
        <v>0.05</v>
      </c>
    </row>
    <row r="11" ht="14.25" customHeight="1">
      <c r="A11" s="1896" t="inlineStr">
        <is>
          <t xml:space="preserve">   Lainnya growth (YoY)</t>
        </is>
      </c>
      <c r="I11" s="1897" t="n">
        <v>0</v>
      </c>
      <c r="J11" s="1897" t="n">
        <v>0</v>
      </c>
      <c r="K11" s="1897" t="n">
        <v>0</v>
      </c>
      <c r="L11" s="1897" t="n">
        <v>0</v>
      </c>
      <c r="M11" s="1897" t="n">
        <v>0</v>
      </c>
    </row>
    <row r="12" ht="14.25" customHeight="1">
      <c r="A12" s="1896" t="inlineStr">
        <is>
          <t xml:space="preserve">   Advertising growth (YoY)</t>
        </is>
      </c>
      <c r="I12" s="1897" t="n">
        <v>0.3</v>
      </c>
      <c r="J12" s="1897" t="n">
        <v>0.25</v>
      </c>
      <c r="K12" s="1897" t="n">
        <v>0.2</v>
      </c>
      <c r="L12" s="1897" t="n">
        <v>0.15</v>
      </c>
      <c r="M12" s="1897" t="n">
        <v>0.12</v>
      </c>
    </row>
    <row r="13" ht="14.25" customHeight="1">
      <c r="A13" s="1896" t="inlineStr">
        <is>
          <t xml:space="preserve">   Discount (% of gross revenue)</t>
        </is>
      </c>
      <c r="I13" s="1897" t="n">
        <v>0.0056</v>
      </c>
      <c r="J13" s="1897" t="n">
        <v>0.0056</v>
      </c>
      <c r="K13" s="1897" t="n">
        <v>0.0056</v>
      </c>
      <c r="L13" s="1897" t="n">
        <v>0.0056</v>
      </c>
      <c r="M13" s="1897" t="n">
        <v>0.0056</v>
      </c>
    </row>
    <row r="15" ht="14.25" customHeight="1">
      <c r="A15" s="931" t="inlineStr">
        <is>
          <t>Telecommunication:</t>
        </is>
      </c>
    </row>
    <row r="16" ht="14.25" customHeight="1">
      <c r="A16" s="934" t="inlineStr">
        <is>
          <t xml:space="preserve">   Bandwidth</t>
        </is>
      </c>
      <c r="G16" s="1799" t="n">
        <v>227195231.783</v>
      </c>
      <c r="H16" s="1799" t="n">
        <v>560850590.051</v>
      </c>
      <c r="I16" s="1797">
        <f>H16*(1+I8)</f>
        <v/>
      </c>
      <c r="J16" s="1797">
        <f>I16*(1+J8)</f>
        <v/>
      </c>
      <c r="K16" s="1797">
        <f>J16*(1+K8)</f>
        <v/>
      </c>
      <c r="L16" s="1797">
        <f>K16*(1+L8)</f>
        <v/>
      </c>
      <c r="M16" s="1797">
        <f>L16*(1+M8)</f>
        <v/>
      </c>
    </row>
    <row r="17" ht="14.25" customHeight="1">
      <c r="A17" s="934" t="inlineStr">
        <is>
          <t xml:space="preserve">   Fiber to the home (FTTH)</t>
        </is>
      </c>
      <c r="G17" s="1799" t="n">
        <v>0</v>
      </c>
      <c r="H17" s="1799" t="n">
        <v>541055906.006</v>
      </c>
      <c r="I17" s="1800">
        <f>'WIFI 3-Statement Model'!I142</f>
        <v/>
      </c>
      <c r="J17" s="1800">
        <f>'WIFI 3-Statement Model'!J142</f>
        <v/>
      </c>
      <c r="K17" s="1800">
        <f>'WIFI 3-Statement Model'!K142</f>
        <v/>
      </c>
      <c r="L17" s="1800">
        <f>'WIFI 3-Statement Model'!L142</f>
        <v/>
      </c>
      <c r="M17" s="1800">
        <f>'WIFI 3-Statement Model'!M142</f>
        <v/>
      </c>
    </row>
    <row r="18" ht="14.25" customHeight="1">
      <c r="A18" s="934" t="inlineStr">
        <is>
          <t xml:space="preserve">   FWA / wireless (IRA)  [new segment - not in audited]</t>
        </is>
      </c>
      <c r="G18" s="1799" t="n">
        <v>0</v>
      </c>
      <c r="H18" s="1799" t="n">
        <v>0</v>
      </c>
      <c r="I18" s="1800">
        <f>'WIFI 3-Statement Model'!I148</f>
        <v/>
      </c>
      <c r="J18" s="1800">
        <f>'WIFI 3-Statement Model'!J148</f>
        <v/>
      </c>
      <c r="K18" s="1800">
        <f>'WIFI 3-Statement Model'!K148</f>
        <v/>
      </c>
      <c r="L18" s="1800">
        <f>'WIFI 3-Statement Model'!L148</f>
        <v/>
      </c>
      <c r="M18" s="1800">
        <f>'WIFI 3-Statement Model'!M148</f>
        <v/>
      </c>
    </row>
    <row r="19" ht="14.25" customHeight="1">
      <c r="A19" s="934" t="inlineStr">
        <is>
          <t xml:space="preserve">   Sewa core (Core lease)</t>
        </is>
      </c>
      <c r="G19" s="1799" t="n">
        <v>101903348.841</v>
      </c>
      <c r="H19" s="1799" t="n">
        <v>96420658.631</v>
      </c>
      <c r="I19" s="1797">
        <f>H19*(1+I9)</f>
        <v/>
      </c>
      <c r="J19" s="1797">
        <f>I19*(1+J9)</f>
        <v/>
      </c>
      <c r="K19" s="1797">
        <f>J19*(1+K9)</f>
        <v/>
      </c>
      <c r="L19" s="1797">
        <f>K19*(1+L9)</f>
        <v/>
      </c>
      <c r="M19" s="1797">
        <f>L19*(1+M9)</f>
        <v/>
      </c>
    </row>
    <row r="20" ht="14.25" customHeight="1">
      <c r="A20" s="934" t="inlineStr">
        <is>
          <t xml:space="preserve">   Colocation</t>
        </is>
      </c>
      <c r="G20" s="1799" t="n">
        <v>2363155.54</v>
      </c>
      <c r="H20" s="1799" t="n">
        <v>2558194.782</v>
      </c>
      <c r="I20" s="1797">
        <f>H20*(1+I10)</f>
        <v/>
      </c>
      <c r="J20" s="1797">
        <f>I20*(1+J10)</f>
        <v/>
      </c>
      <c r="K20" s="1797">
        <f>J20*(1+K10)</f>
        <v/>
      </c>
      <c r="L20" s="1797">
        <f>K20*(1+L10)</f>
        <v/>
      </c>
      <c r="M20" s="1797">
        <f>L20*(1+M10)</f>
        <v/>
      </c>
    </row>
    <row r="21" ht="14.25" customHeight="1">
      <c r="A21" s="934" t="inlineStr">
        <is>
          <t xml:space="preserve">   Lainnya (Others)</t>
        </is>
      </c>
      <c r="G21" s="1799" t="n">
        <v>8559825</v>
      </c>
      <c r="H21" s="1799" t="n">
        <v>8331694.48</v>
      </c>
      <c r="I21" s="1797">
        <f>H21*(1+I11)</f>
        <v/>
      </c>
      <c r="J21" s="1797">
        <f>I21*(1+J11)</f>
        <v/>
      </c>
      <c r="K21" s="1797">
        <f>J21*(1+K11)</f>
        <v/>
      </c>
      <c r="L21" s="1797">
        <f>K21*(1+L11)</f>
        <v/>
      </c>
      <c r="M21" s="1797">
        <f>L21*(1+M11)</f>
        <v/>
      </c>
    </row>
    <row r="22" ht="14.25" customHeight="1">
      <c r="A22" s="931" t="inlineStr">
        <is>
          <t xml:space="preserve">   Telecom sub-total</t>
        </is>
      </c>
      <c r="D22" s="1252">
        <f>290197011.74</f>
        <v/>
      </c>
      <c r="E22" s="1252">
        <f>37573231.215+234525318.143</f>
        <v/>
      </c>
      <c r="F22" s="1358">
        <f>122457112.56+57460084.82</f>
        <v/>
      </c>
      <c r="G22" s="1805">
        <f>SUM(G16:G21)</f>
        <v/>
      </c>
      <c r="H22" s="1805">
        <f>SUM(H16:H21)</f>
        <v/>
      </c>
      <c r="I22" s="1805">
        <f>SUM(I16:I21)</f>
        <v/>
      </c>
      <c r="J22" s="1805">
        <f>SUM(J16:J21)</f>
        <v/>
      </c>
      <c r="K22" s="1805">
        <f>SUM(K16:K21)</f>
        <v/>
      </c>
      <c r="L22" s="1805">
        <f>SUM(L16:L21)</f>
        <v/>
      </c>
      <c r="M22" s="1805">
        <f>SUM(M16:M21)</f>
        <v/>
      </c>
    </row>
    <row r="23" ht="14.25" customHeight="1">
      <c r="A23" s="931" t="inlineStr">
        <is>
          <t>Advertising (Periklanan)</t>
        </is>
      </c>
      <c r="D23" s="1252">
        <f>114182189.709</f>
        <v/>
      </c>
      <c r="E23" s="1252">
        <f>189213101.126</f>
        <v/>
      </c>
      <c r="F23" s="1252">
        <f>260164112.56</f>
        <v/>
      </c>
      <c r="G23" s="1799" t="n">
        <v>336908967.114</v>
      </c>
      <c r="H23" s="1799" t="n">
        <v>459466094.623</v>
      </c>
      <c r="I23" s="1797">
        <f>H23*(1+I12)</f>
        <v/>
      </c>
      <c r="J23" s="1797">
        <f>I23*(1+J12)</f>
        <v/>
      </c>
      <c r="K23" s="1797">
        <f>J23*(1+K12)</f>
        <v/>
      </c>
      <c r="L23" s="1797">
        <f>K23*(1+L12)</f>
        <v/>
      </c>
      <c r="M23" s="1797">
        <f>L23*(1+M12)</f>
        <v/>
      </c>
    </row>
    <row r="24" ht="14.25" customHeight="1">
      <c r="A24" s="1898" t="inlineStr">
        <is>
          <t>GROSS REVENUE (sub-total)</t>
        </is>
      </c>
      <c r="B24" s="758" t="n"/>
      <c r="C24" s="758" t="n"/>
      <c r="D24" s="758" t="n"/>
      <c r="E24" s="758" t="n"/>
      <c r="F24" s="758" t="n"/>
      <c r="G24" s="1899">
        <f>G22+G23</f>
        <v/>
      </c>
      <c r="H24" s="1899">
        <f>H22+H23</f>
        <v/>
      </c>
      <c r="I24" s="1899">
        <f>I22+I23</f>
        <v/>
      </c>
      <c r="J24" s="1899">
        <f>J22+J23</f>
        <v/>
      </c>
      <c r="K24" s="1899">
        <f>K22+K23</f>
        <v/>
      </c>
      <c r="L24" s="1899">
        <f>L22+L23</f>
        <v/>
      </c>
      <c r="M24" s="1899">
        <f>M22+M23</f>
        <v/>
      </c>
      <c r="Q24" s="1252">
        <f>5679800+89320</f>
        <v/>
      </c>
    </row>
    <row r="25" ht="14.25" customHeight="1">
      <c r="A25" s="934" t="inlineStr">
        <is>
          <t>Less: Discount (Potongan harga)</t>
        </is>
      </c>
      <c r="G25" s="1799" t="n">
        <v>-5076527.006</v>
      </c>
      <c r="H25" s="1799" t="n">
        <v>-9287068.715</v>
      </c>
      <c r="I25" s="1797">
        <f>-I24*I13</f>
        <v/>
      </c>
      <c r="J25" s="1797">
        <f>-J24*J13</f>
        <v/>
      </c>
      <c r="K25" s="1797">
        <f>-K24*K13</f>
        <v/>
      </c>
      <c r="L25" s="1797">
        <f>-L24*L13</f>
        <v/>
      </c>
      <c r="M25" s="1797">
        <f>-M24*M13</f>
        <v/>
      </c>
      <c r="Q25" s="1252">
        <f>8967700+171600</f>
        <v/>
      </c>
    </row>
    <row r="26" ht="14.25" customHeight="1">
      <c r="A26" s="1898" t="inlineStr">
        <is>
          <t>NET REVENUE  (-&gt; 3-Statement row 28)</t>
        </is>
      </c>
      <c r="B26" s="758" t="n"/>
      <c r="C26" s="758" t="n"/>
      <c r="D26" s="758" t="n"/>
      <c r="E26" s="758" t="n"/>
      <c r="F26" s="758" t="n"/>
      <c r="G26" s="1900">
        <f>G24+G25</f>
        <v/>
      </c>
      <c r="H26" s="1900">
        <f>H24+H25</f>
        <v/>
      </c>
      <c r="I26" s="1900">
        <f>I24+I25</f>
        <v/>
      </c>
      <c r="J26" s="1900">
        <f>J24+J25</f>
        <v/>
      </c>
      <c r="K26" s="1900">
        <f>K24+K25</f>
        <v/>
      </c>
      <c r="L26" s="1900">
        <f>L24+L25</f>
        <v/>
      </c>
      <c r="M26" s="1900">
        <f>M24+M25</f>
        <v/>
      </c>
    </row>
    <row r="27" ht="14.25" customHeight="1">
      <c r="Q27" s="1252">
        <f>4004000+1596000</f>
        <v/>
      </c>
    </row>
    <row r="28" ht="14.25" customHeight="1">
      <c r="A28" s="1786" t="inlineStr">
        <is>
          <t>B.  COST OF REVENUE BUILD</t>
        </is>
      </c>
      <c r="B28" s="1895" t="n"/>
      <c r="C28" s="1895" t="n"/>
      <c r="D28" s="1895" t="n"/>
      <c r="E28" s="1895" t="n"/>
      <c r="F28" s="1895" t="n"/>
      <c r="G28" s="1895" t="n"/>
      <c r="H28" s="1895" t="n"/>
      <c r="I28" s="1895" t="n"/>
      <c r="J28" s="1895" t="n"/>
      <c r="K28" s="1895" t="n"/>
      <c r="L28" s="1895" t="n"/>
      <c r="M28" s="1895" t="n"/>
      <c r="Q28" s="1252">
        <f>6900000+2300000</f>
        <v/>
      </c>
    </row>
    <row r="29" ht="14.25" customHeight="1">
      <c r="A29" s="1896" t="inlineStr">
        <is>
          <t xml:space="preserve">   Advertising direct cash cost (% of ad revenue)</t>
        </is>
      </c>
      <c r="D29" s="1477">
        <f>D36/D23</f>
        <v/>
      </c>
      <c r="E29" s="1477">
        <f>E36/E23</f>
        <v/>
      </c>
      <c r="F29" s="1477">
        <f>F36/F23</f>
        <v/>
      </c>
      <c r="G29" s="1477">
        <f>-G36/G23</f>
        <v/>
      </c>
      <c r="H29" s="1477">
        <f>-H36/H23</f>
        <v/>
      </c>
      <c r="I29" s="1901">
        <f>AVERAGE(D29:H29)</f>
        <v/>
      </c>
      <c r="J29" s="1901">
        <f>I29</f>
        <v/>
      </c>
      <c r="K29" s="1901">
        <f>J29</f>
        <v/>
      </c>
      <c r="L29" s="1901">
        <f>K29</f>
        <v/>
      </c>
      <c r="M29" s="1901">
        <f>L29</f>
        <v/>
      </c>
    </row>
    <row r="30" ht="14.25" customHeight="1">
      <c r="A30" s="1896" t="inlineStr">
        <is>
          <t xml:space="preserve">   Telecom direct cash cost (% of telecom revenue)</t>
        </is>
      </c>
      <c r="E30" s="1477">
        <f>E40/E22</f>
        <v/>
      </c>
      <c r="F30" s="1477">
        <f>F40/F22</f>
        <v/>
      </c>
      <c r="G30" s="1477">
        <f>-G40/G22</f>
        <v/>
      </c>
      <c r="H30" s="1477">
        <f>-H40/H22</f>
        <v/>
      </c>
      <c r="I30" s="1901">
        <f>AVERAGE(E30:H30)</f>
        <v/>
      </c>
      <c r="J30" s="1901">
        <f>$I$30</f>
        <v/>
      </c>
      <c r="K30" s="1901">
        <f>$I$30</f>
        <v/>
      </c>
      <c r="L30" s="1901">
        <f>$I$30</f>
        <v/>
      </c>
      <c r="M30" s="1901">
        <f>$I$30</f>
        <v/>
      </c>
    </row>
    <row r="31" ht="14.25" customHeight="1">
      <c r="A31" s="1896" t="inlineStr">
        <is>
          <t xml:space="preserve">   Depreciation allocated to Advertising (% of total D&amp;A)</t>
        </is>
      </c>
      <c r="I31" s="1897" t="n">
        <v>0.675</v>
      </c>
      <c r="J31" s="1897" t="n">
        <v>0.675</v>
      </c>
      <c r="K31" s="1897" t="n">
        <v>0.675</v>
      </c>
      <c r="L31" s="1897" t="n">
        <v>0.675</v>
      </c>
      <c r="M31" s="1897" t="n">
        <v>0.675</v>
      </c>
    </row>
    <row r="33" ht="14.25" customHeight="1">
      <c r="A33" s="931" t="inlineStr">
        <is>
          <t>Advertising cost of revenue:</t>
        </is>
      </c>
    </row>
    <row r="34" ht="14.25" customHeight="1">
      <c r="A34" s="934" t="inlineStr">
        <is>
          <t xml:space="preserve">   Direct cash costs</t>
        </is>
      </c>
      <c r="G34" s="1799" t="n">
        <v>-77534817.14300001</v>
      </c>
      <c r="H34" s="1799" t="n">
        <v>-84348051.36300001</v>
      </c>
      <c r="I34" s="1797">
        <f>-I23*I29</f>
        <v/>
      </c>
      <c r="J34" s="1797">
        <f>-J23*J29</f>
        <v/>
      </c>
      <c r="K34" s="1797">
        <f>-K23*K29</f>
        <v/>
      </c>
      <c r="L34" s="1797">
        <f>-L23*L29</f>
        <v/>
      </c>
      <c r="M34" s="1797">
        <f>-M23*M29</f>
        <v/>
      </c>
    </row>
    <row r="35" ht="14.25" customHeight="1">
      <c r="A35" s="934" t="inlineStr">
        <is>
          <t xml:space="preserve">   Depreciation (Note 10, allocated)</t>
        </is>
      </c>
      <c r="G35" s="1799" t="n">
        <v>-103426258.479</v>
      </c>
      <c r="H35" s="1799" t="n">
        <v>-121233246.661</v>
      </c>
      <c r="I35" s="1800">
        <f>-'WIFI 3-Statement Model'!I36*I31</f>
        <v/>
      </c>
      <c r="J35" s="1800">
        <f>-'WIFI 3-Statement Model'!J36*J31</f>
        <v/>
      </c>
      <c r="K35" s="1800">
        <f>-'WIFI 3-Statement Model'!K36*K31</f>
        <v/>
      </c>
      <c r="L35" s="1800">
        <f>-'WIFI 3-Statement Model'!L36*L31</f>
        <v/>
      </c>
      <c r="M35" s="1800">
        <f>-'WIFI 3-Statement Model'!M36*M31</f>
        <v/>
      </c>
    </row>
    <row r="36" ht="14.25" customHeight="1">
      <c r="A36" s="931" t="inlineStr">
        <is>
          <t xml:space="preserve">   Advertising COGS sub-total</t>
        </is>
      </c>
      <c r="D36" s="1252">
        <f>47528702.37</f>
        <v/>
      </c>
      <c r="E36" s="1252">
        <f>89995932.65</f>
        <v/>
      </c>
      <c r="F36" s="1252">
        <f>140896788.552</f>
        <v/>
      </c>
      <c r="G36" s="1805">
        <f>G34+G35</f>
        <v/>
      </c>
      <c r="H36" s="1805">
        <f>H34+H35</f>
        <v/>
      </c>
      <c r="I36" s="1805">
        <f>I34+I35</f>
        <v/>
      </c>
      <c r="J36" s="1805">
        <f>J34+J35</f>
        <v/>
      </c>
      <c r="K36" s="1805">
        <f>K34+K35</f>
        <v/>
      </c>
      <c r="L36" s="1805">
        <f>L34+L35</f>
        <v/>
      </c>
      <c r="M36" s="1805">
        <f>M34+M35</f>
        <v/>
      </c>
    </row>
    <row r="37" ht="14.25" customHeight="1">
      <c r="A37" s="931" t="inlineStr">
        <is>
          <t>Telecommunication cost of revenue:</t>
        </is>
      </c>
    </row>
    <row r="38" ht="14.25" customHeight="1">
      <c r="A38" s="934" t="inlineStr">
        <is>
          <t xml:space="preserve">   Direct cash costs</t>
        </is>
      </c>
      <c r="G38" s="1799" t="n">
        <v>-51099811.992</v>
      </c>
      <c r="H38" s="1799" t="n">
        <v>-268954428.467</v>
      </c>
      <c r="I38" s="1797">
        <f>-I22*I30</f>
        <v/>
      </c>
      <c r="J38" s="1797">
        <f>-J22*J30</f>
        <v/>
      </c>
      <c r="K38" s="1797">
        <f>-K22*K30</f>
        <v/>
      </c>
      <c r="L38" s="1797">
        <f>-L22*L30</f>
        <v/>
      </c>
      <c r="M38" s="1797">
        <f>-M22*M30</f>
        <v/>
      </c>
    </row>
    <row r="39" ht="14.25" customHeight="1">
      <c r="A39" s="934" t="inlineStr">
        <is>
          <t xml:space="preserve">   Depreciation (Note 10, allocated)</t>
        </is>
      </c>
      <c r="G39" s="1799" t="n">
        <v>-25019799.77</v>
      </c>
      <c r="H39" s="1799" t="n">
        <v>-58225378.614</v>
      </c>
      <c r="I39" s="1800">
        <f>-'WIFI 3-Statement Model'!I36*(1-I31)</f>
        <v/>
      </c>
      <c r="J39" s="1800">
        <f>-'WIFI 3-Statement Model'!J36*(1-J31)</f>
        <v/>
      </c>
      <c r="K39" s="1800">
        <f>-'WIFI 3-Statement Model'!K36*(1-K31)</f>
        <v/>
      </c>
      <c r="L39" s="1800">
        <f>-'WIFI 3-Statement Model'!L36*(1-L31)</f>
        <v/>
      </c>
      <c r="M39" s="1800">
        <f>-'WIFI 3-Statement Model'!M36*(1-M31)</f>
        <v/>
      </c>
    </row>
    <row r="40" ht="14.25" customHeight="1">
      <c r="A40" s="931" t="inlineStr">
        <is>
          <t xml:space="preserve">   Telecom COGS sub-total</t>
        </is>
      </c>
      <c r="E40" s="1563" t="n">
        <v>29290882.597</v>
      </c>
      <c r="F40" s="1252">
        <f>71085873.331</f>
        <v/>
      </c>
      <c r="G40" s="1805">
        <f>G38+G39</f>
        <v/>
      </c>
      <c r="H40" s="1805">
        <f>H38+H39</f>
        <v/>
      </c>
      <c r="I40" s="1805">
        <f>I38+I39</f>
        <v/>
      </c>
      <c r="J40" s="1805">
        <f>J38+J39</f>
        <v/>
      </c>
      <c r="K40" s="1805">
        <f>K38+K39</f>
        <v/>
      </c>
      <c r="L40" s="1805">
        <f>L38+L39</f>
        <v/>
      </c>
      <c r="M40" s="1805">
        <f>M38+M39</f>
        <v/>
      </c>
    </row>
    <row r="41" ht="14.25" customHeight="1">
      <c r="A41" s="1898" t="inlineStr">
        <is>
          <t>TOTAL COST OF REVENUE</t>
        </is>
      </c>
      <c r="B41" s="758" t="n"/>
      <c r="C41" s="758" t="n"/>
      <c r="D41" s="758" t="n"/>
      <c r="E41" s="758" t="n"/>
      <c r="F41" s="758" t="n"/>
      <c r="G41" s="1900">
        <f>G36+G40</f>
        <v/>
      </c>
      <c r="H41" s="1900">
        <f>H36+H40</f>
        <v/>
      </c>
      <c r="I41" s="1900">
        <f>I36+I40</f>
        <v/>
      </c>
      <c r="J41" s="1900">
        <f>J36+J40</f>
        <v/>
      </c>
      <c r="K41" s="1900">
        <f>K36+K40</f>
        <v/>
      </c>
      <c r="L41" s="1900">
        <f>L36+L40</f>
        <v/>
      </c>
      <c r="M41" s="1900">
        <f>M36+M40</f>
        <v/>
      </c>
    </row>
    <row r="43" ht="14.25" customHeight="1">
      <c r="A43" s="1898" t="inlineStr">
        <is>
          <t>GROSS PROFIT</t>
        </is>
      </c>
      <c r="B43" s="758" t="n"/>
      <c r="C43" s="758" t="n"/>
      <c r="D43" s="758" t="n"/>
      <c r="E43" s="758" t="n"/>
      <c r="F43" s="758" t="n"/>
      <c r="G43" s="1899">
        <f>G26+G41</f>
        <v/>
      </c>
      <c r="H43" s="1899">
        <f>H26+H41</f>
        <v/>
      </c>
      <c r="I43" s="1899">
        <f>I26+I41</f>
        <v/>
      </c>
      <c r="J43" s="1899">
        <f>J26+J41</f>
        <v/>
      </c>
      <c r="K43" s="1899">
        <f>K26+K41</f>
        <v/>
      </c>
      <c r="L43" s="1899">
        <f>L26+L41</f>
        <v/>
      </c>
      <c r="M43" s="1899">
        <f>M26+M41</f>
        <v/>
      </c>
    </row>
    <row r="44" ht="14.25" customHeight="1">
      <c r="A44" s="1335" t="inlineStr">
        <is>
          <t>Gross margin %</t>
        </is>
      </c>
      <c r="G44" s="1902">
        <f>G43/G26</f>
        <v/>
      </c>
      <c r="H44" s="1902">
        <f>H43/H26</f>
        <v/>
      </c>
      <c r="I44" s="1902">
        <f>I43/I26</f>
        <v/>
      </c>
      <c r="J44" s="1902">
        <f>J43/J26</f>
        <v/>
      </c>
      <c r="K44" s="1902">
        <f>K43/K26</f>
        <v/>
      </c>
      <c r="L44" s="1902">
        <f>L43/L26</f>
        <v/>
      </c>
      <c r="M44" s="1902">
        <f>M43/M26</f>
        <v/>
      </c>
    </row>
    <row r="46" ht="14.25" customHeight="1">
      <c r="A46" s="1394" t="inlineStr">
        <is>
          <t>Memo — gross margin by segment (check vs audited):</t>
        </is>
      </c>
    </row>
    <row r="47" ht="14.25" customHeight="1">
      <c r="A47" s="1394" t="inlineStr">
        <is>
          <t xml:space="preserve">   Advertising GM %</t>
        </is>
      </c>
      <c r="G47" s="1903">
        <f>(G23+G36)/G23</f>
        <v/>
      </c>
      <c r="H47" s="1903">
        <f>(H23+H36)/H23</f>
        <v/>
      </c>
      <c r="I47" s="1903">
        <f>(I23+I36)/I23</f>
        <v/>
      </c>
      <c r="J47" s="1903">
        <f>(J23+J36)/J23</f>
        <v/>
      </c>
      <c r="K47" s="1903">
        <f>(K23+K36)/K23</f>
        <v/>
      </c>
      <c r="L47" s="1903">
        <f>(L23+L36)/L23</f>
        <v/>
      </c>
      <c r="M47" s="1903">
        <f>(M23+M36)/M23</f>
        <v/>
      </c>
    </row>
    <row r="48" ht="14.25" customHeight="1">
      <c r="A48" s="1394" t="inlineStr">
        <is>
          <t xml:space="preserve">   Telecom GM %</t>
        </is>
      </c>
      <c r="G48" s="1903">
        <f>(G22+G40)/G22</f>
        <v/>
      </c>
      <c r="H48" s="1903">
        <f>(H22+H40)/H22</f>
        <v/>
      </c>
      <c r="I48" s="1903">
        <f>(I22+I40)/I22</f>
        <v/>
      </c>
      <c r="J48" s="1903">
        <f>(J22+J40)/J22</f>
        <v/>
      </c>
      <c r="K48" s="1903">
        <f>(K22+K40)/K22</f>
        <v/>
      </c>
      <c r="L48" s="1903">
        <f>(L22+L40)/L22</f>
        <v/>
      </c>
      <c r="M48" s="1903">
        <f>(M22+M40)/M22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5"/>
  <sheetViews>
    <sheetView topLeftCell="A9" zoomScale="88" zoomScaleNormal="88" workbookViewId="0">
      <selection activeCell="J29" sqref="J29"/>
    </sheetView>
  </sheetViews>
  <sheetFormatPr baseColWidth="8" defaultColWidth="8.5703125" defaultRowHeight="14.25"/>
  <cols>
    <col width="39.42578125" customWidth="1" style="151" min="1" max="1"/>
    <col width="8.5703125" customWidth="1" style="151" min="2" max="2"/>
    <col width="17.5703125" customWidth="1" style="151" min="3" max="6"/>
    <col width="18.7109375" customWidth="1" style="151" min="7" max="7"/>
    <col width="27.28515625" customWidth="1" style="151" min="8" max="8"/>
    <col width="8.5703125" customWidth="1" style="151" min="9" max="16384"/>
  </cols>
  <sheetData>
    <row r="1" ht="15" customHeight="1">
      <c r="A1" s="1622" t="inlineStr">
        <is>
          <t>WIFI | Valuation</t>
        </is>
      </c>
      <c r="C1" s="1904" t="n"/>
    </row>
    <row r="2" ht="15" customHeight="1">
      <c r="C2" s="1452" t="n">
        <v>2026</v>
      </c>
      <c r="D2" s="1452">
        <f>C2+1</f>
        <v/>
      </c>
      <c r="E2" s="1452">
        <f>D2+1</f>
        <v/>
      </c>
      <c r="F2" s="1452">
        <f>E2+1</f>
        <v/>
      </c>
      <c r="G2" s="1452">
        <f>F2+1</f>
        <v/>
      </c>
    </row>
    <row r="4" ht="25.5" customHeight="1">
      <c r="A4" s="1631" t="inlineStr">
        <is>
          <t>Assumptions</t>
        </is>
      </c>
      <c r="B4" s="1905" t="n"/>
      <c r="C4" s="1905" t="n"/>
    </row>
    <row r="5" ht="15.75" customHeight="1">
      <c r="A5" s="1670" t="inlineStr">
        <is>
          <t>Tax Rate</t>
        </is>
      </c>
      <c r="B5" s="769" t="n"/>
      <c r="C5" s="1780">
        <f>22%</f>
        <v/>
      </c>
    </row>
    <row r="6" ht="15.75" customHeight="1">
      <c r="A6" s="1670" t="inlineStr">
        <is>
          <t>Discount Rate</t>
        </is>
      </c>
      <c r="B6" s="769" t="n"/>
      <c r="C6" s="1822">
        <f>'WIFI WACC'!D9</f>
        <v/>
      </c>
    </row>
    <row r="7" ht="15.75" customHeight="1">
      <c r="A7" s="1670" t="inlineStr">
        <is>
          <t>Terminal Growth Rate (Inflation Rate)</t>
        </is>
      </c>
      <c r="B7" s="769" t="n"/>
      <c r="C7" s="1823" t="n">
        <v>0.01</v>
      </c>
    </row>
    <row r="8" ht="15.75" customHeight="1">
      <c r="A8" s="1670" t="inlineStr">
        <is>
          <t>EV/EBITDA Multiple</t>
        </is>
      </c>
      <c r="B8" s="769" t="n"/>
      <c r="C8" s="772" t="n"/>
    </row>
    <row r="10" ht="21.75" customHeight="1">
      <c r="A10" s="1631" t="inlineStr">
        <is>
          <t>Discounted Cashflow</t>
        </is>
      </c>
      <c r="B10" s="1905" t="n"/>
      <c r="C10" s="1452" t="n">
        <v>2026</v>
      </c>
      <c r="D10" s="1452">
        <f>C10+1</f>
        <v/>
      </c>
      <c r="E10" s="1452">
        <f>D10+1</f>
        <v/>
      </c>
      <c r="F10" s="1452">
        <f>E10+1</f>
        <v/>
      </c>
      <c r="G10" s="1452">
        <f>F10+1</f>
        <v/>
      </c>
      <c r="H10" s="1826" t="inlineStr">
        <is>
          <t>Terminal Value</t>
        </is>
      </c>
    </row>
    <row r="11" ht="13.5" customHeight="1">
      <c r="A11" s="1906" t="n"/>
      <c r="B11" s="1906" t="n"/>
      <c r="C11" s="1827" t="n">
        <v>1</v>
      </c>
      <c r="D11" s="1827" t="n">
        <v>2</v>
      </c>
      <c r="E11" s="1827" t="n">
        <v>3</v>
      </c>
      <c r="F11" s="1827" t="n">
        <v>4</v>
      </c>
      <c r="G11" s="1827" t="n">
        <v>5</v>
      </c>
      <c r="H11" s="1827" t="n">
        <v>5</v>
      </c>
    </row>
    <row r="12" ht="15" customHeight="1">
      <c r="A12" s="1670" t="inlineStr">
        <is>
          <t>EBIT</t>
        </is>
      </c>
      <c r="B12" s="1226" t="n"/>
      <c r="C12" s="1696">
        <f>'WIFI 3-Statement Model'!I34</f>
        <v/>
      </c>
      <c r="D12" s="1696">
        <f>'WIFI 3-Statement Model'!J34</f>
        <v/>
      </c>
      <c r="E12" s="1696">
        <f>'WIFI 3-Statement Model'!K34</f>
        <v/>
      </c>
      <c r="F12" s="1696">
        <f>'WIFI 3-Statement Model'!L34</f>
        <v/>
      </c>
      <c r="G12" s="1696">
        <f>'WIFI 3-Statement Model'!M34</f>
        <v/>
      </c>
      <c r="H12" s="151" t="n"/>
    </row>
    <row r="13" ht="15" customHeight="1">
      <c r="A13" s="1673" t="inlineStr">
        <is>
          <t>Tax Rate</t>
        </is>
      </c>
      <c r="B13" s="1228" t="n"/>
      <c r="C13" s="1828" t="n">
        <v>0.22</v>
      </c>
      <c r="D13" s="1828" t="n">
        <v>0.22</v>
      </c>
      <c r="E13" s="1828" t="n">
        <v>0.22</v>
      </c>
      <c r="F13" s="1828" t="n">
        <v>0.22</v>
      </c>
      <c r="G13" s="1828" t="n">
        <v>0.22</v>
      </c>
      <c r="H13" s="391" t="n"/>
    </row>
    <row r="14" ht="15" customHeight="1">
      <c r="A14" s="1670" t="inlineStr">
        <is>
          <t>NOPAT</t>
        </is>
      </c>
      <c r="B14" s="1226" t="n"/>
      <c r="C14" s="1670">
        <f>C12*(1-C13)</f>
        <v/>
      </c>
      <c r="D14" s="1670">
        <f>D12*(1-D13)</f>
        <v/>
      </c>
      <c r="E14" s="1670">
        <f>E12*(1-E13)</f>
        <v/>
      </c>
      <c r="F14" s="1670">
        <f>F12*(1-F13)</f>
        <v/>
      </c>
      <c r="G14" s="1670">
        <f>G12*(1-G13)</f>
        <v/>
      </c>
      <c r="H14" s="151" t="n"/>
    </row>
    <row r="15" ht="15" customHeight="1">
      <c r="A15" s="1670" t="inlineStr">
        <is>
          <t>Add : Depreciation and Amortization</t>
        </is>
      </c>
      <c r="B15" s="1226" t="n"/>
      <c r="C15" s="1696">
        <f>'WIFI 3-Statement Model'!I36</f>
        <v/>
      </c>
      <c r="D15" s="1696">
        <f>'WIFI 3-Statement Model'!J36</f>
        <v/>
      </c>
      <c r="E15" s="1696">
        <f>'WIFI 3-Statement Model'!K36</f>
        <v/>
      </c>
      <c r="F15" s="1696">
        <f>'WIFI 3-Statement Model'!L36</f>
        <v/>
      </c>
      <c r="G15" s="1696">
        <f>'WIFI 3-Statement Model'!M36</f>
        <v/>
      </c>
      <c r="H15" s="151" t="n"/>
    </row>
    <row r="16" ht="15" customHeight="1">
      <c r="A16" s="1670" t="inlineStr">
        <is>
          <t>Less : Capex</t>
        </is>
      </c>
      <c r="B16" s="1226" t="n"/>
      <c r="C16" s="1696">
        <f>-'WIFI 3-Statement Model'!I108</f>
        <v/>
      </c>
      <c r="D16" s="1696">
        <f>-'WIFI 3-Statement Model'!J108</f>
        <v/>
      </c>
      <c r="E16" s="1696">
        <f>-'WIFI 3-Statement Model'!K108</f>
        <v/>
      </c>
      <c r="F16" s="1696">
        <f>-'WIFI 3-Statement Model'!L108</f>
        <v/>
      </c>
      <c r="G16" s="1696">
        <f>-'WIFI 3-Statement Model'!M108</f>
        <v/>
      </c>
      <c r="H16" s="151" t="n"/>
    </row>
    <row r="17" ht="15" customHeight="1">
      <c r="A17" s="1673" t="inlineStr">
        <is>
          <t>Less : Changes in NWC</t>
        </is>
      </c>
      <c r="B17" s="1228" t="n"/>
      <c r="C17" s="1671">
        <f>'WIFI 3-Statement Model'!I87</f>
        <v/>
      </c>
      <c r="D17" s="1671">
        <f>'WIFI 3-Statement Model'!J87</f>
        <v/>
      </c>
      <c r="E17" s="1671">
        <f>'WIFI 3-Statement Model'!K87</f>
        <v/>
      </c>
      <c r="F17" s="1671">
        <f>'WIFI 3-Statement Model'!L87</f>
        <v/>
      </c>
      <c r="G17" s="1671">
        <f>'WIFI 3-Statement Model'!M87</f>
        <v/>
      </c>
      <c r="H17" s="391" t="n"/>
    </row>
    <row r="18" ht="15" customHeight="1">
      <c r="A18" s="1703" t="inlineStr">
        <is>
          <t>Free Cashflow to Firm (FCFF)</t>
        </is>
      </c>
      <c r="B18" s="1229" t="n"/>
      <c r="C18" s="1703">
        <f>SUM(C14:C17)</f>
        <v/>
      </c>
      <c r="D18" s="1703">
        <f>SUM(D14:D17)</f>
        <v/>
      </c>
      <c r="E18" s="1703">
        <f>SUM(E14:E17)</f>
        <v/>
      </c>
      <c r="F18" s="1703">
        <f>SUM(F14:F17)</f>
        <v/>
      </c>
      <c r="G18" s="1703">
        <f>SUM(G14:G17)</f>
        <v/>
      </c>
      <c r="H18" s="1829">
        <f>G18*(1+C7)/(C6-C7)</f>
        <v/>
      </c>
    </row>
    <row r="19" ht="15" customHeight="1">
      <c r="A19" s="1226" t="n"/>
      <c r="B19" s="1226" t="n"/>
      <c r="C19" s="1226" t="n"/>
      <c r="D19" s="1226" t="n"/>
      <c r="E19" s="1226" t="n"/>
      <c r="F19" s="1226" t="n"/>
      <c r="G19" s="1226" t="n"/>
    </row>
    <row r="20" ht="15" customHeight="1">
      <c r="A20" s="1703" t="inlineStr">
        <is>
          <t>PV of FCFF</t>
        </is>
      </c>
      <c r="B20" s="1229" t="n"/>
      <c r="C20" s="1703">
        <f>C18/((1+$C$6)^C11)</f>
        <v/>
      </c>
      <c r="D20" s="1703">
        <f>D18/((1+$C$6)^D11)</f>
        <v/>
      </c>
      <c r="E20" s="1703">
        <f>E18/((1+$C$6)^E11)</f>
        <v/>
      </c>
      <c r="F20" s="1703">
        <f>F18/((1+$C$6)^F11)</f>
        <v/>
      </c>
      <c r="G20" s="1703">
        <f>G18/((1+$C$6)^G11)</f>
        <v/>
      </c>
      <c r="H20" s="1703">
        <f>H18/((1+$C$6)^H11)</f>
        <v/>
      </c>
    </row>
    <row r="21" ht="15" customHeight="1">
      <c r="A21" s="1226" t="n"/>
      <c r="B21" s="1226" t="n"/>
      <c r="C21" s="1226" t="n"/>
      <c r="D21" s="1226" t="n"/>
      <c r="E21" s="1226" t="n"/>
      <c r="F21" s="1226" t="n"/>
      <c r="G21" s="1226" t="n"/>
    </row>
    <row r="22" ht="15" customHeight="1">
      <c r="A22" s="1670" t="inlineStr">
        <is>
          <t>Enterprise Value</t>
        </is>
      </c>
      <c r="B22" s="1226" t="n"/>
      <c r="C22" s="1226" t="n"/>
      <c r="D22" s="1226" t="n"/>
      <c r="E22" s="1226" t="n"/>
      <c r="F22" s="1226" t="n"/>
      <c r="H22" s="1670">
        <f>SUM(C20:H20)</f>
        <v/>
      </c>
    </row>
    <row r="23" ht="15" customHeight="1">
      <c r="A23" s="1670" t="inlineStr">
        <is>
          <t>Less : Debt</t>
        </is>
      </c>
      <c r="B23" s="1226" t="n"/>
      <c r="C23" s="1226" t="n"/>
      <c r="D23" s="1226" t="n"/>
      <c r="E23" s="1226" t="n"/>
      <c r="F23" s="1226" t="n"/>
      <c r="H23" s="1696">
        <f>'WIFI 3-Statement Model'!H66+'WIFI 3-Statement Model'!H71</f>
        <v/>
      </c>
    </row>
    <row r="24" ht="15" customHeight="1">
      <c r="A24" s="1670" t="inlineStr">
        <is>
          <t>Less: Minority Interest</t>
        </is>
      </c>
      <c r="B24" s="1226" t="n"/>
      <c r="C24" s="1226" t="n"/>
      <c r="D24" s="1226" t="n"/>
      <c r="E24" s="1226" t="n"/>
      <c r="F24" s="1226" t="n"/>
      <c r="H24" s="1800">
        <f>'SOURCE WIFI Balance Sheet (2)'!F268</f>
        <v/>
      </c>
    </row>
    <row r="25" ht="15" customHeight="1">
      <c r="A25" s="1673" t="inlineStr">
        <is>
          <t>Add : Cash</t>
        </is>
      </c>
      <c r="B25" s="1228" t="n"/>
      <c r="C25" s="1228" t="n"/>
      <c r="D25" s="1228" t="n"/>
      <c r="E25" s="1228" t="n"/>
      <c r="F25" s="1228" t="n"/>
      <c r="G25" s="1228" t="n"/>
      <c r="H25" s="1671">
        <f>'WIFI 3-Statement Model'!H51</f>
        <v/>
      </c>
    </row>
    <row r="26" ht="15.75" customHeight="1">
      <c r="A26" s="1705" t="inlineStr">
        <is>
          <t>Equity Value</t>
        </is>
      </c>
      <c r="B26" s="1230" t="n"/>
      <c r="C26" s="1230" t="n"/>
      <c r="D26" s="1230" t="n"/>
      <c r="E26" s="1230" t="n"/>
      <c r="F26" s="1230" t="n"/>
      <c r="G26" s="1230" t="n"/>
      <c r="H26" s="1705">
        <f>H22-H23+H25-H24</f>
        <v/>
      </c>
    </row>
    <row r="27" ht="15.75" customHeight="1">
      <c r="A27" s="1670" t="inlineStr">
        <is>
          <t>Shares Outstanding</t>
        </is>
      </c>
      <c r="B27" s="1226" t="n"/>
      <c r="C27" s="1226" t="n"/>
      <c r="D27" s="1226" t="n"/>
      <c r="E27" s="1226" t="n"/>
      <c r="F27" s="1226" t="n"/>
      <c r="G27" s="1226" t="n"/>
      <c r="H27" s="1755" t="n">
        <v>5308549015</v>
      </c>
    </row>
    <row r="28" ht="15.75" customHeight="1">
      <c r="A28" s="1705" t="inlineStr">
        <is>
          <t>Share Price</t>
        </is>
      </c>
      <c r="B28" s="1230" t="n"/>
      <c r="C28" s="1230" t="n"/>
      <c r="D28" s="1230" t="n"/>
      <c r="E28" s="1230" t="n"/>
      <c r="F28" s="1230" t="n"/>
      <c r="G28" s="782" t="n"/>
      <c r="H28" s="1705">
        <f>H26/H27*1000</f>
        <v/>
      </c>
    </row>
    <row r="29" ht="15.75" customHeight="1">
      <c r="A29" s="1670" t="inlineStr">
        <is>
          <t>Current Price 21 Agt (Rp)</t>
        </is>
      </c>
      <c r="B29" s="1226" t="n"/>
      <c r="C29" s="1226" t="n"/>
      <c r="D29" s="1226" t="n"/>
      <c r="E29" s="1226" t="n"/>
      <c r="F29" s="1226" t="n"/>
      <c r="G29" s="1226" t="n"/>
      <c r="H29" s="1563" t="n">
        <v>2090</v>
      </c>
    </row>
    <row r="30" ht="14.25" customHeight="1">
      <c r="A30" s="1703" t="inlineStr">
        <is>
          <t>Upside</t>
        </is>
      </c>
      <c r="H30" s="1907">
        <f>H28/H29-1</f>
        <v/>
      </c>
    </row>
    <row r="32" hidden="1" ht="14.25" customHeight="1">
      <c r="A32" s="931" t="inlineStr">
        <is>
          <t>Terminal value – steady-state normalization</t>
        </is>
      </c>
    </row>
    <row r="33" hidden="1" ht="14.25" customHeight="1">
      <c r="A33" s="934" t="inlineStr">
        <is>
          <t>Terminal NOPAT (2030F)</t>
        </is>
      </c>
      <c r="H33" s="1797">
        <f>G14</f>
        <v/>
      </c>
    </row>
    <row r="34" hidden="1" ht="14.25" customHeight="1">
      <c r="A34" s="934" t="inlineStr">
        <is>
          <t>Add: D&amp;A (2030F)</t>
        </is>
      </c>
      <c r="H34" s="1797">
        <f>G15</f>
        <v/>
      </c>
    </row>
    <row r="35" hidden="1" ht="14.25" customHeight="1">
      <c r="A35" s="934" t="inlineStr">
        <is>
          <t>Less: maintenance capex (= D&amp;A in steady state)</t>
        </is>
      </c>
      <c r="H35" s="1797">
        <f>-G15</f>
        <v/>
      </c>
    </row>
    <row r="36" hidden="1" ht="14.25" customHeight="1">
      <c r="A36" s="934" t="inlineStr">
        <is>
          <t>Less: normalized change in NWC (= g x NWC)</t>
        </is>
      </c>
      <c r="H36" s="1800">
        <f>-$C$7*'WIFI 3-Statement Model'!M119</f>
        <v/>
      </c>
    </row>
    <row r="37" hidden="1" ht="14.25" customHeight="1">
      <c r="A37" s="931" t="inlineStr">
        <is>
          <t>Normalized terminal FCFF</t>
        </is>
      </c>
      <c r="H37" s="1805">
        <f>SUM(H33:H36)</f>
        <v/>
      </c>
    </row>
    <row r="38" hidden="1" ht="14.25" customHeight="1"/>
    <row r="39" hidden="1" ht="14.25" customHeight="1"/>
    <row r="40" hidden="1" ht="14.25" customHeight="1">
      <c r="A40" s="1371" t="inlineStr">
        <is>
          <t>MINORITY INTEREST CALCULATION  (NTT's 49% of FTTH sub 'IJE')</t>
        </is>
      </c>
      <c r="B40" s="1471" t="n"/>
      <c r="C40" s="1471" t="n"/>
      <c r="D40" s="1471" t="n"/>
      <c r="E40" s="1471" t="n"/>
      <c r="F40" s="1471" t="n"/>
      <c r="G40" s="1471" t="n"/>
      <c r="H40" s="1471" t="n"/>
    </row>
    <row r="41" hidden="1" ht="14.25" customHeight="1">
      <c r="A41" s="931" t="inlineStr">
        <is>
          <t>Method A – value the FTTH business, take NTT's 49% share</t>
        </is>
      </c>
    </row>
    <row r="42" hidden="1" ht="14.25" customHeight="1">
      <c r="A42" s="934" t="inlineStr">
        <is>
          <t>FTTH revenue (FY2026F)</t>
        </is>
      </c>
      <c r="H42" s="1800">
        <f>'WIFI 3-Statement Model'!I142</f>
        <v/>
      </c>
    </row>
    <row r="43" hidden="1" ht="14.25" customHeight="1">
      <c r="A43" s="934" t="inlineStr">
        <is>
          <t>FTTH EBITDA margin</t>
        </is>
      </c>
      <c r="H43" s="1374" t="n">
        <v>0.55</v>
      </c>
    </row>
    <row r="44" hidden="1" ht="14.25" customHeight="1">
      <c r="A44" s="934" t="inlineStr">
        <is>
          <t>FTTH EBITDA</t>
        </is>
      </c>
      <c r="H44" s="1797">
        <f>H42*H43</f>
        <v/>
      </c>
    </row>
    <row r="45" hidden="1" ht="14.25" customHeight="1">
      <c r="A45" s="934" t="inlineStr">
        <is>
          <t>EV/EBITDA multiple (fibre peers)</t>
        </is>
      </c>
      <c r="H45" s="1375" t="n">
        <v>8</v>
      </c>
    </row>
    <row r="46" hidden="1" ht="14.25" customHeight="1">
      <c r="A46" s="934" t="inlineStr">
        <is>
          <t>FTTH enterprise value</t>
        </is>
      </c>
      <c r="H46" s="1797">
        <f>H44*H45</f>
        <v/>
      </c>
    </row>
    <row r="47" hidden="1" ht="14.25" customHeight="1">
      <c r="A47" s="934" t="inlineStr">
        <is>
          <t>less: FTTH net debt (approx; group near net-cash)</t>
        </is>
      </c>
      <c r="H47" s="1799" t="n">
        <v>0</v>
      </c>
    </row>
    <row r="48" hidden="1" ht="14.25" customHeight="1">
      <c r="A48" s="934" t="inlineStr">
        <is>
          <t>FTTH equity value</t>
        </is>
      </c>
      <c r="H48" s="1797">
        <f>H46-H47</f>
        <v/>
      </c>
    </row>
    <row r="49" hidden="1" ht="14.25" customHeight="1">
      <c r="A49" s="934" t="inlineStr">
        <is>
          <t>NTT ownership stake</t>
        </is>
      </c>
      <c r="H49" s="1374" t="n">
        <v>0.49</v>
      </c>
    </row>
    <row r="50" hidden="1" ht="14.25" customHeight="1">
      <c r="A50" s="1803" t="inlineStr">
        <is>
          <t>minority interest</t>
        </is>
      </c>
      <c r="B50" s="173" t="n"/>
      <c r="C50" s="173" t="n"/>
      <c r="D50" s="173" t="n"/>
      <c r="E50" s="173" t="n"/>
      <c r="F50" s="173" t="n"/>
      <c r="G50" s="173" t="n"/>
      <c r="H50" s="1804">
        <f>H49*H48</f>
        <v/>
      </c>
    </row>
    <row r="52" ht="14.25" customHeight="1">
      <c r="A52" s="647" t="n"/>
    </row>
    <row r="53" ht="14.25" customHeight="1">
      <c r="A53" s="175" t="n"/>
    </row>
    <row r="54" ht="14.25" customHeight="1">
      <c r="A54" s="175" t="n"/>
    </row>
    <row r="55" ht="14.25" customHeight="1">
      <c r="A55" s="175" t="n"/>
    </row>
  </sheetData>
  <mergeCells count="2">
    <mergeCell ref="A1:B2"/>
    <mergeCell ref="C1:G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zoomScale="83" zoomScaleNormal="83" workbookViewId="0">
      <selection activeCell="D27" sqref="D27"/>
    </sheetView>
  </sheetViews>
  <sheetFormatPr baseColWidth="8" defaultColWidth="9" defaultRowHeight="14.25"/>
  <cols>
    <col width="40" customWidth="1" style="151" min="1" max="1"/>
    <col width="15" customWidth="1" style="151" min="2" max="5"/>
    <col width="9" customWidth="1" style="151" min="6" max="16384"/>
  </cols>
  <sheetData>
    <row r="1" ht="17.25" customHeight="1">
      <c r="A1" s="1785" t="inlineStr">
        <is>
          <t>WIFI  |  Blended Valuation</t>
        </is>
      </c>
      <c r="B1" s="1471" t="n"/>
      <c r="C1" s="1471" t="n"/>
      <c r="D1" s="1471" t="n"/>
      <c r="E1" s="1471" t="n"/>
    </row>
    <row r="3" ht="14.25" customHeight="1">
      <c r="A3" s="1371" t="inlineStr">
        <is>
          <t>A.  METHOD SUMMARY</t>
        </is>
      </c>
      <c r="B3" s="1471" t="n"/>
      <c r="C3" s="1471" t="n"/>
      <c r="D3" s="1471" t="n"/>
      <c r="E3" s="1471" t="n"/>
    </row>
    <row r="4" ht="14.25" customHeight="1">
      <c r="A4" s="1786" t="inlineStr">
        <is>
          <t>Valuation method</t>
        </is>
      </c>
      <c r="B4" s="1787" t="inlineStr">
        <is>
          <t>Target price (Rp)</t>
        </is>
      </c>
      <c r="C4" s="1787" t="inlineStr">
        <is>
          <t>Weight</t>
        </is>
      </c>
      <c r="D4" s="1787" t="inlineStr">
        <is>
          <t>Weighted (Rp)</t>
        </is>
      </c>
      <c r="E4" s="1471" t="n"/>
    </row>
    <row r="5" ht="14.25" customHeight="1">
      <c r="A5" s="934" t="inlineStr">
        <is>
          <t>DCF (normalized terminal value)</t>
        </is>
      </c>
      <c r="B5" s="1908">
        <f>'WIFI VALUATION'!H28</f>
        <v/>
      </c>
      <c r="C5" s="1374" t="n">
        <v>0.5</v>
      </c>
      <c r="D5" s="1810">
        <f>B5*C5</f>
        <v/>
      </c>
    </row>
    <row r="6" ht="14.25" customHeight="1">
      <c r="A6" s="934" t="inlineStr">
        <is>
          <t>Sum-of-the-Parts (SOTP)</t>
        </is>
      </c>
      <c r="B6" s="1908">
        <f>'WIFI SOTP'!F24</f>
        <v/>
      </c>
      <c r="C6" s="1374" t="n">
        <v>0.3</v>
      </c>
      <c r="D6" s="1810">
        <f>B6*C6</f>
        <v/>
      </c>
    </row>
    <row r="7" ht="14.25" customHeight="1">
      <c r="A7" s="934" t="inlineStr">
        <is>
          <t>Relative – EV/EBITDA peers</t>
        </is>
      </c>
      <c r="B7" s="1908">
        <f>'TOWR WIFI-Comparable Preced (2)'!E54</f>
        <v/>
      </c>
      <c r="C7" s="1374" t="n">
        <v>0.15</v>
      </c>
      <c r="D7" s="1810">
        <f>B7*C7</f>
        <v/>
      </c>
    </row>
    <row r="8" ht="14.25" customHeight="1">
      <c r="A8" s="934" t="inlineStr">
        <is>
          <t>Precedent Transactions</t>
        </is>
      </c>
      <c r="B8" s="1908">
        <f>'TOWR WIFI-Comparable Preced (2)'!O33</f>
        <v/>
      </c>
      <c r="C8" s="1374" t="n">
        <v>0.05</v>
      </c>
      <c r="D8" s="1810">
        <f>B8*C8</f>
        <v/>
      </c>
    </row>
    <row r="9" ht="15.75" customHeight="1">
      <c r="A9" s="1898" t="inlineStr">
        <is>
          <t>Total / Blended target price</t>
        </is>
      </c>
      <c r="B9" s="789" t="n"/>
      <c r="C9" s="1909">
        <f>SUM(C5:C8)</f>
        <v/>
      </c>
      <c r="D9" s="1910">
        <f>SUM(D5:D8)</f>
        <v/>
      </c>
      <c r="E9" s="792" t="n"/>
    </row>
    <row r="10" ht="14.25" customHeight="1">
      <c r="A10" s="1394" t="inlineStr">
        <is>
          <t>(weights must sum to 100%)</t>
        </is>
      </c>
    </row>
    <row r="12" ht="14.25" customHeight="1">
      <c r="A12" s="1371" t="inlineStr">
        <is>
          <t>B.  VS MARKET</t>
        </is>
      </c>
      <c r="B12" s="1471" t="n"/>
      <c r="C12" s="1471" t="n"/>
      <c r="D12" s="1471" t="n"/>
      <c r="E12" s="1471" t="n"/>
    </row>
    <row r="13" ht="14.25" customHeight="1">
      <c r="A13" s="931" t="inlineStr">
        <is>
          <t>Blended target price (Rp)</t>
        </is>
      </c>
      <c r="B13" s="1911">
        <f>D9</f>
        <v/>
      </c>
    </row>
    <row r="14" ht="14.25" customHeight="1">
      <c r="A14" s="934" t="inlineStr">
        <is>
          <t>Current price (Rp)</t>
        </is>
      </c>
      <c r="B14" s="1908">
        <f>'WIFI VALUATION'!H29</f>
        <v/>
      </c>
    </row>
    <row r="15" ht="14.25" customHeight="1">
      <c r="A15" s="931" t="inlineStr">
        <is>
          <t>Upside / (downside)</t>
        </is>
      </c>
      <c r="B15" s="1909">
        <f>B13/B14-1</f>
        <v/>
      </c>
    </row>
    <row r="16" ht="14.25" customHeight="1">
      <c r="A16" s="1394" t="inlineStr">
        <is>
          <t>Recommendation</t>
        </is>
      </c>
      <c r="B16" s="1912">
        <f>IF(B15&gt;0.1,"BUY",IF(B15&lt;-0.1,"SELL","HOLD"))</f>
        <v/>
      </c>
    </row>
    <row r="18" ht="14.25" customHeight="1">
      <c r="A18" s="1371" t="inlineStr">
        <is>
          <t>C.  METHOD RANGE (triangulation)</t>
        </is>
      </c>
      <c r="B18" s="1471" t="n"/>
      <c r="C18" s="1471" t="n"/>
      <c r="D18" s="1471" t="n"/>
      <c r="E18" s="1471" t="n"/>
    </row>
    <row r="19" ht="14.25" customHeight="1">
      <c r="A19" s="934" t="inlineStr">
        <is>
          <t>Highest method</t>
        </is>
      </c>
      <c r="B19" s="1810">
        <f>MAX(B5:B7)</f>
        <v/>
      </c>
    </row>
    <row r="20" ht="14.25" customHeight="1">
      <c r="A20" s="934" t="inlineStr">
        <is>
          <t>Lowest method</t>
        </is>
      </c>
      <c r="B20" s="1810">
        <f>MIN(B5:B7)</f>
        <v/>
      </c>
    </row>
    <row r="21" ht="14.25" customHeight="1">
      <c r="A21" s="934" t="inlineStr">
        <is>
          <t>Simple average (unweighted)</t>
        </is>
      </c>
      <c r="B21" s="1810">
        <f>AVERAGE(B5:B7)</f>
        <v/>
      </c>
    </row>
    <row r="22" ht="14.25" customHeight="1">
      <c r="A22" s="931" t="inlineStr">
        <is>
          <t>Blended (weighted)</t>
        </is>
      </c>
      <c r="B22" s="1913">
        <f>D9</f>
        <v/>
      </c>
    </row>
    <row r="24" ht="14.25" customHeight="1">
      <c r="A24" s="931" t="inlineStr">
        <is>
          <t>Memo – other relative anchors (reference, not weighted):</t>
        </is>
      </c>
    </row>
    <row r="25" ht="14.25" customHeight="1">
      <c r="A25" s="934" t="inlineStr">
        <is>
          <t>Relative – P/BV peers (Rp)</t>
        </is>
      </c>
      <c r="B25" s="1908">
        <f>'TOWR WIFI-Comparable Preced (2)'!F54</f>
        <v/>
      </c>
    </row>
    <row r="26" ht="14.25" customHeight="1">
      <c r="A26" s="934" t="inlineStr">
        <is>
          <t>Relative – P/E peers (Rp)</t>
        </is>
      </c>
      <c r="B26" s="1908">
        <f>'TOWR WIFI-Comparable Preced (2)'!G54</f>
        <v/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202"/>
  <sheetViews>
    <sheetView zoomScale="83" zoomScaleNormal="83" workbookViewId="0">
      <selection activeCell="I5" sqref="I5"/>
    </sheetView>
  </sheetViews>
  <sheetFormatPr baseColWidth="8" defaultColWidth="8.5703125" defaultRowHeight="14.25"/>
  <cols>
    <col width="13.5703125" customWidth="1" min="1" max="1"/>
    <col width="12.28515625" customWidth="1" min="2" max="2"/>
    <col width="11" customWidth="1" min="5" max="5"/>
    <col width="16.140625" customWidth="1" min="6" max="6"/>
    <col width="10.140625" customWidth="1" min="7" max="7"/>
    <col width="11" customWidth="1" min="8" max="8"/>
    <col width="11.85546875" customWidth="1" min="10" max="10"/>
    <col width="17.5703125" customWidth="1" min="11" max="11"/>
  </cols>
  <sheetData>
    <row r="1" ht="14.25" customHeight="1">
      <c r="A1" s="796" t="n"/>
      <c r="B1" s="1914" t="inlineStr">
        <is>
          <t>IHSG</t>
        </is>
      </c>
      <c r="C1" s="1914" t="inlineStr">
        <is>
          <t>TOWR</t>
        </is>
      </c>
      <c r="D1" s="1914" t="inlineStr">
        <is>
          <t>IHSG</t>
        </is>
      </c>
      <c r="E1" s="1914" t="inlineStr">
        <is>
          <t>TOWR</t>
        </is>
      </c>
      <c r="F1" s="890" t="n"/>
      <c r="G1" s="1914" t="inlineStr">
        <is>
          <t>IHSG</t>
        </is>
      </c>
      <c r="H1" s="1914" t="inlineStr">
        <is>
          <t>TOWR</t>
        </is>
      </c>
    </row>
    <row r="2" ht="14.25" customHeight="1">
      <c r="A2" s="1915" t="inlineStr">
        <is>
          <t>Tanggal</t>
        </is>
      </c>
      <c r="B2" s="1916" t="inlineStr">
        <is>
          <t>Price</t>
        </is>
      </c>
      <c r="D2" s="1916" t="inlineStr">
        <is>
          <t>Return</t>
        </is>
      </c>
      <c r="F2" s="1917" t="inlineStr">
        <is>
          <t>Risk Free Return</t>
        </is>
      </c>
      <c r="G2" s="1914" t="inlineStr">
        <is>
          <t>Excess Daily Return</t>
        </is>
      </c>
      <c r="K2" s="1252" t="inlineStr">
        <is>
          <t>Risk Free Rate</t>
        </is>
      </c>
      <c r="L2" s="1918" t="n">
        <v>0.0696</v>
      </c>
    </row>
    <row r="3" ht="14.25" customHeight="1">
      <c r="A3" s="1919" t="inlineStr">
        <is>
          <t>08/21/2026</t>
        </is>
      </c>
      <c r="B3" s="1920" t="n">
        <v>6525.69</v>
      </c>
      <c r="C3" s="1919" t="inlineStr">
        <is>
          <t>434</t>
        </is>
      </c>
      <c r="D3" s="1921">
        <f>B3/B4-1</f>
        <v/>
      </c>
      <c r="E3" s="1921">
        <f>C3/C4-1</f>
        <v/>
      </c>
      <c r="F3" s="1921">
        <f>$L$2/365</f>
        <v/>
      </c>
      <c r="G3" s="1921">
        <f>D3-F3</f>
        <v/>
      </c>
      <c r="H3" s="1921">
        <f>E3-F3</f>
        <v/>
      </c>
      <c r="K3" s="1252" t="inlineStr">
        <is>
          <t>Beta</t>
        </is>
      </c>
      <c r="L3" s="1922">
        <f>L24</f>
        <v/>
      </c>
    </row>
    <row r="4" ht="14.25" customHeight="1">
      <c r="A4" s="1919" t="inlineStr">
        <is>
          <t>08/20/2026</t>
        </is>
      </c>
      <c r="B4" s="1920" t="n">
        <v>6501.58</v>
      </c>
      <c r="C4" s="1919" t="inlineStr">
        <is>
          <t>428</t>
        </is>
      </c>
      <c r="D4" s="1921">
        <f>B4/B5-1</f>
        <v/>
      </c>
      <c r="E4" s="1921">
        <f>C4/C5-1</f>
        <v/>
      </c>
      <c r="F4" s="1921">
        <f>$L$2/365</f>
        <v/>
      </c>
      <c r="G4" s="1921">
        <f>D4-F4</f>
        <v/>
      </c>
      <c r="H4" s="1921">
        <f>E4-F4</f>
        <v/>
      </c>
    </row>
    <row r="5" ht="14.25" customHeight="1">
      <c r="A5" s="1919" t="inlineStr">
        <is>
          <t>08/19/2026</t>
        </is>
      </c>
      <c r="B5" s="1920" t="n">
        <v>6394.13</v>
      </c>
      <c r="C5" s="1919" t="inlineStr">
        <is>
          <t>422</t>
        </is>
      </c>
      <c r="D5" s="1921">
        <f>B5/B6-1</f>
        <v/>
      </c>
      <c r="E5" s="1921">
        <f>C5/C6-1</f>
        <v/>
      </c>
      <c r="F5" s="1921">
        <f>$L$2/365</f>
        <v/>
      </c>
      <c r="G5" s="1921">
        <f>D5-F5</f>
        <v/>
      </c>
      <c r="H5" s="1921">
        <f>E5-F5</f>
        <v/>
      </c>
    </row>
    <row r="6" ht="14.25" customHeight="1">
      <c r="A6" s="1919" t="inlineStr">
        <is>
          <t>08/18/2026</t>
        </is>
      </c>
      <c r="B6" s="1920" t="n">
        <v>6449.83</v>
      </c>
      <c r="C6" s="1919" t="inlineStr">
        <is>
          <t>422</t>
        </is>
      </c>
      <c r="D6" s="1921">
        <f>B6/B7-1</f>
        <v/>
      </c>
      <c r="E6" s="1921">
        <f>C6/C7-1</f>
        <v/>
      </c>
      <c r="F6" s="1921">
        <f>$L$2/365</f>
        <v/>
      </c>
      <c r="G6" s="1921">
        <f>D6-F6</f>
        <v/>
      </c>
      <c r="H6" s="1921">
        <f>E6-F6</f>
        <v/>
      </c>
    </row>
    <row r="7" ht="14.25" customHeight="1">
      <c r="A7" s="1919" t="inlineStr">
        <is>
          <t>08/14/2026</t>
        </is>
      </c>
      <c r="B7" s="1920" t="n">
        <v>6401.89</v>
      </c>
      <c r="C7" s="1919" t="inlineStr">
        <is>
          <t>390</t>
        </is>
      </c>
      <c r="D7" s="1921">
        <f>B7/B8-1</f>
        <v/>
      </c>
      <c r="E7" s="1921">
        <f>C7/C8-1</f>
        <v/>
      </c>
      <c r="F7" s="1921">
        <f>$L$2/365</f>
        <v/>
      </c>
      <c r="G7" s="1921">
        <f>D7-F7</f>
        <v/>
      </c>
      <c r="H7" s="1921">
        <f>E7-F7</f>
        <v/>
      </c>
      <c r="K7" s="1252" t="inlineStr">
        <is>
          <t>SUMMARY OUTPUT</t>
        </is>
      </c>
    </row>
    <row r="8" ht="14.25" customHeight="1">
      <c r="A8" s="1919" t="inlineStr">
        <is>
          <t>08/13/2026</t>
        </is>
      </c>
      <c r="B8" s="1920" t="n">
        <v>6301.77</v>
      </c>
      <c r="C8" s="1919" t="inlineStr">
        <is>
          <t>388</t>
        </is>
      </c>
      <c r="D8" s="1921">
        <f>B8/B9-1</f>
        <v/>
      </c>
      <c r="E8" s="1921">
        <f>C8/C9-1</f>
        <v/>
      </c>
      <c r="F8" s="1921">
        <f>$L$2/365</f>
        <v/>
      </c>
      <c r="G8" s="1921">
        <f>D8-F8</f>
        <v/>
      </c>
      <c r="H8" s="1921">
        <f>E8-F8</f>
        <v/>
      </c>
    </row>
    <row r="9" ht="14.25" customHeight="1">
      <c r="A9" s="1919" t="inlineStr">
        <is>
          <t>08/12/2026</t>
        </is>
      </c>
      <c r="B9" s="1920" t="n">
        <v>6373.85</v>
      </c>
      <c r="C9" s="1919" t="inlineStr">
        <is>
          <t>392</t>
        </is>
      </c>
      <c r="D9" s="1921">
        <f>B9/B10-1</f>
        <v/>
      </c>
      <c r="E9" s="1921">
        <f>C9/C10-1</f>
        <v/>
      </c>
      <c r="F9" s="1921">
        <f>$L$2/365</f>
        <v/>
      </c>
      <c r="G9" s="1921">
        <f>D9-F9</f>
        <v/>
      </c>
      <c r="H9" s="1921">
        <f>E9-F9</f>
        <v/>
      </c>
      <c r="K9" s="1923" t="inlineStr">
        <is>
          <t>Regression Statistics</t>
        </is>
      </c>
      <c r="L9" s="1234" t="n"/>
    </row>
    <row r="10" ht="14.25" customHeight="1">
      <c r="A10" s="1919" t="inlineStr">
        <is>
          <t>08/11/2026</t>
        </is>
      </c>
      <c r="B10" s="1920" t="n">
        <v>6267.88</v>
      </c>
      <c r="C10" s="1919" t="inlineStr">
        <is>
          <t>390</t>
        </is>
      </c>
      <c r="D10" s="1921">
        <f>B10/B11-1</f>
        <v/>
      </c>
      <c r="E10" s="1921">
        <f>C10/C11-1</f>
        <v/>
      </c>
      <c r="F10" s="1921">
        <f>$L$2/365</f>
        <v/>
      </c>
      <c r="G10" s="1921">
        <f>D10-F10</f>
        <v/>
      </c>
      <c r="H10" s="1921">
        <f>E10-F10</f>
        <v/>
      </c>
      <c r="K10" s="1252" t="inlineStr">
        <is>
          <t>Multiple R</t>
        </is>
      </c>
      <c r="L10" s="1563" t="n">
        <v>0.429066983788987</v>
      </c>
    </row>
    <row r="11" ht="14.25" customHeight="1">
      <c r="A11" s="1919" t="inlineStr">
        <is>
          <t>08/10/2026</t>
        </is>
      </c>
      <c r="B11" s="1920" t="n">
        <v>6365.37</v>
      </c>
      <c r="C11" s="1919" t="inlineStr">
        <is>
          <t>394</t>
        </is>
      </c>
      <c r="D11" s="1921">
        <f>B11/B12-1</f>
        <v/>
      </c>
      <c r="E11" s="1921">
        <f>C11/C12-1</f>
        <v/>
      </c>
      <c r="F11" s="1921">
        <f>$L$2/365</f>
        <v/>
      </c>
      <c r="G11" s="1921">
        <f>D11-F11</f>
        <v/>
      </c>
      <c r="H11" s="1921">
        <f>E11-F11</f>
        <v/>
      </c>
      <c r="K11" s="1252" t="inlineStr">
        <is>
          <t>R Square</t>
        </is>
      </c>
      <c r="L11" s="1563" t="n">
        <v>0.184098476577779</v>
      </c>
    </row>
    <row r="12" ht="14.25" customHeight="1">
      <c r="A12" s="1919" t="inlineStr">
        <is>
          <t>08/07/2026</t>
        </is>
      </c>
      <c r="B12" s="1920" t="n">
        <v>6409.65</v>
      </c>
      <c r="C12" s="1919" t="inlineStr">
        <is>
          <t>404</t>
        </is>
      </c>
      <c r="D12" s="1921">
        <f>B12/B13-1</f>
        <v/>
      </c>
      <c r="E12" s="1921">
        <f>C12/C13-1</f>
        <v/>
      </c>
      <c r="F12" s="1921">
        <f>$L$2/365</f>
        <v/>
      </c>
      <c r="G12" s="1921">
        <f>D12-F12</f>
        <v/>
      </c>
      <c r="H12" s="1921">
        <f>E12-F12</f>
        <v/>
      </c>
      <c r="K12" s="1252" t="inlineStr">
        <is>
          <t>Adjusted R Square</t>
        </is>
      </c>
      <c r="L12" s="1563" t="n">
        <v>0.183416854586616</v>
      </c>
    </row>
    <row r="13" ht="14.25" customHeight="1">
      <c r="A13" s="1919" t="inlineStr">
        <is>
          <t>08/06/2026</t>
        </is>
      </c>
      <c r="B13" s="1920" t="n">
        <v>6343.71</v>
      </c>
      <c r="C13" s="1919" t="inlineStr">
        <is>
          <t>400</t>
        </is>
      </c>
      <c r="D13" s="1921">
        <f>B13/B14-1</f>
        <v/>
      </c>
      <c r="E13" s="1921">
        <f>C13/C14-1</f>
        <v/>
      </c>
      <c r="F13" s="1921">
        <f>$L$2/365</f>
        <v/>
      </c>
      <c r="G13" s="1921">
        <f>D13-F13</f>
        <v/>
      </c>
      <c r="H13" s="1921">
        <f>E13-F13</f>
        <v/>
      </c>
      <c r="K13" s="1252" t="inlineStr">
        <is>
          <t>Standard Error</t>
        </is>
      </c>
      <c r="L13" s="1563" t="n">
        <v>0.0201535147478482</v>
      </c>
    </row>
    <row r="14" ht="14.25" customHeight="1">
      <c r="A14" s="1919" t="inlineStr">
        <is>
          <t>08/05/2026</t>
        </is>
      </c>
      <c r="B14" s="1920" t="n">
        <v>6351.14</v>
      </c>
      <c r="C14" s="1919" t="inlineStr">
        <is>
          <t>406</t>
        </is>
      </c>
      <c r="D14" s="1921">
        <f>B14/B15-1</f>
        <v/>
      </c>
      <c r="E14" s="1921">
        <f>C14/C15-1</f>
        <v/>
      </c>
      <c r="F14" s="1921">
        <f>$L$2/365</f>
        <v/>
      </c>
      <c r="G14" s="1921">
        <f>D14-F14</f>
        <v/>
      </c>
      <c r="H14" s="1921">
        <f>E14-F14</f>
        <v/>
      </c>
      <c r="K14" s="1924" t="inlineStr">
        <is>
          <t>Observations</t>
        </is>
      </c>
      <c r="L14" s="1925" t="n">
        <v>1199</v>
      </c>
    </row>
    <row r="15" ht="14.25" customHeight="1">
      <c r="A15" s="1919" t="inlineStr">
        <is>
          <t>08/04/2026</t>
        </is>
      </c>
      <c r="B15" s="1920" t="n">
        <v>6319.61</v>
      </c>
      <c r="C15" s="1919" t="inlineStr">
        <is>
          <t>410</t>
        </is>
      </c>
      <c r="D15" s="1921">
        <f>B15/B16-1</f>
        <v/>
      </c>
      <c r="E15" s="1921">
        <f>C15/C16-1</f>
        <v/>
      </c>
      <c r="F15" s="1921">
        <f>$L$2/365</f>
        <v/>
      </c>
      <c r="G15" s="1921">
        <f>D15-F15</f>
        <v/>
      </c>
      <c r="H15" s="1921">
        <f>E15-F15</f>
        <v/>
      </c>
    </row>
    <row r="16" ht="14.25" customHeight="1">
      <c r="A16" s="1919" t="inlineStr">
        <is>
          <t>08/03/2026</t>
        </is>
      </c>
      <c r="B16" s="1920" t="n">
        <v>6234.5</v>
      </c>
      <c r="C16" s="1919" t="inlineStr">
        <is>
          <t>400</t>
        </is>
      </c>
      <c r="D16" s="1921">
        <f>B16/B17-1</f>
        <v/>
      </c>
      <c r="E16" s="1921">
        <f>C16/C17-1</f>
        <v/>
      </c>
      <c r="F16" s="1921">
        <f>$L$2/365</f>
        <v/>
      </c>
      <c r="G16" s="1921">
        <f>D16-F16</f>
        <v/>
      </c>
      <c r="H16" s="1921">
        <f>E16-F16</f>
        <v/>
      </c>
      <c r="K16" s="1252" t="inlineStr">
        <is>
          <t>ANOVA</t>
        </is>
      </c>
    </row>
    <row r="17" ht="14.25" customHeight="1">
      <c r="A17" s="1919" t="inlineStr">
        <is>
          <t>07/31/2026</t>
        </is>
      </c>
      <c r="B17" s="1920" t="n">
        <v>6236.13</v>
      </c>
      <c r="C17" s="1919" t="inlineStr">
        <is>
          <t>404</t>
        </is>
      </c>
      <c r="D17" s="1921">
        <f>B17/B18-1</f>
        <v/>
      </c>
      <c r="E17" s="1921">
        <f>C17/C18-1</f>
        <v/>
      </c>
      <c r="F17" s="1921">
        <f>$L$2/365</f>
        <v/>
      </c>
      <c r="G17" s="1921">
        <f>D17-F17</f>
        <v/>
      </c>
      <c r="H17" s="1921">
        <f>E17-F17</f>
        <v/>
      </c>
      <c r="K17" s="891" t="n"/>
      <c r="L17" s="1923" t="inlineStr">
        <is>
          <t>df</t>
        </is>
      </c>
      <c r="M17" s="1923" t="inlineStr">
        <is>
          <t>SS</t>
        </is>
      </c>
      <c r="N17" s="1923" t="inlineStr">
        <is>
          <t>MS</t>
        </is>
      </c>
      <c r="O17" s="1923" t="inlineStr">
        <is>
          <t>F</t>
        </is>
      </c>
      <c r="P17" s="1923" t="inlineStr">
        <is>
          <t>Significance F</t>
        </is>
      </c>
    </row>
    <row r="18" ht="14.25" customHeight="1">
      <c r="A18" s="1919" t="inlineStr">
        <is>
          <t>07/30/2026</t>
        </is>
      </c>
      <c r="B18" s="1920" t="n">
        <v>6186.36</v>
      </c>
      <c r="C18" s="1919" t="inlineStr">
        <is>
          <t>404</t>
        </is>
      </c>
      <c r="D18" s="1921">
        <f>B18/B19-1</f>
        <v/>
      </c>
      <c r="E18" s="1921">
        <f>C18/C19-1</f>
        <v/>
      </c>
      <c r="F18" s="1921">
        <f>$L$2/365</f>
        <v/>
      </c>
      <c r="G18" s="1921">
        <f>D18-F18</f>
        <v/>
      </c>
      <c r="H18" s="1921">
        <f>E18-F18</f>
        <v/>
      </c>
      <c r="K18" s="1252" t="inlineStr">
        <is>
          <t>Regression</t>
        </is>
      </c>
      <c r="L18" s="1563" t="n">
        <v>1</v>
      </c>
      <c r="M18" s="1563" t="n">
        <v>0.109700396197393</v>
      </c>
      <c r="N18" s="1563" t="n">
        <v>0.109700396197393</v>
      </c>
      <c r="O18" s="1563" t="n">
        <v>270.088816036644</v>
      </c>
      <c r="P18" s="1563" t="n">
        <v>6.98033460345676e-55</v>
      </c>
    </row>
    <row r="19" ht="14.25" customHeight="1">
      <c r="A19" s="1919" t="inlineStr">
        <is>
          <t>07/29/2026</t>
        </is>
      </c>
      <c r="B19" s="1920" t="n">
        <v>6091.39</v>
      </c>
      <c r="C19" s="1919" t="inlineStr">
        <is>
          <t>404</t>
        </is>
      </c>
      <c r="D19" s="1921">
        <f>B19/B20-1</f>
        <v/>
      </c>
      <c r="E19" s="1921">
        <f>C19/C20-1</f>
        <v/>
      </c>
      <c r="F19" s="1921">
        <f>$L$2/365</f>
        <v/>
      </c>
      <c r="G19" s="1921">
        <f>D19-F19</f>
        <v/>
      </c>
      <c r="H19" s="1921">
        <f>E19-F19</f>
        <v/>
      </c>
      <c r="K19" s="1252" t="inlineStr">
        <is>
          <t>Residual</t>
        </is>
      </c>
      <c r="L19" s="1563" t="n">
        <v>1197</v>
      </c>
      <c r="M19" s="1563" t="n">
        <v>0.486178495560007</v>
      </c>
      <c r="N19" s="1563" t="n">
        <v>0.000406164156691735</v>
      </c>
    </row>
    <row r="20" ht="14.25" customHeight="1">
      <c r="A20" s="1919" t="inlineStr">
        <is>
          <t>07/28/2026</t>
        </is>
      </c>
      <c r="B20" s="1920" t="n">
        <v>6130.59</v>
      </c>
      <c r="C20" s="1919" t="inlineStr">
        <is>
          <t>402</t>
        </is>
      </c>
      <c r="D20" s="1921">
        <f>B20/B21-1</f>
        <v/>
      </c>
      <c r="E20" s="1921">
        <f>C20/C21-1</f>
        <v/>
      </c>
      <c r="F20" s="1921">
        <f>$L$2/365</f>
        <v/>
      </c>
      <c r="G20" s="1921">
        <f>D20-F20</f>
        <v/>
      </c>
      <c r="H20" s="1921">
        <f>E20-F20</f>
        <v/>
      </c>
      <c r="K20" s="1924" t="inlineStr">
        <is>
          <t>Total</t>
        </is>
      </c>
      <c r="L20" s="1925" t="n">
        <v>1198</v>
      </c>
      <c r="M20" s="1925" t="n">
        <v>0.5958788917574001</v>
      </c>
      <c r="N20" s="806" t="n"/>
      <c r="O20" s="806" t="n"/>
      <c r="P20" s="806" t="n"/>
    </row>
    <row r="21" ht="14.25" customHeight="1">
      <c r="A21" s="1919" t="inlineStr">
        <is>
          <t>07/27/2026</t>
        </is>
      </c>
      <c r="B21" s="1920" t="n">
        <v>6185.78</v>
      </c>
      <c r="C21" s="1919" t="inlineStr">
        <is>
          <t>406</t>
        </is>
      </c>
      <c r="D21" s="1921">
        <f>B21/B22-1</f>
        <v/>
      </c>
      <c r="E21" s="1921">
        <f>C21/C22-1</f>
        <v/>
      </c>
      <c r="F21" s="1921">
        <f>$L$2/365</f>
        <v/>
      </c>
      <c r="G21" s="1921">
        <f>D21-F21</f>
        <v/>
      </c>
      <c r="H21" s="1921">
        <f>E21-F21</f>
        <v/>
      </c>
    </row>
    <row r="22" ht="14.25" customHeight="1">
      <c r="A22" s="1919" t="inlineStr">
        <is>
          <t>07/24/2026</t>
        </is>
      </c>
      <c r="B22" s="1920" t="n">
        <v>6196.43</v>
      </c>
      <c r="C22" s="1919" t="inlineStr">
        <is>
          <t>402</t>
        </is>
      </c>
      <c r="D22" s="1921">
        <f>B22/B23-1</f>
        <v/>
      </c>
      <c r="E22" s="1921">
        <f>C22/C23-1</f>
        <v/>
      </c>
      <c r="F22" s="1921">
        <f>$L$2/365</f>
        <v/>
      </c>
      <c r="G22" s="1921">
        <f>D22-F22</f>
        <v/>
      </c>
      <c r="H22" s="1921">
        <f>E22-F22</f>
        <v/>
      </c>
      <c r="K22" s="891" t="n"/>
      <c r="L22" s="1923" t="inlineStr">
        <is>
          <t>Coefficients</t>
        </is>
      </c>
      <c r="M22" s="1923" t="inlineStr">
        <is>
          <t>Standard Error</t>
        </is>
      </c>
      <c r="N22" s="1923" t="inlineStr">
        <is>
          <t>t Stat</t>
        </is>
      </c>
      <c r="O22" s="1923" t="inlineStr">
        <is>
          <t>P-value</t>
        </is>
      </c>
      <c r="P22" s="1923" t="inlineStr">
        <is>
          <t>Lower 95%</t>
        </is>
      </c>
      <c r="Q22" s="1923" t="inlineStr">
        <is>
          <t>Upper 95%</t>
        </is>
      </c>
      <c r="R22" s="1923" t="inlineStr">
        <is>
          <t>Lower 95,0%</t>
        </is>
      </c>
      <c r="S22" s="1923" t="inlineStr">
        <is>
          <t>Upper 95,0%</t>
        </is>
      </c>
    </row>
    <row r="23" ht="14.25" customHeight="1">
      <c r="A23" s="1919" t="inlineStr">
        <is>
          <t>07/23/2026</t>
        </is>
      </c>
      <c r="B23" s="1920" t="n">
        <v>6315.31</v>
      </c>
      <c r="C23" s="1919" t="inlineStr">
        <is>
          <t>414</t>
        </is>
      </c>
      <c r="D23" s="1921">
        <f>B23/B24-1</f>
        <v/>
      </c>
      <c r="E23" s="1921">
        <f>C23/C24-1</f>
        <v/>
      </c>
      <c r="F23" s="1921">
        <f>$L$2/365</f>
        <v/>
      </c>
      <c r="G23" s="1921">
        <f>D23-F23</f>
        <v/>
      </c>
      <c r="H23" s="1921">
        <f>E23-F23</f>
        <v/>
      </c>
      <c r="K23" s="1252" t="inlineStr">
        <is>
          <t>Intercept</t>
        </is>
      </c>
      <c r="L23" s="1563" t="n">
        <v>-0.000816267091632359</v>
      </c>
      <c r="M23" s="1563" t="n">
        <v>0.0005820407932655369</v>
      </c>
      <c r="N23" s="1563" t="n">
        <v>-1.40242247807529</v>
      </c>
      <c r="O23" s="1563" t="n">
        <v>0.161048412384</v>
      </c>
      <c r="P23" s="1563" t="n">
        <v>-0.00195820074737979</v>
      </c>
      <c r="Q23" s="1563" t="n">
        <v>0.00032566656411507</v>
      </c>
      <c r="R23" s="1563" t="n">
        <v>-0.00195820074737979</v>
      </c>
      <c r="S23" s="1563" t="n">
        <v>0.00032566656411507</v>
      </c>
    </row>
    <row r="24" ht="14.25" customHeight="1">
      <c r="A24" s="1919" t="inlineStr">
        <is>
          <t>07/22/2026</t>
        </is>
      </c>
      <c r="B24" s="1920" t="n">
        <v>6334.48</v>
      </c>
      <c r="C24" s="1919" t="inlineStr">
        <is>
          <t>412</t>
        </is>
      </c>
      <c r="D24" s="1921">
        <f>B24/B25-1</f>
        <v/>
      </c>
      <c r="E24" s="1921">
        <f>C24/C25-1</f>
        <v/>
      </c>
      <c r="F24" s="1921">
        <f>$L$2/365</f>
        <v/>
      </c>
      <c r="G24" s="1921">
        <f>D24-F24</f>
        <v/>
      </c>
      <c r="H24" s="1921">
        <f>E24-F24</f>
        <v/>
      </c>
      <c r="K24" s="1924" t="inlineStr">
        <is>
          <t>X Variable 1</t>
        </is>
      </c>
      <c r="L24" s="1925" t="n">
        <v>0.903509073971401</v>
      </c>
      <c r="M24" s="1925" t="n">
        <v>0.0549767696781052</v>
      </c>
      <c r="N24" s="1925" t="n">
        <v>16.4343790888687</v>
      </c>
      <c r="O24" s="1925" t="n">
        <v>6.980334603457859e-55</v>
      </c>
      <c r="P24" s="1925" t="n">
        <v>0.795647521471829</v>
      </c>
      <c r="Q24" s="1925" t="n">
        <v>1.01137062647097</v>
      </c>
      <c r="R24" s="1925" t="n">
        <v>0.795647521471829</v>
      </c>
      <c r="S24" s="1925" t="n">
        <v>1.01137062647097</v>
      </c>
    </row>
    <row r="25" ht="14.25" customHeight="1">
      <c r="A25" s="1919" t="inlineStr">
        <is>
          <t>07/21/2026</t>
        </is>
      </c>
      <c r="B25" s="1920" t="n">
        <v>6340.02</v>
      </c>
      <c r="C25" s="1919" t="inlineStr">
        <is>
          <t>412</t>
        </is>
      </c>
      <c r="D25" s="1921">
        <f>B25/B26-1</f>
        <v/>
      </c>
      <c r="E25" s="1921">
        <f>C25/C26-1</f>
        <v/>
      </c>
      <c r="F25" s="1921">
        <f>$L$2/365</f>
        <v/>
      </c>
      <c r="G25" s="1921">
        <f>D25-F25</f>
        <v/>
      </c>
      <c r="H25" s="1921">
        <f>E25-F25</f>
        <v/>
      </c>
    </row>
    <row r="26" ht="14.25" customHeight="1">
      <c r="A26" s="1919" t="inlineStr">
        <is>
          <t>07/20/2026</t>
        </is>
      </c>
      <c r="B26" s="1920" t="n">
        <v>6231.78</v>
      </c>
      <c r="C26" s="1919" t="inlineStr">
        <is>
          <t>408</t>
        </is>
      </c>
      <c r="D26" s="1921">
        <f>B26/B27-1</f>
        <v/>
      </c>
      <c r="E26" s="1921">
        <f>C26/C27-1</f>
        <v/>
      </c>
      <c r="F26" s="1921">
        <f>$L$2/365</f>
        <v/>
      </c>
      <c r="G26" s="1921">
        <f>D26-F26</f>
        <v/>
      </c>
      <c r="H26" s="1921">
        <f>E26-F26</f>
        <v/>
      </c>
    </row>
    <row r="27" ht="14.25" customHeight="1">
      <c r="A27" s="1919" t="inlineStr">
        <is>
          <t>07/17/2026</t>
        </is>
      </c>
      <c r="B27" s="1920" t="n">
        <v>6175.54</v>
      </c>
      <c r="C27" s="1919" t="inlineStr">
        <is>
          <t>410</t>
        </is>
      </c>
      <c r="D27" s="1921">
        <f>B27/B28-1</f>
        <v/>
      </c>
      <c r="E27" s="1921">
        <f>C27/C28-1</f>
        <v/>
      </c>
      <c r="F27" s="1921">
        <f>$L$2/365</f>
        <v/>
      </c>
      <c r="G27" s="1921">
        <f>D27-F27</f>
        <v/>
      </c>
      <c r="H27" s="1921">
        <f>E27-F27</f>
        <v/>
      </c>
    </row>
    <row r="28" ht="14.25" customHeight="1">
      <c r="A28" s="1919" t="inlineStr">
        <is>
          <t>07/16/2026</t>
        </is>
      </c>
      <c r="B28" s="1920" t="n">
        <v>6108.21</v>
      </c>
      <c r="C28" s="1919" t="inlineStr">
        <is>
          <t>390</t>
        </is>
      </c>
      <c r="D28" s="1921">
        <f>B28/B29-1</f>
        <v/>
      </c>
      <c r="E28" s="1921">
        <f>C28/C29-1</f>
        <v/>
      </c>
      <c r="F28" s="1921">
        <f>$L$2/365</f>
        <v/>
      </c>
      <c r="G28" s="1921">
        <f>D28-F28</f>
        <v/>
      </c>
      <c r="H28" s="1921">
        <f>E28-F28</f>
        <v/>
      </c>
    </row>
    <row r="29" ht="14.25" customHeight="1">
      <c r="A29" s="1919" t="inlineStr">
        <is>
          <t>07/15/2026</t>
        </is>
      </c>
      <c r="B29" s="1920" t="n">
        <v>6041.97</v>
      </c>
      <c r="C29" s="1919" t="inlineStr">
        <is>
          <t>378</t>
        </is>
      </c>
      <c r="D29" s="1921">
        <f>B29/B30-1</f>
        <v/>
      </c>
      <c r="E29" s="1921">
        <f>C29/C30-1</f>
        <v/>
      </c>
      <c r="F29" s="1921">
        <f>$L$2/365</f>
        <v/>
      </c>
      <c r="G29" s="1921">
        <f>D29-F29</f>
        <v/>
      </c>
      <c r="H29" s="1921">
        <f>E29-F29</f>
        <v/>
      </c>
    </row>
    <row r="30" ht="14.25" customHeight="1">
      <c r="A30" s="1919" t="inlineStr">
        <is>
          <t>07/14/2026</t>
        </is>
      </c>
      <c r="B30" s="1920" t="n">
        <v>6039.52</v>
      </c>
      <c r="C30" s="1919" t="inlineStr">
        <is>
          <t>378</t>
        </is>
      </c>
      <c r="D30" s="1921">
        <f>B30/B31-1</f>
        <v/>
      </c>
      <c r="E30" s="1921">
        <f>C30/C31-1</f>
        <v/>
      </c>
      <c r="F30" s="1921">
        <f>$L$2/365</f>
        <v/>
      </c>
      <c r="G30" s="1921">
        <f>D30-F30</f>
        <v/>
      </c>
      <c r="H30" s="1921">
        <f>E30-F30</f>
        <v/>
      </c>
    </row>
    <row r="31" ht="14.25" customHeight="1">
      <c r="A31" s="1919" t="inlineStr">
        <is>
          <t>07/13/2026</t>
        </is>
      </c>
      <c r="B31" s="1920" t="n">
        <v>6037.84</v>
      </c>
      <c r="C31" s="1919" t="inlineStr">
        <is>
          <t>374</t>
        </is>
      </c>
      <c r="D31" s="1921">
        <f>B31/B32-1</f>
        <v/>
      </c>
      <c r="E31" s="1921">
        <f>C31/C32-1</f>
        <v/>
      </c>
      <c r="F31" s="1921">
        <f>$L$2/365</f>
        <v/>
      </c>
      <c r="G31" s="1921">
        <f>D31-F31</f>
        <v/>
      </c>
      <c r="H31" s="1921">
        <f>E31-F31</f>
        <v/>
      </c>
    </row>
    <row r="32" ht="14.25" customHeight="1">
      <c r="A32" s="1919" t="inlineStr">
        <is>
          <t>07/10/2026</t>
        </is>
      </c>
      <c r="B32" s="1920" t="n">
        <v>5924.36</v>
      </c>
      <c r="C32" s="1919" t="inlineStr">
        <is>
          <t>372</t>
        </is>
      </c>
      <c r="D32" s="1921">
        <f>B32/B33-1</f>
        <v/>
      </c>
      <c r="E32" s="1921">
        <f>C32/C33-1</f>
        <v/>
      </c>
      <c r="F32" s="1921">
        <f>$L$2/365</f>
        <v/>
      </c>
      <c r="G32" s="1921">
        <f>D32-F32</f>
        <v/>
      </c>
      <c r="H32" s="1921">
        <f>E32-F32</f>
        <v/>
      </c>
    </row>
    <row r="33" ht="14.25" customHeight="1">
      <c r="A33" s="1919" t="inlineStr">
        <is>
          <t>07/09/2026</t>
        </is>
      </c>
      <c r="B33" s="1920" t="n">
        <v>5912.44</v>
      </c>
      <c r="C33" s="1919" t="inlineStr">
        <is>
          <t>368</t>
        </is>
      </c>
      <c r="D33" s="1921">
        <f>B33/B34-1</f>
        <v/>
      </c>
      <c r="E33" s="1921">
        <f>C33/C34-1</f>
        <v/>
      </c>
      <c r="F33" s="1921">
        <f>$L$2/365</f>
        <v/>
      </c>
      <c r="G33" s="1921">
        <f>D33-F33</f>
        <v/>
      </c>
      <c r="H33" s="1921">
        <f>E33-F33</f>
        <v/>
      </c>
    </row>
    <row r="34" ht="14.25" customHeight="1">
      <c r="A34" s="1919" t="inlineStr">
        <is>
          <t>07/08/2026</t>
        </is>
      </c>
      <c r="B34" s="1920" t="n">
        <v>5873.37</v>
      </c>
      <c r="C34" s="1919" t="inlineStr">
        <is>
          <t>370</t>
        </is>
      </c>
      <c r="D34" s="1921">
        <f>B34/B35-1</f>
        <v/>
      </c>
      <c r="E34" s="1921">
        <f>C34/C35-1</f>
        <v/>
      </c>
      <c r="F34" s="1921">
        <f>$L$2/365</f>
        <v/>
      </c>
      <c r="G34" s="1921">
        <f>D34-F34</f>
        <v/>
      </c>
      <c r="H34" s="1921">
        <f>E34-F34</f>
        <v/>
      </c>
    </row>
    <row r="35" ht="14.25" customHeight="1">
      <c r="A35" s="1919" t="inlineStr">
        <is>
          <t>07/07/2026</t>
        </is>
      </c>
      <c r="B35" s="1920" t="n">
        <v>5986.5</v>
      </c>
      <c r="C35" s="1919" t="inlineStr">
        <is>
          <t>374</t>
        </is>
      </c>
      <c r="D35" s="1921">
        <f>B35/B36-1</f>
        <v/>
      </c>
      <c r="E35" s="1921">
        <f>C35/C36-1</f>
        <v/>
      </c>
      <c r="F35" s="1921">
        <f>$L$2/365</f>
        <v/>
      </c>
      <c r="G35" s="1921">
        <f>D35-F35</f>
        <v/>
      </c>
      <c r="H35" s="1921">
        <f>E35-F35</f>
        <v/>
      </c>
    </row>
    <row r="36" ht="14.25" customHeight="1">
      <c r="A36" s="1919" t="inlineStr">
        <is>
          <t>07/06/2026</t>
        </is>
      </c>
      <c r="B36" s="1920" t="n">
        <v>5916.07</v>
      </c>
      <c r="C36" s="1919" t="inlineStr">
        <is>
          <t>372</t>
        </is>
      </c>
      <c r="D36" s="1921">
        <f>B36/B37-1</f>
        <v/>
      </c>
      <c r="E36" s="1921">
        <f>C36/C37-1</f>
        <v/>
      </c>
      <c r="F36" s="1921">
        <f>$L$2/365</f>
        <v/>
      </c>
      <c r="G36" s="1921">
        <f>D36-F36</f>
        <v/>
      </c>
      <c r="H36" s="1921">
        <f>E36-F36</f>
        <v/>
      </c>
    </row>
    <row r="37" ht="14.25" customHeight="1">
      <c r="A37" s="1919" t="inlineStr">
        <is>
          <t>07/03/2026</t>
        </is>
      </c>
      <c r="B37" s="1920" t="n">
        <v>5875.78</v>
      </c>
      <c r="C37" s="1919" t="inlineStr">
        <is>
          <t>372</t>
        </is>
      </c>
      <c r="D37" s="1921">
        <f>B37/B38-1</f>
        <v/>
      </c>
      <c r="E37" s="1921">
        <f>C37/C38-1</f>
        <v/>
      </c>
      <c r="F37" s="1921">
        <f>$L$2/365</f>
        <v/>
      </c>
      <c r="G37" s="1921">
        <f>D37-F37</f>
        <v/>
      </c>
      <c r="H37" s="1921">
        <f>E37-F37</f>
        <v/>
      </c>
    </row>
    <row r="38" ht="14.25" customHeight="1">
      <c r="A38" s="1919" t="inlineStr">
        <is>
          <t>07/02/2026</t>
        </is>
      </c>
      <c r="B38" s="1920" t="n">
        <v>5744.56</v>
      </c>
      <c r="C38" s="1919" t="inlineStr">
        <is>
          <t>372</t>
        </is>
      </c>
      <c r="D38" s="1921">
        <f>B38/B39-1</f>
        <v/>
      </c>
      <c r="E38" s="1921">
        <f>C38/C39-1</f>
        <v/>
      </c>
      <c r="F38" s="1921">
        <f>$L$2/365</f>
        <v/>
      </c>
      <c r="G38" s="1921">
        <f>D38-F38</f>
        <v/>
      </c>
      <c r="H38" s="1921">
        <f>E38-F38</f>
        <v/>
      </c>
    </row>
    <row r="39" ht="14.25" customHeight="1">
      <c r="A39" s="1919" t="inlineStr">
        <is>
          <t>07/01/2026</t>
        </is>
      </c>
      <c r="B39" s="1920" t="n">
        <v>5695.12</v>
      </c>
      <c r="C39" s="1919" t="inlineStr">
        <is>
          <t>356</t>
        </is>
      </c>
      <c r="D39" s="1921">
        <f>B39/B40-1</f>
        <v/>
      </c>
      <c r="E39" s="1921">
        <f>C39/C40-1</f>
        <v/>
      </c>
      <c r="F39" s="1921">
        <f>$L$2/365</f>
        <v/>
      </c>
      <c r="G39" s="1921">
        <f>D39-F39</f>
        <v/>
      </c>
      <c r="H39" s="1921">
        <f>E39-F39</f>
        <v/>
      </c>
    </row>
    <row r="40" ht="14.25" customHeight="1">
      <c r="A40" s="1919" t="inlineStr">
        <is>
          <t>06/30/2026</t>
        </is>
      </c>
      <c r="B40" s="1920" t="n">
        <v>5643.19</v>
      </c>
      <c r="C40" s="1919" t="inlineStr">
        <is>
          <t>364</t>
        </is>
      </c>
      <c r="D40" s="1921">
        <f>B40/B41-1</f>
        <v/>
      </c>
      <c r="E40" s="1921">
        <f>C40/C41-1</f>
        <v/>
      </c>
      <c r="F40" s="1921">
        <f>$L$2/365</f>
        <v/>
      </c>
      <c r="G40" s="1921">
        <f>D40-F40</f>
        <v/>
      </c>
      <c r="H40" s="1921">
        <f>E40-F40</f>
        <v/>
      </c>
    </row>
    <row r="41" ht="14.25" customHeight="1">
      <c r="A41" s="1919" t="inlineStr">
        <is>
          <t>06/29/2026</t>
        </is>
      </c>
      <c r="B41" s="1920" t="n">
        <v>5820.79</v>
      </c>
      <c r="C41" s="1919" t="inlineStr">
        <is>
          <t>364</t>
        </is>
      </c>
      <c r="D41" s="1921">
        <f>B41/B42-1</f>
        <v/>
      </c>
      <c r="E41" s="1921">
        <f>C41/C42-1</f>
        <v/>
      </c>
      <c r="F41" s="1921">
        <f>$L$2/365</f>
        <v/>
      </c>
      <c r="G41" s="1921">
        <f>D41-F41</f>
        <v/>
      </c>
      <c r="H41" s="1921">
        <f>E41-F41</f>
        <v/>
      </c>
    </row>
    <row r="42" ht="14.25" customHeight="1">
      <c r="A42" s="1919" t="inlineStr">
        <is>
          <t>06/26/2026</t>
        </is>
      </c>
      <c r="B42" s="1920" t="n">
        <v>5896.13</v>
      </c>
      <c r="C42" s="1919" t="inlineStr">
        <is>
          <t>374</t>
        </is>
      </c>
      <c r="D42" s="1921">
        <f>B42/B43-1</f>
        <v/>
      </c>
      <c r="E42" s="1921">
        <f>C42/C43-1</f>
        <v/>
      </c>
      <c r="F42" s="1921">
        <f>$L$2/365</f>
        <v/>
      </c>
      <c r="G42" s="1921">
        <f>D42-F42</f>
        <v/>
      </c>
      <c r="H42" s="1921">
        <f>E42-F42</f>
        <v/>
      </c>
    </row>
    <row r="43" ht="14.25" customHeight="1">
      <c r="A43" s="1919" t="inlineStr">
        <is>
          <t>06/25/2026</t>
        </is>
      </c>
      <c r="B43" s="1920" t="n">
        <v>5999.04</v>
      </c>
      <c r="C43" s="1919" t="inlineStr">
        <is>
          <t>390</t>
        </is>
      </c>
      <c r="D43" s="1921">
        <f>B43/B44-1</f>
        <v/>
      </c>
      <c r="E43" s="1921">
        <f>C43/C44-1</f>
        <v/>
      </c>
      <c r="F43" s="1921">
        <f>$L$2/365</f>
        <v/>
      </c>
      <c r="G43" s="1921">
        <f>D43-F43</f>
        <v/>
      </c>
      <c r="H43" s="1921">
        <f>E43-F43</f>
        <v/>
      </c>
    </row>
    <row r="44" ht="14.25" customHeight="1">
      <c r="A44" s="1919" t="inlineStr">
        <is>
          <t>06/24/2026</t>
        </is>
      </c>
      <c r="B44" s="1920" t="n">
        <v>5883.88</v>
      </c>
      <c r="C44" s="1919" t="inlineStr">
        <is>
          <t>364</t>
        </is>
      </c>
      <c r="D44" s="1921">
        <f>B44/B45-1</f>
        <v/>
      </c>
      <c r="E44" s="1921">
        <f>C44/C45-1</f>
        <v/>
      </c>
      <c r="F44" s="1921">
        <f>$L$2/365</f>
        <v/>
      </c>
      <c r="G44" s="1921">
        <f>D44-F44</f>
        <v/>
      </c>
      <c r="H44" s="1921">
        <f>E44-F44</f>
        <v/>
      </c>
    </row>
    <row r="45" ht="14.25" customHeight="1">
      <c r="A45" s="1919" t="inlineStr">
        <is>
          <t>06/23/2026</t>
        </is>
      </c>
      <c r="B45" s="1920" t="n">
        <v>6101.33</v>
      </c>
      <c r="C45" s="1919" t="inlineStr">
        <is>
          <t>370</t>
        </is>
      </c>
      <c r="D45" s="1921">
        <f>B45/B46-1</f>
        <v/>
      </c>
      <c r="E45" s="1921">
        <f>C45/C46-1</f>
        <v/>
      </c>
      <c r="F45" s="1921">
        <f>$L$2/365</f>
        <v/>
      </c>
      <c r="G45" s="1921">
        <f>D45-F45</f>
        <v/>
      </c>
      <c r="H45" s="1921">
        <f>E45-F45</f>
        <v/>
      </c>
    </row>
    <row r="46" ht="14.25" customHeight="1">
      <c r="A46" s="1919" t="inlineStr">
        <is>
          <t>06/22/2026</t>
        </is>
      </c>
      <c r="B46" s="1920" t="n">
        <v>6116.69</v>
      </c>
      <c r="C46" s="1919" t="inlineStr">
        <is>
          <t>370</t>
        </is>
      </c>
      <c r="D46" s="1921">
        <f>B46/B47-1</f>
        <v/>
      </c>
      <c r="E46" s="1921">
        <f>C46/C47-1</f>
        <v/>
      </c>
      <c r="F46" s="1921">
        <f>$L$2/365</f>
        <v/>
      </c>
      <c r="G46" s="1921">
        <f>D46-F46</f>
        <v/>
      </c>
      <c r="H46" s="1921">
        <f>E46-F46</f>
        <v/>
      </c>
    </row>
    <row r="47" ht="14.25" customHeight="1">
      <c r="A47" s="1919" t="inlineStr">
        <is>
          <t>06/19/2026</t>
        </is>
      </c>
      <c r="B47" s="1920" t="n">
        <v>6177.14</v>
      </c>
      <c r="C47" s="1919" t="inlineStr">
        <is>
          <t>372</t>
        </is>
      </c>
      <c r="D47" s="1921">
        <f>B47/B48-1</f>
        <v/>
      </c>
      <c r="E47" s="1921">
        <f>C47/C48-1</f>
        <v/>
      </c>
      <c r="F47" s="1921">
        <f>$L$2/365</f>
        <v/>
      </c>
      <c r="G47" s="1921">
        <f>D47-F47</f>
        <v/>
      </c>
      <c r="H47" s="1921">
        <f>E47-F47</f>
        <v/>
      </c>
    </row>
    <row r="48" ht="14.25" customHeight="1">
      <c r="A48" s="1919" t="inlineStr">
        <is>
          <t>06/18/2026</t>
        </is>
      </c>
      <c r="B48" s="1920" t="n">
        <v>6172.34</v>
      </c>
      <c r="C48" s="1919" t="inlineStr">
        <is>
          <t>398</t>
        </is>
      </c>
      <c r="D48" s="1921">
        <f>B48/B49-1</f>
        <v/>
      </c>
      <c r="E48" s="1921">
        <f>C48/C49-1</f>
        <v/>
      </c>
      <c r="F48" s="1921">
        <f>$L$2/365</f>
        <v/>
      </c>
      <c r="G48" s="1921">
        <f>D48-F48</f>
        <v/>
      </c>
      <c r="H48" s="1921">
        <f>E48-F48</f>
        <v/>
      </c>
    </row>
    <row r="49" ht="14.25" customHeight="1">
      <c r="A49" s="1919" t="inlineStr">
        <is>
          <t>06/17/2026</t>
        </is>
      </c>
      <c r="B49" s="1920" t="n">
        <v>6220.74</v>
      </c>
      <c r="C49" s="1919" t="inlineStr">
        <is>
          <t>392</t>
        </is>
      </c>
      <c r="D49" s="1921">
        <f>B49/B50-1</f>
        <v/>
      </c>
      <c r="E49" s="1921">
        <f>C49/C50-1</f>
        <v/>
      </c>
      <c r="F49" s="1921">
        <f>$L$2/365</f>
        <v/>
      </c>
      <c r="G49" s="1921">
        <f>D49-F49</f>
        <v/>
      </c>
      <c r="H49" s="1921">
        <f>E49-F49</f>
        <v/>
      </c>
    </row>
    <row r="50" ht="14.25" customHeight="1">
      <c r="A50" s="1919" t="inlineStr">
        <is>
          <t>06/15/2026</t>
        </is>
      </c>
      <c r="B50" s="1920" t="n">
        <v>6254.97</v>
      </c>
      <c r="C50" s="1919" t="inlineStr">
        <is>
          <t>390</t>
        </is>
      </c>
      <c r="D50" s="1921">
        <f>B50/B51-1</f>
        <v/>
      </c>
      <c r="E50" s="1921">
        <f>C50/C51-1</f>
        <v/>
      </c>
      <c r="F50" s="1921">
        <f>$L$2/365</f>
        <v/>
      </c>
      <c r="G50" s="1921">
        <f>D50-F50</f>
        <v/>
      </c>
      <c r="H50" s="1921">
        <f>E50-F50</f>
        <v/>
      </c>
    </row>
    <row r="51" ht="14.25" customHeight="1">
      <c r="A51" s="1919" t="inlineStr">
        <is>
          <t>06/12/2026</t>
        </is>
      </c>
      <c r="B51" s="1920" t="n">
        <v>6007.66</v>
      </c>
      <c r="C51" s="1919" t="inlineStr">
        <is>
          <t>344</t>
        </is>
      </c>
      <c r="D51" s="1921">
        <f>B51/B52-1</f>
        <v/>
      </c>
      <c r="E51" s="1921">
        <f>C51/C52-1</f>
        <v/>
      </c>
      <c r="F51" s="1921">
        <f>$L$2/365</f>
        <v/>
      </c>
      <c r="G51" s="1921">
        <f>D51-F51</f>
        <v/>
      </c>
      <c r="H51" s="1921">
        <f>E51-F51</f>
        <v/>
      </c>
    </row>
    <row r="52" ht="14.25" customHeight="1">
      <c r="A52" s="1919" t="inlineStr">
        <is>
          <t>06/11/2026</t>
        </is>
      </c>
      <c r="B52" s="1920" t="n">
        <v>5886.03</v>
      </c>
      <c r="C52" s="1919" t="inlineStr">
        <is>
          <t>332</t>
        </is>
      </c>
      <c r="D52" s="1921">
        <f>B52/B53-1</f>
        <v/>
      </c>
      <c r="E52" s="1921">
        <f>C52/C53-1</f>
        <v/>
      </c>
      <c r="F52" s="1921">
        <f>$L$2/365</f>
        <v/>
      </c>
      <c r="G52" s="1921">
        <f>D52-F52</f>
        <v/>
      </c>
      <c r="H52" s="1921">
        <f>E52-F52</f>
        <v/>
      </c>
    </row>
    <row r="53" ht="14.25" customHeight="1">
      <c r="A53" s="1919" t="inlineStr">
        <is>
          <t>06/10/2026</t>
        </is>
      </c>
      <c r="B53" s="1920" t="n">
        <v>5902.38</v>
      </c>
      <c r="C53" s="1919" t="inlineStr">
        <is>
          <t>330</t>
        </is>
      </c>
      <c r="D53" s="1921">
        <f>B53/B54-1</f>
        <v/>
      </c>
      <c r="E53" s="1921">
        <f>C53/C54-1</f>
        <v/>
      </c>
      <c r="F53" s="1921">
        <f>$L$2/365</f>
        <v/>
      </c>
      <c r="G53" s="1921">
        <f>D53-F53</f>
        <v/>
      </c>
      <c r="H53" s="1921">
        <f>E53-F53</f>
        <v/>
      </c>
    </row>
    <row r="54" ht="14.25" customHeight="1">
      <c r="A54" s="1919" t="inlineStr">
        <is>
          <t>06/09/2026</t>
        </is>
      </c>
      <c r="B54" s="1920" t="n">
        <v>5746.65</v>
      </c>
      <c r="C54" s="1919" t="inlineStr">
        <is>
          <t>322</t>
        </is>
      </c>
      <c r="D54" s="1921">
        <f>B54/B55-1</f>
        <v/>
      </c>
      <c r="E54" s="1921">
        <f>C54/C55-1</f>
        <v/>
      </c>
      <c r="F54" s="1921">
        <f>$L$2/365</f>
        <v/>
      </c>
      <c r="G54" s="1921">
        <f>D54-F54</f>
        <v/>
      </c>
      <c r="H54" s="1921">
        <f>E54-F54</f>
        <v/>
      </c>
    </row>
    <row r="55" ht="14.25" customHeight="1">
      <c r="A55" s="1919" t="inlineStr">
        <is>
          <t>06/08/2026</t>
        </is>
      </c>
      <c r="B55" s="1920" t="n">
        <v>5342.14</v>
      </c>
      <c r="C55" s="1919" t="inlineStr">
        <is>
          <t>316</t>
        </is>
      </c>
      <c r="D55" s="1921">
        <f>B55/B56-1</f>
        <v/>
      </c>
      <c r="E55" s="1921">
        <f>C55/C56-1</f>
        <v/>
      </c>
      <c r="F55" s="1921">
        <f>$L$2/365</f>
        <v/>
      </c>
      <c r="G55" s="1921">
        <f>D55-F55</f>
        <v/>
      </c>
      <c r="H55" s="1921">
        <f>E55-F55</f>
        <v/>
      </c>
    </row>
    <row r="56" ht="14.25" customHeight="1">
      <c r="A56" s="1919" t="inlineStr">
        <is>
          <t>06/05/2026</t>
        </is>
      </c>
      <c r="B56" s="1920" t="n">
        <v>5594.77</v>
      </c>
      <c r="C56" s="1919" t="inlineStr">
        <is>
          <t>330</t>
        </is>
      </c>
      <c r="D56" s="1921">
        <f>B56/B57-1</f>
        <v/>
      </c>
      <c r="E56" s="1921">
        <f>C56/C57-1</f>
        <v/>
      </c>
      <c r="F56" s="1921">
        <f>$L$2/365</f>
        <v/>
      </c>
      <c r="G56" s="1921">
        <f>D56-F56</f>
        <v/>
      </c>
      <c r="H56" s="1921">
        <f>E56-F56</f>
        <v/>
      </c>
    </row>
    <row r="57" ht="14.25" customHeight="1">
      <c r="A57" s="1919" t="inlineStr">
        <is>
          <t>06/04/2026</t>
        </is>
      </c>
      <c r="B57" s="1920" t="n">
        <v>5839.79</v>
      </c>
      <c r="C57" s="1919" t="inlineStr">
        <is>
          <t>336</t>
        </is>
      </c>
      <c r="D57" s="1921">
        <f>B57/B58-1</f>
        <v/>
      </c>
      <c r="E57" s="1921">
        <f>C57/C58-1</f>
        <v/>
      </c>
      <c r="F57" s="1921">
        <f>$L$2/365</f>
        <v/>
      </c>
      <c r="G57" s="1921">
        <f>D57-F57</f>
        <v/>
      </c>
      <c r="H57" s="1921">
        <f>E57-F57</f>
        <v/>
      </c>
    </row>
    <row r="58" ht="14.25" customHeight="1">
      <c r="A58" s="1919" t="inlineStr">
        <is>
          <t>06/03/2026</t>
        </is>
      </c>
      <c r="B58" s="1920" t="n">
        <v>5941.07</v>
      </c>
      <c r="C58" s="1919" t="inlineStr">
        <is>
          <t>350</t>
        </is>
      </c>
      <c r="D58" s="1921">
        <f>B58/B59-1</f>
        <v/>
      </c>
      <c r="E58" s="1921">
        <f>C58/C59-1</f>
        <v/>
      </c>
      <c r="F58" s="1921">
        <f>$L$2/365</f>
        <v/>
      </c>
      <c r="G58" s="1921">
        <f>D58-F58</f>
        <v/>
      </c>
      <c r="H58" s="1921">
        <f>E58-F58</f>
        <v/>
      </c>
    </row>
    <row r="59" ht="14.25" customHeight="1">
      <c r="A59" s="1919" t="inlineStr">
        <is>
          <t>06/02/2026</t>
        </is>
      </c>
      <c r="B59" s="1920" t="n">
        <v>6195.43</v>
      </c>
      <c r="C59" s="1919" t="inlineStr">
        <is>
          <t>378</t>
        </is>
      </c>
      <c r="D59" s="1921">
        <f>B59/B60-1</f>
        <v/>
      </c>
      <c r="E59" s="1921">
        <f>C59/C60-1</f>
        <v/>
      </c>
      <c r="F59" s="1921">
        <f>$L$2/365</f>
        <v/>
      </c>
      <c r="G59" s="1921">
        <f>D59-F59</f>
        <v/>
      </c>
      <c r="H59" s="1921">
        <f>E59-F59</f>
        <v/>
      </c>
    </row>
    <row r="60" ht="14.25" customHeight="1">
      <c r="A60" s="1919" t="inlineStr">
        <is>
          <t>05/29/2026</t>
        </is>
      </c>
      <c r="B60" s="1920" t="n">
        <v>6127.38</v>
      </c>
      <c r="C60" s="1919" t="inlineStr">
        <is>
          <t>380</t>
        </is>
      </c>
      <c r="D60" s="1921">
        <f>B60/B61-1</f>
        <v/>
      </c>
      <c r="E60" s="1921">
        <f>C60/C61-1</f>
        <v/>
      </c>
      <c r="F60" s="1921">
        <f>$L$2/365</f>
        <v/>
      </c>
      <c r="G60" s="1921">
        <f>D60-F60</f>
        <v/>
      </c>
      <c r="H60" s="1921">
        <f>E60-F60</f>
        <v/>
      </c>
    </row>
    <row r="61" ht="14.25" customHeight="1">
      <c r="A61" s="1919" t="inlineStr">
        <is>
          <t>05/26/2026</t>
        </is>
      </c>
      <c r="B61" s="1920" t="n">
        <v>6130.19</v>
      </c>
      <c r="C61" s="1919" t="inlineStr">
        <is>
          <t>390</t>
        </is>
      </c>
      <c r="D61" s="1921">
        <f>B61/B62-1</f>
        <v/>
      </c>
      <c r="E61" s="1921">
        <f>C61/C62-1</f>
        <v/>
      </c>
      <c r="F61" s="1921">
        <f>$L$2/365</f>
        <v/>
      </c>
      <c r="G61" s="1921">
        <f>D61-F61</f>
        <v/>
      </c>
      <c r="H61" s="1921">
        <f>E61-F61</f>
        <v/>
      </c>
    </row>
    <row r="62" ht="14.25" customHeight="1">
      <c r="A62" s="1919" t="inlineStr">
        <is>
          <t>05/25/2026</t>
        </is>
      </c>
      <c r="B62" s="1920" t="n">
        <v>6206.35</v>
      </c>
      <c r="C62" s="1919" t="inlineStr">
        <is>
          <t>392</t>
        </is>
      </c>
      <c r="D62" s="1921">
        <f>B62/B63-1</f>
        <v/>
      </c>
      <c r="E62" s="1921">
        <f>C62/C63-1</f>
        <v/>
      </c>
      <c r="F62" s="1921">
        <f>$L$2/365</f>
        <v/>
      </c>
      <c r="G62" s="1921">
        <f>D62-F62</f>
        <v/>
      </c>
      <c r="H62" s="1921">
        <f>E62-F62</f>
        <v/>
      </c>
    </row>
    <row r="63" ht="14.25" customHeight="1">
      <c r="A63" s="1919" t="inlineStr">
        <is>
          <t>05/22/2026</t>
        </is>
      </c>
      <c r="B63" s="1920" t="n">
        <v>6162.04</v>
      </c>
      <c r="C63" s="1919" t="inlineStr">
        <is>
          <t>396</t>
        </is>
      </c>
      <c r="D63" s="1921">
        <f>B63/B64-1</f>
        <v/>
      </c>
      <c r="E63" s="1921">
        <f>C63/C64-1</f>
        <v/>
      </c>
      <c r="F63" s="1921">
        <f>$L$2/365</f>
        <v/>
      </c>
      <c r="G63" s="1921">
        <f>D63-F63</f>
        <v/>
      </c>
      <c r="H63" s="1921">
        <f>E63-F63</f>
        <v/>
      </c>
    </row>
    <row r="64" ht="14.25" customHeight="1">
      <c r="A64" s="1919" t="inlineStr">
        <is>
          <t>05/21/2026</t>
        </is>
      </c>
      <c r="B64" s="1920" t="n">
        <v>6094.94</v>
      </c>
      <c r="C64" s="1919" t="inlineStr">
        <is>
          <t>400</t>
        </is>
      </c>
      <c r="D64" s="1921">
        <f>B64/B65-1</f>
        <v/>
      </c>
      <c r="E64" s="1921">
        <f>C64/C65-1</f>
        <v/>
      </c>
      <c r="F64" s="1921">
        <f>$L$2/365</f>
        <v/>
      </c>
      <c r="G64" s="1921">
        <f>D64-F64</f>
        <v/>
      </c>
      <c r="H64" s="1921">
        <f>E64-F64</f>
        <v/>
      </c>
    </row>
    <row r="65" ht="14.25" customHeight="1">
      <c r="A65" s="1919" t="inlineStr">
        <is>
          <t>05/20/2026</t>
        </is>
      </c>
      <c r="B65" s="1920" t="n">
        <v>6318.5</v>
      </c>
      <c r="C65" s="1919" t="inlineStr">
        <is>
          <t>410</t>
        </is>
      </c>
      <c r="D65" s="1921">
        <f>B65/B66-1</f>
        <v/>
      </c>
      <c r="E65" s="1921">
        <f>C65/C66-1</f>
        <v/>
      </c>
      <c r="F65" s="1921">
        <f>$L$2/365</f>
        <v/>
      </c>
      <c r="G65" s="1921">
        <f>D65-F65</f>
        <v/>
      </c>
      <c r="H65" s="1921">
        <f>E65-F65</f>
        <v/>
      </c>
    </row>
    <row r="66" ht="14.25" customHeight="1">
      <c r="A66" s="1919" t="inlineStr">
        <is>
          <t>05/19/2026</t>
        </is>
      </c>
      <c r="B66" s="1920" t="n">
        <v>6370.68</v>
      </c>
      <c r="C66" s="1919" t="inlineStr">
        <is>
          <t>430</t>
        </is>
      </c>
      <c r="D66" s="1921">
        <f>B66/B67-1</f>
        <v/>
      </c>
      <c r="E66" s="1921">
        <f>C66/C67-1</f>
        <v/>
      </c>
      <c r="F66" s="1921">
        <f>$L$2/365</f>
        <v/>
      </c>
      <c r="G66" s="1921">
        <f>D66-F66</f>
        <v/>
      </c>
      <c r="H66" s="1921">
        <f>E66-F66</f>
        <v/>
      </c>
    </row>
    <row r="67" ht="14.25" customHeight="1">
      <c r="A67" s="1919" t="inlineStr">
        <is>
          <t>05/18/2026</t>
        </is>
      </c>
      <c r="B67" s="1920" t="n">
        <v>6599.24</v>
      </c>
      <c r="C67" s="1919" t="inlineStr">
        <is>
          <t>448</t>
        </is>
      </c>
      <c r="D67" s="1921">
        <f>B67/B68-1</f>
        <v/>
      </c>
      <c r="E67" s="1921">
        <f>C67/C68-1</f>
        <v/>
      </c>
      <c r="F67" s="1921">
        <f>$L$2/365</f>
        <v/>
      </c>
      <c r="G67" s="1921">
        <f>D67-F67</f>
        <v/>
      </c>
      <c r="H67" s="1921">
        <f>E67-F67</f>
        <v/>
      </c>
    </row>
    <row r="68" ht="14.25" customHeight="1">
      <c r="A68" s="1919" t="inlineStr">
        <is>
          <t>05/13/2026</t>
        </is>
      </c>
      <c r="B68" s="1920" t="n">
        <v>6723.32</v>
      </c>
      <c r="C68" s="1919" t="inlineStr">
        <is>
          <t>470</t>
        </is>
      </c>
      <c r="D68" s="1921">
        <f>B68/B69-1</f>
        <v/>
      </c>
      <c r="E68" s="1921">
        <f>C68/C69-1</f>
        <v/>
      </c>
      <c r="F68" s="1921">
        <f>$L$2/365</f>
        <v/>
      </c>
      <c r="G68" s="1921">
        <f>D68-F68</f>
        <v/>
      </c>
      <c r="H68" s="1921">
        <f>E68-F68</f>
        <v/>
      </c>
    </row>
    <row r="69" ht="14.25" customHeight="1">
      <c r="A69" s="1919" t="inlineStr">
        <is>
          <t>05/12/2026</t>
        </is>
      </c>
      <c r="B69" s="1920" t="n">
        <v>6858.9</v>
      </c>
      <c r="C69" s="1919" t="inlineStr">
        <is>
          <t>476</t>
        </is>
      </c>
      <c r="D69" s="1921">
        <f>B69/B70-1</f>
        <v/>
      </c>
      <c r="E69" s="1921">
        <f>C69/C70-1</f>
        <v/>
      </c>
      <c r="F69" s="1921">
        <f>$L$2/365</f>
        <v/>
      </c>
      <c r="G69" s="1921">
        <f>D69-F69</f>
        <v/>
      </c>
      <c r="H69" s="1921">
        <f>E69-F69</f>
        <v/>
      </c>
    </row>
    <row r="70" ht="14.25" customHeight="1">
      <c r="A70" s="1919" t="inlineStr">
        <is>
          <t>05/11/2026</t>
        </is>
      </c>
      <c r="B70" s="1920" t="n">
        <v>6905.62</v>
      </c>
      <c r="C70" s="1919" t="inlineStr">
        <is>
          <t>472</t>
        </is>
      </c>
      <c r="D70" s="1921">
        <f>B70/B71-1</f>
        <v/>
      </c>
      <c r="E70" s="1921">
        <f>C70/C71-1</f>
        <v/>
      </c>
      <c r="F70" s="1921">
        <f>$L$2/365</f>
        <v/>
      </c>
      <c r="G70" s="1921">
        <f>D70-F70</f>
        <v/>
      </c>
      <c r="H70" s="1921">
        <f>E70-F70</f>
        <v/>
      </c>
    </row>
    <row r="71" ht="14.25" customHeight="1">
      <c r="A71" s="1919" t="inlineStr">
        <is>
          <t>05/08/2026</t>
        </is>
      </c>
      <c r="B71" s="1920" t="n">
        <v>6969.4</v>
      </c>
      <c r="C71" s="1919" t="inlineStr">
        <is>
          <t>474</t>
        </is>
      </c>
      <c r="D71" s="1921">
        <f>B71/B72-1</f>
        <v/>
      </c>
      <c r="E71" s="1921">
        <f>C71/C72-1</f>
        <v/>
      </c>
      <c r="F71" s="1921">
        <f>$L$2/365</f>
        <v/>
      </c>
      <c r="G71" s="1921">
        <f>D71-F71</f>
        <v/>
      </c>
      <c r="H71" s="1921">
        <f>E71-F71</f>
        <v/>
      </c>
    </row>
    <row r="72" ht="14.25" customHeight="1">
      <c r="A72" s="1919" t="inlineStr">
        <is>
          <t>05/07/2026</t>
        </is>
      </c>
      <c r="B72" s="1920" t="n">
        <v>7174.32</v>
      </c>
      <c r="C72" s="1919" t="inlineStr">
        <is>
          <t>480</t>
        </is>
      </c>
      <c r="D72" s="1921">
        <f>B72/B73-1</f>
        <v/>
      </c>
      <c r="E72" s="1921">
        <f>C72/C73-1</f>
        <v/>
      </c>
      <c r="F72" s="1921">
        <f>$L$2/365</f>
        <v/>
      </c>
      <c r="G72" s="1921">
        <f>D72-F72</f>
        <v/>
      </c>
      <c r="H72" s="1921">
        <f>E72-F72</f>
        <v/>
      </c>
    </row>
    <row r="73" ht="14.25" customHeight="1">
      <c r="A73" s="1919" t="inlineStr">
        <is>
          <t>05/06/2026</t>
        </is>
      </c>
      <c r="B73" s="1920" t="n">
        <v>7092.47</v>
      </c>
      <c r="C73" s="1919" t="inlineStr">
        <is>
          <t>480</t>
        </is>
      </c>
      <c r="D73" s="1921">
        <f>B73/B74-1</f>
        <v/>
      </c>
      <c r="E73" s="1921">
        <f>C73/C74-1</f>
        <v/>
      </c>
      <c r="F73" s="1921">
        <f>$L$2/365</f>
        <v/>
      </c>
      <c r="G73" s="1921">
        <f>D73-F73</f>
        <v/>
      </c>
      <c r="H73" s="1921">
        <f>E73-F73</f>
        <v/>
      </c>
    </row>
    <row r="74" ht="14.25" customHeight="1">
      <c r="A74" s="1919" t="inlineStr">
        <is>
          <t>05/05/2026</t>
        </is>
      </c>
      <c r="B74" s="1920" t="n">
        <v>7057.11</v>
      </c>
      <c r="C74" s="1919" t="inlineStr">
        <is>
          <t>488</t>
        </is>
      </c>
      <c r="D74" s="1921">
        <f>B74/B75-1</f>
        <v/>
      </c>
      <c r="E74" s="1921">
        <f>C74/C75-1</f>
        <v/>
      </c>
      <c r="F74" s="1921">
        <f>$L$2/365</f>
        <v/>
      </c>
      <c r="G74" s="1921">
        <f>D74-F74</f>
        <v/>
      </c>
      <c r="H74" s="1921">
        <f>E74-F74</f>
        <v/>
      </c>
    </row>
    <row r="75" ht="14.25" customHeight="1">
      <c r="A75" s="1919" t="inlineStr">
        <is>
          <t>05/04/2026</t>
        </is>
      </c>
      <c r="B75" s="1920" t="n">
        <v>6971.95</v>
      </c>
      <c r="C75" s="1919" t="inlineStr">
        <is>
          <t>482</t>
        </is>
      </c>
      <c r="D75" s="1921">
        <f>B75/B76-1</f>
        <v/>
      </c>
      <c r="E75" s="1921">
        <f>C75/C76-1</f>
        <v/>
      </c>
      <c r="F75" s="1921">
        <f>$L$2/365</f>
        <v/>
      </c>
      <c r="G75" s="1921">
        <f>D75-F75</f>
        <v/>
      </c>
      <c r="H75" s="1921">
        <f>E75-F75</f>
        <v/>
      </c>
    </row>
    <row r="76" ht="14.25" customHeight="1">
      <c r="A76" s="1919" t="inlineStr">
        <is>
          <t>04/30/2026</t>
        </is>
      </c>
      <c r="B76" s="1920" t="n">
        <v>6956.8</v>
      </c>
      <c r="C76" s="1919" t="inlineStr">
        <is>
          <t>476</t>
        </is>
      </c>
      <c r="D76" s="1921">
        <f>B76/B77-1</f>
        <v/>
      </c>
      <c r="E76" s="1921">
        <f>C76/C77-1</f>
        <v/>
      </c>
      <c r="F76" s="1921">
        <f>$L$2/365</f>
        <v/>
      </c>
      <c r="G76" s="1921">
        <f>D76-F76</f>
        <v/>
      </c>
      <c r="H76" s="1921">
        <f>E76-F76</f>
        <v/>
      </c>
    </row>
    <row r="77" ht="14.25" customHeight="1">
      <c r="A77" s="1919" t="inlineStr">
        <is>
          <t>04/29/2026</t>
        </is>
      </c>
      <c r="B77" s="1920" t="n">
        <v>7101.23</v>
      </c>
      <c r="C77" s="1919" t="inlineStr">
        <is>
          <t>478</t>
        </is>
      </c>
      <c r="D77" s="1921">
        <f>B77/B78-1</f>
        <v/>
      </c>
      <c r="E77" s="1921">
        <f>C77/C78-1</f>
        <v/>
      </c>
      <c r="F77" s="1921">
        <f>$L$2/365</f>
        <v/>
      </c>
      <c r="G77" s="1921">
        <f>D77-F77</f>
        <v/>
      </c>
      <c r="H77" s="1921">
        <f>E77-F77</f>
        <v/>
      </c>
    </row>
    <row r="78" ht="14.25" customHeight="1">
      <c r="A78" s="1919" t="inlineStr">
        <is>
          <t>04/28/2026</t>
        </is>
      </c>
      <c r="B78" s="1920" t="n">
        <v>7072.39</v>
      </c>
      <c r="C78" s="1919" t="inlineStr">
        <is>
          <t>476</t>
        </is>
      </c>
      <c r="D78" s="1921">
        <f>B78/B79-1</f>
        <v/>
      </c>
      <c r="E78" s="1921">
        <f>C78/C79-1</f>
        <v/>
      </c>
      <c r="F78" s="1921">
        <f>$L$2/365</f>
        <v/>
      </c>
      <c r="G78" s="1921">
        <f>D78-F78</f>
        <v/>
      </c>
      <c r="H78" s="1921">
        <f>E78-F78</f>
        <v/>
      </c>
    </row>
    <row r="79" ht="14.25" customHeight="1">
      <c r="A79" s="1919" t="inlineStr">
        <is>
          <t>04/27/2026</t>
        </is>
      </c>
      <c r="B79" s="1920" t="n">
        <v>7106.52</v>
      </c>
      <c r="C79" s="1919" t="inlineStr">
        <is>
          <t>482</t>
        </is>
      </c>
      <c r="D79" s="1921">
        <f>B79/B80-1</f>
        <v/>
      </c>
      <c r="E79" s="1921">
        <f>C79/C80-1</f>
        <v/>
      </c>
      <c r="F79" s="1921">
        <f>$L$2/365</f>
        <v/>
      </c>
      <c r="G79" s="1921">
        <f>D79-F79</f>
        <v/>
      </c>
      <c r="H79" s="1921">
        <f>E79-F79</f>
        <v/>
      </c>
    </row>
    <row r="80" ht="14.25" customHeight="1">
      <c r="A80" s="1919" t="inlineStr">
        <is>
          <t>04/24/2026</t>
        </is>
      </c>
      <c r="B80" s="1920" t="n">
        <v>7129.49</v>
      </c>
      <c r="C80" s="1919" t="inlineStr">
        <is>
          <t>488</t>
        </is>
      </c>
      <c r="D80" s="1921">
        <f>B80/B81-1</f>
        <v/>
      </c>
      <c r="E80" s="1921">
        <f>C80/C81-1</f>
        <v/>
      </c>
      <c r="F80" s="1921">
        <f>$L$2/365</f>
        <v/>
      </c>
      <c r="G80" s="1921">
        <f>D80-F80</f>
        <v/>
      </c>
      <c r="H80" s="1921">
        <f>E80-F80</f>
        <v/>
      </c>
    </row>
    <row r="81" ht="14.25" customHeight="1">
      <c r="A81" s="1919" t="inlineStr">
        <is>
          <t>04/23/2026</t>
        </is>
      </c>
      <c r="B81" s="1920" t="n">
        <v>7378.61</v>
      </c>
      <c r="C81" s="1919" t="inlineStr">
        <is>
          <t>505</t>
        </is>
      </c>
      <c r="D81" s="1921">
        <f>B81/B82-1</f>
        <v/>
      </c>
      <c r="E81" s="1921">
        <f>C81/C82-1</f>
        <v/>
      </c>
      <c r="F81" s="1921">
        <f>$L$2/365</f>
        <v/>
      </c>
      <c r="G81" s="1921">
        <f>D81-F81</f>
        <v/>
      </c>
      <c r="H81" s="1921">
        <f>E81-F81</f>
        <v/>
      </c>
    </row>
    <row r="82" ht="14.25" customHeight="1">
      <c r="A82" s="1919" t="inlineStr">
        <is>
          <t>04/22/2026</t>
        </is>
      </c>
      <c r="B82" s="1920" t="n">
        <v>7541.61</v>
      </c>
      <c r="C82" s="1919" t="inlineStr">
        <is>
          <t>505</t>
        </is>
      </c>
      <c r="D82" s="1921">
        <f>B82/B83-1</f>
        <v/>
      </c>
      <c r="E82" s="1921">
        <f>C82/C83-1</f>
        <v/>
      </c>
      <c r="F82" s="1921">
        <f>$L$2/365</f>
        <v/>
      </c>
      <c r="G82" s="1921">
        <f>D82-F82</f>
        <v/>
      </c>
      <c r="H82" s="1921">
        <f>E82-F82</f>
        <v/>
      </c>
    </row>
    <row r="83" ht="14.25" customHeight="1">
      <c r="A83" s="1919" t="inlineStr">
        <is>
          <t>04/21/2026</t>
        </is>
      </c>
      <c r="B83" s="1920" t="n">
        <v>7559.38</v>
      </c>
      <c r="C83" s="1919" t="inlineStr">
        <is>
          <t>505</t>
        </is>
      </c>
      <c r="D83" s="1921">
        <f>B83/B84-1</f>
        <v/>
      </c>
      <c r="E83" s="1921">
        <f>C83/C84-1</f>
        <v/>
      </c>
      <c r="F83" s="1921">
        <f>$L$2/365</f>
        <v/>
      </c>
      <c r="G83" s="1921">
        <f>D83-F83</f>
        <v/>
      </c>
      <c r="H83" s="1921">
        <f>E83-F83</f>
        <v/>
      </c>
    </row>
    <row r="84" ht="14.25" customHeight="1">
      <c r="A84" s="1919" t="inlineStr">
        <is>
          <t>04/20/2026</t>
        </is>
      </c>
      <c r="B84" s="1920" t="n">
        <v>7594.11</v>
      </c>
      <c r="C84" s="1919" t="inlineStr">
        <is>
          <t>498</t>
        </is>
      </c>
      <c r="D84" s="1921">
        <f>B84/B85-1</f>
        <v/>
      </c>
      <c r="E84" s="1921">
        <f>C84/C85-1</f>
        <v/>
      </c>
      <c r="F84" s="1921">
        <f>$L$2/365</f>
        <v/>
      </c>
      <c r="G84" s="1921">
        <f>D84-F84</f>
        <v/>
      </c>
      <c r="H84" s="1921">
        <f>E84-F84</f>
        <v/>
      </c>
    </row>
    <row r="85" ht="14.25" customHeight="1">
      <c r="A85" s="1919" t="inlineStr">
        <is>
          <t>04/17/2026</t>
        </is>
      </c>
      <c r="B85" s="1920" t="n">
        <v>7634</v>
      </c>
      <c r="C85" s="1919" t="inlineStr">
        <is>
          <t>510</t>
        </is>
      </c>
      <c r="D85" s="1921">
        <f>B85/B86-1</f>
        <v/>
      </c>
      <c r="E85" s="1921">
        <f>C85/C86-1</f>
        <v/>
      </c>
      <c r="F85" s="1921">
        <f>$L$2/365</f>
        <v/>
      </c>
      <c r="G85" s="1921">
        <f>D85-F85</f>
        <v/>
      </c>
      <c r="H85" s="1921">
        <f>E85-F85</f>
        <v/>
      </c>
    </row>
    <row r="86" ht="14.25" customHeight="1">
      <c r="A86" s="1919" t="inlineStr">
        <is>
          <t>04/16/2026</t>
        </is>
      </c>
      <c r="B86" s="1920" t="n">
        <v>7621.38</v>
      </c>
      <c r="C86" s="1919" t="inlineStr">
        <is>
          <t>510</t>
        </is>
      </c>
      <c r="D86" s="1921">
        <f>B86/B87-1</f>
        <v/>
      </c>
      <c r="E86" s="1921">
        <f>C86/C87-1</f>
        <v/>
      </c>
      <c r="F86" s="1921">
        <f>$L$2/365</f>
        <v/>
      </c>
      <c r="G86" s="1921">
        <f>D86-F86</f>
        <v/>
      </c>
      <c r="H86" s="1921">
        <f>E86-F86</f>
        <v/>
      </c>
    </row>
    <row r="87" ht="14.25" customHeight="1">
      <c r="A87" s="1919" t="inlineStr">
        <is>
          <t>04/15/2026</t>
        </is>
      </c>
      <c r="B87" s="1920" t="n">
        <v>7623.59</v>
      </c>
      <c r="C87" s="1919" t="inlineStr">
        <is>
          <t>500</t>
        </is>
      </c>
      <c r="D87" s="1921">
        <f>B87/B88-1</f>
        <v/>
      </c>
      <c r="E87" s="1921">
        <f>C87/C88-1</f>
        <v/>
      </c>
      <c r="F87" s="1921">
        <f>$L$2/365</f>
        <v/>
      </c>
      <c r="G87" s="1921">
        <f>D87-F87</f>
        <v/>
      </c>
      <c r="H87" s="1921">
        <f>E87-F87</f>
        <v/>
      </c>
    </row>
    <row r="88" ht="14.25" customHeight="1">
      <c r="A88" s="1919" t="inlineStr">
        <is>
          <t>04/14/2026</t>
        </is>
      </c>
      <c r="B88" s="1920" t="n">
        <v>7675.95</v>
      </c>
      <c r="C88" s="1919" t="inlineStr">
        <is>
          <t>505</t>
        </is>
      </c>
      <c r="D88" s="1921">
        <f>B88/B89-1</f>
        <v/>
      </c>
      <c r="E88" s="1921">
        <f>C88/C89-1</f>
        <v/>
      </c>
      <c r="F88" s="1921">
        <f>$L$2/365</f>
        <v/>
      </c>
      <c r="G88" s="1921">
        <f>D88-F88</f>
        <v/>
      </c>
      <c r="H88" s="1921">
        <f>E88-F88</f>
        <v/>
      </c>
    </row>
    <row r="89" ht="14.25" customHeight="1">
      <c r="A89" s="1919" t="inlineStr">
        <is>
          <t>04/13/2026</t>
        </is>
      </c>
      <c r="B89" s="1920" t="n">
        <v>7500.19</v>
      </c>
      <c r="C89" s="1919" t="inlineStr">
        <is>
          <t>486</t>
        </is>
      </c>
      <c r="D89" s="1921">
        <f>B89/B90-1</f>
        <v/>
      </c>
      <c r="E89" s="1921">
        <f>C89/C90-1</f>
        <v/>
      </c>
      <c r="F89" s="1921">
        <f>$L$2/365</f>
        <v/>
      </c>
      <c r="G89" s="1921">
        <f>D89-F89</f>
        <v/>
      </c>
      <c r="H89" s="1921">
        <f>E89-F89</f>
        <v/>
      </c>
    </row>
    <row r="90" ht="14.25" customHeight="1">
      <c r="A90" s="1919" t="inlineStr">
        <is>
          <t>04/10/2026</t>
        </is>
      </c>
      <c r="B90" s="1920" t="n">
        <v>7458.5</v>
      </c>
      <c r="C90" s="1919" t="inlineStr">
        <is>
          <t>492</t>
        </is>
      </c>
      <c r="D90" s="1921">
        <f>B90/B91-1</f>
        <v/>
      </c>
      <c r="E90" s="1921">
        <f>C90/C91-1</f>
        <v/>
      </c>
      <c r="F90" s="1921">
        <f>$L$2/365</f>
        <v/>
      </c>
      <c r="G90" s="1921">
        <f>D90-F90</f>
        <v/>
      </c>
      <c r="H90" s="1921">
        <f>E90-F90</f>
        <v/>
      </c>
    </row>
    <row r="91" ht="14.25" customHeight="1">
      <c r="A91" s="1919" t="inlineStr">
        <is>
          <t>04/09/2026</t>
        </is>
      </c>
      <c r="B91" s="1920" t="n">
        <v>7307.59</v>
      </c>
      <c r="C91" s="1919" t="inlineStr">
        <is>
          <t>486</t>
        </is>
      </c>
      <c r="D91" s="1921">
        <f>B91/B92-1</f>
        <v/>
      </c>
      <c r="E91" s="1921">
        <f>C91/C92-1</f>
        <v/>
      </c>
      <c r="F91" s="1921">
        <f>$L$2/365</f>
        <v/>
      </c>
      <c r="G91" s="1921">
        <f>D91-F91</f>
        <v/>
      </c>
      <c r="H91" s="1921">
        <f>E91-F91</f>
        <v/>
      </c>
    </row>
    <row r="92" ht="14.25" customHeight="1">
      <c r="A92" s="1919" t="inlineStr">
        <is>
          <t>04/08/2026</t>
        </is>
      </c>
      <c r="B92" s="1920" t="n">
        <v>7279.21</v>
      </c>
      <c r="C92" s="1919" t="inlineStr">
        <is>
          <t>496</t>
        </is>
      </c>
      <c r="D92" s="1921">
        <f>B92/B93-1</f>
        <v/>
      </c>
      <c r="E92" s="1921">
        <f>C92/C93-1</f>
        <v/>
      </c>
      <c r="F92" s="1921">
        <f>$L$2/365</f>
        <v/>
      </c>
      <c r="G92" s="1921">
        <f>D92-F92</f>
        <v/>
      </c>
      <c r="H92" s="1921">
        <f>E92-F92</f>
        <v/>
      </c>
    </row>
    <row r="93" ht="14.25" customHeight="1">
      <c r="A93" s="1919" t="inlineStr">
        <is>
          <t>04/07/2026</t>
        </is>
      </c>
      <c r="B93" s="1920" t="n">
        <v>6971.03</v>
      </c>
      <c r="C93" s="1919" t="inlineStr">
        <is>
          <t>486</t>
        </is>
      </c>
      <c r="D93" s="1921">
        <f>B93/B94-1</f>
        <v/>
      </c>
      <c r="E93" s="1921">
        <f>C93/C94-1</f>
        <v/>
      </c>
      <c r="F93" s="1921">
        <f>$L$2/365</f>
        <v/>
      </c>
      <c r="G93" s="1921">
        <f>D93-F93</f>
        <v/>
      </c>
      <c r="H93" s="1921">
        <f>E93-F93</f>
        <v/>
      </c>
    </row>
    <row r="94" ht="14.25" customHeight="1">
      <c r="A94" s="1919" t="inlineStr">
        <is>
          <t>04/06/2026</t>
        </is>
      </c>
      <c r="B94" s="1920" t="n">
        <v>6989.43</v>
      </c>
      <c r="C94" s="1919" t="inlineStr">
        <is>
          <t>492</t>
        </is>
      </c>
      <c r="D94" s="1921">
        <f>B94/B95-1</f>
        <v/>
      </c>
      <c r="E94" s="1921">
        <f>C94/C95-1</f>
        <v/>
      </c>
      <c r="F94" s="1921">
        <f>$L$2/365</f>
        <v/>
      </c>
      <c r="G94" s="1921">
        <f>D94-F94</f>
        <v/>
      </c>
      <c r="H94" s="1921">
        <f>E94-F94</f>
        <v/>
      </c>
    </row>
    <row r="95" ht="14.25" customHeight="1">
      <c r="A95" s="1919" t="inlineStr">
        <is>
          <t>04/02/2026</t>
        </is>
      </c>
      <c r="B95" s="1920" t="n">
        <v>7026.78</v>
      </c>
      <c r="C95" s="1919" t="inlineStr">
        <is>
          <t>494</t>
        </is>
      </c>
      <c r="D95" s="1921">
        <f>B95/B96-1</f>
        <v/>
      </c>
      <c r="E95" s="1921">
        <f>C95/C96-1</f>
        <v/>
      </c>
      <c r="F95" s="1921">
        <f>$L$2/365</f>
        <v/>
      </c>
      <c r="G95" s="1921">
        <f>D95-F95</f>
        <v/>
      </c>
      <c r="H95" s="1921">
        <f>E95-F95</f>
        <v/>
      </c>
    </row>
    <row r="96" ht="14.25" customHeight="1">
      <c r="A96" s="1919" t="inlineStr">
        <is>
          <t>04/01/2026</t>
        </is>
      </c>
      <c r="B96" s="1920" t="n">
        <v>7184.44</v>
      </c>
      <c r="C96" s="1919" t="inlineStr">
        <is>
          <t>498</t>
        </is>
      </c>
      <c r="D96" s="1921">
        <f>B96/B97-1</f>
        <v/>
      </c>
      <c r="E96" s="1921">
        <f>C96/C97-1</f>
        <v/>
      </c>
      <c r="F96" s="1921">
        <f>$L$2/365</f>
        <v/>
      </c>
      <c r="G96" s="1921">
        <f>D96-F96</f>
        <v/>
      </c>
      <c r="H96" s="1921">
        <f>E96-F96</f>
        <v/>
      </c>
    </row>
    <row r="97" ht="14.25" customHeight="1">
      <c r="A97" s="1919" t="inlineStr">
        <is>
          <t>03/31/2026</t>
        </is>
      </c>
      <c r="B97" s="1920" t="n">
        <v>7048.22</v>
      </c>
      <c r="C97" s="1919" t="inlineStr">
        <is>
          <t>488</t>
        </is>
      </c>
      <c r="D97" s="1921">
        <f>B97/B98-1</f>
        <v/>
      </c>
      <c r="E97" s="1921">
        <f>C97/C98-1</f>
        <v/>
      </c>
      <c r="F97" s="1921">
        <f>$L$2/365</f>
        <v/>
      </c>
      <c r="G97" s="1921">
        <f>D97-F97</f>
        <v/>
      </c>
      <c r="H97" s="1921">
        <f>E97-F97</f>
        <v/>
      </c>
    </row>
    <row r="98" ht="14.25" customHeight="1">
      <c r="A98" s="1919" t="inlineStr">
        <is>
          <t>03/30/2026</t>
        </is>
      </c>
      <c r="B98" s="1920" t="n">
        <v>7091.67</v>
      </c>
      <c r="C98" s="1919" t="inlineStr">
        <is>
          <t>490</t>
        </is>
      </c>
      <c r="D98" s="1921">
        <f>B98/B99-1</f>
        <v/>
      </c>
      <c r="E98" s="1921">
        <f>C98/C99-1</f>
        <v/>
      </c>
      <c r="F98" s="1921">
        <f>$L$2/365</f>
        <v/>
      </c>
      <c r="G98" s="1921">
        <f>D98-F98</f>
        <v/>
      </c>
      <c r="H98" s="1921">
        <f>E98-F98</f>
        <v/>
      </c>
    </row>
    <row r="99" ht="14.25" customHeight="1">
      <c r="A99" s="1919" t="inlineStr">
        <is>
          <t>03/27/2026</t>
        </is>
      </c>
      <c r="B99" s="1920" t="n">
        <v>7097.06</v>
      </c>
      <c r="C99" s="1919" t="inlineStr">
        <is>
          <t>490</t>
        </is>
      </c>
      <c r="D99" s="1921">
        <f>B99/B100-1</f>
        <v/>
      </c>
      <c r="E99" s="1921">
        <f>C99/C100-1</f>
        <v/>
      </c>
      <c r="F99" s="1921">
        <f>$L$2/365</f>
        <v/>
      </c>
      <c r="G99" s="1921">
        <f>D99-F99</f>
        <v/>
      </c>
      <c r="H99" s="1921">
        <f>E99-F99</f>
        <v/>
      </c>
    </row>
    <row r="100" ht="14.25" customHeight="1">
      <c r="A100" s="1919" t="inlineStr">
        <is>
          <t>03/26/2026</t>
        </is>
      </c>
      <c r="B100" s="1920" t="n">
        <v>7164.09</v>
      </c>
      <c r="C100" s="1919" t="inlineStr">
        <is>
          <t>498</t>
        </is>
      </c>
      <c r="D100" s="1921">
        <f>B100/B101-1</f>
        <v/>
      </c>
      <c r="E100" s="1921">
        <f>C100/C101-1</f>
        <v/>
      </c>
      <c r="F100" s="1921">
        <f>$L$2/365</f>
        <v/>
      </c>
      <c r="G100" s="1921">
        <f>D100-F100</f>
        <v/>
      </c>
      <c r="H100" s="1921">
        <f>E100-F100</f>
        <v/>
      </c>
    </row>
    <row r="101" ht="14.25" customHeight="1">
      <c r="A101" s="1919" t="inlineStr">
        <is>
          <t>03/25/2026</t>
        </is>
      </c>
      <c r="B101" s="1920" t="n">
        <v>7302.12</v>
      </c>
      <c r="C101" s="1919" t="inlineStr">
        <is>
          <t>500</t>
        </is>
      </c>
      <c r="D101" s="1921">
        <f>B101/B102-1</f>
        <v/>
      </c>
      <c r="E101" s="1921">
        <f>C101/C102-1</f>
        <v/>
      </c>
      <c r="F101" s="1921">
        <f>$L$2/365</f>
        <v/>
      </c>
      <c r="G101" s="1921">
        <f>D101-F101</f>
        <v/>
      </c>
      <c r="H101" s="1921">
        <f>E101-F101</f>
        <v/>
      </c>
    </row>
    <row r="102" ht="14.25" customHeight="1">
      <c r="A102" s="1919" t="inlineStr">
        <is>
          <t>03/17/2026</t>
        </is>
      </c>
      <c r="B102" s="1920" t="n">
        <v>7106.84</v>
      </c>
      <c r="C102" s="1919" t="inlineStr">
        <is>
          <t>478</t>
        </is>
      </c>
      <c r="D102" s="1921">
        <f>B102/B103-1</f>
        <v/>
      </c>
      <c r="E102" s="1921">
        <f>C102/C103-1</f>
        <v/>
      </c>
      <c r="F102" s="1921">
        <f>$L$2/365</f>
        <v/>
      </c>
      <c r="G102" s="1921">
        <f>D102-F102</f>
        <v/>
      </c>
      <c r="H102" s="1921">
        <f>E102-F102</f>
        <v/>
      </c>
    </row>
    <row r="103" ht="14.25" customHeight="1">
      <c r="A103" s="1919" t="inlineStr">
        <is>
          <t>03/16/2026</t>
        </is>
      </c>
      <c r="B103" s="1920" t="n">
        <v>7022.29</v>
      </c>
      <c r="C103" s="1919" t="inlineStr">
        <is>
          <t>446</t>
        </is>
      </c>
      <c r="D103" s="1921">
        <f>B103/B104-1</f>
        <v/>
      </c>
      <c r="E103" s="1921">
        <f>C103/C104-1</f>
        <v/>
      </c>
      <c r="F103" s="1921">
        <f>$L$2/365</f>
        <v/>
      </c>
      <c r="G103" s="1921">
        <f>D103-F103</f>
        <v/>
      </c>
      <c r="H103" s="1921">
        <f>E103-F103</f>
        <v/>
      </c>
    </row>
    <row r="104" ht="14.25" customHeight="1">
      <c r="A104" s="1919" t="inlineStr">
        <is>
          <t>03/13/2026</t>
        </is>
      </c>
      <c r="B104" s="1920" t="n">
        <v>7137.21</v>
      </c>
      <c r="C104" s="1919" t="inlineStr">
        <is>
          <t>452</t>
        </is>
      </c>
      <c r="D104" s="1921">
        <f>B104/B105-1</f>
        <v/>
      </c>
      <c r="E104" s="1921">
        <f>C104/C105-1</f>
        <v/>
      </c>
      <c r="F104" s="1921">
        <f>$L$2/365</f>
        <v/>
      </c>
      <c r="G104" s="1921">
        <f>D104-F104</f>
        <v/>
      </c>
      <c r="H104" s="1921">
        <f>E104-F104</f>
        <v/>
      </c>
    </row>
    <row r="105" ht="14.25" customHeight="1">
      <c r="A105" s="1919" t="inlineStr">
        <is>
          <t>03/12/2026</t>
        </is>
      </c>
      <c r="B105" s="1920" t="n">
        <v>7362.12</v>
      </c>
      <c r="C105" s="1919" t="inlineStr">
        <is>
          <t>462</t>
        </is>
      </c>
      <c r="D105" s="1921">
        <f>B105/B106-1</f>
        <v/>
      </c>
      <c r="E105" s="1921">
        <f>C105/C106-1</f>
        <v/>
      </c>
      <c r="F105" s="1921">
        <f>$L$2/365</f>
        <v/>
      </c>
      <c r="G105" s="1921">
        <f>D105-F105</f>
        <v/>
      </c>
      <c r="H105" s="1921">
        <f>E105-F105</f>
        <v/>
      </c>
    </row>
    <row r="106" ht="14.25" customHeight="1">
      <c r="A106" s="1919" t="inlineStr">
        <is>
          <t>03/11/2026</t>
        </is>
      </c>
      <c r="B106" s="1920" t="n">
        <v>7389.4</v>
      </c>
      <c r="C106" s="1919" t="inlineStr">
        <is>
          <t>466</t>
        </is>
      </c>
      <c r="D106" s="1921">
        <f>B106/B107-1</f>
        <v/>
      </c>
      <c r="E106" s="1921">
        <f>C106/C107-1</f>
        <v/>
      </c>
      <c r="F106" s="1921">
        <f>$L$2/365</f>
        <v/>
      </c>
      <c r="G106" s="1921">
        <f>D106-F106</f>
        <v/>
      </c>
      <c r="H106" s="1921">
        <f>E106-F106</f>
        <v/>
      </c>
    </row>
    <row r="107" ht="14.25" customHeight="1">
      <c r="A107" s="1919" t="inlineStr">
        <is>
          <t>03/10/2026</t>
        </is>
      </c>
      <c r="B107" s="1920" t="n">
        <v>7440.91</v>
      </c>
      <c r="C107" s="1919" t="inlineStr">
        <is>
          <t>466</t>
        </is>
      </c>
      <c r="D107" s="1921">
        <f>B107/B108-1</f>
        <v/>
      </c>
      <c r="E107" s="1921">
        <f>C107/C108-1</f>
        <v/>
      </c>
      <c r="F107" s="1921">
        <f>$L$2/365</f>
        <v/>
      </c>
      <c r="G107" s="1921">
        <f>D107-F107</f>
        <v/>
      </c>
      <c r="H107" s="1921">
        <f>E107-F107</f>
        <v/>
      </c>
    </row>
    <row r="108" ht="14.25" customHeight="1">
      <c r="A108" s="1919" t="inlineStr">
        <is>
          <t>03/09/2026</t>
        </is>
      </c>
      <c r="B108" s="1920" t="n">
        <v>7337.37</v>
      </c>
      <c r="C108" s="1919" t="inlineStr">
        <is>
          <t>458</t>
        </is>
      </c>
      <c r="D108" s="1921">
        <f>B108/B109-1</f>
        <v/>
      </c>
      <c r="E108" s="1921">
        <f>C108/C109-1</f>
        <v/>
      </c>
      <c r="F108" s="1921">
        <f>$L$2/365</f>
        <v/>
      </c>
      <c r="G108" s="1921">
        <f>D108-F108</f>
        <v/>
      </c>
      <c r="H108" s="1921">
        <f>E108-F108</f>
        <v/>
      </c>
    </row>
    <row r="109" ht="14.25" customHeight="1">
      <c r="A109" s="1919" t="inlineStr">
        <is>
          <t>03/06/2026</t>
        </is>
      </c>
      <c r="B109" s="1920" t="n">
        <v>7585.69</v>
      </c>
      <c r="C109" s="1919" t="inlineStr">
        <is>
          <t>480</t>
        </is>
      </c>
      <c r="D109" s="1921">
        <f>B109/B110-1</f>
        <v/>
      </c>
      <c r="E109" s="1921">
        <f>C109/C110-1</f>
        <v/>
      </c>
      <c r="F109" s="1921">
        <f>$L$2/365</f>
        <v/>
      </c>
      <c r="G109" s="1921">
        <f>D109-F109</f>
        <v/>
      </c>
      <c r="H109" s="1921">
        <f>E109-F109</f>
        <v/>
      </c>
    </row>
    <row r="110" ht="14.25" customHeight="1">
      <c r="A110" s="1919" t="inlineStr">
        <is>
          <t>03/05/2026</t>
        </is>
      </c>
      <c r="B110" s="1920" t="n">
        <v>7710.54</v>
      </c>
      <c r="C110" s="1919" t="inlineStr">
        <is>
          <t>484</t>
        </is>
      </c>
      <c r="D110" s="1921">
        <f>B110/B111-1</f>
        <v/>
      </c>
      <c r="E110" s="1921">
        <f>C110/C111-1</f>
        <v/>
      </c>
      <c r="F110" s="1921">
        <f>$L$2/365</f>
        <v/>
      </c>
      <c r="G110" s="1921">
        <f>D110-F110</f>
        <v/>
      </c>
      <c r="H110" s="1921">
        <f>E110-F110</f>
        <v/>
      </c>
    </row>
    <row r="111" ht="14.25" customHeight="1">
      <c r="A111" s="1919" t="inlineStr">
        <is>
          <t>03/04/2026</t>
        </is>
      </c>
      <c r="B111" s="1920" t="n">
        <v>7577.06</v>
      </c>
      <c r="C111" s="1919" t="inlineStr">
        <is>
          <t>474</t>
        </is>
      </c>
      <c r="D111" s="1921">
        <f>B111/B112-1</f>
        <v/>
      </c>
      <c r="E111" s="1921">
        <f>C111/C112-1</f>
        <v/>
      </c>
      <c r="F111" s="1921">
        <f>$L$2/365</f>
        <v/>
      </c>
      <c r="G111" s="1921">
        <f>D111-F111</f>
        <v/>
      </c>
      <c r="H111" s="1921">
        <f>E111-F111</f>
        <v/>
      </c>
    </row>
    <row r="112" ht="14.25" customHeight="1">
      <c r="A112" s="1919" t="inlineStr">
        <is>
          <t>03/03/2026</t>
        </is>
      </c>
      <c r="B112" s="1920" t="n">
        <v>7939.77</v>
      </c>
      <c r="C112" s="1919" t="inlineStr">
        <is>
          <t>494</t>
        </is>
      </c>
      <c r="D112" s="1921">
        <f>B112/B113-1</f>
        <v/>
      </c>
      <c r="E112" s="1921">
        <f>C112/C113-1</f>
        <v/>
      </c>
      <c r="F112" s="1921">
        <f>$L$2/365</f>
        <v/>
      </c>
      <c r="G112" s="1921">
        <f>D112-F112</f>
        <v/>
      </c>
      <c r="H112" s="1921">
        <f>E112-F112</f>
        <v/>
      </c>
    </row>
    <row r="113" ht="14.25" customHeight="1">
      <c r="A113" s="1919" t="inlineStr">
        <is>
          <t>03/02/2026</t>
        </is>
      </c>
      <c r="B113" s="1920" t="n">
        <v>8016.83</v>
      </c>
      <c r="C113" s="1919" t="inlineStr">
        <is>
          <t>500</t>
        </is>
      </c>
      <c r="D113" s="1921">
        <f>B113/B114-1</f>
        <v/>
      </c>
      <c r="E113" s="1921">
        <f>C113/C114-1</f>
        <v/>
      </c>
      <c r="F113" s="1921">
        <f>$L$2/365</f>
        <v/>
      </c>
      <c r="G113" s="1921">
        <f>D113-F113</f>
        <v/>
      </c>
      <c r="H113" s="1921">
        <f>E113-F113</f>
        <v/>
      </c>
    </row>
    <row r="114" ht="14.25" customHeight="1">
      <c r="A114" s="1919" t="inlineStr">
        <is>
          <t>02/27/2026</t>
        </is>
      </c>
      <c r="B114" s="1920" t="n">
        <v>8235.49</v>
      </c>
      <c r="C114" s="1919" t="inlineStr">
        <is>
          <t>505</t>
        </is>
      </c>
      <c r="D114" s="1921">
        <f>B114/B115-1</f>
        <v/>
      </c>
      <c r="E114" s="1921">
        <f>C114/C115-1</f>
        <v/>
      </c>
      <c r="F114" s="1921">
        <f>$L$2/365</f>
        <v/>
      </c>
      <c r="G114" s="1921">
        <f>D114-F114</f>
        <v/>
      </c>
      <c r="H114" s="1921">
        <f>E114-F114</f>
        <v/>
      </c>
    </row>
    <row r="115" ht="14.25" customHeight="1">
      <c r="A115" s="1919" t="inlineStr">
        <is>
          <t>02/26/2026</t>
        </is>
      </c>
      <c r="B115" s="1920" t="n">
        <v>8235.26</v>
      </c>
      <c r="C115" s="1919" t="inlineStr">
        <is>
          <t>510</t>
        </is>
      </c>
      <c r="D115" s="1921">
        <f>B115/B116-1</f>
        <v/>
      </c>
      <c r="E115" s="1921">
        <f>C115/C116-1</f>
        <v/>
      </c>
      <c r="F115" s="1921">
        <f>$L$2/365</f>
        <v/>
      </c>
      <c r="G115" s="1921">
        <f>D115-F115</f>
        <v/>
      </c>
      <c r="H115" s="1921">
        <f>E115-F115</f>
        <v/>
      </c>
    </row>
    <row r="116" ht="14.25" customHeight="1">
      <c r="A116" s="1919" t="inlineStr">
        <is>
          <t>02/25/2026</t>
        </is>
      </c>
      <c r="B116" s="1920" t="n">
        <v>8322.23</v>
      </c>
      <c r="C116" s="1919" t="inlineStr">
        <is>
          <t>515</t>
        </is>
      </c>
      <c r="D116" s="1921">
        <f>B116/B117-1</f>
        <v/>
      </c>
      <c r="E116" s="1921">
        <f>C116/C117-1</f>
        <v/>
      </c>
      <c r="F116" s="1921">
        <f>$L$2/365</f>
        <v/>
      </c>
      <c r="G116" s="1921">
        <f>D116-F116</f>
        <v/>
      </c>
      <c r="H116" s="1921">
        <f>E116-F116</f>
        <v/>
      </c>
    </row>
    <row r="117" ht="14.25" customHeight="1">
      <c r="A117" s="1919" t="inlineStr">
        <is>
          <t>02/24/2026</t>
        </is>
      </c>
      <c r="B117" s="1920" t="n">
        <v>8280.83</v>
      </c>
      <c r="C117" s="1919" t="inlineStr">
        <is>
          <t>510</t>
        </is>
      </c>
      <c r="D117" s="1921">
        <f>B117/B118-1</f>
        <v/>
      </c>
      <c r="E117" s="1921">
        <f>C117/C118-1</f>
        <v/>
      </c>
      <c r="F117" s="1921">
        <f>$L$2/365</f>
        <v/>
      </c>
      <c r="G117" s="1921">
        <f>D117-F117</f>
        <v/>
      </c>
      <c r="H117" s="1921">
        <f>E117-F117</f>
        <v/>
      </c>
    </row>
    <row r="118" ht="14.25" customHeight="1">
      <c r="A118" s="1919" t="inlineStr">
        <is>
          <t>02/23/2026</t>
        </is>
      </c>
      <c r="B118" s="1920" t="n">
        <v>8396.08</v>
      </c>
      <c r="C118" s="1919" t="inlineStr">
        <is>
          <t>520</t>
        </is>
      </c>
      <c r="D118" s="1921">
        <f>B118/B119-1</f>
        <v/>
      </c>
      <c r="E118" s="1921">
        <f>C118/C119-1</f>
        <v/>
      </c>
      <c r="F118" s="1921">
        <f>$L$2/365</f>
        <v/>
      </c>
      <c r="G118" s="1921">
        <f>D118-F118</f>
        <v/>
      </c>
      <c r="H118" s="1921">
        <f>E118-F118</f>
        <v/>
      </c>
    </row>
    <row r="119" ht="14.25" customHeight="1">
      <c r="A119" s="1919" t="inlineStr">
        <is>
          <t>02/20/2026</t>
        </is>
      </c>
      <c r="B119" s="1920" t="n">
        <v>8271.77</v>
      </c>
      <c r="C119" s="1919" t="inlineStr">
        <is>
          <t>515</t>
        </is>
      </c>
      <c r="D119" s="1921">
        <f>B119/B120-1</f>
        <v/>
      </c>
      <c r="E119" s="1921">
        <f>C119/C120-1</f>
        <v/>
      </c>
      <c r="F119" s="1921">
        <f>$L$2/365</f>
        <v/>
      </c>
      <c r="G119" s="1921">
        <f>D119-F119</f>
        <v/>
      </c>
      <c r="H119" s="1921">
        <f>E119-F119</f>
        <v/>
      </c>
    </row>
    <row r="120" ht="14.25" customHeight="1">
      <c r="A120" s="1919" t="inlineStr">
        <is>
          <t>02/19/2026</t>
        </is>
      </c>
      <c r="B120" s="1920" t="n">
        <v>8274.08</v>
      </c>
      <c r="C120" s="1919" t="inlineStr">
        <is>
          <t>515</t>
        </is>
      </c>
      <c r="D120" s="1921">
        <f>B120/B121-1</f>
        <v/>
      </c>
      <c r="E120" s="1921">
        <f>C120/C121-1</f>
        <v/>
      </c>
      <c r="F120" s="1921">
        <f>$L$2/365</f>
        <v/>
      </c>
      <c r="G120" s="1921">
        <f>D120-F120</f>
        <v/>
      </c>
      <c r="H120" s="1921">
        <f>E120-F120</f>
        <v/>
      </c>
    </row>
    <row r="121" ht="14.25" customHeight="1">
      <c r="A121" s="1919" t="inlineStr">
        <is>
          <t>02/18/2026</t>
        </is>
      </c>
      <c r="B121" s="1920" t="n">
        <v>8310.23</v>
      </c>
      <c r="C121" s="1919" t="inlineStr">
        <is>
          <t>525</t>
        </is>
      </c>
      <c r="D121" s="1921">
        <f>B121/B122-1</f>
        <v/>
      </c>
      <c r="E121" s="1921">
        <f>C121/C122-1</f>
        <v/>
      </c>
      <c r="F121" s="1921">
        <f>$L$2/365</f>
        <v/>
      </c>
      <c r="G121" s="1921">
        <f>D121-F121</f>
        <v/>
      </c>
      <c r="H121" s="1921">
        <f>E121-F121</f>
        <v/>
      </c>
    </row>
    <row r="122" ht="14.25" customHeight="1">
      <c r="A122" s="1919" t="inlineStr">
        <is>
          <t>02/13/2026</t>
        </is>
      </c>
      <c r="B122" s="1920" t="n">
        <v>8212.27</v>
      </c>
      <c r="C122" s="1919" t="inlineStr">
        <is>
          <t>525</t>
        </is>
      </c>
      <c r="D122" s="1921">
        <f>B122/B123-1</f>
        <v/>
      </c>
      <c r="E122" s="1921">
        <f>C122/C123-1</f>
        <v/>
      </c>
      <c r="F122" s="1921">
        <f>$L$2/365</f>
        <v/>
      </c>
      <c r="G122" s="1921">
        <f>D122-F122</f>
        <v/>
      </c>
      <c r="H122" s="1921">
        <f>E122-F122</f>
        <v/>
      </c>
    </row>
    <row r="123" ht="14.25" customHeight="1">
      <c r="A123" s="1919" t="inlineStr">
        <is>
          <t>02/12/2026</t>
        </is>
      </c>
      <c r="B123" s="1920" t="n">
        <v>8265.35</v>
      </c>
      <c r="C123" s="1919" t="inlineStr">
        <is>
          <t>525</t>
        </is>
      </c>
      <c r="D123" s="1921">
        <f>B123/B124-1</f>
        <v/>
      </c>
      <c r="E123" s="1921">
        <f>C123/C124-1</f>
        <v/>
      </c>
      <c r="F123" s="1921">
        <f>$L$2/365</f>
        <v/>
      </c>
      <c r="G123" s="1921">
        <f>D123-F123</f>
        <v/>
      </c>
      <c r="H123" s="1921">
        <f>E123-F123</f>
        <v/>
      </c>
    </row>
    <row r="124" ht="14.25" customHeight="1">
      <c r="A124" s="1919" t="inlineStr">
        <is>
          <t>02/11/2026</t>
        </is>
      </c>
      <c r="B124" s="1920" t="n">
        <v>8290.969999999999</v>
      </c>
      <c r="C124" s="1919" t="inlineStr">
        <is>
          <t>525</t>
        </is>
      </c>
      <c r="D124" s="1921">
        <f>B124/B125-1</f>
        <v/>
      </c>
      <c r="E124" s="1921">
        <f>C124/C125-1</f>
        <v/>
      </c>
      <c r="F124" s="1921">
        <f>$L$2/365</f>
        <v/>
      </c>
      <c r="G124" s="1921">
        <f>D124-F124</f>
        <v/>
      </c>
      <c r="H124" s="1921">
        <f>E124-F124</f>
        <v/>
      </c>
    </row>
    <row r="125" ht="14.25" customHeight="1">
      <c r="A125" s="1919" t="inlineStr">
        <is>
          <t>02/10/2026</t>
        </is>
      </c>
      <c r="B125" s="1920" t="n">
        <v>8131.74</v>
      </c>
      <c r="C125" s="1919" t="inlineStr">
        <is>
          <t>525</t>
        </is>
      </c>
      <c r="D125" s="1921">
        <f>B125/B126-1</f>
        <v/>
      </c>
      <c r="E125" s="1921">
        <f>C125/C126-1</f>
        <v/>
      </c>
      <c r="F125" s="1921">
        <f>$L$2/365</f>
        <v/>
      </c>
      <c r="G125" s="1921">
        <f>D125-F125</f>
        <v/>
      </c>
      <c r="H125" s="1921">
        <f>E125-F125</f>
        <v/>
      </c>
    </row>
    <row r="126" ht="14.25" customHeight="1">
      <c r="A126" s="1919" t="inlineStr">
        <is>
          <t>02/09/2026</t>
        </is>
      </c>
      <c r="B126" s="1920" t="n">
        <v>8031.87</v>
      </c>
      <c r="C126" s="1919" t="inlineStr">
        <is>
          <t>530</t>
        </is>
      </c>
      <c r="D126" s="1921">
        <f>B126/B127-1</f>
        <v/>
      </c>
      <c r="E126" s="1921">
        <f>C126/C127-1</f>
        <v/>
      </c>
      <c r="F126" s="1921">
        <f>$L$2/365</f>
        <v/>
      </c>
      <c r="G126" s="1921">
        <f>D126-F126</f>
        <v/>
      </c>
      <c r="H126" s="1921">
        <f>E126-F126</f>
        <v/>
      </c>
    </row>
    <row r="127" ht="14.25" customHeight="1">
      <c r="A127" s="1919" t="inlineStr">
        <is>
          <t>02/06/2026</t>
        </is>
      </c>
      <c r="B127" s="1920" t="n">
        <v>7935.26</v>
      </c>
      <c r="C127" s="1919" t="inlineStr">
        <is>
          <t>525</t>
        </is>
      </c>
      <c r="D127" s="1921">
        <f>B127/B128-1</f>
        <v/>
      </c>
      <c r="E127" s="1921">
        <f>C127/C128-1</f>
        <v/>
      </c>
      <c r="F127" s="1921">
        <f>$L$2/365</f>
        <v/>
      </c>
      <c r="G127" s="1921">
        <f>D127-F127</f>
        <v/>
      </c>
      <c r="H127" s="1921">
        <f>E127-F127</f>
        <v/>
      </c>
    </row>
    <row r="128" ht="14.25" customHeight="1">
      <c r="A128" s="1919" t="inlineStr">
        <is>
          <t>02/05/2026</t>
        </is>
      </c>
      <c r="B128" s="1920" t="n">
        <v>8103.88</v>
      </c>
      <c r="C128" s="1919" t="inlineStr">
        <is>
          <t>535</t>
        </is>
      </c>
      <c r="D128" s="1921">
        <f>B128/B129-1</f>
        <v/>
      </c>
      <c r="E128" s="1921">
        <f>C128/C129-1</f>
        <v/>
      </c>
      <c r="F128" s="1921">
        <f>$L$2/365</f>
        <v/>
      </c>
      <c r="G128" s="1921">
        <f>D128-F128</f>
        <v/>
      </c>
      <c r="H128" s="1921">
        <f>E128-F128</f>
        <v/>
      </c>
    </row>
    <row r="129" ht="14.25" customHeight="1">
      <c r="A129" s="1919" t="inlineStr">
        <is>
          <t>02/04/2026</t>
        </is>
      </c>
      <c r="B129" s="1920" t="n">
        <v>8146.72</v>
      </c>
      <c r="C129" s="1919" t="inlineStr">
        <is>
          <t>530</t>
        </is>
      </c>
      <c r="D129" s="1921">
        <f>B129/B130-1</f>
        <v/>
      </c>
      <c r="E129" s="1921">
        <f>C129/C130-1</f>
        <v/>
      </c>
      <c r="F129" s="1921">
        <f>$L$2/365</f>
        <v/>
      </c>
      <c r="G129" s="1921">
        <f>D129-F129</f>
        <v/>
      </c>
      <c r="H129" s="1921">
        <f>E129-F129</f>
        <v/>
      </c>
    </row>
    <row r="130" ht="14.25" customHeight="1">
      <c r="A130" s="1919" t="inlineStr">
        <is>
          <t>02/03/2026</t>
        </is>
      </c>
      <c r="B130" s="1920" t="n">
        <v>8122.6</v>
      </c>
      <c r="C130" s="1919" t="inlineStr">
        <is>
          <t>540</t>
        </is>
      </c>
      <c r="D130" s="1921">
        <f>B130/B131-1</f>
        <v/>
      </c>
      <c r="E130" s="1921">
        <f>C130/C131-1</f>
        <v/>
      </c>
      <c r="F130" s="1921">
        <f>$L$2/365</f>
        <v/>
      </c>
      <c r="G130" s="1921">
        <f>D130-F130</f>
        <v/>
      </c>
      <c r="H130" s="1921">
        <f>E130-F130</f>
        <v/>
      </c>
    </row>
    <row r="131" ht="14.25" customHeight="1">
      <c r="A131" s="1919" t="inlineStr">
        <is>
          <t>02/02/2026</t>
        </is>
      </c>
      <c r="B131" s="1920" t="n">
        <v>7922.73</v>
      </c>
      <c r="C131" s="1919" t="inlineStr">
        <is>
          <t>530</t>
        </is>
      </c>
      <c r="D131" s="1921">
        <f>B131/B132-1</f>
        <v/>
      </c>
      <c r="E131" s="1921">
        <f>C131/C132-1</f>
        <v/>
      </c>
      <c r="F131" s="1921">
        <f>$L$2/365</f>
        <v/>
      </c>
      <c r="G131" s="1921">
        <f>D131-F131</f>
        <v/>
      </c>
      <c r="H131" s="1921">
        <f>E131-F131</f>
        <v/>
      </c>
    </row>
    <row r="132" ht="14.25" customHeight="1">
      <c r="A132" s="1919" t="inlineStr">
        <is>
          <t>01/30/2026</t>
        </is>
      </c>
      <c r="B132" s="1920" t="n">
        <v>8329.610000000001</v>
      </c>
      <c r="C132" s="1919" t="inlineStr">
        <is>
          <t>525</t>
        </is>
      </c>
      <c r="D132" s="1921">
        <f>B132/B133-1</f>
        <v/>
      </c>
      <c r="E132" s="1921">
        <f>C132/C133-1</f>
        <v/>
      </c>
      <c r="F132" s="1921">
        <f>$L$2/365</f>
        <v/>
      </c>
      <c r="G132" s="1921">
        <f>D132-F132</f>
        <v/>
      </c>
      <c r="H132" s="1921">
        <f>E132-F132</f>
        <v/>
      </c>
    </row>
    <row r="133" ht="14.25" customHeight="1">
      <c r="A133" s="1919" t="inlineStr">
        <is>
          <t>01/29/2026</t>
        </is>
      </c>
      <c r="B133" s="1920" t="n">
        <v>8232.200000000001</v>
      </c>
      <c r="C133" s="1919" t="inlineStr">
        <is>
          <t>520</t>
        </is>
      </c>
      <c r="D133" s="1921">
        <f>B133/B134-1</f>
        <v/>
      </c>
      <c r="E133" s="1921">
        <f>C133/C134-1</f>
        <v/>
      </c>
      <c r="F133" s="1921">
        <f>$L$2/365</f>
        <v/>
      </c>
      <c r="G133" s="1921">
        <f>D133-F133</f>
        <v/>
      </c>
      <c r="H133" s="1921">
        <f>E133-F133</f>
        <v/>
      </c>
    </row>
    <row r="134" ht="14.25" customHeight="1">
      <c r="A134" s="1919" t="inlineStr">
        <is>
          <t>01/28/2026</t>
        </is>
      </c>
      <c r="B134" s="1920" t="n">
        <v>8320.559999999999</v>
      </c>
      <c r="C134" s="1919" t="inlineStr">
        <is>
          <t>555</t>
        </is>
      </c>
      <c r="D134" s="1921">
        <f>B134/B135-1</f>
        <v/>
      </c>
      <c r="E134" s="1921">
        <f>C134/C135-1</f>
        <v/>
      </c>
      <c r="F134" s="1921">
        <f>$L$2/365</f>
        <v/>
      </c>
      <c r="G134" s="1921">
        <f>D134-F134</f>
        <v/>
      </c>
      <c r="H134" s="1921">
        <f>E134-F134</f>
        <v/>
      </c>
    </row>
    <row r="135" ht="14.25" customHeight="1">
      <c r="A135" s="1919" t="inlineStr">
        <is>
          <t>01/27/2026</t>
        </is>
      </c>
      <c r="B135" s="1920" t="n">
        <v>8980.23</v>
      </c>
      <c r="C135" s="1919" t="inlineStr">
        <is>
          <t>600</t>
        </is>
      </c>
      <c r="D135" s="1921">
        <f>B135/B136-1</f>
        <v/>
      </c>
      <c r="E135" s="1921">
        <f>C135/C136-1</f>
        <v/>
      </c>
      <c r="F135" s="1921">
        <f>$L$2/365</f>
        <v/>
      </c>
      <c r="G135" s="1921">
        <f>D135-F135</f>
        <v/>
      </c>
      <c r="H135" s="1921">
        <f>E135-F135</f>
        <v/>
      </c>
    </row>
    <row r="136" ht="14.25" customHeight="1">
      <c r="A136" s="1919" t="inlineStr">
        <is>
          <t>01/26/2026</t>
        </is>
      </c>
      <c r="B136" s="1920" t="n">
        <v>8975.33</v>
      </c>
      <c r="C136" s="1919" t="inlineStr">
        <is>
          <t>625</t>
        </is>
      </c>
      <c r="D136" s="1921">
        <f>B136/B137-1</f>
        <v/>
      </c>
      <c r="E136" s="1921">
        <f>C136/C137-1</f>
        <v/>
      </c>
      <c r="F136" s="1921">
        <f>$L$2/365</f>
        <v/>
      </c>
      <c r="G136" s="1921">
        <f>D136-F136</f>
        <v/>
      </c>
      <c r="H136" s="1921">
        <f>E136-F136</f>
        <v/>
      </c>
    </row>
    <row r="137" ht="14.25" customHeight="1">
      <c r="A137" s="1919" t="inlineStr">
        <is>
          <t>01/23/2026</t>
        </is>
      </c>
      <c r="B137" s="1920" t="n">
        <v>8951.01</v>
      </c>
      <c r="C137" s="1919" t="inlineStr">
        <is>
          <t>625</t>
        </is>
      </c>
      <c r="D137" s="1921">
        <f>B137/B138-1</f>
        <v/>
      </c>
      <c r="E137" s="1921">
        <f>C137/C138-1</f>
        <v/>
      </c>
      <c r="F137" s="1921">
        <f>$L$2/365</f>
        <v/>
      </c>
      <c r="G137" s="1921">
        <f>D137-F137</f>
        <v/>
      </c>
      <c r="H137" s="1921">
        <f>E137-F137</f>
        <v/>
      </c>
    </row>
    <row r="138" ht="14.25" customHeight="1">
      <c r="A138" s="1919" t="inlineStr">
        <is>
          <t>01/22/2026</t>
        </is>
      </c>
      <c r="B138" s="1920" t="n">
        <v>8992.18</v>
      </c>
      <c r="C138" s="1919" t="inlineStr">
        <is>
          <t>620</t>
        </is>
      </c>
      <c r="D138" s="1921">
        <f>B138/B139-1</f>
        <v/>
      </c>
      <c r="E138" s="1921">
        <f>C138/C139-1</f>
        <v/>
      </c>
      <c r="F138" s="1921">
        <f>$L$2/365</f>
        <v/>
      </c>
      <c r="G138" s="1921">
        <f>D138-F138</f>
        <v/>
      </c>
      <c r="H138" s="1921">
        <f>E138-F138</f>
        <v/>
      </c>
    </row>
    <row r="139" ht="14.25" customHeight="1">
      <c r="A139" s="1919" t="inlineStr">
        <is>
          <t>01/21/2026</t>
        </is>
      </c>
      <c r="B139" s="1920" t="n">
        <v>9010.33</v>
      </c>
      <c r="C139" s="1919" t="inlineStr">
        <is>
          <t>575</t>
        </is>
      </c>
      <c r="D139" s="1921">
        <f>B139/B140-1</f>
        <v/>
      </c>
      <c r="E139" s="1921">
        <f>C139/C140-1</f>
        <v/>
      </c>
      <c r="F139" s="1921">
        <f>$L$2/365</f>
        <v/>
      </c>
      <c r="G139" s="1921">
        <f>D139-F139</f>
        <v/>
      </c>
      <c r="H139" s="1921">
        <f>E139-F139</f>
        <v/>
      </c>
    </row>
    <row r="140" ht="14.25" customHeight="1">
      <c r="A140" s="1919" t="inlineStr">
        <is>
          <t>01/20/2026</t>
        </is>
      </c>
      <c r="B140" s="1920" t="n">
        <v>9134.700000000001</v>
      </c>
      <c r="C140" s="1919" t="inlineStr">
        <is>
          <t>560</t>
        </is>
      </c>
      <c r="D140" s="1921">
        <f>B140/B141-1</f>
        <v/>
      </c>
      <c r="E140" s="1921">
        <f>C140/C141-1</f>
        <v/>
      </c>
      <c r="F140" s="1921">
        <f>$L$2/365</f>
        <v/>
      </c>
      <c r="G140" s="1921">
        <f>D140-F140</f>
        <v/>
      </c>
      <c r="H140" s="1921">
        <f>E140-F140</f>
        <v/>
      </c>
    </row>
    <row r="141" ht="14.25" customHeight="1">
      <c r="A141" s="1919" t="inlineStr">
        <is>
          <t>01/19/2026</t>
        </is>
      </c>
      <c r="B141" s="1920" t="n">
        <v>9133.870000000001</v>
      </c>
      <c r="C141" s="1919" t="inlineStr">
        <is>
          <t>545</t>
        </is>
      </c>
      <c r="D141" s="1921">
        <f>B141/B142-1</f>
        <v/>
      </c>
      <c r="E141" s="1921">
        <f>C141/C142-1</f>
        <v/>
      </c>
      <c r="F141" s="1921">
        <f>$L$2/365</f>
        <v/>
      </c>
      <c r="G141" s="1921">
        <f>D141-F141</f>
        <v/>
      </c>
      <c r="H141" s="1921">
        <f>E141-F141</f>
        <v/>
      </c>
    </row>
    <row r="142" ht="14.25" customHeight="1">
      <c r="A142" s="1919" t="inlineStr">
        <is>
          <t>01/15/2026</t>
        </is>
      </c>
      <c r="B142" s="1920" t="n">
        <v>9075.41</v>
      </c>
      <c r="C142" s="1919" t="inlineStr">
        <is>
          <t>550</t>
        </is>
      </c>
      <c r="D142" s="1921">
        <f>B142/B143-1</f>
        <v/>
      </c>
      <c r="E142" s="1921">
        <f>C142/C143-1</f>
        <v/>
      </c>
      <c r="F142" s="1921">
        <f>$L$2/365</f>
        <v/>
      </c>
      <c r="G142" s="1921">
        <f>D142-F142</f>
        <v/>
      </c>
      <c r="H142" s="1921">
        <f>E142-F142</f>
        <v/>
      </c>
    </row>
    <row r="143" ht="14.25" customHeight="1">
      <c r="A143" s="1919" t="inlineStr">
        <is>
          <t>01/14/2026</t>
        </is>
      </c>
      <c r="B143" s="1920" t="n">
        <v>9032.58</v>
      </c>
      <c r="C143" s="1919" t="inlineStr">
        <is>
          <t>550</t>
        </is>
      </c>
      <c r="D143" s="1921">
        <f>B143/B144-1</f>
        <v/>
      </c>
      <c r="E143" s="1921">
        <f>C143/C144-1</f>
        <v/>
      </c>
      <c r="F143" s="1921">
        <f>$L$2/365</f>
        <v/>
      </c>
      <c r="G143" s="1921">
        <f>D143-F143</f>
        <v/>
      </c>
      <c r="H143" s="1921">
        <f>E143-F143</f>
        <v/>
      </c>
    </row>
    <row r="144" ht="14.25" customHeight="1">
      <c r="A144" s="1919" t="inlineStr">
        <is>
          <t>01/13/2026</t>
        </is>
      </c>
      <c r="B144" s="1920" t="n">
        <v>8948.299999999999</v>
      </c>
      <c r="C144" s="1919" t="inlineStr">
        <is>
          <t>555</t>
        </is>
      </c>
      <c r="D144" s="1921">
        <f>B144/B145-1</f>
        <v/>
      </c>
      <c r="E144" s="1921">
        <f>C144/C145-1</f>
        <v/>
      </c>
      <c r="F144" s="1921">
        <f>$L$2/365</f>
        <v/>
      </c>
      <c r="G144" s="1921">
        <f>D144-F144</f>
        <v/>
      </c>
      <c r="H144" s="1921">
        <f>E144-F144</f>
        <v/>
      </c>
    </row>
    <row r="145" ht="14.25" customHeight="1">
      <c r="A145" s="1919" t="inlineStr">
        <is>
          <t>01/12/2026</t>
        </is>
      </c>
      <c r="B145" s="1920" t="n">
        <v>8884.719999999999</v>
      </c>
      <c r="C145" s="1919" t="inlineStr">
        <is>
          <t>560</t>
        </is>
      </c>
      <c r="D145" s="1921">
        <f>B145/B146-1</f>
        <v/>
      </c>
      <c r="E145" s="1921">
        <f>C145/C146-1</f>
        <v/>
      </c>
      <c r="F145" s="1921">
        <f>$L$2/365</f>
        <v/>
      </c>
      <c r="G145" s="1921">
        <f>D145-F145</f>
        <v/>
      </c>
      <c r="H145" s="1921">
        <f>E145-F145</f>
        <v/>
      </c>
    </row>
    <row r="146" ht="14.25" customHeight="1">
      <c r="A146" s="1919" t="inlineStr">
        <is>
          <t>01/09/2026</t>
        </is>
      </c>
      <c r="B146" s="1920" t="n">
        <v>8936.75</v>
      </c>
      <c r="C146" s="1919" t="inlineStr">
        <is>
          <t>570</t>
        </is>
      </c>
      <c r="D146" s="1921">
        <f>B146/B147-1</f>
        <v/>
      </c>
      <c r="E146" s="1921">
        <f>C146/C147-1</f>
        <v/>
      </c>
      <c r="F146" s="1921">
        <f>$L$2/365</f>
        <v/>
      </c>
      <c r="G146" s="1921">
        <f>D146-F146</f>
        <v/>
      </c>
      <c r="H146" s="1921">
        <f>E146-F146</f>
        <v/>
      </c>
    </row>
    <row r="147" ht="14.25" customHeight="1">
      <c r="A147" s="1919" t="inlineStr">
        <is>
          <t>01/08/2026</t>
        </is>
      </c>
      <c r="B147" s="1920" t="n">
        <v>8925.469999999999</v>
      </c>
      <c r="C147" s="1919" t="inlineStr">
        <is>
          <t>555</t>
        </is>
      </c>
      <c r="D147" s="1921">
        <f>B147/B148-1</f>
        <v/>
      </c>
      <c r="E147" s="1921">
        <f>C147/C148-1</f>
        <v/>
      </c>
      <c r="F147" s="1921">
        <f>$L$2/365</f>
        <v/>
      </c>
      <c r="G147" s="1921">
        <f>D147-F147</f>
        <v/>
      </c>
      <c r="H147" s="1921">
        <f>E147-F147</f>
        <v/>
      </c>
    </row>
    <row r="148" ht="14.25" customHeight="1">
      <c r="A148" s="1919" t="inlineStr">
        <is>
          <t>01/07/2026</t>
        </is>
      </c>
      <c r="B148" s="1920" t="n">
        <v>8944.809999999999</v>
      </c>
      <c r="C148" s="1919" t="inlineStr">
        <is>
          <t>565</t>
        </is>
      </c>
      <c r="D148" s="1921">
        <f>B148/B149-1</f>
        <v/>
      </c>
      <c r="E148" s="1921">
        <f>C148/C149-1</f>
        <v/>
      </c>
      <c r="F148" s="1921">
        <f>$L$2/365</f>
        <v/>
      </c>
      <c r="G148" s="1921">
        <f>D148-F148</f>
        <v/>
      </c>
      <c r="H148" s="1921">
        <f>E148-F148</f>
        <v/>
      </c>
    </row>
    <row r="149" ht="14.25" customHeight="1">
      <c r="A149" s="1919" t="inlineStr">
        <is>
          <t>01/06/2026</t>
        </is>
      </c>
      <c r="B149" s="1920" t="n">
        <v>8933.610000000001</v>
      </c>
      <c r="C149" s="1919" t="inlineStr">
        <is>
          <t>565</t>
        </is>
      </c>
      <c r="D149" s="1921">
        <f>B149/B150-1</f>
        <v/>
      </c>
      <c r="E149" s="1921">
        <f>C149/C150-1</f>
        <v/>
      </c>
      <c r="F149" s="1921">
        <f>$L$2/365</f>
        <v/>
      </c>
      <c r="G149" s="1921">
        <f>D149-F149</f>
        <v/>
      </c>
      <c r="H149" s="1921">
        <f>E149-F149</f>
        <v/>
      </c>
    </row>
    <row r="150" ht="14.25" customHeight="1">
      <c r="A150" s="1919" t="inlineStr">
        <is>
          <t>01/05/2026</t>
        </is>
      </c>
      <c r="B150" s="1920" t="n">
        <v>8859.190000000001</v>
      </c>
      <c r="C150" s="1919" t="inlineStr">
        <is>
          <t>575</t>
        </is>
      </c>
      <c r="D150" s="1921">
        <f>B150/B151-1</f>
        <v/>
      </c>
      <c r="E150" s="1921">
        <f>C150/C151-1</f>
        <v/>
      </c>
      <c r="F150" s="1921">
        <f>$L$2/365</f>
        <v/>
      </c>
      <c r="G150" s="1921">
        <f>D150-F150</f>
        <v/>
      </c>
      <c r="H150" s="1921">
        <f>E150-F150</f>
        <v/>
      </c>
    </row>
    <row r="151" ht="14.25" customHeight="1">
      <c r="A151" s="1919" t="inlineStr">
        <is>
          <t>01/02/2026</t>
        </is>
      </c>
      <c r="B151" s="1920" t="n">
        <v>8748.129999999999</v>
      </c>
      <c r="C151" s="1919" t="inlineStr">
        <is>
          <t>585</t>
        </is>
      </c>
      <c r="D151" s="1921">
        <f>B151/B152-1</f>
        <v/>
      </c>
      <c r="E151" s="1921">
        <f>C151/C152-1</f>
        <v/>
      </c>
      <c r="F151" s="1921">
        <f>$L$2/365</f>
        <v/>
      </c>
      <c r="G151" s="1921">
        <f>D151-F151</f>
        <v/>
      </c>
      <c r="H151" s="1921">
        <f>E151-F151</f>
        <v/>
      </c>
    </row>
    <row r="152" ht="14.25" customHeight="1">
      <c r="A152" s="1919" t="inlineStr">
        <is>
          <t>12/30/2025</t>
        </is>
      </c>
      <c r="B152" s="1920" t="n">
        <v>8646.940000000001</v>
      </c>
      <c r="C152" s="1919" t="inlineStr">
        <is>
          <t>585</t>
        </is>
      </c>
      <c r="D152" s="1921">
        <f>B152/B153-1</f>
        <v/>
      </c>
      <c r="E152" s="1921">
        <f>C152/C153-1</f>
        <v/>
      </c>
      <c r="F152" s="1921">
        <f>$L$2/365</f>
        <v/>
      </c>
      <c r="G152" s="1921">
        <f>D152-F152</f>
        <v/>
      </c>
      <c r="H152" s="1921">
        <f>E152-F152</f>
        <v/>
      </c>
    </row>
    <row r="153" ht="14.25" customHeight="1">
      <c r="A153" s="1919" t="inlineStr">
        <is>
          <t>12/29/2025</t>
        </is>
      </c>
      <c r="B153" s="1920" t="n">
        <v>8644.26</v>
      </c>
      <c r="C153" s="1919" t="inlineStr">
        <is>
          <t>595</t>
        </is>
      </c>
      <c r="D153" s="1921">
        <f>B153/B154-1</f>
        <v/>
      </c>
      <c r="E153" s="1921">
        <f>C153/C154-1</f>
        <v/>
      </c>
      <c r="F153" s="1921">
        <f>$L$2/365</f>
        <v/>
      </c>
      <c r="G153" s="1921">
        <f>D153-F153</f>
        <v/>
      </c>
      <c r="H153" s="1921">
        <f>E153-F153</f>
        <v/>
      </c>
    </row>
    <row r="154" ht="14.25" customHeight="1">
      <c r="A154" s="1919" t="inlineStr">
        <is>
          <t>12/24/2025</t>
        </is>
      </c>
      <c r="B154" s="1920" t="n">
        <v>8537.91</v>
      </c>
      <c r="C154" s="1919" t="inlineStr">
        <is>
          <t>585</t>
        </is>
      </c>
      <c r="D154" s="1921">
        <f>B154/B155-1</f>
        <v/>
      </c>
      <c r="E154" s="1921">
        <f>C154/C155-1</f>
        <v/>
      </c>
      <c r="F154" s="1921">
        <f>$L$2/365</f>
        <v/>
      </c>
      <c r="G154" s="1921">
        <f>D154-F154</f>
        <v/>
      </c>
      <c r="H154" s="1921">
        <f>E154-F154</f>
        <v/>
      </c>
    </row>
    <row r="155" ht="14.25" customHeight="1">
      <c r="A155" s="1919" t="inlineStr">
        <is>
          <t>12/23/2025</t>
        </is>
      </c>
      <c r="B155" s="1920" t="n">
        <v>8584.780000000001</v>
      </c>
      <c r="C155" s="1919" t="inlineStr">
        <is>
          <t>585</t>
        </is>
      </c>
      <c r="D155" s="1921">
        <f>B155/B156-1</f>
        <v/>
      </c>
      <c r="E155" s="1921">
        <f>C155/C156-1</f>
        <v/>
      </c>
      <c r="F155" s="1921">
        <f>$L$2/365</f>
        <v/>
      </c>
      <c r="G155" s="1921">
        <f>D155-F155</f>
        <v/>
      </c>
      <c r="H155" s="1921">
        <f>E155-F155</f>
        <v/>
      </c>
    </row>
    <row r="156" ht="14.25" customHeight="1">
      <c r="A156" s="1919" t="inlineStr">
        <is>
          <t>12/22/2025</t>
        </is>
      </c>
      <c r="B156" s="1920" t="n">
        <v>8645.84</v>
      </c>
      <c r="C156" s="1919" t="inlineStr">
        <is>
          <t>580</t>
        </is>
      </c>
      <c r="D156" s="1921">
        <f>B156/B157-1</f>
        <v/>
      </c>
      <c r="E156" s="1921">
        <f>C156/C157-1</f>
        <v/>
      </c>
      <c r="F156" s="1921">
        <f>$L$2/365</f>
        <v/>
      </c>
      <c r="G156" s="1921">
        <f>D156-F156</f>
        <v/>
      </c>
      <c r="H156" s="1921">
        <f>E156-F156</f>
        <v/>
      </c>
    </row>
    <row r="157" ht="14.25" customHeight="1">
      <c r="A157" s="1919" t="inlineStr">
        <is>
          <t>12/19/2025</t>
        </is>
      </c>
      <c r="B157" s="1920" t="n">
        <v>8609.549999999999</v>
      </c>
      <c r="C157" s="1919" t="inlineStr">
        <is>
          <t>580</t>
        </is>
      </c>
      <c r="D157" s="1921">
        <f>B157/B158-1</f>
        <v/>
      </c>
      <c r="E157" s="1921">
        <f>C157/C158-1</f>
        <v/>
      </c>
      <c r="F157" s="1921">
        <f>$L$2/365</f>
        <v/>
      </c>
      <c r="G157" s="1921">
        <f>D157-F157</f>
        <v/>
      </c>
      <c r="H157" s="1921">
        <f>E157-F157</f>
        <v/>
      </c>
    </row>
    <row r="158" ht="14.25" customHeight="1">
      <c r="A158" s="1919" t="inlineStr">
        <is>
          <t>12/18/2025</t>
        </is>
      </c>
      <c r="B158" s="1920" t="n">
        <v>8618.200000000001</v>
      </c>
      <c r="C158" s="1919" t="inlineStr">
        <is>
          <t>570</t>
        </is>
      </c>
      <c r="D158" s="1921">
        <f>B158/B159-1</f>
        <v/>
      </c>
      <c r="E158" s="1921">
        <f>C158/C159-1</f>
        <v/>
      </c>
      <c r="F158" s="1921">
        <f>$L$2/365</f>
        <v/>
      </c>
      <c r="G158" s="1921">
        <f>D158-F158</f>
        <v/>
      </c>
      <c r="H158" s="1921">
        <f>E158-F158</f>
        <v/>
      </c>
    </row>
    <row r="159" ht="14.25" customHeight="1">
      <c r="A159" s="1919" t="inlineStr">
        <is>
          <t>12/17/2025</t>
        </is>
      </c>
      <c r="B159" s="1920" t="n">
        <v>8677.34</v>
      </c>
      <c r="C159" s="1919" t="inlineStr">
        <is>
          <t>555</t>
        </is>
      </c>
      <c r="D159" s="1921">
        <f>B159/B160-1</f>
        <v/>
      </c>
      <c r="E159" s="1921">
        <f>C159/C160-1</f>
        <v/>
      </c>
      <c r="F159" s="1921">
        <f>$L$2/365</f>
        <v/>
      </c>
      <c r="G159" s="1921">
        <f>D159-F159</f>
        <v/>
      </c>
      <c r="H159" s="1921">
        <f>E159-F159</f>
        <v/>
      </c>
    </row>
    <row r="160" ht="14.25" customHeight="1">
      <c r="A160" s="1919" t="inlineStr">
        <is>
          <t>12/16/2025</t>
        </is>
      </c>
      <c r="B160" s="1920" t="n">
        <v>8686.469999999999</v>
      </c>
      <c r="C160" s="1919" t="inlineStr">
        <is>
          <t>545</t>
        </is>
      </c>
      <c r="D160" s="1921">
        <f>B160/B161-1</f>
        <v/>
      </c>
      <c r="E160" s="1921">
        <f>C160/C161-1</f>
        <v/>
      </c>
      <c r="F160" s="1921">
        <f>$L$2/365</f>
        <v/>
      </c>
      <c r="G160" s="1921">
        <f>D160-F160</f>
        <v/>
      </c>
      <c r="H160" s="1921">
        <f>E160-F160</f>
        <v/>
      </c>
    </row>
    <row r="161" ht="14.25" customHeight="1">
      <c r="A161" s="1919" t="inlineStr">
        <is>
          <t>12/15/2025</t>
        </is>
      </c>
      <c r="B161" s="1920" t="n">
        <v>8649.66</v>
      </c>
      <c r="C161" s="1919" t="inlineStr">
        <is>
          <t>570</t>
        </is>
      </c>
      <c r="D161" s="1921">
        <f>B161/B162-1</f>
        <v/>
      </c>
      <c r="E161" s="1921">
        <f>C161/C162-1</f>
        <v/>
      </c>
      <c r="F161" s="1921">
        <f>$L$2/365</f>
        <v/>
      </c>
      <c r="G161" s="1921">
        <f>D161-F161</f>
        <v/>
      </c>
      <c r="H161" s="1921">
        <f>E161-F161</f>
        <v/>
      </c>
    </row>
    <row r="162" ht="14.25" customHeight="1">
      <c r="A162" s="1919" t="inlineStr">
        <is>
          <t>12/12/2025</t>
        </is>
      </c>
      <c r="B162" s="1920" t="n">
        <v>8660.5</v>
      </c>
      <c r="C162" s="1919" t="inlineStr">
        <is>
          <t>540</t>
        </is>
      </c>
      <c r="D162" s="1921">
        <f>B162/B163-1</f>
        <v/>
      </c>
      <c r="E162" s="1921">
        <f>C162/C163-1</f>
        <v/>
      </c>
      <c r="F162" s="1921">
        <f>$L$2/365</f>
        <v/>
      </c>
      <c r="G162" s="1921">
        <f>D162-F162</f>
        <v/>
      </c>
      <c r="H162" s="1921">
        <f>E162-F162</f>
        <v/>
      </c>
    </row>
    <row r="163" ht="14.25" customHeight="1">
      <c r="A163" s="1919" t="inlineStr">
        <is>
          <t>12/11/2025</t>
        </is>
      </c>
      <c r="B163" s="1920" t="n">
        <v>8620.48</v>
      </c>
      <c r="C163" s="1919" t="inlineStr">
        <is>
          <t>535</t>
        </is>
      </c>
      <c r="D163" s="1921">
        <f>B163/B164-1</f>
        <v/>
      </c>
      <c r="E163" s="1921">
        <f>C163/C164-1</f>
        <v/>
      </c>
      <c r="F163" s="1921">
        <f>$L$2/365</f>
        <v/>
      </c>
      <c r="G163" s="1921">
        <f>D163-F163</f>
        <v/>
      </c>
      <c r="H163" s="1921">
        <f>E163-F163</f>
        <v/>
      </c>
    </row>
    <row r="164" ht="14.25" customHeight="1">
      <c r="A164" s="1919" t="inlineStr">
        <is>
          <t>12/10/2025</t>
        </is>
      </c>
      <c r="B164" s="1920" t="n">
        <v>8700.92</v>
      </c>
      <c r="C164" s="1919" t="inlineStr">
        <is>
          <t>545</t>
        </is>
      </c>
      <c r="D164" s="1921">
        <f>B164/B165-1</f>
        <v/>
      </c>
      <c r="E164" s="1921">
        <f>C164/C165-1</f>
        <v/>
      </c>
      <c r="F164" s="1921">
        <f>$L$2/365</f>
        <v/>
      </c>
      <c r="G164" s="1921">
        <f>D164-F164</f>
        <v/>
      </c>
      <c r="H164" s="1921">
        <f>E164-F164</f>
        <v/>
      </c>
    </row>
    <row r="165" ht="14.25" customHeight="1">
      <c r="A165" s="1919" t="inlineStr">
        <is>
          <t>12/09/2025</t>
        </is>
      </c>
      <c r="B165" s="1920" t="n">
        <v>8657.18</v>
      </c>
      <c r="C165" s="1919" t="inlineStr">
        <is>
          <t>555</t>
        </is>
      </c>
      <c r="D165" s="1921">
        <f>B165/B166-1</f>
        <v/>
      </c>
      <c r="E165" s="1921">
        <f>C165/C166-1</f>
        <v/>
      </c>
      <c r="F165" s="1921">
        <f>$L$2/365</f>
        <v/>
      </c>
      <c r="G165" s="1921">
        <f>D165-F165</f>
        <v/>
      </c>
      <c r="H165" s="1921">
        <f>E165-F165</f>
        <v/>
      </c>
    </row>
    <row r="166" ht="14.25" customHeight="1">
      <c r="A166" s="1919" t="inlineStr">
        <is>
          <t>12/08/2025</t>
        </is>
      </c>
      <c r="B166" s="1920" t="n">
        <v>8710.700000000001</v>
      </c>
      <c r="C166" s="1919" t="inlineStr">
        <is>
          <t>565</t>
        </is>
      </c>
      <c r="D166" s="1921">
        <f>B166/B167-1</f>
        <v/>
      </c>
      <c r="E166" s="1921">
        <f>C166/C167-1</f>
        <v/>
      </c>
      <c r="F166" s="1921">
        <f>$L$2/365</f>
        <v/>
      </c>
      <c r="G166" s="1921">
        <f>D166-F166</f>
        <v/>
      </c>
      <c r="H166" s="1921">
        <f>E166-F166</f>
        <v/>
      </c>
    </row>
    <row r="167" ht="14.25" customHeight="1">
      <c r="A167" s="1919" t="inlineStr">
        <is>
          <t>12/05/2025</t>
        </is>
      </c>
      <c r="B167" s="1920" t="n">
        <v>8632.76</v>
      </c>
      <c r="C167" s="1919" t="inlineStr">
        <is>
          <t>555</t>
        </is>
      </c>
      <c r="D167" s="1921">
        <f>B167/B168-1</f>
        <v/>
      </c>
      <c r="E167" s="1921">
        <f>C167/C168-1</f>
        <v/>
      </c>
      <c r="F167" s="1921">
        <f>$L$2/365</f>
        <v/>
      </c>
      <c r="G167" s="1921">
        <f>D167-F167</f>
        <v/>
      </c>
      <c r="H167" s="1921">
        <f>E167-F167</f>
        <v/>
      </c>
    </row>
    <row r="168" ht="14.25" customHeight="1">
      <c r="A168" s="1919" t="inlineStr">
        <is>
          <t>12/04/2025</t>
        </is>
      </c>
      <c r="B168" s="1920" t="n">
        <v>8640.200000000001</v>
      </c>
      <c r="C168" s="1919" t="inlineStr">
        <is>
          <t>560</t>
        </is>
      </c>
      <c r="D168" s="1921">
        <f>B168/B169-1</f>
        <v/>
      </c>
      <c r="E168" s="1921">
        <f>C168/C169-1</f>
        <v/>
      </c>
      <c r="F168" s="1921">
        <f>$L$2/365</f>
        <v/>
      </c>
      <c r="G168" s="1921">
        <f>D168-F168</f>
        <v/>
      </c>
      <c r="H168" s="1921">
        <f>E168-F168</f>
        <v/>
      </c>
    </row>
    <row r="169" ht="14.25" customHeight="1">
      <c r="A169" s="1919" t="inlineStr">
        <is>
          <t>12/03/2025</t>
        </is>
      </c>
      <c r="B169" s="1920" t="n">
        <v>8611.790000000001</v>
      </c>
      <c r="C169" s="1919" t="inlineStr">
        <is>
          <t>555</t>
        </is>
      </c>
      <c r="D169" s="1921">
        <f>B169/B170-1</f>
        <v/>
      </c>
      <c r="E169" s="1921">
        <f>C169/C170-1</f>
        <v/>
      </c>
      <c r="F169" s="1921">
        <f>$L$2/365</f>
        <v/>
      </c>
      <c r="G169" s="1921">
        <f>D169-F169</f>
        <v/>
      </c>
      <c r="H169" s="1921">
        <f>E169-F169</f>
        <v/>
      </c>
    </row>
    <row r="170" ht="14.25" customHeight="1">
      <c r="A170" s="1919" t="inlineStr">
        <is>
          <t>12/02/2025</t>
        </is>
      </c>
      <c r="B170" s="1920" t="n">
        <v>8617.040000000001</v>
      </c>
      <c r="C170" s="1919" t="inlineStr">
        <is>
          <t>555</t>
        </is>
      </c>
      <c r="D170" s="1921">
        <f>B170/B171-1</f>
        <v/>
      </c>
      <c r="E170" s="1921">
        <f>C170/C171-1</f>
        <v/>
      </c>
      <c r="F170" s="1921">
        <f>$L$2/365</f>
        <v/>
      </c>
      <c r="G170" s="1921">
        <f>D170-F170</f>
        <v/>
      </c>
      <c r="H170" s="1921">
        <f>E170-F170</f>
        <v/>
      </c>
    </row>
    <row r="171" ht="14.25" customHeight="1">
      <c r="A171" s="1919" t="inlineStr">
        <is>
          <t>12/01/2025</t>
        </is>
      </c>
      <c r="B171" s="1920" t="n">
        <v>8548.790000000001</v>
      </c>
      <c r="C171" s="1919" t="inlineStr">
        <is>
          <t>545</t>
        </is>
      </c>
      <c r="D171" s="1921">
        <f>B171/B172-1</f>
        <v/>
      </c>
      <c r="E171" s="1921">
        <f>C171/C172-1</f>
        <v/>
      </c>
      <c r="F171" s="1921">
        <f>$L$2/365</f>
        <v/>
      </c>
      <c r="G171" s="1921">
        <f>D171-F171</f>
        <v/>
      </c>
      <c r="H171" s="1921">
        <f>E171-F171</f>
        <v/>
      </c>
    </row>
    <row r="172" ht="14.25" customHeight="1">
      <c r="A172" s="1919" t="inlineStr">
        <is>
          <t>11/28/2025</t>
        </is>
      </c>
      <c r="B172" s="1920" t="n">
        <v>8508.709999999999</v>
      </c>
      <c r="C172" s="1919" t="inlineStr">
        <is>
          <t>545</t>
        </is>
      </c>
      <c r="D172" s="1921">
        <f>B172/B173-1</f>
        <v/>
      </c>
      <c r="E172" s="1921">
        <f>C172/C173-1</f>
        <v/>
      </c>
      <c r="F172" s="1921">
        <f>$L$2/365</f>
        <v/>
      </c>
      <c r="G172" s="1921">
        <f>D172-F172</f>
        <v/>
      </c>
      <c r="H172" s="1921">
        <f>E172-F172</f>
        <v/>
      </c>
    </row>
    <row r="173" ht="14.25" customHeight="1">
      <c r="A173" s="1919" t="inlineStr">
        <is>
          <t>11/27/2025</t>
        </is>
      </c>
      <c r="B173" s="1920" t="n">
        <v>8545.870000000001</v>
      </c>
      <c r="C173" s="1919" t="inlineStr">
        <is>
          <t>540</t>
        </is>
      </c>
      <c r="D173" s="1921">
        <f>B173/B174-1</f>
        <v/>
      </c>
      <c r="E173" s="1921">
        <f>C173/C174-1</f>
        <v/>
      </c>
      <c r="F173" s="1921">
        <f>$L$2/365</f>
        <v/>
      </c>
      <c r="G173" s="1921">
        <f>D173-F173</f>
        <v/>
      </c>
      <c r="H173" s="1921">
        <f>E173-F173</f>
        <v/>
      </c>
    </row>
    <row r="174" ht="14.25" customHeight="1">
      <c r="A174" s="1919" t="inlineStr">
        <is>
          <t>11/26/2025</t>
        </is>
      </c>
      <c r="B174" s="1920" t="n">
        <v>8602.129999999999</v>
      </c>
      <c r="C174" s="1919" t="inlineStr">
        <is>
          <t>540</t>
        </is>
      </c>
      <c r="D174" s="1921">
        <f>B174/B175-1</f>
        <v/>
      </c>
      <c r="E174" s="1921">
        <f>C174/C175-1</f>
        <v/>
      </c>
      <c r="F174" s="1921">
        <f>$L$2/365</f>
        <v/>
      </c>
      <c r="G174" s="1921">
        <f>D174-F174</f>
        <v/>
      </c>
      <c r="H174" s="1921">
        <f>E174-F174</f>
        <v/>
      </c>
    </row>
    <row r="175" ht="14.25" customHeight="1">
      <c r="A175" s="1919" t="inlineStr">
        <is>
          <t>11/25/2025</t>
        </is>
      </c>
      <c r="B175" s="1920" t="n">
        <v>8521.879999999999</v>
      </c>
      <c r="C175" s="1919" t="inlineStr">
        <is>
          <t>535</t>
        </is>
      </c>
      <c r="D175" s="1921">
        <f>B175/B176-1</f>
        <v/>
      </c>
      <c r="E175" s="1921">
        <f>C175/C176-1</f>
        <v/>
      </c>
      <c r="F175" s="1921">
        <f>$L$2/365</f>
        <v/>
      </c>
      <c r="G175" s="1921">
        <f>D175-F175</f>
        <v/>
      </c>
      <c r="H175" s="1921">
        <f>E175-F175</f>
        <v/>
      </c>
    </row>
    <row r="176" ht="14.25" customHeight="1">
      <c r="A176" s="1919" t="inlineStr">
        <is>
          <t>11/24/2025</t>
        </is>
      </c>
      <c r="B176" s="1920" t="n">
        <v>8570.25</v>
      </c>
      <c r="C176" s="1919" t="inlineStr">
        <is>
          <t>540</t>
        </is>
      </c>
      <c r="D176" s="1921">
        <f>B176/B177-1</f>
        <v/>
      </c>
      <c r="E176" s="1921">
        <f>C176/C177-1</f>
        <v/>
      </c>
      <c r="F176" s="1921">
        <f>$L$2/365</f>
        <v/>
      </c>
      <c r="G176" s="1921">
        <f>D176-F176</f>
        <v/>
      </c>
      <c r="H176" s="1921">
        <f>E176-F176</f>
        <v/>
      </c>
    </row>
    <row r="177" ht="14.25" customHeight="1">
      <c r="A177" s="1919" t="inlineStr">
        <is>
          <t>11/21/2025</t>
        </is>
      </c>
      <c r="B177" s="1920" t="n">
        <v>8414.35</v>
      </c>
      <c r="C177" s="1919" t="inlineStr">
        <is>
          <t>540</t>
        </is>
      </c>
      <c r="D177" s="1921">
        <f>B177/B178-1</f>
        <v/>
      </c>
      <c r="E177" s="1921">
        <f>C177/C178-1</f>
        <v/>
      </c>
      <c r="F177" s="1921">
        <f>$L$2/365</f>
        <v/>
      </c>
      <c r="G177" s="1921">
        <f>D177-F177</f>
        <v/>
      </c>
      <c r="H177" s="1921">
        <f>E177-F177</f>
        <v/>
      </c>
    </row>
    <row r="178" ht="14.25" customHeight="1">
      <c r="A178" s="1919" t="inlineStr">
        <is>
          <t>11/20/2025</t>
        </is>
      </c>
      <c r="B178" s="1920" t="n">
        <v>8419.92</v>
      </c>
      <c r="C178" s="1919" t="inlineStr">
        <is>
          <t>550</t>
        </is>
      </c>
      <c r="D178" s="1921">
        <f>B178/B179-1</f>
        <v/>
      </c>
      <c r="E178" s="1921">
        <f>C178/C179-1</f>
        <v/>
      </c>
      <c r="F178" s="1921">
        <f>$L$2/365</f>
        <v/>
      </c>
      <c r="G178" s="1921">
        <f>D178-F178</f>
        <v/>
      </c>
      <c r="H178" s="1921">
        <f>E178-F178</f>
        <v/>
      </c>
    </row>
    <row r="179" ht="14.25" customHeight="1">
      <c r="A179" s="1919" t="inlineStr">
        <is>
          <t>11/19/2025</t>
        </is>
      </c>
      <c r="B179" s="1920" t="n">
        <v>8406.58</v>
      </c>
      <c r="C179" s="1919" t="inlineStr">
        <is>
          <t>550</t>
        </is>
      </c>
      <c r="D179" s="1921">
        <f>B179/B180-1</f>
        <v/>
      </c>
      <c r="E179" s="1921">
        <f>C179/C180-1</f>
        <v/>
      </c>
      <c r="F179" s="1921">
        <f>$L$2/365</f>
        <v/>
      </c>
      <c r="G179" s="1921">
        <f>D179-F179</f>
        <v/>
      </c>
      <c r="H179" s="1921">
        <f>E179-F179</f>
        <v/>
      </c>
    </row>
    <row r="180" ht="14.25" customHeight="1">
      <c r="A180" s="1919" t="inlineStr">
        <is>
          <t>11/18/2025</t>
        </is>
      </c>
      <c r="B180" s="1920" t="n">
        <v>8361.93</v>
      </c>
      <c r="C180" s="1919" t="inlineStr">
        <is>
          <t>540</t>
        </is>
      </c>
      <c r="D180" s="1921">
        <f>B180/B181-1</f>
        <v/>
      </c>
      <c r="E180" s="1921">
        <f>C180/C181-1</f>
        <v/>
      </c>
      <c r="F180" s="1921">
        <f>$L$2/365</f>
        <v/>
      </c>
      <c r="G180" s="1921">
        <f>D180-F180</f>
        <v/>
      </c>
      <c r="H180" s="1921">
        <f>E180-F180</f>
        <v/>
      </c>
    </row>
    <row r="181" ht="14.25" customHeight="1">
      <c r="A181" s="1919" t="inlineStr">
        <is>
          <t>11/17/2025</t>
        </is>
      </c>
      <c r="B181" s="1920" t="n">
        <v>8416.879999999999</v>
      </c>
      <c r="C181" s="1919" t="inlineStr">
        <is>
          <t>545</t>
        </is>
      </c>
      <c r="D181" s="1921">
        <f>B181/B182-1</f>
        <v/>
      </c>
      <c r="E181" s="1921">
        <f>C181/C182-1</f>
        <v/>
      </c>
      <c r="F181" s="1921">
        <f>$L$2/365</f>
        <v/>
      </c>
      <c r="G181" s="1921">
        <f>D181-F181</f>
        <v/>
      </c>
      <c r="H181" s="1921">
        <f>E181-F181</f>
        <v/>
      </c>
    </row>
    <row r="182" ht="14.25" customHeight="1">
      <c r="A182" s="1919" t="inlineStr">
        <is>
          <t>11/14/2025</t>
        </is>
      </c>
      <c r="B182" s="1920" t="n">
        <v>8370.440000000001</v>
      </c>
      <c r="C182" s="1919" t="inlineStr">
        <is>
          <t>540</t>
        </is>
      </c>
      <c r="D182" s="1921">
        <f>B182/B183-1</f>
        <v/>
      </c>
      <c r="E182" s="1921">
        <f>C182/C183-1</f>
        <v/>
      </c>
      <c r="F182" s="1921">
        <f>$L$2/365</f>
        <v/>
      </c>
      <c r="G182" s="1921">
        <f>D182-F182</f>
        <v/>
      </c>
      <c r="H182" s="1921">
        <f>E182-F182</f>
        <v/>
      </c>
    </row>
    <row r="183" ht="14.25" customHeight="1">
      <c r="A183" s="1919" t="inlineStr">
        <is>
          <t>11/13/2025</t>
        </is>
      </c>
      <c r="B183" s="1920" t="n">
        <v>8372</v>
      </c>
      <c r="C183" s="1919" t="inlineStr">
        <is>
          <t>545</t>
        </is>
      </c>
      <c r="D183" s="1921">
        <f>B183/B184-1</f>
        <v/>
      </c>
      <c r="E183" s="1921">
        <f>C183/C184-1</f>
        <v/>
      </c>
      <c r="F183" s="1921">
        <f>$L$2/365</f>
        <v/>
      </c>
      <c r="G183" s="1921">
        <f>D183-F183</f>
        <v/>
      </c>
      <c r="H183" s="1921">
        <f>E183-F183</f>
        <v/>
      </c>
    </row>
    <row r="184" ht="14.25" customHeight="1">
      <c r="A184" s="1919" t="inlineStr">
        <is>
          <t>11/12/2025</t>
        </is>
      </c>
      <c r="B184" s="1920" t="n">
        <v>8388.57</v>
      </c>
      <c r="C184" s="1919" t="inlineStr">
        <is>
          <t>560</t>
        </is>
      </c>
      <c r="D184" s="1921">
        <f>B184/B185-1</f>
        <v/>
      </c>
      <c r="E184" s="1921">
        <f>C184/C185-1</f>
        <v/>
      </c>
      <c r="F184" s="1921">
        <f>$L$2/365</f>
        <v/>
      </c>
      <c r="G184" s="1921">
        <f>D184-F184</f>
        <v/>
      </c>
      <c r="H184" s="1921">
        <f>E184-F184</f>
        <v/>
      </c>
    </row>
    <row r="185" ht="14.25" customHeight="1">
      <c r="A185" s="1919" t="inlineStr">
        <is>
          <t>11/11/2025</t>
        </is>
      </c>
      <c r="B185" s="1920" t="n">
        <v>8366.51</v>
      </c>
      <c r="C185" s="1919" t="inlineStr">
        <is>
          <t>565</t>
        </is>
      </c>
      <c r="D185" s="1921">
        <f>B185/B186-1</f>
        <v/>
      </c>
      <c r="E185" s="1921">
        <f>C185/C186-1</f>
        <v/>
      </c>
      <c r="F185" s="1921">
        <f>$L$2/365</f>
        <v/>
      </c>
      <c r="G185" s="1921">
        <f>D185-F185</f>
        <v/>
      </c>
      <c r="H185" s="1921">
        <f>E185-F185</f>
        <v/>
      </c>
    </row>
    <row r="186" ht="14.25" customHeight="1">
      <c r="A186" s="1919" t="inlineStr">
        <is>
          <t>11/10/2025</t>
        </is>
      </c>
      <c r="B186" s="1920" t="n">
        <v>8391.24</v>
      </c>
      <c r="C186" s="1919" t="inlineStr">
        <is>
          <t>570</t>
        </is>
      </c>
      <c r="D186" s="1921">
        <f>B186/B187-1</f>
        <v/>
      </c>
      <c r="E186" s="1921">
        <f>C186/C187-1</f>
        <v/>
      </c>
      <c r="F186" s="1921">
        <f>$L$2/365</f>
        <v/>
      </c>
      <c r="G186" s="1921">
        <f>D186-F186</f>
        <v/>
      </c>
      <c r="H186" s="1921">
        <f>E186-F186</f>
        <v/>
      </c>
    </row>
    <row r="187" ht="14.25" customHeight="1">
      <c r="A187" s="1919" t="inlineStr">
        <is>
          <t>11/07/2025</t>
        </is>
      </c>
      <c r="B187" s="1920" t="n">
        <v>8394.59</v>
      </c>
      <c r="C187" s="1919" t="inlineStr">
        <is>
          <t>540</t>
        </is>
      </c>
      <c r="D187" s="1921">
        <f>B187/B188-1</f>
        <v/>
      </c>
      <c r="E187" s="1921">
        <f>C187/C188-1</f>
        <v/>
      </c>
      <c r="F187" s="1921">
        <f>$L$2/365</f>
        <v/>
      </c>
      <c r="G187" s="1921">
        <f>D187-F187</f>
        <v/>
      </c>
      <c r="H187" s="1921">
        <f>E187-F187</f>
        <v/>
      </c>
    </row>
    <row r="188" ht="14.25" customHeight="1">
      <c r="A188" s="1919" t="inlineStr">
        <is>
          <t>11/06/2025</t>
        </is>
      </c>
      <c r="B188" s="1920" t="n">
        <v>8337.059999999999</v>
      </c>
      <c r="C188" s="1919" t="inlineStr">
        <is>
          <t>535</t>
        </is>
      </c>
      <c r="D188" s="1921">
        <f>B188/B189-1</f>
        <v/>
      </c>
      <c r="E188" s="1921">
        <f>C188/C189-1</f>
        <v/>
      </c>
      <c r="F188" s="1921">
        <f>$L$2/365</f>
        <v/>
      </c>
      <c r="G188" s="1921">
        <f>D188-F188</f>
        <v/>
      </c>
      <c r="H188" s="1921">
        <f>E188-F188</f>
        <v/>
      </c>
    </row>
    <row r="189" ht="14.25" customHeight="1">
      <c r="A189" s="1919" t="inlineStr">
        <is>
          <t>11/05/2025</t>
        </is>
      </c>
      <c r="B189" s="1920" t="n">
        <v>8318.530000000001</v>
      </c>
      <c r="C189" s="1919" t="inlineStr">
        <is>
          <t>540</t>
        </is>
      </c>
      <c r="D189" s="1921">
        <f>B189/B190-1</f>
        <v/>
      </c>
      <c r="E189" s="1921">
        <f>C189/C190-1</f>
        <v/>
      </c>
      <c r="F189" s="1921">
        <f>$L$2/365</f>
        <v/>
      </c>
      <c r="G189" s="1921">
        <f>D189-F189</f>
        <v/>
      </c>
      <c r="H189" s="1921">
        <f>E189-F189</f>
        <v/>
      </c>
    </row>
    <row r="190" ht="14.25" customHeight="1">
      <c r="A190" s="1919" t="inlineStr">
        <is>
          <t>11/04/2025</t>
        </is>
      </c>
      <c r="B190" s="1920" t="n">
        <v>8241.91</v>
      </c>
      <c r="C190" s="1919" t="inlineStr">
        <is>
          <t>540</t>
        </is>
      </c>
      <c r="D190" s="1921">
        <f>B190/B191-1</f>
        <v/>
      </c>
      <c r="E190" s="1921">
        <f>C190/C191-1</f>
        <v/>
      </c>
      <c r="F190" s="1921">
        <f>$L$2/365</f>
        <v/>
      </c>
      <c r="G190" s="1921">
        <f>D190-F190</f>
        <v/>
      </c>
      <c r="H190" s="1921">
        <f>E190-F190</f>
        <v/>
      </c>
    </row>
    <row r="191" ht="14.25" customHeight="1">
      <c r="A191" s="1919" t="inlineStr">
        <is>
          <t>11/03/2025</t>
        </is>
      </c>
      <c r="B191" s="1920" t="n">
        <v>8275.08</v>
      </c>
      <c r="C191" s="1919" t="inlineStr">
        <is>
          <t>550</t>
        </is>
      </c>
      <c r="D191" s="1921">
        <f>B191/B192-1</f>
        <v/>
      </c>
      <c r="E191" s="1921">
        <f>C191/C192-1</f>
        <v/>
      </c>
      <c r="F191" s="1921">
        <f>$L$2/365</f>
        <v/>
      </c>
      <c r="G191" s="1921">
        <f>D191-F191</f>
        <v/>
      </c>
      <c r="H191" s="1921">
        <f>E191-F191</f>
        <v/>
      </c>
    </row>
    <row r="192" ht="14.25" customHeight="1">
      <c r="A192" s="1919" t="inlineStr">
        <is>
          <t>10/31/2025</t>
        </is>
      </c>
      <c r="B192" s="1920" t="n">
        <v>8163.88</v>
      </c>
      <c r="C192" s="1919" t="inlineStr">
        <is>
          <t>545</t>
        </is>
      </c>
      <c r="D192" s="1921">
        <f>B192/B193-1</f>
        <v/>
      </c>
      <c r="E192" s="1921">
        <f>C192/C193-1</f>
        <v/>
      </c>
      <c r="F192" s="1921">
        <f>$L$2/365</f>
        <v/>
      </c>
      <c r="G192" s="1921">
        <f>D192-F192</f>
        <v/>
      </c>
      <c r="H192" s="1921">
        <f>E192-F192</f>
        <v/>
      </c>
    </row>
    <row r="193" ht="14.25" customHeight="1">
      <c r="A193" s="1919" t="inlineStr">
        <is>
          <t>10/30/2025</t>
        </is>
      </c>
      <c r="B193" s="1920" t="n">
        <v>8184.06</v>
      </c>
      <c r="C193" s="1919" t="inlineStr">
        <is>
          <t>550</t>
        </is>
      </c>
      <c r="D193" s="1921">
        <f>B193/B194-1</f>
        <v/>
      </c>
      <c r="E193" s="1921">
        <f>C193/C194-1</f>
        <v/>
      </c>
      <c r="F193" s="1921">
        <f>$L$2/365</f>
        <v/>
      </c>
      <c r="G193" s="1921">
        <f>D193-F193</f>
        <v/>
      </c>
      <c r="H193" s="1921">
        <f>E193-F193</f>
        <v/>
      </c>
    </row>
    <row r="194" ht="14.25" customHeight="1">
      <c r="A194" s="1919" t="inlineStr">
        <is>
          <t>10/29/2025</t>
        </is>
      </c>
      <c r="B194" s="1920" t="n">
        <v>8166.22</v>
      </c>
      <c r="C194" s="1919" t="inlineStr">
        <is>
          <t>530</t>
        </is>
      </c>
      <c r="D194" s="1921">
        <f>B194/B195-1</f>
        <v/>
      </c>
      <c r="E194" s="1921">
        <f>C194/C195-1</f>
        <v/>
      </c>
      <c r="F194" s="1921">
        <f>$L$2/365</f>
        <v/>
      </c>
      <c r="G194" s="1921">
        <f>D194-F194</f>
        <v/>
      </c>
      <c r="H194" s="1921">
        <f>E194-F194</f>
        <v/>
      </c>
    </row>
    <row r="195" ht="14.25" customHeight="1">
      <c r="A195" s="1919" t="inlineStr">
        <is>
          <t>10/28/2025</t>
        </is>
      </c>
      <c r="B195" s="1920" t="n">
        <v>8092.63</v>
      </c>
      <c r="C195" s="1919" t="inlineStr">
        <is>
          <t>525</t>
        </is>
      </c>
      <c r="D195" s="1921">
        <f>B195/B196-1</f>
        <v/>
      </c>
      <c r="E195" s="1921">
        <f>C195/C196-1</f>
        <v/>
      </c>
      <c r="F195" s="1921">
        <f>$L$2/365</f>
        <v/>
      </c>
      <c r="G195" s="1921">
        <f>D195-F195</f>
        <v/>
      </c>
      <c r="H195" s="1921">
        <f>E195-F195</f>
        <v/>
      </c>
    </row>
    <row r="196" ht="14.25" customHeight="1">
      <c r="A196" s="1919" t="inlineStr">
        <is>
          <t>10/27/2025</t>
        </is>
      </c>
      <c r="B196" s="1920" t="n">
        <v>8117.15</v>
      </c>
      <c r="C196" s="1919" t="inlineStr">
        <is>
          <t>525</t>
        </is>
      </c>
      <c r="D196" s="1921">
        <f>B196/B197-1</f>
        <v/>
      </c>
      <c r="E196" s="1921">
        <f>C196/C197-1</f>
        <v/>
      </c>
      <c r="F196" s="1921">
        <f>$L$2/365</f>
        <v/>
      </c>
      <c r="G196" s="1921">
        <f>D196-F196</f>
        <v/>
      </c>
      <c r="H196" s="1921">
        <f>E196-F196</f>
        <v/>
      </c>
    </row>
    <row r="197" ht="14.25" customHeight="1">
      <c r="A197" s="1919" t="inlineStr">
        <is>
          <t>10/24/2025</t>
        </is>
      </c>
      <c r="B197" s="1920" t="n">
        <v>8271.719999999999</v>
      </c>
      <c r="C197" s="1919" t="inlineStr">
        <is>
          <t>535</t>
        </is>
      </c>
      <c r="D197" s="1921">
        <f>B197/B198-1</f>
        <v/>
      </c>
      <c r="E197" s="1921">
        <f>C197/C198-1</f>
        <v/>
      </c>
      <c r="F197" s="1921">
        <f>$L$2/365</f>
        <v/>
      </c>
      <c r="G197" s="1921">
        <f>D197-F197</f>
        <v/>
      </c>
      <c r="H197" s="1921">
        <f>E197-F197</f>
        <v/>
      </c>
    </row>
    <row r="198" ht="14.25" customHeight="1">
      <c r="A198" s="1919" t="inlineStr">
        <is>
          <t>10/23/2025</t>
        </is>
      </c>
      <c r="B198" s="1920" t="n">
        <v>8274.35</v>
      </c>
      <c r="C198" s="1919" t="inlineStr">
        <is>
          <t>545</t>
        </is>
      </c>
      <c r="D198" s="1921">
        <f>B198/B199-1</f>
        <v/>
      </c>
      <c r="E198" s="1921">
        <f>C198/C199-1</f>
        <v/>
      </c>
      <c r="F198" s="1921">
        <f>$L$2/365</f>
        <v/>
      </c>
      <c r="G198" s="1921">
        <f>D198-F198</f>
        <v/>
      </c>
      <c r="H198" s="1921">
        <f>E198-F198</f>
        <v/>
      </c>
    </row>
    <row r="199" ht="14.25" customHeight="1">
      <c r="A199" s="1919" t="inlineStr">
        <is>
          <t>10/22/2025</t>
        </is>
      </c>
      <c r="B199" s="1920" t="n">
        <v>8152.55</v>
      </c>
      <c r="C199" s="1919" t="inlineStr">
        <is>
          <t>540</t>
        </is>
      </c>
      <c r="D199" s="1921">
        <f>B199/B200-1</f>
        <v/>
      </c>
      <c r="E199" s="1921">
        <f>C199/C200-1</f>
        <v/>
      </c>
      <c r="F199" s="1921">
        <f>$L$2/365</f>
        <v/>
      </c>
      <c r="G199" s="1921">
        <f>D199-F199</f>
        <v/>
      </c>
      <c r="H199" s="1921">
        <f>E199-F199</f>
        <v/>
      </c>
    </row>
    <row r="200" ht="14.25" customHeight="1">
      <c r="A200" s="1919" t="inlineStr">
        <is>
          <t>10/21/2025</t>
        </is>
      </c>
      <c r="B200" s="1920" t="n">
        <v>8238.08</v>
      </c>
      <c r="C200" s="1919" t="inlineStr">
        <is>
          <t>545</t>
        </is>
      </c>
      <c r="D200" s="1921">
        <f>B200/B201-1</f>
        <v/>
      </c>
      <c r="E200" s="1921">
        <f>C200/C201-1</f>
        <v/>
      </c>
      <c r="F200" s="1921">
        <f>$L$2/365</f>
        <v/>
      </c>
      <c r="G200" s="1921">
        <f>D200-F200</f>
        <v/>
      </c>
      <c r="H200" s="1921">
        <f>E200-F200</f>
        <v/>
      </c>
    </row>
    <row r="201" ht="14.25" customHeight="1">
      <c r="A201" s="1919" t="inlineStr">
        <is>
          <t>10/20/2025</t>
        </is>
      </c>
      <c r="B201" s="1920" t="n">
        <v>8088.98</v>
      </c>
      <c r="C201" s="1919" t="inlineStr">
        <is>
          <t>545</t>
        </is>
      </c>
      <c r="D201" s="1921">
        <f>B201/B202-1</f>
        <v/>
      </c>
      <c r="E201" s="1921">
        <f>C201/C202-1</f>
        <v/>
      </c>
      <c r="F201" s="1921">
        <f>$L$2/365</f>
        <v/>
      </c>
      <c r="G201" s="1921">
        <f>D201-F201</f>
        <v/>
      </c>
      <c r="H201" s="1921">
        <f>E201-F201</f>
        <v/>
      </c>
    </row>
    <row r="202" ht="14.25" customHeight="1">
      <c r="A202" s="1919" t="inlineStr">
        <is>
          <t>10/17/2025</t>
        </is>
      </c>
      <c r="B202" s="1920" t="n">
        <v>7915.66</v>
      </c>
      <c r="C202" s="1919" t="inlineStr">
        <is>
          <t>545</t>
        </is>
      </c>
      <c r="D202" s="1921">
        <f>B202/B203-1</f>
        <v/>
      </c>
      <c r="E202" s="1921">
        <f>C202/C203-1</f>
        <v/>
      </c>
      <c r="F202" s="1921">
        <f>$L$2/365</f>
        <v/>
      </c>
      <c r="G202" s="1921">
        <f>D202-F202</f>
        <v/>
      </c>
      <c r="H202" s="1921">
        <f>E202-F202</f>
        <v/>
      </c>
    </row>
    <row r="203" ht="14.25" customHeight="1">
      <c r="A203" s="1919" t="inlineStr">
        <is>
          <t>10/16/2025</t>
        </is>
      </c>
      <c r="B203" s="1920" t="n">
        <v>8124.76</v>
      </c>
      <c r="C203" s="1919" t="inlineStr">
        <is>
          <t>555</t>
        </is>
      </c>
      <c r="D203" s="1921">
        <f>B203/B204-1</f>
        <v/>
      </c>
      <c r="E203" s="1921">
        <f>C203/C204-1</f>
        <v/>
      </c>
      <c r="F203" s="1921">
        <f>$L$2/365</f>
        <v/>
      </c>
      <c r="G203" s="1921">
        <f>D203-F203</f>
        <v/>
      </c>
      <c r="H203" s="1921">
        <f>E203-F203</f>
        <v/>
      </c>
    </row>
    <row r="204" ht="14.25" customHeight="1">
      <c r="A204" s="1919" t="inlineStr">
        <is>
          <t>10/15/2025</t>
        </is>
      </c>
      <c r="B204" s="1920" t="n">
        <v>8051.17</v>
      </c>
      <c r="C204" s="1919" t="inlineStr">
        <is>
          <t>555</t>
        </is>
      </c>
      <c r="D204" s="1921">
        <f>B204/B205-1</f>
        <v/>
      </c>
      <c r="E204" s="1921">
        <f>C204/C205-1</f>
        <v/>
      </c>
      <c r="F204" s="1921">
        <f>$L$2/365</f>
        <v/>
      </c>
      <c r="G204" s="1921">
        <f>D204-F204</f>
        <v/>
      </c>
      <c r="H204" s="1921">
        <f>E204-F204</f>
        <v/>
      </c>
    </row>
    <row r="205" ht="14.25" customHeight="1">
      <c r="A205" s="1919" t="inlineStr">
        <is>
          <t>10/14/2025</t>
        </is>
      </c>
      <c r="B205" s="1920" t="n">
        <v>8066.52</v>
      </c>
      <c r="C205" s="1919" t="inlineStr">
        <is>
          <t>540</t>
        </is>
      </c>
      <c r="D205" s="1921">
        <f>B205/B206-1</f>
        <v/>
      </c>
      <c r="E205" s="1921">
        <f>C205/C206-1</f>
        <v/>
      </c>
      <c r="F205" s="1921">
        <f>$L$2/365</f>
        <v/>
      </c>
      <c r="G205" s="1921">
        <f>D205-F205</f>
        <v/>
      </c>
      <c r="H205" s="1921">
        <f>E205-F205</f>
        <v/>
      </c>
    </row>
    <row r="206" ht="14.25" customHeight="1">
      <c r="A206" s="1919" t="inlineStr">
        <is>
          <t>10/13/2025</t>
        </is>
      </c>
      <c r="B206" s="1920" t="n">
        <v>8227.200000000001</v>
      </c>
      <c r="C206" s="1919" t="inlineStr">
        <is>
          <t>525</t>
        </is>
      </c>
      <c r="D206" s="1921">
        <f>B206/B207-1</f>
        <v/>
      </c>
      <c r="E206" s="1921">
        <f>C206/C207-1</f>
        <v/>
      </c>
      <c r="F206" s="1921">
        <f>$L$2/365</f>
        <v/>
      </c>
      <c r="G206" s="1921">
        <f>D206-F206</f>
        <v/>
      </c>
      <c r="H206" s="1921">
        <f>E206-F206</f>
        <v/>
      </c>
    </row>
    <row r="207" ht="14.25" customHeight="1">
      <c r="A207" s="1919" t="inlineStr">
        <is>
          <t>10/10/2025</t>
        </is>
      </c>
      <c r="B207" s="1920" t="n">
        <v>8257.860000000001</v>
      </c>
      <c r="C207" s="1919" t="inlineStr">
        <is>
          <t>525</t>
        </is>
      </c>
      <c r="D207" s="1921">
        <f>B207/B208-1</f>
        <v/>
      </c>
      <c r="E207" s="1921">
        <f>C207/C208-1</f>
        <v/>
      </c>
      <c r="F207" s="1921">
        <f>$L$2/365</f>
        <v/>
      </c>
      <c r="G207" s="1921">
        <f>D207-F207</f>
        <v/>
      </c>
      <c r="H207" s="1921">
        <f>E207-F207</f>
        <v/>
      </c>
    </row>
    <row r="208" ht="14.25" customHeight="1">
      <c r="A208" s="1919" t="inlineStr">
        <is>
          <t>10/09/2025</t>
        </is>
      </c>
      <c r="B208" s="1920" t="n">
        <v>8250.940000000001</v>
      </c>
      <c r="C208" s="1919" t="inlineStr">
        <is>
          <t>530</t>
        </is>
      </c>
      <c r="D208" s="1921">
        <f>B208/B209-1</f>
        <v/>
      </c>
      <c r="E208" s="1921">
        <f>C208/C209-1</f>
        <v/>
      </c>
      <c r="F208" s="1921">
        <f>$L$2/365</f>
        <v/>
      </c>
      <c r="G208" s="1921">
        <f>D208-F208</f>
        <v/>
      </c>
      <c r="H208" s="1921">
        <f>E208-F208</f>
        <v/>
      </c>
    </row>
    <row r="209" ht="14.25" customHeight="1">
      <c r="A209" s="1919" t="inlineStr">
        <is>
          <t>10/08/2025</t>
        </is>
      </c>
      <c r="B209" s="1920" t="n">
        <v>8166.03</v>
      </c>
      <c r="C209" s="1919" t="inlineStr">
        <is>
          <t>510</t>
        </is>
      </c>
      <c r="D209" s="1921">
        <f>B209/B210-1</f>
        <v/>
      </c>
      <c r="E209" s="1921">
        <f>C209/C210-1</f>
        <v/>
      </c>
      <c r="F209" s="1921">
        <f>$L$2/365</f>
        <v/>
      </c>
      <c r="G209" s="1921">
        <f>D209-F209</f>
        <v/>
      </c>
      <c r="H209" s="1921">
        <f>E209-F209</f>
        <v/>
      </c>
    </row>
    <row r="210" ht="14.25" customHeight="1">
      <c r="A210" s="1919" t="inlineStr">
        <is>
          <t>10/07/2025</t>
        </is>
      </c>
      <c r="B210" s="1920" t="n">
        <v>8169.28</v>
      </c>
      <c r="C210" s="1919" t="inlineStr">
        <is>
          <t>515</t>
        </is>
      </c>
      <c r="D210" s="1921">
        <f>B210/B211-1</f>
        <v/>
      </c>
      <c r="E210" s="1921">
        <f>C210/C211-1</f>
        <v/>
      </c>
      <c r="F210" s="1921">
        <f>$L$2/365</f>
        <v/>
      </c>
      <c r="G210" s="1921">
        <f>D210-F210</f>
        <v/>
      </c>
      <c r="H210" s="1921">
        <f>E210-F210</f>
        <v/>
      </c>
    </row>
    <row r="211" ht="14.25" customHeight="1">
      <c r="A211" s="1919" t="inlineStr">
        <is>
          <t>10/06/2025</t>
        </is>
      </c>
      <c r="B211" s="1920" t="n">
        <v>8139.89</v>
      </c>
      <c r="C211" s="1919" t="inlineStr">
        <is>
          <t>515</t>
        </is>
      </c>
      <c r="D211" s="1921">
        <f>B211/B212-1</f>
        <v/>
      </c>
      <c r="E211" s="1921">
        <f>C211/C212-1</f>
        <v/>
      </c>
      <c r="F211" s="1921">
        <f>$L$2/365</f>
        <v/>
      </c>
      <c r="G211" s="1921">
        <f>D211-F211</f>
        <v/>
      </c>
      <c r="H211" s="1921">
        <f>E211-F211</f>
        <v/>
      </c>
    </row>
    <row r="212" ht="14.25" customHeight="1">
      <c r="A212" s="1919" t="inlineStr">
        <is>
          <t>10/03/2025</t>
        </is>
      </c>
      <c r="B212" s="1920" t="n">
        <v>8118.3</v>
      </c>
      <c r="C212" s="1919" t="inlineStr">
        <is>
          <t>525</t>
        </is>
      </c>
      <c r="D212" s="1921">
        <f>B212/B213-1</f>
        <v/>
      </c>
      <c r="E212" s="1921">
        <f>C212/C213-1</f>
        <v/>
      </c>
      <c r="F212" s="1921">
        <f>$L$2/365</f>
        <v/>
      </c>
      <c r="G212" s="1921">
        <f>D212-F212</f>
        <v/>
      </c>
      <c r="H212" s="1921">
        <f>E212-F212</f>
        <v/>
      </c>
    </row>
    <row r="213" ht="14.25" customHeight="1">
      <c r="A213" s="1919" t="inlineStr">
        <is>
          <t>10/02/2025</t>
        </is>
      </c>
      <c r="B213" s="1920" t="n">
        <v>8071.08</v>
      </c>
      <c r="C213" s="1919" t="inlineStr">
        <is>
          <t>565</t>
        </is>
      </c>
      <c r="D213" s="1921">
        <f>B213/B214-1</f>
        <v/>
      </c>
      <c r="E213" s="1921">
        <f>C213/C214-1</f>
        <v/>
      </c>
      <c r="F213" s="1921">
        <f>$L$2/365</f>
        <v/>
      </c>
      <c r="G213" s="1921">
        <f>D213-F213</f>
        <v/>
      </c>
      <c r="H213" s="1921">
        <f>E213-F213</f>
        <v/>
      </c>
    </row>
    <row r="214" ht="14.25" customHeight="1">
      <c r="A214" s="1919" t="inlineStr">
        <is>
          <t>10/01/2025</t>
        </is>
      </c>
      <c r="B214" s="1920" t="n">
        <v>8043.82</v>
      </c>
      <c r="C214" s="1919" t="inlineStr">
        <is>
          <t>575</t>
        </is>
      </c>
      <c r="D214" s="1921">
        <f>B214/B215-1</f>
        <v/>
      </c>
      <c r="E214" s="1921">
        <f>C214/C215-1</f>
        <v/>
      </c>
      <c r="F214" s="1921">
        <f>$L$2/365</f>
        <v/>
      </c>
      <c r="G214" s="1921">
        <f>D214-F214</f>
        <v/>
      </c>
      <c r="H214" s="1921">
        <f>E214-F214</f>
        <v/>
      </c>
    </row>
    <row r="215" ht="14.25" customHeight="1">
      <c r="A215" s="1919" t="inlineStr">
        <is>
          <t>09/30/2025</t>
        </is>
      </c>
      <c r="B215" s="1920" t="n">
        <v>8061.06</v>
      </c>
      <c r="C215" s="1919" t="inlineStr">
        <is>
          <t>585</t>
        </is>
      </c>
      <c r="D215" s="1921">
        <f>B215/B216-1</f>
        <v/>
      </c>
      <c r="E215" s="1921">
        <f>C215/C216-1</f>
        <v/>
      </c>
      <c r="F215" s="1921">
        <f>$L$2/365</f>
        <v/>
      </c>
      <c r="G215" s="1921">
        <f>D215-F215</f>
        <v/>
      </c>
      <c r="H215" s="1921">
        <f>E215-F215</f>
        <v/>
      </c>
    </row>
    <row r="216" ht="14.25" customHeight="1">
      <c r="A216" s="1919" t="inlineStr">
        <is>
          <t>09/29/2025</t>
        </is>
      </c>
      <c r="B216" s="1920" t="n">
        <v>8123.25</v>
      </c>
      <c r="C216" s="1919" t="inlineStr">
        <is>
          <t>590</t>
        </is>
      </c>
      <c r="D216" s="1921">
        <f>B216/B217-1</f>
        <v/>
      </c>
      <c r="E216" s="1921">
        <f>C216/C217-1</f>
        <v/>
      </c>
      <c r="F216" s="1921">
        <f>$L$2/365</f>
        <v/>
      </c>
      <c r="G216" s="1921">
        <f>D216-F216</f>
        <v/>
      </c>
      <c r="H216" s="1921">
        <f>E216-F216</f>
        <v/>
      </c>
    </row>
    <row r="217" ht="14.25" customHeight="1">
      <c r="A217" s="1919" t="inlineStr">
        <is>
          <t>09/26/2025</t>
        </is>
      </c>
      <c r="B217" s="1920" t="n">
        <v>8099.33</v>
      </c>
      <c r="C217" s="1919" t="inlineStr">
        <is>
          <t>590</t>
        </is>
      </c>
      <c r="D217" s="1921">
        <f>B217/B218-1</f>
        <v/>
      </c>
      <c r="E217" s="1921">
        <f>C217/C218-1</f>
        <v/>
      </c>
      <c r="F217" s="1921">
        <f>$L$2/365</f>
        <v/>
      </c>
      <c r="G217" s="1921">
        <f>D217-F217</f>
        <v/>
      </c>
      <c r="H217" s="1921">
        <f>E217-F217</f>
        <v/>
      </c>
    </row>
    <row r="218" ht="14.25" customHeight="1">
      <c r="A218" s="1919" t="inlineStr">
        <is>
          <t>09/25/2025</t>
        </is>
      </c>
      <c r="B218" s="1920" t="n">
        <v>8040.67</v>
      </c>
      <c r="C218" s="1919" t="inlineStr">
        <is>
          <t>585</t>
        </is>
      </c>
      <c r="D218" s="1921">
        <f>B218/B219-1</f>
        <v/>
      </c>
      <c r="E218" s="1921">
        <f>C218/C219-1</f>
        <v/>
      </c>
      <c r="F218" s="1921">
        <f>$L$2/365</f>
        <v/>
      </c>
      <c r="G218" s="1921">
        <f>D218-F218</f>
        <v/>
      </c>
      <c r="H218" s="1921">
        <f>E218-F218</f>
        <v/>
      </c>
    </row>
    <row r="219" ht="14.25" customHeight="1">
      <c r="A219" s="1919" t="inlineStr">
        <is>
          <t>09/24/2025</t>
        </is>
      </c>
      <c r="B219" s="1920" t="n">
        <v>8126.56</v>
      </c>
      <c r="C219" s="1919" t="inlineStr">
        <is>
          <t>600</t>
        </is>
      </c>
      <c r="D219" s="1921">
        <f>B219/B220-1</f>
        <v/>
      </c>
      <c r="E219" s="1921">
        <f>C219/C220-1</f>
        <v/>
      </c>
      <c r="F219" s="1921">
        <f>$L$2/365</f>
        <v/>
      </c>
      <c r="G219" s="1921">
        <f>D219-F219</f>
        <v/>
      </c>
      <c r="H219" s="1921">
        <f>E219-F219</f>
        <v/>
      </c>
    </row>
    <row r="220" ht="14.25" customHeight="1">
      <c r="A220" s="1919" t="inlineStr">
        <is>
          <t>09/23/2025</t>
        </is>
      </c>
      <c r="B220" s="1920" t="n">
        <v>8125.2</v>
      </c>
      <c r="C220" s="1919" t="inlineStr">
        <is>
          <t>615</t>
        </is>
      </c>
      <c r="D220" s="1921">
        <f>B220/B221-1</f>
        <v/>
      </c>
      <c r="E220" s="1921">
        <f>C220/C221-1</f>
        <v/>
      </c>
      <c r="F220" s="1921">
        <f>$L$2/365</f>
        <v/>
      </c>
      <c r="G220" s="1921">
        <f>D220-F220</f>
        <v/>
      </c>
      <c r="H220" s="1921">
        <f>E220-F220</f>
        <v/>
      </c>
    </row>
    <row r="221" ht="14.25" customHeight="1">
      <c r="A221" s="1919" t="inlineStr">
        <is>
          <t>09/22/2025</t>
        </is>
      </c>
      <c r="B221" s="1920" t="n">
        <v>8040.04</v>
      </c>
      <c r="C221" s="1919" t="inlineStr">
        <is>
          <t>610</t>
        </is>
      </c>
      <c r="D221" s="1921">
        <f>B221/B222-1</f>
        <v/>
      </c>
      <c r="E221" s="1921">
        <f>C221/C222-1</f>
        <v/>
      </c>
      <c r="F221" s="1921">
        <f>$L$2/365</f>
        <v/>
      </c>
      <c r="G221" s="1921">
        <f>D221-F221</f>
        <v/>
      </c>
      <c r="H221" s="1921">
        <f>E221-F221</f>
        <v/>
      </c>
    </row>
    <row r="222" ht="14.25" customHeight="1">
      <c r="A222" s="1919" t="inlineStr">
        <is>
          <t>09/19/2025</t>
        </is>
      </c>
      <c r="B222" s="1920" t="n">
        <v>8051.12</v>
      </c>
      <c r="C222" s="1919" t="inlineStr">
        <is>
          <t>610</t>
        </is>
      </c>
      <c r="D222" s="1921">
        <f>B222/B223-1</f>
        <v/>
      </c>
      <c r="E222" s="1921">
        <f>C222/C223-1</f>
        <v/>
      </c>
      <c r="F222" s="1921">
        <f>$L$2/365</f>
        <v/>
      </c>
      <c r="G222" s="1921">
        <f>D222-F222</f>
        <v/>
      </c>
      <c r="H222" s="1921">
        <f>E222-F222</f>
        <v/>
      </c>
    </row>
    <row r="223" ht="14.25" customHeight="1">
      <c r="A223" s="1919" t="inlineStr">
        <is>
          <t>09/18/2025</t>
        </is>
      </c>
      <c r="B223" s="1920" t="n">
        <v>8008.43</v>
      </c>
      <c r="C223" s="1919" t="inlineStr">
        <is>
          <t>590</t>
        </is>
      </c>
      <c r="D223" s="1921">
        <f>B223/B224-1</f>
        <v/>
      </c>
      <c r="E223" s="1921">
        <f>C223/C224-1</f>
        <v/>
      </c>
      <c r="F223" s="1921">
        <f>$L$2/365</f>
        <v/>
      </c>
      <c r="G223" s="1921">
        <f>D223-F223</f>
        <v/>
      </c>
      <c r="H223" s="1921">
        <f>E223-F223</f>
        <v/>
      </c>
    </row>
    <row r="224" ht="14.25" customHeight="1">
      <c r="A224" s="1919" t="inlineStr">
        <is>
          <t>09/17/2025</t>
        </is>
      </c>
      <c r="B224" s="1920" t="n">
        <v>8025.18</v>
      </c>
      <c r="C224" s="1919" t="inlineStr">
        <is>
          <t>610</t>
        </is>
      </c>
      <c r="D224" s="1921">
        <f>B224/B225-1</f>
        <v/>
      </c>
      <c r="E224" s="1921">
        <f>C224/C225-1</f>
        <v/>
      </c>
      <c r="F224" s="1921">
        <f>$L$2/365</f>
        <v/>
      </c>
      <c r="G224" s="1921">
        <f>D224-F224</f>
        <v/>
      </c>
      <c r="H224" s="1921">
        <f>E224-F224</f>
        <v/>
      </c>
    </row>
    <row r="225" ht="14.25" customHeight="1">
      <c r="A225" s="1919" t="inlineStr">
        <is>
          <t>09/16/2025</t>
        </is>
      </c>
      <c r="B225" s="1920" t="n">
        <v>7957.7</v>
      </c>
      <c r="C225" s="1919" t="inlineStr">
        <is>
          <t>600</t>
        </is>
      </c>
      <c r="D225" s="1921">
        <f>B225/B226-1</f>
        <v/>
      </c>
      <c r="E225" s="1921">
        <f>C225/C226-1</f>
        <v/>
      </c>
      <c r="F225" s="1921">
        <f>$L$2/365</f>
        <v/>
      </c>
      <c r="G225" s="1921">
        <f>D225-F225</f>
        <v/>
      </c>
      <c r="H225" s="1921">
        <f>E225-F225</f>
        <v/>
      </c>
    </row>
    <row r="226" ht="14.25" customHeight="1">
      <c r="A226" s="1919" t="inlineStr">
        <is>
          <t>09/15/2025</t>
        </is>
      </c>
      <c r="B226" s="1920" t="n">
        <v>7937.12</v>
      </c>
      <c r="C226" s="1919" t="inlineStr">
        <is>
          <t>590</t>
        </is>
      </c>
      <c r="D226" s="1921">
        <f>B226/B227-1</f>
        <v/>
      </c>
      <c r="E226" s="1921">
        <f>C226/C227-1</f>
        <v/>
      </c>
      <c r="F226" s="1921">
        <f>$L$2/365</f>
        <v/>
      </c>
      <c r="G226" s="1921">
        <f>D226-F226</f>
        <v/>
      </c>
      <c r="H226" s="1921">
        <f>E226-F226</f>
        <v/>
      </c>
    </row>
    <row r="227" ht="14.25" customHeight="1">
      <c r="A227" s="1919" t="inlineStr">
        <is>
          <t>09/12/2025</t>
        </is>
      </c>
      <c r="B227" s="1920" t="n">
        <v>7854.06</v>
      </c>
      <c r="C227" s="1919" t="inlineStr">
        <is>
          <t>585</t>
        </is>
      </c>
      <c r="D227" s="1921">
        <f>B227/B228-1</f>
        <v/>
      </c>
      <c r="E227" s="1921">
        <f>C227/C228-1</f>
        <v/>
      </c>
      <c r="F227" s="1921">
        <f>$L$2/365</f>
        <v/>
      </c>
      <c r="G227" s="1921">
        <f>D227-F227</f>
        <v/>
      </c>
      <c r="H227" s="1921">
        <f>E227-F227</f>
        <v/>
      </c>
    </row>
    <row r="228" ht="14.25" customHeight="1">
      <c r="A228" s="1919" t="inlineStr">
        <is>
          <t>09/11/2025</t>
        </is>
      </c>
      <c r="B228" s="1920" t="n">
        <v>7747.9</v>
      </c>
      <c r="C228" s="1919" t="inlineStr">
        <is>
          <t>585</t>
        </is>
      </c>
      <c r="D228" s="1921">
        <f>B228/B229-1</f>
        <v/>
      </c>
      <c r="E228" s="1921">
        <f>C228/C229-1</f>
        <v/>
      </c>
      <c r="F228" s="1921">
        <f>$L$2/365</f>
        <v/>
      </c>
      <c r="G228" s="1921">
        <f>D228-F228</f>
        <v/>
      </c>
      <c r="H228" s="1921">
        <f>E228-F228</f>
        <v/>
      </c>
    </row>
    <row r="229" ht="14.25" customHeight="1">
      <c r="A229" s="1919" t="inlineStr">
        <is>
          <t>09/10/2025</t>
        </is>
      </c>
      <c r="B229" s="1920" t="n">
        <v>7699.01</v>
      </c>
      <c r="C229" s="1919" t="inlineStr">
        <is>
          <t>580</t>
        </is>
      </c>
      <c r="D229" s="1921">
        <f>B229/B230-1</f>
        <v/>
      </c>
      <c r="E229" s="1921">
        <f>C229/C230-1</f>
        <v/>
      </c>
      <c r="F229" s="1921">
        <f>$L$2/365</f>
        <v/>
      </c>
      <c r="G229" s="1921">
        <f>D229-F229</f>
        <v/>
      </c>
      <c r="H229" s="1921">
        <f>E229-F229</f>
        <v/>
      </c>
    </row>
    <row r="230" ht="14.25" customHeight="1">
      <c r="A230" s="1919" t="inlineStr">
        <is>
          <t>09/09/2025</t>
        </is>
      </c>
      <c r="B230" s="1920" t="n">
        <v>7628.6</v>
      </c>
      <c r="C230" s="1919" t="inlineStr">
        <is>
          <t>590</t>
        </is>
      </c>
      <c r="D230" s="1921">
        <f>B230/B231-1</f>
        <v/>
      </c>
      <c r="E230" s="1921">
        <f>C230/C231-1</f>
        <v/>
      </c>
      <c r="F230" s="1921">
        <f>$L$2/365</f>
        <v/>
      </c>
      <c r="G230" s="1921">
        <f>D230-F230</f>
        <v/>
      </c>
      <c r="H230" s="1921">
        <f>E230-F230</f>
        <v/>
      </c>
    </row>
    <row r="231" ht="14.25" customHeight="1">
      <c r="A231" s="1919" t="inlineStr">
        <is>
          <t>09/08/2025</t>
        </is>
      </c>
      <c r="B231" s="1920" t="n">
        <v>7766.85</v>
      </c>
      <c r="C231" s="1919" t="inlineStr">
        <is>
          <t>590</t>
        </is>
      </c>
      <c r="D231" s="1921">
        <f>B231/B232-1</f>
        <v/>
      </c>
      <c r="E231" s="1921">
        <f>C231/C232-1</f>
        <v/>
      </c>
      <c r="F231" s="1921">
        <f>$L$2/365</f>
        <v/>
      </c>
      <c r="G231" s="1921">
        <f>D231-F231</f>
        <v/>
      </c>
      <c r="H231" s="1921">
        <f>E231-F231</f>
        <v/>
      </c>
    </row>
    <row r="232" ht="14.25" customHeight="1">
      <c r="A232" s="1919" t="inlineStr">
        <is>
          <t>09/04/2025</t>
        </is>
      </c>
      <c r="B232" s="1920" t="n">
        <v>7867.35</v>
      </c>
      <c r="C232" s="1919" t="inlineStr">
        <is>
          <t>600</t>
        </is>
      </c>
      <c r="D232" s="1921">
        <f>B232/B233-1</f>
        <v/>
      </c>
      <c r="E232" s="1921">
        <f>C232/C233-1</f>
        <v/>
      </c>
      <c r="F232" s="1921">
        <f>$L$2/365</f>
        <v/>
      </c>
      <c r="G232" s="1921">
        <f>D232-F232</f>
        <v/>
      </c>
      <c r="H232" s="1921">
        <f>E232-F232</f>
        <v/>
      </c>
    </row>
    <row r="233" ht="14.25" customHeight="1">
      <c r="A233" s="1919" t="inlineStr">
        <is>
          <t>09/03/2025</t>
        </is>
      </c>
      <c r="B233" s="1920" t="n">
        <v>7885.86</v>
      </c>
      <c r="C233" s="1919" t="inlineStr">
        <is>
          <t>595</t>
        </is>
      </c>
      <c r="D233" s="1921">
        <f>B233/B234-1</f>
        <v/>
      </c>
      <c r="E233" s="1921">
        <f>C233/C234-1</f>
        <v/>
      </c>
      <c r="F233" s="1921">
        <f>$L$2/365</f>
        <v/>
      </c>
      <c r="G233" s="1921">
        <f>D233-F233</f>
        <v/>
      </c>
      <c r="H233" s="1921">
        <f>E233-F233</f>
        <v/>
      </c>
    </row>
    <row r="234" ht="14.25" customHeight="1">
      <c r="A234" s="1919" t="inlineStr">
        <is>
          <t>09/02/2025</t>
        </is>
      </c>
      <c r="B234" s="1920" t="n">
        <v>7801.58</v>
      </c>
      <c r="C234" s="1919" t="inlineStr">
        <is>
          <t>595</t>
        </is>
      </c>
      <c r="D234" s="1921">
        <f>B234/B235-1</f>
        <v/>
      </c>
      <c r="E234" s="1921">
        <f>C234/C235-1</f>
        <v/>
      </c>
      <c r="F234" s="1921">
        <f>$L$2/365</f>
        <v/>
      </c>
      <c r="G234" s="1921">
        <f>D234-F234</f>
        <v/>
      </c>
      <c r="H234" s="1921">
        <f>E234-F234</f>
        <v/>
      </c>
    </row>
    <row r="235" ht="14.25" customHeight="1">
      <c r="A235" s="1919" t="inlineStr">
        <is>
          <t>09/01/2025</t>
        </is>
      </c>
      <c r="B235" s="1920" t="n">
        <v>7736.07</v>
      </c>
      <c r="C235" s="1919" t="inlineStr">
        <is>
          <t>605</t>
        </is>
      </c>
      <c r="D235" s="1921">
        <f>B235/B236-1</f>
        <v/>
      </c>
      <c r="E235" s="1921">
        <f>C235/C236-1</f>
        <v/>
      </c>
      <c r="F235" s="1921">
        <f>$L$2/365</f>
        <v/>
      </c>
      <c r="G235" s="1921">
        <f>D235-F235</f>
        <v/>
      </c>
      <c r="H235" s="1921">
        <f>E235-F235</f>
        <v/>
      </c>
    </row>
    <row r="236" ht="14.25" customHeight="1">
      <c r="A236" s="1919" t="inlineStr">
        <is>
          <t>08/29/2025</t>
        </is>
      </c>
      <c r="B236" s="1920" t="n">
        <v>7830.49</v>
      </c>
      <c r="C236" s="1919" t="inlineStr">
        <is>
          <t>615</t>
        </is>
      </c>
      <c r="D236" s="1921">
        <f>B236/B237-1</f>
        <v/>
      </c>
      <c r="E236" s="1921">
        <f>C236/C237-1</f>
        <v/>
      </c>
      <c r="F236" s="1921">
        <f>$L$2/365</f>
        <v/>
      </c>
      <c r="G236" s="1921">
        <f>D236-F236</f>
        <v/>
      </c>
      <c r="H236" s="1921">
        <f>E236-F236</f>
        <v/>
      </c>
    </row>
    <row r="237" ht="14.25" customHeight="1">
      <c r="A237" s="1919" t="inlineStr">
        <is>
          <t>08/28/2025</t>
        </is>
      </c>
      <c r="B237" s="1920" t="n">
        <v>7952.09</v>
      </c>
      <c r="C237" s="1919" t="inlineStr">
        <is>
          <t>645</t>
        </is>
      </c>
      <c r="D237" s="1921">
        <f>B237/B238-1</f>
        <v/>
      </c>
      <c r="E237" s="1921">
        <f>C237/C238-1</f>
        <v/>
      </c>
      <c r="F237" s="1921">
        <f>$L$2/365</f>
        <v/>
      </c>
      <c r="G237" s="1921">
        <f>D237-F237</f>
        <v/>
      </c>
      <c r="H237" s="1921">
        <f>E237-F237</f>
        <v/>
      </c>
    </row>
    <row r="238" ht="14.25" customHeight="1">
      <c r="A238" s="1919" t="inlineStr">
        <is>
          <t>08/27/2025</t>
        </is>
      </c>
      <c r="B238" s="1920" t="n">
        <v>7936.18</v>
      </c>
      <c r="C238" s="1919" t="inlineStr">
        <is>
          <t>650</t>
        </is>
      </c>
      <c r="D238" s="1921">
        <f>B238/B239-1</f>
        <v/>
      </c>
      <c r="E238" s="1921">
        <f>C238/C239-1</f>
        <v/>
      </c>
      <c r="F238" s="1921">
        <f>$L$2/365</f>
        <v/>
      </c>
      <c r="G238" s="1921">
        <f>D238-F238</f>
        <v/>
      </c>
      <c r="H238" s="1921">
        <f>E238-F238</f>
        <v/>
      </c>
    </row>
    <row r="239" ht="14.25" customHeight="1">
      <c r="A239" s="1919" t="inlineStr">
        <is>
          <t>08/26/2025</t>
        </is>
      </c>
      <c r="B239" s="1920" t="n">
        <v>7905.76</v>
      </c>
      <c r="C239" s="1919" t="inlineStr">
        <is>
          <t>635</t>
        </is>
      </c>
      <c r="D239" s="1921">
        <f>B239/B240-1</f>
        <v/>
      </c>
      <c r="E239" s="1921">
        <f>C239/C240-1</f>
        <v/>
      </c>
      <c r="F239" s="1921">
        <f>$L$2/365</f>
        <v/>
      </c>
      <c r="G239" s="1921">
        <f>D239-F239</f>
        <v/>
      </c>
      <c r="H239" s="1921">
        <f>E239-F239</f>
        <v/>
      </c>
    </row>
    <row r="240" ht="14.25" customHeight="1">
      <c r="A240" s="1919" t="inlineStr">
        <is>
          <t>08/25/2025</t>
        </is>
      </c>
      <c r="B240" s="1920" t="n">
        <v>7926.91</v>
      </c>
      <c r="C240" s="1919" t="inlineStr">
        <is>
          <t>685</t>
        </is>
      </c>
      <c r="D240" s="1921">
        <f>B240/B241-1</f>
        <v/>
      </c>
      <c r="E240" s="1921">
        <f>C240/C241-1</f>
        <v/>
      </c>
      <c r="F240" s="1921">
        <f>$L$2/365</f>
        <v/>
      </c>
      <c r="G240" s="1921">
        <f>D240-F240</f>
        <v/>
      </c>
      <c r="H240" s="1921">
        <f>E240-F240</f>
        <v/>
      </c>
    </row>
    <row r="241" ht="14.25" customHeight="1">
      <c r="A241" s="1919" t="inlineStr">
        <is>
          <t>08/22/2025</t>
        </is>
      </c>
      <c r="B241" s="1920" t="n">
        <v>7858.85</v>
      </c>
      <c r="C241" s="1919" t="inlineStr">
        <is>
          <t>605</t>
        </is>
      </c>
      <c r="D241" s="1921">
        <f>B241/B242-1</f>
        <v/>
      </c>
      <c r="E241" s="1921">
        <f>C241/C242-1</f>
        <v/>
      </c>
      <c r="F241" s="1921">
        <f>$L$2/365</f>
        <v/>
      </c>
      <c r="G241" s="1921">
        <f>D241-F241</f>
        <v/>
      </c>
      <c r="H241" s="1921">
        <f>E241-F241</f>
        <v/>
      </c>
    </row>
    <row r="242" ht="14.25" customHeight="1">
      <c r="A242" s="1919" t="inlineStr">
        <is>
          <t>08/21/2025</t>
        </is>
      </c>
      <c r="B242" s="1920" t="n">
        <v>7890.71</v>
      </c>
      <c r="C242" s="1919" t="inlineStr">
        <is>
          <t>615</t>
        </is>
      </c>
      <c r="D242" s="1921">
        <f>B242/B243-1</f>
        <v/>
      </c>
      <c r="E242" s="1921">
        <f>C242/C243-1</f>
        <v/>
      </c>
      <c r="F242" s="1921">
        <f>$L$2/365</f>
        <v/>
      </c>
      <c r="G242" s="1921">
        <f>D242-F242</f>
        <v/>
      </c>
      <c r="H242" s="1921">
        <f>E242-F242</f>
        <v/>
      </c>
    </row>
    <row r="243" ht="14.25" customHeight="1">
      <c r="A243" s="1919" t="inlineStr">
        <is>
          <t>08/20/2025</t>
        </is>
      </c>
      <c r="B243" s="1920" t="n">
        <v>7943.83</v>
      </c>
      <c r="C243" s="1919" t="inlineStr">
        <is>
          <t>625</t>
        </is>
      </c>
      <c r="D243" s="1921">
        <f>B243/B244-1</f>
        <v/>
      </c>
      <c r="E243" s="1921">
        <f>C243/C244-1</f>
        <v/>
      </c>
      <c r="F243" s="1921">
        <f>$L$2/365</f>
        <v/>
      </c>
      <c r="G243" s="1921">
        <f>D243-F243</f>
        <v/>
      </c>
      <c r="H243" s="1921">
        <f>E243-F243</f>
        <v/>
      </c>
    </row>
    <row r="244" ht="14.25" customHeight="1">
      <c r="A244" s="1919" t="inlineStr">
        <is>
          <t>08/19/2025</t>
        </is>
      </c>
      <c r="B244" s="1920" t="n">
        <v>7862.95</v>
      </c>
      <c r="C244" s="1919" t="inlineStr">
        <is>
          <t>615</t>
        </is>
      </c>
      <c r="D244" s="1921">
        <f>B244/B245-1</f>
        <v/>
      </c>
      <c r="E244" s="1921">
        <f>C244/C245-1</f>
        <v/>
      </c>
      <c r="F244" s="1921">
        <f>$L$2/365</f>
        <v/>
      </c>
      <c r="G244" s="1921">
        <f>D244-F244</f>
        <v/>
      </c>
      <c r="H244" s="1921">
        <f>E244-F244</f>
        <v/>
      </c>
    </row>
    <row r="245" ht="14.25" customHeight="1">
      <c r="A245" s="1919" t="inlineStr">
        <is>
          <t>08/15/2025</t>
        </is>
      </c>
      <c r="B245" s="1920" t="n">
        <v>7898.38</v>
      </c>
      <c r="C245" s="1919" t="inlineStr">
        <is>
          <t>615</t>
        </is>
      </c>
      <c r="D245" s="1921">
        <f>B245/B246-1</f>
        <v/>
      </c>
      <c r="E245" s="1921">
        <f>C245/C246-1</f>
        <v/>
      </c>
      <c r="F245" s="1921">
        <f>$L$2/365</f>
        <v/>
      </c>
      <c r="G245" s="1921">
        <f>D245-F245</f>
        <v/>
      </c>
      <c r="H245" s="1921">
        <f>E245-F245</f>
        <v/>
      </c>
    </row>
    <row r="246" ht="14.25" customHeight="1">
      <c r="A246" s="1919" t="inlineStr">
        <is>
          <t>08/14/2025</t>
        </is>
      </c>
      <c r="B246" s="1920" t="n">
        <v>7931.25</v>
      </c>
      <c r="C246" s="1919" t="inlineStr">
        <is>
          <t>635</t>
        </is>
      </c>
      <c r="D246" s="1921">
        <f>B246/B247-1</f>
        <v/>
      </c>
      <c r="E246" s="1921">
        <f>C246/C247-1</f>
        <v/>
      </c>
      <c r="F246" s="1921">
        <f>$L$2/365</f>
        <v/>
      </c>
      <c r="G246" s="1921">
        <f>D246-F246</f>
        <v/>
      </c>
      <c r="H246" s="1921">
        <f>E246-F246</f>
        <v/>
      </c>
    </row>
    <row r="247" ht="14.25" customHeight="1">
      <c r="A247" s="1919" t="inlineStr">
        <is>
          <t>08/13/2025</t>
        </is>
      </c>
      <c r="B247" s="1920" t="n">
        <v>7892.91</v>
      </c>
      <c r="C247" s="1919" t="inlineStr">
        <is>
          <t>645</t>
        </is>
      </c>
      <c r="D247" s="1921">
        <f>B247/B248-1</f>
        <v/>
      </c>
      <c r="E247" s="1921">
        <f>C247/C248-1</f>
        <v/>
      </c>
      <c r="F247" s="1921">
        <f>$L$2/365</f>
        <v/>
      </c>
      <c r="G247" s="1921">
        <f>D247-F247</f>
        <v/>
      </c>
      <c r="H247" s="1921">
        <f>E247-F247</f>
        <v/>
      </c>
    </row>
    <row r="248" ht="14.25" customHeight="1">
      <c r="A248" s="1919" t="inlineStr">
        <is>
          <t>08/12/2025</t>
        </is>
      </c>
      <c r="B248" s="1920" t="n">
        <v>7791.7</v>
      </c>
      <c r="C248" s="1919" t="inlineStr">
        <is>
          <t>640</t>
        </is>
      </c>
      <c r="D248" s="1921">
        <f>B248/B249-1</f>
        <v/>
      </c>
      <c r="E248" s="1921">
        <f>C248/C249-1</f>
        <v/>
      </c>
      <c r="F248" s="1921">
        <f>$L$2/365</f>
        <v/>
      </c>
      <c r="G248" s="1921">
        <f>D248-F248</f>
        <v/>
      </c>
      <c r="H248" s="1921">
        <f>E248-F248</f>
        <v/>
      </c>
    </row>
    <row r="249" ht="14.25" customHeight="1">
      <c r="A249" s="1919" t="inlineStr">
        <is>
          <t>08/11/2025</t>
        </is>
      </c>
      <c r="B249" s="1920" t="n">
        <v>7605.92</v>
      </c>
      <c r="C249" s="1919" t="inlineStr">
        <is>
          <t>645</t>
        </is>
      </c>
      <c r="D249" s="1921">
        <f>B249/B250-1</f>
        <v/>
      </c>
      <c r="E249" s="1921">
        <f>C249/C250-1</f>
        <v/>
      </c>
      <c r="F249" s="1921">
        <f>$L$2/365</f>
        <v/>
      </c>
      <c r="G249" s="1921">
        <f>D249-F249</f>
        <v/>
      </c>
      <c r="H249" s="1921">
        <f>E249-F249</f>
        <v/>
      </c>
    </row>
    <row r="250" ht="14.25" customHeight="1">
      <c r="A250" s="1919" t="inlineStr">
        <is>
          <t>08/08/2025</t>
        </is>
      </c>
      <c r="B250" s="1920" t="n">
        <v>7533.38</v>
      </c>
      <c r="C250" s="1919" t="inlineStr">
        <is>
          <t>620</t>
        </is>
      </c>
      <c r="D250" s="1921">
        <f>B250/B251-1</f>
        <v/>
      </c>
      <c r="E250" s="1921">
        <f>C250/C251-1</f>
        <v/>
      </c>
      <c r="F250" s="1921">
        <f>$L$2/365</f>
        <v/>
      </c>
      <c r="G250" s="1921">
        <f>D250-F250</f>
        <v/>
      </c>
      <c r="H250" s="1921">
        <f>E250-F250</f>
        <v/>
      </c>
    </row>
    <row r="251" ht="14.25" customHeight="1">
      <c r="A251" s="1919" t="inlineStr">
        <is>
          <t>08/07/2025</t>
        </is>
      </c>
      <c r="B251" s="1920" t="n">
        <v>7490.18</v>
      </c>
      <c r="C251" s="1919" t="inlineStr">
        <is>
          <t>620</t>
        </is>
      </c>
      <c r="D251" s="1921">
        <f>B251/B252-1</f>
        <v/>
      </c>
      <c r="E251" s="1921">
        <f>C251/C252-1</f>
        <v/>
      </c>
      <c r="F251" s="1921">
        <f>$L$2/365</f>
        <v/>
      </c>
      <c r="G251" s="1921">
        <f>D251-F251</f>
        <v/>
      </c>
      <c r="H251" s="1921">
        <f>E251-F251</f>
        <v/>
      </c>
    </row>
    <row r="252" ht="14.25" customHeight="1">
      <c r="A252" s="1919" t="inlineStr">
        <is>
          <t>08/06/2025</t>
        </is>
      </c>
      <c r="B252" s="1920" t="n">
        <v>7503.75</v>
      </c>
      <c r="C252" s="1919" t="inlineStr">
        <is>
          <t>610</t>
        </is>
      </c>
      <c r="D252" s="1921">
        <f>B252/B253-1</f>
        <v/>
      </c>
      <c r="E252" s="1921">
        <f>C252/C253-1</f>
        <v/>
      </c>
      <c r="F252" s="1921">
        <f>$L$2/365</f>
        <v/>
      </c>
      <c r="G252" s="1921">
        <f>D252-F252</f>
        <v/>
      </c>
      <c r="H252" s="1921">
        <f>E252-F252</f>
        <v/>
      </c>
    </row>
    <row r="253" ht="14.25" customHeight="1">
      <c r="A253" s="1919" t="inlineStr">
        <is>
          <t>08/05/2025</t>
        </is>
      </c>
      <c r="B253" s="1920" t="n">
        <v>7515.19</v>
      </c>
      <c r="C253" s="1919" t="inlineStr">
        <is>
          <t>620</t>
        </is>
      </c>
      <c r="D253" s="1921">
        <f>B253/B254-1</f>
        <v/>
      </c>
      <c r="E253" s="1921">
        <f>C253/C254-1</f>
        <v/>
      </c>
      <c r="F253" s="1921">
        <f>$L$2/365</f>
        <v/>
      </c>
      <c r="G253" s="1921">
        <f>D253-F253</f>
        <v/>
      </c>
      <c r="H253" s="1921">
        <f>E253-F253</f>
        <v/>
      </c>
    </row>
    <row r="254" ht="14.25" customHeight="1">
      <c r="A254" s="1919" t="inlineStr">
        <is>
          <t>08/04/2025</t>
        </is>
      </c>
      <c r="B254" s="1920" t="n">
        <v>7464.65</v>
      </c>
      <c r="C254" s="1919" t="inlineStr">
        <is>
          <t>635</t>
        </is>
      </c>
      <c r="D254" s="1921">
        <f>B254/B255-1</f>
        <v/>
      </c>
      <c r="E254" s="1921">
        <f>C254/C255-1</f>
        <v/>
      </c>
      <c r="F254" s="1921">
        <f>$L$2/365</f>
        <v/>
      </c>
      <c r="G254" s="1921">
        <f>D254-F254</f>
        <v/>
      </c>
      <c r="H254" s="1921">
        <f>E254-F254</f>
        <v/>
      </c>
    </row>
    <row r="255" ht="14.25" customHeight="1">
      <c r="A255" s="1919" t="inlineStr">
        <is>
          <t>08/01/2025</t>
        </is>
      </c>
      <c r="B255" s="1920" t="n">
        <v>7537.77</v>
      </c>
      <c r="C255" s="1919" t="inlineStr">
        <is>
          <t>630</t>
        </is>
      </c>
      <c r="D255" s="1921">
        <f>B255/B256-1</f>
        <v/>
      </c>
      <c r="E255" s="1921">
        <f>C255/C256-1</f>
        <v/>
      </c>
      <c r="F255" s="1921">
        <f>$L$2/365</f>
        <v/>
      </c>
      <c r="G255" s="1921">
        <f>D255-F255</f>
        <v/>
      </c>
      <c r="H255" s="1921">
        <f>E255-F255</f>
        <v/>
      </c>
    </row>
    <row r="256" ht="14.25" customHeight="1">
      <c r="A256" s="1919" t="inlineStr">
        <is>
          <t>07/31/2025</t>
        </is>
      </c>
      <c r="B256" s="1920" t="n">
        <v>7484.34</v>
      </c>
      <c r="C256" s="1919" t="inlineStr">
        <is>
          <t>610</t>
        </is>
      </c>
      <c r="D256" s="1921">
        <f>B256/B257-1</f>
        <v/>
      </c>
      <c r="E256" s="1921">
        <f>C256/C257-1</f>
        <v/>
      </c>
      <c r="F256" s="1921">
        <f>$L$2/365</f>
        <v/>
      </c>
      <c r="G256" s="1921">
        <f>D256-F256</f>
        <v/>
      </c>
      <c r="H256" s="1921">
        <f>E256-F256</f>
        <v/>
      </c>
    </row>
    <row r="257" ht="14.25" customHeight="1">
      <c r="A257" s="1919" t="inlineStr">
        <is>
          <t>07/30/2025</t>
        </is>
      </c>
      <c r="B257" s="1920" t="n">
        <v>7549.89</v>
      </c>
      <c r="C257" s="1919" t="inlineStr">
        <is>
          <t>660</t>
        </is>
      </c>
      <c r="D257" s="1921">
        <f>B257/B258-1</f>
        <v/>
      </c>
      <c r="E257" s="1921">
        <f>C257/C258-1</f>
        <v/>
      </c>
      <c r="F257" s="1921">
        <f>$L$2/365</f>
        <v/>
      </c>
      <c r="G257" s="1921">
        <f>D257-F257</f>
        <v/>
      </c>
      <c r="H257" s="1921">
        <f>E257-F257</f>
        <v/>
      </c>
    </row>
    <row r="258" ht="14.25" customHeight="1">
      <c r="A258" s="1919" t="inlineStr">
        <is>
          <t>07/29/2025</t>
        </is>
      </c>
      <c r="B258" s="1920" t="n">
        <v>7617.91</v>
      </c>
      <c r="C258" s="1919" t="inlineStr">
        <is>
          <t>675</t>
        </is>
      </c>
      <c r="D258" s="1921">
        <f>B258/B259-1</f>
        <v/>
      </c>
      <c r="E258" s="1921">
        <f>C258/C259-1</f>
        <v/>
      </c>
      <c r="F258" s="1921">
        <f>$L$2/365</f>
        <v/>
      </c>
      <c r="G258" s="1921">
        <f>D258-F258</f>
        <v/>
      </c>
      <c r="H258" s="1921">
        <f>E258-F258</f>
        <v/>
      </c>
    </row>
    <row r="259" ht="14.25" customHeight="1">
      <c r="A259" s="1919" t="inlineStr">
        <is>
          <t>07/28/2025</t>
        </is>
      </c>
      <c r="B259" s="1920" t="n">
        <v>7614.77</v>
      </c>
      <c r="C259" s="1919" t="inlineStr">
        <is>
          <t>675</t>
        </is>
      </c>
      <c r="D259" s="1921">
        <f>B259/B260-1</f>
        <v/>
      </c>
      <c r="E259" s="1921">
        <f>C259/C260-1</f>
        <v/>
      </c>
      <c r="F259" s="1921">
        <f>$L$2/365</f>
        <v/>
      </c>
      <c r="G259" s="1921">
        <f>D259-F259</f>
        <v/>
      </c>
      <c r="H259" s="1921">
        <f>E259-F259</f>
        <v/>
      </c>
    </row>
    <row r="260" ht="14.25" customHeight="1">
      <c r="A260" s="1919" t="inlineStr">
        <is>
          <t>07/25/2025</t>
        </is>
      </c>
      <c r="B260" s="1920" t="n">
        <v>7543.5</v>
      </c>
      <c r="C260" s="1919" t="inlineStr">
        <is>
          <t>660</t>
        </is>
      </c>
      <c r="D260" s="1921">
        <f>B260/B261-1</f>
        <v/>
      </c>
      <c r="E260" s="1921">
        <f>C260/C261-1</f>
        <v/>
      </c>
      <c r="F260" s="1921">
        <f>$L$2/365</f>
        <v/>
      </c>
      <c r="G260" s="1921">
        <f>D260-F260</f>
        <v/>
      </c>
      <c r="H260" s="1921">
        <f>E260-F260</f>
        <v/>
      </c>
    </row>
    <row r="261" ht="14.25" customHeight="1">
      <c r="A261" s="1919" t="inlineStr">
        <is>
          <t>07/24/2025</t>
        </is>
      </c>
      <c r="B261" s="1920" t="n">
        <v>7530.9</v>
      </c>
      <c r="C261" s="1919" t="inlineStr">
        <is>
          <t>660</t>
        </is>
      </c>
      <c r="D261" s="1921">
        <f>B261/B262-1</f>
        <v/>
      </c>
      <c r="E261" s="1921">
        <f>C261/C262-1</f>
        <v/>
      </c>
      <c r="F261" s="1921">
        <f>$L$2/365</f>
        <v/>
      </c>
      <c r="G261" s="1921">
        <f>D261-F261</f>
        <v/>
      </c>
      <c r="H261" s="1921">
        <f>E261-F261</f>
        <v/>
      </c>
    </row>
    <row r="262" ht="14.25" customHeight="1">
      <c r="A262" s="1919" t="inlineStr">
        <is>
          <t>07/23/2025</t>
        </is>
      </c>
      <c r="B262" s="1920" t="n">
        <v>7469.23</v>
      </c>
      <c r="C262" s="1919" t="inlineStr">
        <is>
          <t>675</t>
        </is>
      </c>
      <c r="D262" s="1921">
        <f>B262/B263-1</f>
        <v/>
      </c>
      <c r="E262" s="1921">
        <f>C262/C263-1</f>
        <v/>
      </c>
      <c r="F262" s="1921">
        <f>$L$2/365</f>
        <v/>
      </c>
      <c r="G262" s="1921">
        <f>D262-F262</f>
        <v/>
      </c>
      <c r="H262" s="1921">
        <f>E262-F262</f>
        <v/>
      </c>
    </row>
    <row r="263" ht="14.25" customHeight="1">
      <c r="A263" s="1919" t="inlineStr">
        <is>
          <t>07/22/2025</t>
        </is>
      </c>
      <c r="B263" s="1920" t="n">
        <v>7344.74</v>
      </c>
      <c r="C263" s="1919" t="inlineStr">
        <is>
          <t>650</t>
        </is>
      </c>
      <c r="D263" s="1921">
        <f>B263/B264-1</f>
        <v/>
      </c>
      <c r="E263" s="1921">
        <f>C263/C264-1</f>
        <v/>
      </c>
      <c r="F263" s="1921">
        <f>$L$2/365</f>
        <v/>
      </c>
      <c r="G263" s="1921">
        <f>D263-F263</f>
        <v/>
      </c>
      <c r="H263" s="1921">
        <f>E263-F263</f>
        <v/>
      </c>
    </row>
    <row r="264" ht="14.25" customHeight="1">
      <c r="A264" s="1919" t="inlineStr">
        <is>
          <t>07/21/2025</t>
        </is>
      </c>
      <c r="B264" s="1920" t="n">
        <v>7398.19</v>
      </c>
      <c r="C264" s="1919" t="inlineStr">
        <is>
          <t>660</t>
        </is>
      </c>
      <c r="D264" s="1921">
        <f>B264/B265-1</f>
        <v/>
      </c>
      <c r="E264" s="1921">
        <f>C264/C265-1</f>
        <v/>
      </c>
      <c r="F264" s="1921">
        <f>$L$2/365</f>
        <v/>
      </c>
      <c r="G264" s="1921">
        <f>D264-F264</f>
        <v/>
      </c>
      <c r="H264" s="1921">
        <f>E264-F264</f>
        <v/>
      </c>
    </row>
    <row r="265" ht="14.25" customHeight="1">
      <c r="A265" s="1919" t="inlineStr">
        <is>
          <t>07/18/2025</t>
        </is>
      </c>
      <c r="B265" s="1920" t="n">
        <v>7311.92</v>
      </c>
      <c r="C265" s="1919" t="inlineStr">
        <is>
          <t>575</t>
        </is>
      </c>
      <c r="D265" s="1921">
        <f>B265/B266-1</f>
        <v/>
      </c>
      <c r="E265" s="1921">
        <f>C265/C266-1</f>
        <v/>
      </c>
      <c r="F265" s="1921">
        <f>$L$2/365</f>
        <v/>
      </c>
      <c r="G265" s="1921">
        <f>D265-F265</f>
        <v/>
      </c>
      <c r="H265" s="1921">
        <f>E265-F265</f>
        <v/>
      </c>
    </row>
    <row r="266" ht="14.25" customHeight="1">
      <c r="A266" s="1919" t="inlineStr">
        <is>
          <t>07/17/2025</t>
        </is>
      </c>
      <c r="B266" s="1920" t="n">
        <v>7287.02</v>
      </c>
      <c r="C266" s="1919" t="inlineStr">
        <is>
          <t>590</t>
        </is>
      </c>
      <c r="D266" s="1921">
        <f>B266/B267-1</f>
        <v/>
      </c>
      <c r="E266" s="1921">
        <f>C266/C267-1</f>
        <v/>
      </c>
      <c r="F266" s="1921">
        <f>$L$2/365</f>
        <v/>
      </c>
      <c r="G266" s="1921">
        <f>D266-F266</f>
        <v/>
      </c>
      <c r="H266" s="1921">
        <f>E266-F266</f>
        <v/>
      </c>
    </row>
    <row r="267" ht="14.25" customHeight="1">
      <c r="A267" s="1919" t="inlineStr">
        <is>
          <t>07/16/2025</t>
        </is>
      </c>
      <c r="B267" s="1920" t="n">
        <v>7192.02</v>
      </c>
      <c r="C267" s="1919" t="inlineStr">
        <is>
          <t>580</t>
        </is>
      </c>
      <c r="D267" s="1921">
        <f>B267/B268-1</f>
        <v/>
      </c>
      <c r="E267" s="1921">
        <f>C267/C268-1</f>
        <v/>
      </c>
      <c r="F267" s="1921">
        <f>$L$2/365</f>
        <v/>
      </c>
      <c r="G267" s="1921">
        <f>D267-F267</f>
        <v/>
      </c>
      <c r="H267" s="1921">
        <f>E267-F267</f>
        <v/>
      </c>
    </row>
    <row r="268" ht="14.25" customHeight="1">
      <c r="A268" s="1919" t="inlineStr">
        <is>
          <t>07/15/2025</t>
        </is>
      </c>
      <c r="B268" s="1920" t="n">
        <v>7140.47</v>
      </c>
      <c r="C268" s="1919" t="inlineStr">
        <is>
          <t>585</t>
        </is>
      </c>
      <c r="D268" s="1921">
        <f>B268/B269-1</f>
        <v/>
      </c>
      <c r="E268" s="1921">
        <f>C268/C269-1</f>
        <v/>
      </c>
      <c r="F268" s="1921">
        <f>$L$2/365</f>
        <v/>
      </c>
      <c r="G268" s="1921">
        <f>D268-F268</f>
        <v/>
      </c>
      <c r="H268" s="1921">
        <f>E268-F268</f>
        <v/>
      </c>
    </row>
    <row r="269" ht="14.25" customHeight="1">
      <c r="A269" s="1919" t="inlineStr">
        <is>
          <t>07/14/2025</t>
        </is>
      </c>
      <c r="B269" s="1920" t="n">
        <v>7097.15</v>
      </c>
      <c r="C269" s="1919" t="inlineStr">
        <is>
          <t>555</t>
        </is>
      </c>
      <c r="D269" s="1921">
        <f>B269/B270-1</f>
        <v/>
      </c>
      <c r="E269" s="1921">
        <f>C269/C270-1</f>
        <v/>
      </c>
      <c r="F269" s="1921">
        <f>$L$2/365</f>
        <v/>
      </c>
      <c r="G269" s="1921">
        <f>D269-F269</f>
        <v/>
      </c>
      <c r="H269" s="1921">
        <f>E269-F269</f>
        <v/>
      </c>
    </row>
    <row r="270" ht="14.25" customHeight="1">
      <c r="A270" s="1919" t="inlineStr">
        <is>
          <t>07/11/2025</t>
        </is>
      </c>
      <c r="B270" s="1920" t="n">
        <v>7047.44</v>
      </c>
      <c r="C270" s="1919" t="inlineStr">
        <is>
          <t>545</t>
        </is>
      </c>
      <c r="D270" s="1921">
        <f>B270/B271-1</f>
        <v/>
      </c>
      <c r="E270" s="1921">
        <f>C270/C271-1</f>
        <v/>
      </c>
      <c r="F270" s="1921">
        <f>$L$2/365</f>
        <v/>
      </c>
      <c r="G270" s="1921">
        <f>D270-F270</f>
        <v/>
      </c>
      <c r="H270" s="1921">
        <f>E270-F270</f>
        <v/>
      </c>
    </row>
    <row r="271" ht="14.25" customHeight="1">
      <c r="A271" s="1919" t="inlineStr">
        <is>
          <t>07/10/2025</t>
        </is>
      </c>
      <c r="B271" s="1920" t="n">
        <v>7005.37</v>
      </c>
      <c r="C271" s="1919" t="inlineStr">
        <is>
          <t>545</t>
        </is>
      </c>
      <c r="D271" s="1921">
        <f>B271/B272-1</f>
        <v/>
      </c>
      <c r="E271" s="1921">
        <f>C271/C272-1</f>
        <v/>
      </c>
      <c r="F271" s="1921">
        <f>$L$2/365</f>
        <v/>
      </c>
      <c r="G271" s="1921">
        <f>D271-F271</f>
        <v/>
      </c>
      <c r="H271" s="1921">
        <f>E271-F271</f>
        <v/>
      </c>
    </row>
    <row r="272" ht="14.25" customHeight="1">
      <c r="A272" s="1919" t="inlineStr">
        <is>
          <t>07/09/2025</t>
        </is>
      </c>
      <c r="B272" s="1920" t="n">
        <v>6943.92</v>
      </c>
      <c r="C272" s="1919" t="inlineStr">
        <is>
          <t>525</t>
        </is>
      </c>
      <c r="D272" s="1921">
        <f>B272/B273-1</f>
        <v/>
      </c>
      <c r="E272" s="1921">
        <f>C272/C273-1</f>
        <v/>
      </c>
      <c r="F272" s="1921">
        <f>$L$2/365</f>
        <v/>
      </c>
      <c r="G272" s="1921">
        <f>D272-F272</f>
        <v/>
      </c>
      <c r="H272" s="1921">
        <f>E272-F272</f>
        <v/>
      </c>
    </row>
    <row r="273" ht="14.25" customHeight="1">
      <c r="A273" s="1919" t="inlineStr">
        <is>
          <t>07/08/2025</t>
        </is>
      </c>
      <c r="B273" s="1920" t="n">
        <v>6904.39</v>
      </c>
      <c r="C273" s="1919" t="inlineStr">
        <is>
          <t>535</t>
        </is>
      </c>
      <c r="D273" s="1921">
        <f>B273/B274-1</f>
        <v/>
      </c>
      <c r="E273" s="1921">
        <f>C273/C274-1</f>
        <v/>
      </c>
      <c r="F273" s="1921">
        <f>$L$2/365</f>
        <v/>
      </c>
      <c r="G273" s="1921">
        <f>D273-F273</f>
        <v/>
      </c>
      <c r="H273" s="1921">
        <f>E273-F273</f>
        <v/>
      </c>
    </row>
    <row r="274" ht="14.25" customHeight="1">
      <c r="A274" s="1919" t="inlineStr">
        <is>
          <t>07/07/2025</t>
        </is>
      </c>
      <c r="B274" s="1920" t="n">
        <v>6900.93</v>
      </c>
      <c r="C274" s="1919" t="inlineStr">
        <is>
          <t>520</t>
        </is>
      </c>
      <c r="D274" s="1921">
        <f>B274/B275-1</f>
        <v/>
      </c>
      <c r="E274" s="1921">
        <f>C274/C275-1</f>
        <v/>
      </c>
      <c r="F274" s="1921">
        <f>$L$2/365</f>
        <v/>
      </c>
      <c r="G274" s="1921">
        <f>D274-F274</f>
        <v/>
      </c>
      <c r="H274" s="1921">
        <f>E274-F274</f>
        <v/>
      </c>
    </row>
    <row r="275" ht="14.25" customHeight="1">
      <c r="A275" s="1919" t="inlineStr">
        <is>
          <t>07/04/2025</t>
        </is>
      </c>
      <c r="B275" s="1920" t="n">
        <v>6865.19</v>
      </c>
      <c r="C275" s="1919" t="inlineStr">
        <is>
          <t>520</t>
        </is>
      </c>
      <c r="D275" s="1921">
        <f>B275/B276-1</f>
        <v/>
      </c>
      <c r="E275" s="1921">
        <f>C275/C276-1</f>
        <v/>
      </c>
      <c r="F275" s="1921">
        <f>$L$2/365</f>
        <v/>
      </c>
      <c r="G275" s="1921">
        <f>D275-F275</f>
        <v/>
      </c>
      <c r="H275" s="1921">
        <f>E275-F275</f>
        <v/>
      </c>
    </row>
    <row r="276" ht="14.25" customHeight="1">
      <c r="A276" s="1919" t="inlineStr">
        <is>
          <t>07/03/2025</t>
        </is>
      </c>
      <c r="B276" s="1920" t="n">
        <v>6878.05</v>
      </c>
      <c r="C276" s="1919" t="inlineStr">
        <is>
          <t>535</t>
        </is>
      </c>
      <c r="D276" s="1921">
        <f>B276/B277-1</f>
        <v/>
      </c>
      <c r="E276" s="1921">
        <f>C276/C277-1</f>
        <v/>
      </c>
      <c r="F276" s="1921">
        <f>$L$2/365</f>
        <v/>
      </c>
      <c r="G276" s="1921">
        <f>D276-F276</f>
        <v/>
      </c>
      <c r="H276" s="1921">
        <f>E276-F276</f>
        <v/>
      </c>
    </row>
    <row r="277" ht="14.25" customHeight="1">
      <c r="A277" s="1919" t="inlineStr">
        <is>
          <t>07/02/2025</t>
        </is>
      </c>
      <c r="B277" s="1920" t="n">
        <v>6881.25</v>
      </c>
      <c r="C277" s="1919" t="inlineStr">
        <is>
          <t>550</t>
        </is>
      </c>
      <c r="D277" s="1921">
        <f>B277/B278-1</f>
        <v/>
      </c>
      <c r="E277" s="1921">
        <f>C277/C278-1</f>
        <v/>
      </c>
      <c r="F277" s="1921">
        <f>$L$2/365</f>
        <v/>
      </c>
      <c r="G277" s="1921">
        <f>D277-F277</f>
        <v/>
      </c>
      <c r="H277" s="1921">
        <f>E277-F277</f>
        <v/>
      </c>
    </row>
    <row r="278" ht="14.25" customHeight="1">
      <c r="A278" s="1919" t="inlineStr">
        <is>
          <t>07/01/2025</t>
        </is>
      </c>
      <c r="B278" s="1920" t="n">
        <v>6915.36</v>
      </c>
      <c r="C278" s="1919" t="inlineStr">
        <is>
          <t>494</t>
        </is>
      </c>
      <c r="D278" s="1921">
        <f>B278/B279-1</f>
        <v/>
      </c>
      <c r="E278" s="1921">
        <f>C278/C279-1</f>
        <v/>
      </c>
      <c r="F278" s="1921">
        <f>$L$2/365</f>
        <v/>
      </c>
      <c r="G278" s="1921">
        <f>D278-F278</f>
        <v/>
      </c>
      <c r="H278" s="1921">
        <f>E278-F278</f>
        <v/>
      </c>
    </row>
    <row r="279" ht="14.25" customHeight="1">
      <c r="A279" s="1919" t="inlineStr">
        <is>
          <t>06/30/2025</t>
        </is>
      </c>
      <c r="B279" s="1920" t="n">
        <v>6927.68</v>
      </c>
      <c r="C279" s="1919" t="inlineStr">
        <is>
          <t>494</t>
        </is>
      </c>
      <c r="D279" s="1921">
        <f>B279/B280-1</f>
        <v/>
      </c>
      <c r="E279" s="1921">
        <f>C279/C280-1</f>
        <v/>
      </c>
      <c r="F279" s="1921">
        <f>$L$2/365</f>
        <v/>
      </c>
      <c r="G279" s="1921">
        <f>D279-F279</f>
        <v/>
      </c>
      <c r="H279" s="1921">
        <f>E279-F279</f>
        <v/>
      </c>
    </row>
    <row r="280" ht="14.25" customHeight="1">
      <c r="A280" s="1919" t="inlineStr">
        <is>
          <t>06/26/2025</t>
        </is>
      </c>
      <c r="B280" s="1920" t="n">
        <v>6897.4</v>
      </c>
      <c r="C280" s="1919" t="inlineStr">
        <is>
          <t>496</t>
        </is>
      </c>
      <c r="D280" s="1921">
        <f>B280/B281-1</f>
        <v/>
      </c>
      <c r="E280" s="1921">
        <f>C280/C281-1</f>
        <v/>
      </c>
      <c r="F280" s="1921">
        <f>$L$2/365</f>
        <v/>
      </c>
      <c r="G280" s="1921">
        <f>D280-F280</f>
        <v/>
      </c>
      <c r="H280" s="1921">
        <f>E280-F280</f>
        <v/>
      </c>
    </row>
    <row r="281" ht="14.25" customHeight="1">
      <c r="A281" s="1919" t="inlineStr">
        <is>
          <t>06/25/2025</t>
        </is>
      </c>
      <c r="B281" s="1920" t="n">
        <v>6832.14</v>
      </c>
      <c r="C281" s="1919" t="inlineStr">
        <is>
          <t>494</t>
        </is>
      </c>
      <c r="D281" s="1921">
        <f>B281/B282-1</f>
        <v/>
      </c>
      <c r="E281" s="1921">
        <f>C281/C282-1</f>
        <v/>
      </c>
      <c r="F281" s="1921">
        <f>$L$2/365</f>
        <v/>
      </c>
      <c r="G281" s="1921">
        <f>D281-F281</f>
        <v/>
      </c>
      <c r="H281" s="1921">
        <f>E281-F281</f>
        <v/>
      </c>
    </row>
    <row r="282" ht="14.25" customHeight="1">
      <c r="A282" s="1919" t="inlineStr">
        <is>
          <t>06/24/2025</t>
        </is>
      </c>
      <c r="B282" s="1920" t="n">
        <v>6869.17</v>
      </c>
      <c r="C282" s="1919" t="inlineStr">
        <is>
          <t>488</t>
        </is>
      </c>
      <c r="D282" s="1921">
        <f>B282/B283-1</f>
        <v/>
      </c>
      <c r="E282" s="1921">
        <f>C282/C283-1</f>
        <v/>
      </c>
      <c r="F282" s="1921">
        <f>$L$2/365</f>
        <v/>
      </c>
      <c r="G282" s="1921">
        <f>D282-F282</f>
        <v/>
      </c>
      <c r="H282" s="1921">
        <f>E282-F282</f>
        <v/>
      </c>
    </row>
    <row r="283" ht="14.25" customHeight="1">
      <c r="A283" s="1919" t="inlineStr">
        <is>
          <t>06/23/2025</t>
        </is>
      </c>
      <c r="B283" s="1920" t="n">
        <v>6787.14</v>
      </c>
      <c r="C283" s="1919" t="inlineStr">
        <is>
          <t>480</t>
        </is>
      </c>
      <c r="D283" s="1921">
        <f>B283/B284-1</f>
        <v/>
      </c>
      <c r="E283" s="1921">
        <f>C283/C284-1</f>
        <v/>
      </c>
      <c r="F283" s="1921">
        <f>$L$2/365</f>
        <v/>
      </c>
      <c r="G283" s="1921">
        <f>D283-F283</f>
        <v/>
      </c>
      <c r="H283" s="1921">
        <f>E283-F283</f>
        <v/>
      </c>
    </row>
    <row r="284" ht="14.25" customHeight="1">
      <c r="A284" s="1919" t="inlineStr">
        <is>
          <t>06/20/2025</t>
        </is>
      </c>
      <c r="B284" s="1920" t="n">
        <v>6907.14</v>
      </c>
      <c r="C284" s="1919" t="inlineStr">
        <is>
          <t>486</t>
        </is>
      </c>
      <c r="D284" s="1921">
        <f>B284/B285-1</f>
        <v/>
      </c>
      <c r="E284" s="1921">
        <f>C284/C285-1</f>
        <v/>
      </c>
      <c r="F284" s="1921">
        <f>$L$2/365</f>
        <v/>
      </c>
      <c r="G284" s="1921">
        <f>D284-F284</f>
        <v/>
      </c>
      <c r="H284" s="1921">
        <f>E284-F284</f>
        <v/>
      </c>
    </row>
    <row r="285" ht="14.25" customHeight="1">
      <c r="A285" s="1919" t="inlineStr">
        <is>
          <t>06/19/2025</t>
        </is>
      </c>
      <c r="B285" s="1920" t="n">
        <v>6968.64</v>
      </c>
      <c r="C285" s="1919" t="inlineStr">
        <is>
          <t>500</t>
        </is>
      </c>
      <c r="D285" s="1921">
        <f>B285/B286-1</f>
        <v/>
      </c>
      <c r="E285" s="1921">
        <f>C285/C286-1</f>
        <v/>
      </c>
      <c r="F285" s="1921">
        <f>$L$2/365</f>
        <v/>
      </c>
      <c r="G285" s="1921">
        <f>D285-F285</f>
        <v/>
      </c>
      <c r="H285" s="1921">
        <f>E285-F285</f>
        <v/>
      </c>
    </row>
    <row r="286" ht="14.25" customHeight="1">
      <c r="A286" s="1919" t="inlineStr">
        <is>
          <t>06/18/2025</t>
        </is>
      </c>
      <c r="B286" s="1920" t="n">
        <v>7107.79</v>
      </c>
      <c r="C286" s="1919" t="inlineStr">
        <is>
          <t>510</t>
        </is>
      </c>
      <c r="D286" s="1921">
        <f>B286/B287-1</f>
        <v/>
      </c>
      <c r="E286" s="1921">
        <f>C286/C287-1</f>
        <v/>
      </c>
      <c r="F286" s="1921">
        <f>$L$2/365</f>
        <v/>
      </c>
      <c r="G286" s="1921">
        <f>D286-F286</f>
        <v/>
      </c>
      <c r="H286" s="1921">
        <f>E286-F286</f>
        <v/>
      </c>
    </row>
    <row r="287" ht="14.25" customHeight="1">
      <c r="A287" s="1919" t="inlineStr">
        <is>
          <t>06/17/2025</t>
        </is>
      </c>
      <c r="B287" s="1920" t="n">
        <v>7155.85</v>
      </c>
      <c r="C287" s="1919" t="inlineStr">
        <is>
          <t>535</t>
        </is>
      </c>
      <c r="D287" s="1921">
        <f>B287/B288-1</f>
        <v/>
      </c>
      <c r="E287" s="1921">
        <f>C287/C288-1</f>
        <v/>
      </c>
      <c r="F287" s="1921">
        <f>$L$2/365</f>
        <v/>
      </c>
      <c r="G287" s="1921">
        <f>D287-F287</f>
        <v/>
      </c>
      <c r="H287" s="1921">
        <f>E287-F287</f>
        <v/>
      </c>
    </row>
    <row r="288" ht="14.25" customHeight="1">
      <c r="A288" s="1919" t="inlineStr">
        <is>
          <t>06/16/2025</t>
        </is>
      </c>
      <c r="B288" s="1920" t="n">
        <v>7117.59</v>
      </c>
      <c r="C288" s="1919" t="inlineStr">
        <is>
          <t>530</t>
        </is>
      </c>
      <c r="D288" s="1921">
        <f>B288/B289-1</f>
        <v/>
      </c>
      <c r="E288" s="1921">
        <f>C288/C289-1</f>
        <v/>
      </c>
      <c r="F288" s="1921">
        <f>$L$2/365</f>
        <v/>
      </c>
      <c r="G288" s="1921">
        <f>D288-F288</f>
        <v/>
      </c>
      <c r="H288" s="1921">
        <f>E288-F288</f>
        <v/>
      </c>
    </row>
    <row r="289" ht="14.25" customHeight="1">
      <c r="A289" s="1919" t="inlineStr">
        <is>
          <t>06/13/2025</t>
        </is>
      </c>
      <c r="B289" s="1920" t="n">
        <v>7166.06</v>
      </c>
      <c r="C289" s="1919" t="inlineStr">
        <is>
          <t>535</t>
        </is>
      </c>
      <c r="D289" s="1921">
        <f>B289/B290-1</f>
        <v/>
      </c>
      <c r="E289" s="1921">
        <f>C289/C290-1</f>
        <v/>
      </c>
      <c r="F289" s="1921">
        <f>$L$2/365</f>
        <v/>
      </c>
      <c r="G289" s="1921">
        <f>D289-F289</f>
        <v/>
      </c>
      <c r="H289" s="1921">
        <f>E289-F289</f>
        <v/>
      </c>
    </row>
    <row r="290" ht="14.25" customHeight="1">
      <c r="A290" s="1919" t="inlineStr">
        <is>
          <t>06/12/2025</t>
        </is>
      </c>
      <c r="B290" s="1920" t="n">
        <v>7204.37</v>
      </c>
      <c r="C290" s="1919" t="inlineStr">
        <is>
          <t>545</t>
        </is>
      </c>
      <c r="D290" s="1921">
        <f>B290/B291-1</f>
        <v/>
      </c>
      <c r="E290" s="1921">
        <f>C290/C291-1</f>
        <v/>
      </c>
      <c r="F290" s="1921">
        <f>$L$2/365</f>
        <v/>
      </c>
      <c r="G290" s="1921">
        <f>D290-F290</f>
        <v/>
      </c>
      <c r="H290" s="1921">
        <f>E290-F290</f>
        <v/>
      </c>
    </row>
    <row r="291" ht="14.25" customHeight="1">
      <c r="A291" s="1919" t="inlineStr">
        <is>
          <t>06/11/2025</t>
        </is>
      </c>
      <c r="B291" s="1920" t="n">
        <v>7222.46</v>
      </c>
      <c r="C291" s="1919" t="inlineStr">
        <is>
          <t>550</t>
        </is>
      </c>
      <c r="D291" s="1921">
        <f>B291/B292-1</f>
        <v/>
      </c>
      <c r="E291" s="1921">
        <f>C291/C292-1</f>
        <v/>
      </c>
      <c r="F291" s="1921">
        <f>$L$2/365</f>
        <v/>
      </c>
      <c r="G291" s="1921">
        <f>D291-F291</f>
        <v/>
      </c>
      <c r="H291" s="1921">
        <f>E291-F291</f>
        <v/>
      </c>
    </row>
    <row r="292" ht="14.25" customHeight="1">
      <c r="A292" s="1919" t="inlineStr">
        <is>
          <t>06/10/2025</t>
        </is>
      </c>
      <c r="B292" s="1920" t="n">
        <v>7230.75</v>
      </c>
      <c r="C292" s="1919" t="inlineStr">
        <is>
          <t>525</t>
        </is>
      </c>
      <c r="D292" s="1921">
        <f>B292/B293-1</f>
        <v/>
      </c>
      <c r="E292" s="1921">
        <f>C292/C293-1</f>
        <v/>
      </c>
      <c r="F292" s="1921">
        <f>$L$2/365</f>
        <v/>
      </c>
      <c r="G292" s="1921">
        <f>D292-F292</f>
        <v/>
      </c>
      <c r="H292" s="1921">
        <f>E292-F292</f>
        <v/>
      </c>
    </row>
    <row r="293" ht="14.25" customHeight="1">
      <c r="A293" s="1919" t="inlineStr">
        <is>
          <t>06/05/2025</t>
        </is>
      </c>
      <c r="B293" s="1920" t="n">
        <v>7113.42</v>
      </c>
      <c r="C293" s="1919" t="inlineStr">
        <is>
          <t>530</t>
        </is>
      </c>
      <c r="D293" s="1921">
        <f>B293/B294-1</f>
        <v/>
      </c>
      <c r="E293" s="1921">
        <f>C293/C294-1</f>
        <v/>
      </c>
      <c r="F293" s="1921">
        <f>$L$2/365</f>
        <v/>
      </c>
      <c r="G293" s="1921">
        <f>D293-F293</f>
        <v/>
      </c>
      <c r="H293" s="1921">
        <f>E293-F293</f>
        <v/>
      </c>
    </row>
    <row r="294" ht="14.25" customHeight="1">
      <c r="A294" s="1919" t="inlineStr">
        <is>
          <t>06/04/2025</t>
        </is>
      </c>
      <c r="B294" s="1920" t="n">
        <v>7069.04</v>
      </c>
      <c r="C294" s="1919" t="inlineStr">
        <is>
          <t>555</t>
        </is>
      </c>
      <c r="D294" s="1921">
        <f>B294/B295-1</f>
        <v/>
      </c>
      <c r="E294" s="1921">
        <f>C294/C295-1</f>
        <v/>
      </c>
      <c r="F294" s="1921">
        <f>$L$2/365</f>
        <v/>
      </c>
      <c r="G294" s="1921">
        <f>D294-F294</f>
        <v/>
      </c>
      <c r="H294" s="1921">
        <f>E294-F294</f>
        <v/>
      </c>
    </row>
    <row r="295" ht="14.25" customHeight="1">
      <c r="A295" s="1919" t="inlineStr">
        <is>
          <t>06/03/2025</t>
        </is>
      </c>
      <c r="B295" s="1920" t="n">
        <v>7044.82</v>
      </c>
      <c r="C295" s="1919" t="inlineStr">
        <is>
          <t>550</t>
        </is>
      </c>
      <c r="D295" s="1921">
        <f>B295/B296-1</f>
        <v/>
      </c>
      <c r="E295" s="1921">
        <f>C295/C296-1</f>
        <v/>
      </c>
      <c r="F295" s="1921">
        <f>$L$2/365</f>
        <v/>
      </c>
      <c r="G295" s="1921">
        <f>D295-F295</f>
        <v/>
      </c>
      <c r="H295" s="1921">
        <f>E295-F295</f>
        <v/>
      </c>
    </row>
    <row r="296" ht="14.25" customHeight="1">
      <c r="A296" s="1919" t="inlineStr">
        <is>
          <t>06/02/2025</t>
        </is>
      </c>
      <c r="B296" s="1920" t="n">
        <v>7065.07</v>
      </c>
      <c r="C296" s="1919" t="inlineStr">
        <is>
          <t>570</t>
        </is>
      </c>
      <c r="D296" s="1921">
        <f>B296/B297-1</f>
        <v/>
      </c>
      <c r="E296" s="1921">
        <f>C296/C297-1</f>
        <v/>
      </c>
      <c r="F296" s="1921">
        <f>$L$2/365</f>
        <v/>
      </c>
      <c r="G296" s="1921">
        <f>D296-F296</f>
        <v/>
      </c>
      <c r="H296" s="1921">
        <f>E296-F296</f>
        <v/>
      </c>
    </row>
    <row r="297" ht="14.25" customHeight="1">
      <c r="A297" s="1919" t="inlineStr">
        <is>
          <t>05/28/2025</t>
        </is>
      </c>
      <c r="B297" s="1920" t="n">
        <v>7175.82</v>
      </c>
      <c r="C297" s="1919" t="inlineStr">
        <is>
          <t>585</t>
        </is>
      </c>
      <c r="D297" s="1921">
        <f>B297/B298-1</f>
        <v/>
      </c>
      <c r="E297" s="1921">
        <f>C297/C298-1</f>
        <v/>
      </c>
      <c r="F297" s="1921">
        <f>$L$2/365</f>
        <v/>
      </c>
      <c r="G297" s="1921">
        <f>D297-F297</f>
        <v/>
      </c>
      <c r="H297" s="1921">
        <f>E297-F297</f>
        <v/>
      </c>
    </row>
    <row r="298" ht="14.25" customHeight="1">
      <c r="A298" s="1919" t="inlineStr">
        <is>
          <t>05/27/2025</t>
        </is>
      </c>
      <c r="B298" s="1920" t="n">
        <v>7198.97</v>
      </c>
      <c r="C298" s="1919" t="inlineStr">
        <is>
          <t>580</t>
        </is>
      </c>
      <c r="D298" s="1921">
        <f>B298/B299-1</f>
        <v/>
      </c>
      <c r="E298" s="1921">
        <f>C298/C299-1</f>
        <v/>
      </c>
      <c r="F298" s="1921">
        <f>$L$2/365</f>
        <v/>
      </c>
      <c r="G298" s="1921">
        <f>D298-F298</f>
        <v/>
      </c>
      <c r="H298" s="1921">
        <f>E298-F298</f>
        <v/>
      </c>
    </row>
    <row r="299" ht="14.25" customHeight="1">
      <c r="A299" s="1919" t="inlineStr">
        <is>
          <t>05/26/2025</t>
        </is>
      </c>
      <c r="B299" s="1920" t="n">
        <v>7188.35</v>
      </c>
      <c r="C299" s="1919" t="inlineStr">
        <is>
          <t>580</t>
        </is>
      </c>
      <c r="D299" s="1921">
        <f>B299/B300-1</f>
        <v/>
      </c>
      <c r="E299" s="1921">
        <f>C299/C300-1</f>
        <v/>
      </c>
      <c r="F299" s="1921">
        <f>$L$2/365</f>
        <v/>
      </c>
      <c r="G299" s="1921">
        <f>D299-F299</f>
        <v/>
      </c>
      <c r="H299" s="1921">
        <f>E299-F299</f>
        <v/>
      </c>
    </row>
    <row r="300" ht="14.25" customHeight="1">
      <c r="A300" s="1919" t="inlineStr">
        <is>
          <t>05/23/2025</t>
        </is>
      </c>
      <c r="B300" s="1920" t="n">
        <v>7214.16</v>
      </c>
      <c r="C300" s="1919" t="inlineStr">
        <is>
          <t>595</t>
        </is>
      </c>
      <c r="D300" s="1921">
        <f>B300/B301-1</f>
        <v/>
      </c>
      <c r="E300" s="1921">
        <f>C300/C301-1</f>
        <v/>
      </c>
      <c r="F300" s="1921">
        <f>$L$2/365</f>
        <v/>
      </c>
      <c r="G300" s="1921">
        <f>D300-F300</f>
        <v/>
      </c>
      <c r="H300" s="1921">
        <f>E300-F300</f>
        <v/>
      </c>
    </row>
    <row r="301" ht="14.25" customHeight="1">
      <c r="A301" s="1919" t="inlineStr">
        <is>
          <t>05/22/2025</t>
        </is>
      </c>
      <c r="B301" s="1920" t="n">
        <v>7166.98</v>
      </c>
      <c r="C301" s="1919" t="inlineStr">
        <is>
          <t>600</t>
        </is>
      </c>
      <c r="D301" s="1921">
        <f>B301/B302-1</f>
        <v/>
      </c>
      <c r="E301" s="1921">
        <f>C301/C302-1</f>
        <v/>
      </c>
      <c r="F301" s="1921">
        <f>$L$2/365</f>
        <v/>
      </c>
      <c r="G301" s="1921">
        <f>D301-F301</f>
        <v/>
      </c>
      <c r="H301" s="1921">
        <f>E301-F301</f>
        <v/>
      </c>
    </row>
    <row r="302" ht="14.25" customHeight="1">
      <c r="A302" s="1919" t="inlineStr">
        <is>
          <t>05/21/2025</t>
        </is>
      </c>
      <c r="B302" s="1920" t="n">
        <v>7142.46</v>
      </c>
      <c r="C302" s="1919" t="inlineStr">
        <is>
          <t>615</t>
        </is>
      </c>
      <c r="D302" s="1921">
        <f>B302/B303-1</f>
        <v/>
      </c>
      <c r="E302" s="1921">
        <f>C302/C303-1</f>
        <v/>
      </c>
      <c r="F302" s="1921">
        <f>$L$2/365</f>
        <v/>
      </c>
      <c r="G302" s="1921">
        <f>D302-F302</f>
        <v/>
      </c>
      <c r="H302" s="1921">
        <f>E302-F302</f>
        <v/>
      </c>
    </row>
    <row r="303" ht="14.25" customHeight="1">
      <c r="A303" s="1919" t="inlineStr">
        <is>
          <t>05/20/2025</t>
        </is>
      </c>
      <c r="B303" s="1920" t="n">
        <v>7094.6</v>
      </c>
      <c r="C303" s="1919" t="inlineStr">
        <is>
          <t>610</t>
        </is>
      </c>
      <c r="D303" s="1921">
        <f>B303/B304-1</f>
        <v/>
      </c>
      <c r="E303" s="1921">
        <f>C303/C304-1</f>
        <v/>
      </c>
      <c r="F303" s="1921">
        <f>$L$2/365</f>
        <v/>
      </c>
      <c r="G303" s="1921">
        <f>D303-F303</f>
        <v/>
      </c>
      <c r="H303" s="1921">
        <f>E303-F303</f>
        <v/>
      </c>
    </row>
    <row r="304" ht="14.25" customHeight="1">
      <c r="A304" s="1919" t="inlineStr">
        <is>
          <t>05/19/2025</t>
        </is>
      </c>
      <c r="B304" s="1920" t="n">
        <v>7141.09</v>
      </c>
      <c r="C304" s="1919" t="inlineStr">
        <is>
          <t>600</t>
        </is>
      </c>
      <c r="D304" s="1921">
        <f>B304/B305-1</f>
        <v/>
      </c>
      <c r="E304" s="1921">
        <f>C304/C305-1</f>
        <v/>
      </c>
      <c r="F304" s="1921">
        <f>$L$2/365</f>
        <v/>
      </c>
      <c r="G304" s="1921">
        <f>D304-F304</f>
        <v/>
      </c>
      <c r="H304" s="1921">
        <f>E304-F304</f>
        <v/>
      </c>
    </row>
    <row r="305" ht="14.25" customHeight="1">
      <c r="A305" s="1919" t="inlineStr">
        <is>
          <t>05/16/2025</t>
        </is>
      </c>
      <c r="B305" s="1920" t="n">
        <v>7106.53</v>
      </c>
      <c r="C305" s="1919" t="inlineStr">
        <is>
          <t>615</t>
        </is>
      </c>
      <c r="D305" s="1921">
        <f>B305/B306-1</f>
        <v/>
      </c>
      <c r="E305" s="1921">
        <f>C305/C306-1</f>
        <v/>
      </c>
      <c r="F305" s="1921">
        <f>$L$2/365</f>
        <v/>
      </c>
      <c r="G305" s="1921">
        <f>D305-F305</f>
        <v/>
      </c>
      <c r="H305" s="1921">
        <f>E305-F305</f>
        <v/>
      </c>
    </row>
    <row r="306" ht="14.25" customHeight="1">
      <c r="A306" s="1919" t="inlineStr">
        <is>
          <t>05/15/2025</t>
        </is>
      </c>
      <c r="B306" s="1920" t="n">
        <v>7040.16</v>
      </c>
      <c r="C306" s="1919" t="inlineStr">
        <is>
          <t>615</t>
        </is>
      </c>
      <c r="D306" s="1921">
        <f>B306/B307-1</f>
        <v/>
      </c>
      <c r="E306" s="1921">
        <f>C306/C307-1</f>
        <v/>
      </c>
      <c r="F306" s="1921">
        <f>$L$2/365</f>
        <v/>
      </c>
      <c r="G306" s="1921">
        <f>D306-F306</f>
        <v/>
      </c>
      <c r="H306" s="1921">
        <f>E306-F306</f>
        <v/>
      </c>
    </row>
    <row r="307" ht="14.25" customHeight="1">
      <c r="A307" s="1919" t="inlineStr">
        <is>
          <t>05/14/2025</t>
        </is>
      </c>
      <c r="B307" s="1920" t="n">
        <v>6979.88</v>
      </c>
      <c r="C307" s="1919" t="inlineStr">
        <is>
          <t>625</t>
        </is>
      </c>
      <c r="D307" s="1921">
        <f>B307/B308-1</f>
        <v/>
      </c>
      <c r="E307" s="1921">
        <f>C307/C308-1</f>
        <v/>
      </c>
      <c r="F307" s="1921">
        <f>$L$2/365</f>
        <v/>
      </c>
      <c r="G307" s="1921">
        <f>D307-F307</f>
        <v/>
      </c>
      <c r="H307" s="1921">
        <f>E307-F307</f>
        <v/>
      </c>
    </row>
    <row r="308" ht="14.25" customHeight="1">
      <c r="A308" s="1919" t="inlineStr">
        <is>
          <t>05/09/2025</t>
        </is>
      </c>
      <c r="B308" s="1920" t="n">
        <v>6832.8</v>
      </c>
      <c r="C308" s="1919" t="inlineStr">
        <is>
          <t>600</t>
        </is>
      </c>
      <c r="D308" s="1921">
        <f>B308/B309-1</f>
        <v/>
      </c>
      <c r="E308" s="1921">
        <f>C308/C309-1</f>
        <v/>
      </c>
      <c r="F308" s="1921">
        <f>$L$2/365</f>
        <v/>
      </c>
      <c r="G308" s="1921">
        <f>D308-F308</f>
        <v/>
      </c>
      <c r="H308" s="1921">
        <f>E308-F308</f>
        <v/>
      </c>
    </row>
    <row r="309" ht="14.25" customHeight="1">
      <c r="A309" s="1919" t="inlineStr">
        <is>
          <t>05/08/2025</t>
        </is>
      </c>
      <c r="B309" s="1920" t="n">
        <v>6827.75</v>
      </c>
      <c r="C309" s="1919" t="inlineStr">
        <is>
          <t>600</t>
        </is>
      </c>
      <c r="D309" s="1921">
        <f>B309/B310-1</f>
        <v/>
      </c>
      <c r="E309" s="1921">
        <f>C309/C310-1</f>
        <v/>
      </c>
      <c r="F309" s="1921">
        <f>$L$2/365</f>
        <v/>
      </c>
      <c r="G309" s="1921">
        <f>D309-F309</f>
        <v/>
      </c>
      <c r="H309" s="1921">
        <f>E309-F309</f>
        <v/>
      </c>
    </row>
    <row r="310" ht="14.25" customHeight="1">
      <c r="A310" s="1919" t="inlineStr">
        <is>
          <t>05/07/2025</t>
        </is>
      </c>
      <c r="B310" s="1920" t="n">
        <v>6926.23</v>
      </c>
      <c r="C310" s="1919" t="inlineStr">
        <is>
          <t>590</t>
        </is>
      </c>
      <c r="D310" s="1921">
        <f>B310/B311-1</f>
        <v/>
      </c>
      <c r="E310" s="1921">
        <f>C310/C311-1</f>
        <v/>
      </c>
      <c r="F310" s="1921">
        <f>$L$2/365</f>
        <v/>
      </c>
      <c r="G310" s="1921">
        <f>D310-F310</f>
        <v/>
      </c>
      <c r="H310" s="1921">
        <f>E310-F310</f>
        <v/>
      </c>
    </row>
    <row r="311" ht="14.25" customHeight="1">
      <c r="A311" s="1919" t="inlineStr">
        <is>
          <t>05/06/2025</t>
        </is>
      </c>
      <c r="B311" s="1920" t="n">
        <v>6898.2</v>
      </c>
      <c r="C311" s="1919" t="inlineStr">
        <is>
          <t>575</t>
        </is>
      </c>
      <c r="D311" s="1921">
        <f>B311/B312-1</f>
        <v/>
      </c>
      <c r="E311" s="1921">
        <f>C311/C312-1</f>
        <v/>
      </c>
      <c r="F311" s="1921">
        <f>$L$2/365</f>
        <v/>
      </c>
      <c r="G311" s="1921">
        <f>D311-F311</f>
        <v/>
      </c>
      <c r="H311" s="1921">
        <f>E311-F311</f>
        <v/>
      </c>
    </row>
    <row r="312" ht="14.25" customHeight="1">
      <c r="A312" s="1919" t="inlineStr">
        <is>
          <t>05/05/2025</t>
        </is>
      </c>
      <c r="B312" s="1920" t="n">
        <v>6831.95</v>
      </c>
      <c r="C312" s="1919" t="inlineStr">
        <is>
          <t>580</t>
        </is>
      </c>
      <c r="D312" s="1921">
        <f>B312/B313-1</f>
        <v/>
      </c>
      <c r="E312" s="1921">
        <f>C312/C313-1</f>
        <v/>
      </c>
      <c r="F312" s="1921">
        <f>$L$2/365</f>
        <v/>
      </c>
      <c r="G312" s="1921">
        <f>D312-F312</f>
        <v/>
      </c>
      <c r="H312" s="1921">
        <f>E312-F312</f>
        <v/>
      </c>
    </row>
    <row r="313" ht="14.25" customHeight="1">
      <c r="A313" s="1919" t="inlineStr">
        <is>
          <t>05/02/2025</t>
        </is>
      </c>
      <c r="B313" s="1920" t="n">
        <v>6815.73</v>
      </c>
      <c r="C313" s="1919" t="inlineStr">
        <is>
          <t>585</t>
        </is>
      </c>
      <c r="D313" s="1921">
        <f>B313/B314-1</f>
        <v/>
      </c>
      <c r="E313" s="1921">
        <f>C313/C314-1</f>
        <v/>
      </c>
      <c r="F313" s="1921">
        <f>$L$2/365</f>
        <v/>
      </c>
      <c r="G313" s="1921">
        <f>D313-F313</f>
        <v/>
      </c>
      <c r="H313" s="1921">
        <f>E313-F313</f>
        <v/>
      </c>
    </row>
    <row r="314" ht="14.25" customHeight="1">
      <c r="A314" s="1919" t="inlineStr">
        <is>
          <t>04/30/2025</t>
        </is>
      </c>
      <c r="B314" s="1920" t="n">
        <v>6766.79</v>
      </c>
      <c r="C314" s="1919" t="inlineStr">
        <is>
          <t>570</t>
        </is>
      </c>
      <c r="D314" s="1921">
        <f>B314/B315-1</f>
        <v/>
      </c>
      <c r="E314" s="1921">
        <f>C314/C315-1</f>
        <v/>
      </c>
      <c r="F314" s="1921">
        <f>$L$2/365</f>
        <v/>
      </c>
      <c r="G314" s="1921">
        <f>D314-F314</f>
        <v/>
      </c>
      <c r="H314" s="1921">
        <f>E314-F314</f>
        <v/>
      </c>
    </row>
    <row r="315" ht="14.25" customHeight="1">
      <c r="A315" s="1919" t="inlineStr">
        <is>
          <t>04/29/2025</t>
        </is>
      </c>
      <c r="B315" s="1920" t="n">
        <v>6749.08</v>
      </c>
      <c r="C315" s="1919" t="inlineStr">
        <is>
          <t>590</t>
        </is>
      </c>
      <c r="D315" s="1921">
        <f>B315/B316-1</f>
        <v/>
      </c>
      <c r="E315" s="1921">
        <f>C315/C316-1</f>
        <v/>
      </c>
      <c r="F315" s="1921">
        <f>$L$2/365</f>
        <v/>
      </c>
      <c r="G315" s="1921">
        <f>D315-F315</f>
        <v/>
      </c>
      <c r="H315" s="1921">
        <f>E315-F315</f>
        <v/>
      </c>
    </row>
    <row r="316" ht="14.25" customHeight="1">
      <c r="A316" s="1919" t="inlineStr">
        <is>
          <t>04/28/2025</t>
        </is>
      </c>
      <c r="B316" s="1920" t="n">
        <v>6722.97</v>
      </c>
      <c r="C316" s="1919" t="inlineStr">
        <is>
          <t>565</t>
        </is>
      </c>
      <c r="D316" s="1921">
        <f>B316/B317-1</f>
        <v/>
      </c>
      <c r="E316" s="1921">
        <f>C316/C317-1</f>
        <v/>
      </c>
      <c r="F316" s="1921">
        <f>$L$2/365</f>
        <v/>
      </c>
      <c r="G316" s="1921">
        <f>D316-F316</f>
        <v/>
      </c>
      <c r="H316" s="1921">
        <f>E316-F316</f>
        <v/>
      </c>
    </row>
    <row r="317" ht="14.25" customHeight="1">
      <c r="A317" s="1919" t="inlineStr">
        <is>
          <t>04/25/2025</t>
        </is>
      </c>
      <c r="B317" s="1920" t="n">
        <v>6678.92</v>
      </c>
      <c r="C317" s="1919" t="inlineStr">
        <is>
          <t>555</t>
        </is>
      </c>
      <c r="D317" s="1921">
        <f>B317/B318-1</f>
        <v/>
      </c>
      <c r="E317" s="1921">
        <f>C317/C318-1</f>
        <v/>
      </c>
      <c r="F317" s="1921">
        <f>$L$2/365</f>
        <v/>
      </c>
      <c r="G317" s="1921">
        <f>D317-F317</f>
        <v/>
      </c>
      <c r="H317" s="1921">
        <f>E317-F317</f>
        <v/>
      </c>
    </row>
    <row r="318" ht="14.25" customHeight="1">
      <c r="A318" s="1919" t="inlineStr">
        <is>
          <t>04/24/2025</t>
        </is>
      </c>
      <c r="B318" s="1920" t="n">
        <v>6613.48</v>
      </c>
      <c r="C318" s="1919" t="inlineStr">
        <is>
          <t>545</t>
        </is>
      </c>
      <c r="D318" s="1921">
        <f>B318/B319-1</f>
        <v/>
      </c>
      <c r="E318" s="1921">
        <f>C318/C319-1</f>
        <v/>
      </c>
      <c r="F318" s="1921">
        <f>$L$2/365</f>
        <v/>
      </c>
      <c r="G318" s="1921">
        <f>D318-F318</f>
        <v/>
      </c>
      <c r="H318" s="1921">
        <f>E318-F318</f>
        <v/>
      </c>
    </row>
    <row r="319" ht="14.25" customHeight="1">
      <c r="A319" s="1919" t="inlineStr">
        <is>
          <t>04/23/2025</t>
        </is>
      </c>
      <c r="B319" s="1920" t="n">
        <v>6634.38</v>
      </c>
      <c r="C319" s="1919" t="inlineStr">
        <is>
          <t>550</t>
        </is>
      </c>
      <c r="D319" s="1921">
        <f>B319/B320-1</f>
        <v/>
      </c>
      <c r="E319" s="1921">
        <f>C319/C320-1</f>
        <v/>
      </c>
      <c r="F319" s="1921">
        <f>$L$2/365</f>
        <v/>
      </c>
      <c r="G319" s="1921">
        <f>D319-F319</f>
        <v/>
      </c>
      <c r="H319" s="1921">
        <f>E319-F319</f>
        <v/>
      </c>
    </row>
    <row r="320" ht="14.25" customHeight="1">
      <c r="A320" s="1919" t="inlineStr">
        <is>
          <t>04/22/2025</t>
        </is>
      </c>
      <c r="B320" s="1920" t="n">
        <v>6538.27</v>
      </c>
      <c r="C320" s="1919" t="inlineStr">
        <is>
          <t>540</t>
        </is>
      </c>
      <c r="D320" s="1921">
        <f>B320/B321-1</f>
        <v/>
      </c>
      <c r="E320" s="1921">
        <f>C320/C321-1</f>
        <v/>
      </c>
      <c r="F320" s="1921">
        <f>$L$2/365</f>
        <v/>
      </c>
      <c r="G320" s="1921">
        <f>D320-F320</f>
        <v/>
      </c>
      <c r="H320" s="1921">
        <f>E320-F320</f>
        <v/>
      </c>
    </row>
    <row r="321" ht="14.25" customHeight="1">
      <c r="A321" s="1919" t="inlineStr">
        <is>
          <t>04/21/2025</t>
        </is>
      </c>
      <c r="B321" s="1920" t="n">
        <v>6445.97</v>
      </c>
      <c r="C321" s="1919" t="inlineStr">
        <is>
          <t>535</t>
        </is>
      </c>
      <c r="D321" s="1921">
        <f>B321/B322-1</f>
        <v/>
      </c>
      <c r="E321" s="1921">
        <f>C321/C322-1</f>
        <v/>
      </c>
      <c r="F321" s="1921">
        <f>$L$2/365</f>
        <v/>
      </c>
      <c r="G321" s="1921">
        <f>D321-F321</f>
        <v/>
      </c>
      <c r="H321" s="1921">
        <f>E321-F321</f>
        <v/>
      </c>
    </row>
    <row r="322" ht="14.25" customHeight="1">
      <c r="A322" s="1919" t="inlineStr">
        <is>
          <t>04/17/2025</t>
        </is>
      </c>
      <c r="B322" s="1920" t="n">
        <v>6438.27</v>
      </c>
      <c r="C322" s="1919" t="inlineStr">
        <is>
          <t>535</t>
        </is>
      </c>
      <c r="D322" s="1921">
        <f>B322/B323-1</f>
        <v/>
      </c>
      <c r="E322" s="1921">
        <f>C322/C323-1</f>
        <v/>
      </c>
      <c r="F322" s="1921">
        <f>$L$2/365</f>
        <v/>
      </c>
      <c r="G322" s="1921">
        <f>D322-F322</f>
        <v/>
      </c>
      <c r="H322" s="1921">
        <f>E322-F322</f>
        <v/>
      </c>
    </row>
    <row r="323" ht="14.25" customHeight="1">
      <c r="A323" s="1919" t="inlineStr">
        <is>
          <t>04/16/2025</t>
        </is>
      </c>
      <c r="B323" s="1920" t="n">
        <v>6400.05</v>
      </c>
      <c r="C323" s="1919" t="inlineStr">
        <is>
          <t>515</t>
        </is>
      </c>
      <c r="D323" s="1921">
        <f>B323/B324-1</f>
        <v/>
      </c>
      <c r="E323" s="1921">
        <f>C323/C324-1</f>
        <v/>
      </c>
      <c r="F323" s="1921">
        <f>$L$2/365</f>
        <v/>
      </c>
      <c r="G323" s="1921">
        <f>D323-F323</f>
        <v/>
      </c>
      <c r="H323" s="1921">
        <f>E323-F323</f>
        <v/>
      </c>
    </row>
    <row r="324" ht="14.25" customHeight="1">
      <c r="A324" s="1919" t="inlineStr">
        <is>
          <t>04/15/2025</t>
        </is>
      </c>
      <c r="B324" s="1920" t="n">
        <v>6441.68</v>
      </c>
      <c r="C324" s="1919" t="inlineStr">
        <is>
          <t>525</t>
        </is>
      </c>
      <c r="D324" s="1921">
        <f>B324/B325-1</f>
        <v/>
      </c>
      <c r="E324" s="1921">
        <f>C324/C325-1</f>
        <v/>
      </c>
      <c r="F324" s="1921">
        <f>$L$2/365</f>
        <v/>
      </c>
      <c r="G324" s="1921">
        <f>D324-F324</f>
        <v/>
      </c>
      <c r="H324" s="1921">
        <f>E324-F324</f>
        <v/>
      </c>
    </row>
    <row r="325" ht="14.25" customHeight="1">
      <c r="A325" s="1919" t="inlineStr">
        <is>
          <t>04/14/2025</t>
        </is>
      </c>
      <c r="B325" s="1920" t="n">
        <v>6368.52</v>
      </c>
      <c r="C325" s="1919" t="inlineStr">
        <is>
          <t>525</t>
        </is>
      </c>
      <c r="D325" s="1921">
        <f>B325/B326-1</f>
        <v/>
      </c>
      <c r="E325" s="1921">
        <f>C325/C326-1</f>
        <v/>
      </c>
      <c r="F325" s="1921">
        <f>$L$2/365</f>
        <v/>
      </c>
      <c r="G325" s="1921">
        <f>D325-F325</f>
        <v/>
      </c>
      <c r="H325" s="1921">
        <f>E325-F325</f>
        <v/>
      </c>
    </row>
    <row r="326" ht="14.25" customHeight="1">
      <c r="A326" s="1919" t="inlineStr">
        <is>
          <t>04/11/2025</t>
        </is>
      </c>
      <c r="B326" s="1920" t="n">
        <v>6262.23</v>
      </c>
      <c r="C326" s="1919" t="inlineStr">
        <is>
          <t>510</t>
        </is>
      </c>
      <c r="D326" s="1921">
        <f>B326/B327-1</f>
        <v/>
      </c>
      <c r="E326" s="1921">
        <f>C326/C327-1</f>
        <v/>
      </c>
      <c r="F326" s="1921">
        <f>$L$2/365</f>
        <v/>
      </c>
      <c r="G326" s="1921">
        <f>D326-F326</f>
        <v/>
      </c>
      <c r="H326" s="1921">
        <f>E326-F326</f>
        <v/>
      </c>
    </row>
    <row r="327" ht="14.25" customHeight="1">
      <c r="A327" s="1919" t="inlineStr">
        <is>
          <t>04/10/2025</t>
        </is>
      </c>
      <c r="B327" s="1920" t="n">
        <v>6254.02</v>
      </c>
      <c r="C327" s="1919" t="inlineStr">
        <is>
          <t>515</t>
        </is>
      </c>
      <c r="D327" s="1921">
        <f>B327/B328-1</f>
        <v/>
      </c>
      <c r="E327" s="1921">
        <f>C327/C328-1</f>
        <v/>
      </c>
      <c r="F327" s="1921">
        <f>$L$2/365</f>
        <v/>
      </c>
      <c r="G327" s="1921">
        <f>D327-F327</f>
        <v/>
      </c>
      <c r="H327" s="1921">
        <f>E327-F327</f>
        <v/>
      </c>
    </row>
    <row r="328" ht="14.25" customHeight="1">
      <c r="A328" s="1919" t="inlineStr">
        <is>
          <t>04/09/2025</t>
        </is>
      </c>
      <c r="B328" s="1920" t="n">
        <v>5967.99</v>
      </c>
      <c r="C328" s="1919" t="inlineStr">
        <is>
          <t>468</t>
        </is>
      </c>
      <c r="D328" s="1921">
        <f>B328/B329-1</f>
        <v/>
      </c>
      <c r="E328" s="1921">
        <f>C328/C329-1</f>
        <v/>
      </c>
      <c r="F328" s="1921">
        <f>$L$2/365</f>
        <v/>
      </c>
      <c r="G328" s="1921">
        <f>D328-F328</f>
        <v/>
      </c>
      <c r="H328" s="1921">
        <f>E328-F328</f>
        <v/>
      </c>
    </row>
    <row r="329" ht="14.25" customHeight="1">
      <c r="A329" s="1919" t="inlineStr">
        <is>
          <t>04/08/2025</t>
        </is>
      </c>
      <c r="B329" s="1920" t="n">
        <v>5996.14</v>
      </c>
      <c r="C329" s="1919" t="inlineStr">
        <is>
          <t>460</t>
        </is>
      </c>
      <c r="D329" s="1921">
        <f>B329/B330-1</f>
        <v/>
      </c>
      <c r="E329" s="1921">
        <f>C329/C330-1</f>
        <v/>
      </c>
      <c r="F329" s="1921">
        <f>$L$2/365</f>
        <v/>
      </c>
      <c r="G329" s="1921">
        <f>D329-F329</f>
        <v/>
      </c>
      <c r="H329" s="1921">
        <f>E329-F329</f>
        <v/>
      </c>
    </row>
    <row r="330" ht="14.25" customHeight="1">
      <c r="A330" s="1919" t="inlineStr">
        <is>
          <t>03/27/2025</t>
        </is>
      </c>
      <c r="B330" s="1920" t="n">
        <v>6510.62</v>
      </c>
      <c r="C330" s="1919" t="inlineStr">
        <is>
          <t>505</t>
        </is>
      </c>
      <c r="D330" s="1921">
        <f>B330/B331-1</f>
        <v/>
      </c>
      <c r="E330" s="1921">
        <f>C330/C331-1</f>
        <v/>
      </c>
      <c r="F330" s="1921">
        <f>$L$2/365</f>
        <v/>
      </c>
      <c r="G330" s="1921">
        <f>D330-F330</f>
        <v/>
      </c>
      <c r="H330" s="1921">
        <f>E330-F330</f>
        <v/>
      </c>
    </row>
    <row r="331" ht="14.25" customHeight="1">
      <c r="A331" s="1919" t="inlineStr">
        <is>
          <t>03/26/2025</t>
        </is>
      </c>
      <c r="B331" s="1920" t="n">
        <v>6472.36</v>
      </c>
      <c r="C331" s="1919" t="inlineStr">
        <is>
          <t>525</t>
        </is>
      </c>
      <c r="D331" s="1921">
        <f>B331/B332-1</f>
        <v/>
      </c>
      <c r="E331" s="1921">
        <f>C331/C332-1</f>
        <v/>
      </c>
      <c r="F331" s="1921">
        <f>$L$2/365</f>
        <v/>
      </c>
      <c r="G331" s="1921">
        <f>D331-F331</f>
        <v/>
      </c>
      <c r="H331" s="1921">
        <f>E331-F331</f>
        <v/>
      </c>
    </row>
    <row r="332" ht="14.25" customHeight="1">
      <c r="A332" s="1919" t="inlineStr">
        <is>
          <t>03/25/2025</t>
        </is>
      </c>
      <c r="B332" s="1920" t="n">
        <v>6235.62</v>
      </c>
      <c r="C332" s="1919" t="inlineStr">
        <is>
          <t>505</t>
        </is>
      </c>
      <c r="D332" s="1921">
        <f>B332/B333-1</f>
        <v/>
      </c>
      <c r="E332" s="1921">
        <f>C332/C333-1</f>
        <v/>
      </c>
      <c r="F332" s="1921">
        <f>$L$2/365</f>
        <v/>
      </c>
      <c r="G332" s="1921">
        <f>D332-F332</f>
        <v/>
      </c>
      <c r="H332" s="1921">
        <f>E332-F332</f>
        <v/>
      </c>
    </row>
    <row r="333" ht="14.25" customHeight="1">
      <c r="A333" s="1919" t="inlineStr">
        <is>
          <t>03/24/2025</t>
        </is>
      </c>
      <c r="B333" s="1920" t="n">
        <v>6161.22</v>
      </c>
      <c r="C333" s="1919" t="inlineStr">
        <is>
          <t>505</t>
        </is>
      </c>
      <c r="D333" s="1921">
        <f>B333/B334-1</f>
        <v/>
      </c>
      <c r="E333" s="1921">
        <f>C333/C334-1</f>
        <v/>
      </c>
      <c r="F333" s="1921">
        <f>$L$2/365</f>
        <v/>
      </c>
      <c r="G333" s="1921">
        <f>D333-F333</f>
        <v/>
      </c>
      <c r="H333" s="1921">
        <f>E333-F333</f>
        <v/>
      </c>
    </row>
    <row r="334" ht="14.25" customHeight="1">
      <c r="A334" s="1919" t="inlineStr">
        <is>
          <t>03/21/2025</t>
        </is>
      </c>
      <c r="B334" s="1920" t="n">
        <v>6258.18</v>
      </c>
      <c r="C334" s="1919" t="inlineStr">
        <is>
          <t>525</t>
        </is>
      </c>
      <c r="D334" s="1921">
        <f>B334/B335-1</f>
        <v/>
      </c>
      <c r="E334" s="1921">
        <f>C334/C335-1</f>
        <v/>
      </c>
      <c r="F334" s="1921">
        <f>$L$2/365</f>
        <v/>
      </c>
      <c r="G334" s="1921">
        <f>D334-F334</f>
        <v/>
      </c>
      <c r="H334" s="1921">
        <f>E334-F334</f>
        <v/>
      </c>
    </row>
    <row r="335" ht="14.25" customHeight="1">
      <c r="A335" s="1919" t="inlineStr">
        <is>
          <t>03/20/2025</t>
        </is>
      </c>
      <c r="B335" s="1920" t="n">
        <v>6381.67</v>
      </c>
      <c r="C335" s="1919" t="inlineStr">
        <is>
          <t>520</t>
        </is>
      </c>
      <c r="D335" s="1921">
        <f>B335/B336-1</f>
        <v/>
      </c>
      <c r="E335" s="1921">
        <f>C335/C336-1</f>
        <v/>
      </c>
      <c r="F335" s="1921">
        <f>$L$2/365</f>
        <v/>
      </c>
      <c r="G335" s="1921">
        <f>D335-F335</f>
        <v/>
      </c>
      <c r="H335" s="1921">
        <f>E335-F335</f>
        <v/>
      </c>
    </row>
    <row r="336" ht="14.25" customHeight="1">
      <c r="A336" s="1919" t="inlineStr">
        <is>
          <t>03/19/2025</t>
        </is>
      </c>
      <c r="B336" s="1920" t="n">
        <v>6311.66</v>
      </c>
      <c r="C336" s="1919" t="inlineStr">
        <is>
          <t>520</t>
        </is>
      </c>
      <c r="D336" s="1921">
        <f>B336/B337-1</f>
        <v/>
      </c>
      <c r="E336" s="1921">
        <f>C336/C337-1</f>
        <v/>
      </c>
      <c r="F336" s="1921">
        <f>$L$2/365</f>
        <v/>
      </c>
      <c r="G336" s="1921">
        <f>D336-F336</f>
        <v/>
      </c>
      <c r="H336" s="1921">
        <f>E336-F336</f>
        <v/>
      </c>
    </row>
    <row r="337" ht="14.25" customHeight="1">
      <c r="A337" s="1919" t="inlineStr">
        <is>
          <t>03/18/2025</t>
        </is>
      </c>
      <c r="B337" s="1920" t="n">
        <v>6223.39</v>
      </c>
      <c r="C337" s="1919" t="inlineStr">
        <is>
          <t>515</t>
        </is>
      </c>
      <c r="D337" s="1921">
        <f>B337/B338-1</f>
        <v/>
      </c>
      <c r="E337" s="1921">
        <f>C337/C338-1</f>
        <v/>
      </c>
      <c r="F337" s="1921">
        <f>$L$2/365</f>
        <v/>
      </c>
      <c r="G337" s="1921">
        <f>D337-F337</f>
        <v/>
      </c>
      <c r="H337" s="1921">
        <f>E337-F337</f>
        <v/>
      </c>
    </row>
    <row r="338" ht="14.25" customHeight="1">
      <c r="A338" s="1919" t="inlineStr">
        <is>
          <t>03/17/2025</t>
        </is>
      </c>
      <c r="B338" s="1920" t="n">
        <v>6471.95</v>
      </c>
      <c r="C338" s="1919" t="inlineStr">
        <is>
          <t>520</t>
        </is>
      </c>
      <c r="D338" s="1921">
        <f>B338/B339-1</f>
        <v/>
      </c>
      <c r="E338" s="1921">
        <f>C338/C339-1</f>
        <v/>
      </c>
      <c r="F338" s="1921">
        <f>$L$2/365</f>
        <v/>
      </c>
      <c r="G338" s="1921">
        <f>D338-F338</f>
        <v/>
      </c>
      <c r="H338" s="1921">
        <f>E338-F338</f>
        <v/>
      </c>
    </row>
    <row r="339" ht="14.25" customHeight="1">
      <c r="A339" s="1919" t="inlineStr">
        <is>
          <t>03/14/2025</t>
        </is>
      </c>
      <c r="B339" s="1920" t="n">
        <v>6515.63</v>
      </c>
      <c r="C339" s="1919" t="inlineStr">
        <is>
          <t>505</t>
        </is>
      </c>
      <c r="D339" s="1921">
        <f>B339/B340-1</f>
        <v/>
      </c>
      <c r="E339" s="1921">
        <f>C339/C340-1</f>
        <v/>
      </c>
      <c r="F339" s="1921">
        <f>$L$2/365</f>
        <v/>
      </c>
      <c r="G339" s="1921">
        <f>D339-F339</f>
        <v/>
      </c>
      <c r="H339" s="1921">
        <f>E339-F339</f>
        <v/>
      </c>
    </row>
    <row r="340" ht="14.25" customHeight="1">
      <c r="A340" s="1919" t="inlineStr">
        <is>
          <t>03/13/2025</t>
        </is>
      </c>
      <c r="B340" s="1920" t="n">
        <v>6647.42</v>
      </c>
      <c r="C340" s="1919" t="inlineStr">
        <is>
          <t>515</t>
        </is>
      </c>
      <c r="D340" s="1921">
        <f>B340/B341-1</f>
        <v/>
      </c>
      <c r="E340" s="1921">
        <f>C340/C341-1</f>
        <v/>
      </c>
      <c r="F340" s="1921">
        <f>$L$2/365</f>
        <v/>
      </c>
      <c r="G340" s="1921">
        <f>D340-F340</f>
        <v/>
      </c>
      <c r="H340" s="1921">
        <f>E340-F340</f>
        <v/>
      </c>
    </row>
    <row r="341" ht="14.25" customHeight="1">
      <c r="A341" s="1919" t="inlineStr">
        <is>
          <t>03/12/2025</t>
        </is>
      </c>
      <c r="B341" s="1920" t="n">
        <v>6665.04</v>
      </c>
      <c r="C341" s="1919" t="inlineStr">
        <is>
          <t>510</t>
        </is>
      </c>
      <c r="D341" s="1921">
        <f>B341/B342-1</f>
        <v/>
      </c>
      <c r="E341" s="1921">
        <f>C341/C342-1</f>
        <v/>
      </c>
      <c r="F341" s="1921">
        <f>$L$2/365</f>
        <v/>
      </c>
      <c r="G341" s="1921">
        <f>D341-F341</f>
        <v/>
      </c>
      <c r="H341" s="1921">
        <f>E341-F341</f>
        <v/>
      </c>
    </row>
    <row r="342" ht="14.25" customHeight="1">
      <c r="A342" s="1919" t="inlineStr">
        <is>
          <t>03/11/2025</t>
        </is>
      </c>
      <c r="B342" s="1920" t="n">
        <v>6545.85</v>
      </c>
      <c r="C342" s="1919" t="inlineStr">
        <is>
          <t>510</t>
        </is>
      </c>
      <c r="D342" s="1921">
        <f>B342/B343-1</f>
        <v/>
      </c>
      <c r="E342" s="1921">
        <f>C342/C343-1</f>
        <v/>
      </c>
      <c r="F342" s="1921">
        <f>$L$2/365</f>
        <v/>
      </c>
      <c r="G342" s="1921">
        <f>D342-F342</f>
        <v/>
      </c>
      <c r="H342" s="1921">
        <f>E342-F342</f>
        <v/>
      </c>
    </row>
    <row r="343" ht="14.25" customHeight="1">
      <c r="A343" s="1919" t="inlineStr">
        <is>
          <t>03/10/2025</t>
        </is>
      </c>
      <c r="B343" s="1920" t="n">
        <v>6598.21</v>
      </c>
      <c r="C343" s="1919" t="inlineStr">
        <is>
          <t>525</t>
        </is>
      </c>
      <c r="D343" s="1921">
        <f>B343/B344-1</f>
        <v/>
      </c>
      <c r="E343" s="1921">
        <f>C343/C344-1</f>
        <v/>
      </c>
      <c r="F343" s="1921">
        <f>$L$2/365</f>
        <v/>
      </c>
      <c r="G343" s="1921">
        <f>D343-F343</f>
        <v/>
      </c>
      <c r="H343" s="1921">
        <f>E343-F343</f>
        <v/>
      </c>
    </row>
    <row r="344" ht="14.25" customHeight="1">
      <c r="A344" s="1919" t="inlineStr">
        <is>
          <t>03/07/2025</t>
        </is>
      </c>
      <c r="B344" s="1920" t="n">
        <v>6636</v>
      </c>
      <c r="C344" s="1919" t="inlineStr">
        <is>
          <t>535</t>
        </is>
      </c>
      <c r="D344" s="1921">
        <f>B344/B345-1</f>
        <v/>
      </c>
      <c r="E344" s="1921">
        <f>C344/C345-1</f>
        <v/>
      </c>
      <c r="F344" s="1921">
        <f>$L$2/365</f>
        <v/>
      </c>
      <c r="G344" s="1921">
        <f>D344-F344</f>
        <v/>
      </c>
      <c r="H344" s="1921">
        <f>E344-F344</f>
        <v/>
      </c>
    </row>
    <row r="345" ht="14.25" customHeight="1">
      <c r="A345" s="1919" t="inlineStr">
        <is>
          <t>03/06/2025</t>
        </is>
      </c>
      <c r="B345" s="1920" t="n">
        <v>6617.85</v>
      </c>
      <c r="C345" s="1919" t="inlineStr">
        <is>
          <t>535</t>
        </is>
      </c>
      <c r="D345" s="1921">
        <f>B345/B346-1</f>
        <v/>
      </c>
      <c r="E345" s="1921">
        <f>C345/C346-1</f>
        <v/>
      </c>
      <c r="F345" s="1921">
        <f>$L$2/365</f>
        <v/>
      </c>
      <c r="G345" s="1921">
        <f>D345-F345</f>
        <v/>
      </c>
      <c r="H345" s="1921">
        <f>E345-F345</f>
        <v/>
      </c>
    </row>
    <row r="346" ht="14.25" customHeight="1">
      <c r="A346" s="1919" t="inlineStr">
        <is>
          <t>03/05/2025</t>
        </is>
      </c>
      <c r="B346" s="1920" t="n">
        <v>6531.4</v>
      </c>
      <c r="C346" s="1919" t="inlineStr">
        <is>
          <t>545</t>
        </is>
      </c>
      <c r="D346" s="1921">
        <f>B346/B347-1</f>
        <v/>
      </c>
      <c r="E346" s="1921">
        <f>C346/C347-1</f>
        <v/>
      </c>
      <c r="F346" s="1921">
        <f>$L$2/365</f>
        <v/>
      </c>
      <c r="G346" s="1921">
        <f>D346-F346</f>
        <v/>
      </c>
      <c r="H346" s="1921">
        <f>E346-F346</f>
        <v/>
      </c>
    </row>
    <row r="347" ht="14.25" customHeight="1">
      <c r="A347" s="1919" t="inlineStr">
        <is>
          <t>03/04/2025</t>
        </is>
      </c>
      <c r="B347" s="1920" t="n">
        <v>6380.4</v>
      </c>
      <c r="C347" s="1919" t="inlineStr">
        <is>
          <t>535</t>
        </is>
      </c>
      <c r="D347" s="1921">
        <f>B347/B348-1</f>
        <v/>
      </c>
      <c r="E347" s="1921">
        <f>C347/C348-1</f>
        <v/>
      </c>
      <c r="F347" s="1921">
        <f>$L$2/365</f>
        <v/>
      </c>
      <c r="G347" s="1921">
        <f>D347-F347</f>
        <v/>
      </c>
      <c r="H347" s="1921">
        <f>E347-F347</f>
        <v/>
      </c>
    </row>
    <row r="348" ht="14.25" customHeight="1">
      <c r="A348" s="1919" t="inlineStr">
        <is>
          <t>03/03/2025</t>
        </is>
      </c>
      <c r="B348" s="1920" t="n">
        <v>6519.66</v>
      </c>
      <c r="C348" s="1919" t="inlineStr">
        <is>
          <t>555</t>
        </is>
      </c>
      <c r="D348" s="1921">
        <f>B348/B349-1</f>
        <v/>
      </c>
      <c r="E348" s="1921">
        <f>C348/C349-1</f>
        <v/>
      </c>
      <c r="F348" s="1921">
        <f>$L$2/365</f>
        <v/>
      </c>
      <c r="G348" s="1921">
        <f>D348-F348</f>
        <v/>
      </c>
      <c r="H348" s="1921">
        <f>E348-F348</f>
        <v/>
      </c>
    </row>
    <row r="349" ht="14.25" customHeight="1">
      <c r="A349" s="1919" t="inlineStr">
        <is>
          <t>02/28/2025</t>
        </is>
      </c>
      <c r="B349" s="1920" t="n">
        <v>6270.6</v>
      </c>
      <c r="C349" s="1919" t="inlineStr">
        <is>
          <t>520</t>
        </is>
      </c>
      <c r="D349" s="1921">
        <f>B349/B350-1</f>
        <v/>
      </c>
      <c r="E349" s="1921">
        <f>C349/C350-1</f>
        <v/>
      </c>
      <c r="F349" s="1921">
        <f>$L$2/365</f>
        <v/>
      </c>
      <c r="G349" s="1921">
        <f>D349-F349</f>
        <v/>
      </c>
      <c r="H349" s="1921">
        <f>E349-F349</f>
        <v/>
      </c>
    </row>
    <row r="350" ht="14.25" customHeight="1">
      <c r="A350" s="1919" t="inlineStr">
        <is>
          <t>02/27/2025</t>
        </is>
      </c>
      <c r="B350" s="1920" t="n">
        <v>6485.45</v>
      </c>
      <c r="C350" s="1919" t="inlineStr">
        <is>
          <t>555</t>
        </is>
      </c>
      <c r="D350" s="1921">
        <f>B350/B351-1</f>
        <v/>
      </c>
      <c r="E350" s="1921">
        <f>C350/C351-1</f>
        <v/>
      </c>
      <c r="F350" s="1921">
        <f>$L$2/365</f>
        <v/>
      </c>
      <c r="G350" s="1921">
        <f>D350-F350</f>
        <v/>
      </c>
      <c r="H350" s="1921">
        <f>E350-F350</f>
        <v/>
      </c>
    </row>
    <row r="351" ht="14.25" customHeight="1">
      <c r="A351" s="1919" t="inlineStr">
        <is>
          <t>02/26/2025</t>
        </is>
      </c>
      <c r="B351" s="1920" t="n">
        <v>6606.18</v>
      </c>
      <c r="C351" s="1919" t="inlineStr">
        <is>
          <t>570</t>
        </is>
      </c>
      <c r="D351" s="1921">
        <f>B351/B352-1</f>
        <v/>
      </c>
      <c r="E351" s="1921">
        <f>C351/C352-1</f>
        <v/>
      </c>
      <c r="F351" s="1921">
        <f>$L$2/365</f>
        <v/>
      </c>
      <c r="G351" s="1921">
        <f>D351-F351</f>
        <v/>
      </c>
      <c r="H351" s="1921">
        <f>E351-F351</f>
        <v/>
      </c>
    </row>
    <row r="352" ht="14.25" customHeight="1">
      <c r="A352" s="1919" t="inlineStr">
        <is>
          <t>02/25/2025</t>
        </is>
      </c>
      <c r="B352" s="1920" t="n">
        <v>6587.09</v>
      </c>
      <c r="C352" s="1919" t="inlineStr">
        <is>
          <t>570</t>
        </is>
      </c>
      <c r="D352" s="1921">
        <f>B352/B353-1</f>
        <v/>
      </c>
      <c r="E352" s="1921">
        <f>C352/C353-1</f>
        <v/>
      </c>
      <c r="F352" s="1921">
        <f>$L$2/365</f>
        <v/>
      </c>
      <c r="G352" s="1921">
        <f>D352-F352</f>
        <v/>
      </c>
      <c r="H352" s="1921">
        <f>E352-F352</f>
        <v/>
      </c>
    </row>
    <row r="353" ht="14.25" customHeight="1">
      <c r="A353" s="1919" t="inlineStr">
        <is>
          <t>02/24/2025</t>
        </is>
      </c>
      <c r="B353" s="1920" t="n">
        <v>6749.6</v>
      </c>
      <c r="C353" s="1919" t="inlineStr">
        <is>
          <t>580</t>
        </is>
      </c>
      <c r="D353" s="1921">
        <f>B353/B354-1</f>
        <v/>
      </c>
      <c r="E353" s="1921">
        <f>C353/C354-1</f>
        <v/>
      </c>
      <c r="F353" s="1921">
        <f>$L$2/365</f>
        <v/>
      </c>
      <c r="G353" s="1921">
        <f>D353-F353</f>
        <v/>
      </c>
      <c r="H353" s="1921">
        <f>E353-F353</f>
        <v/>
      </c>
    </row>
    <row r="354" ht="14.25" customHeight="1">
      <c r="A354" s="1919" t="inlineStr">
        <is>
          <t>02/21/2025</t>
        </is>
      </c>
      <c r="B354" s="1920" t="n">
        <v>6803</v>
      </c>
      <c r="C354" s="1919" t="inlineStr">
        <is>
          <t>595</t>
        </is>
      </c>
      <c r="D354" s="1921">
        <f>B354/B355-1</f>
        <v/>
      </c>
      <c r="E354" s="1921">
        <f>C354/C355-1</f>
        <v/>
      </c>
      <c r="F354" s="1921">
        <f>$L$2/365</f>
        <v/>
      </c>
      <c r="G354" s="1921">
        <f>D354-F354</f>
        <v/>
      </c>
      <c r="H354" s="1921">
        <f>E354-F354</f>
        <v/>
      </c>
    </row>
    <row r="355" ht="14.25" customHeight="1">
      <c r="A355" s="1919" t="inlineStr">
        <is>
          <t>02/20/2025</t>
        </is>
      </c>
      <c r="B355" s="1920" t="n">
        <v>6788.04</v>
      </c>
      <c r="C355" s="1919" t="inlineStr">
        <is>
          <t>610</t>
        </is>
      </c>
      <c r="D355" s="1921">
        <f>B355/B356-1</f>
        <v/>
      </c>
      <c r="E355" s="1921">
        <f>C355/C356-1</f>
        <v/>
      </c>
      <c r="F355" s="1921">
        <f>$L$2/365</f>
        <v/>
      </c>
      <c r="G355" s="1921">
        <f>D355-F355</f>
        <v/>
      </c>
      <c r="H355" s="1921">
        <f>E355-F355</f>
        <v/>
      </c>
    </row>
    <row r="356" ht="14.25" customHeight="1">
      <c r="A356" s="1919" t="inlineStr">
        <is>
          <t>02/19/2025</t>
        </is>
      </c>
      <c r="B356" s="1920" t="n">
        <v>6794.87</v>
      </c>
      <c r="C356" s="1919" t="inlineStr">
        <is>
          <t>600</t>
        </is>
      </c>
      <c r="D356" s="1921">
        <f>B356/B357-1</f>
        <v/>
      </c>
      <c r="E356" s="1921">
        <f>C356/C357-1</f>
        <v/>
      </c>
      <c r="F356" s="1921">
        <f>$L$2/365</f>
        <v/>
      </c>
      <c r="G356" s="1921">
        <f>D356-F356</f>
        <v/>
      </c>
      <c r="H356" s="1921">
        <f>E356-F356</f>
        <v/>
      </c>
    </row>
    <row r="357" ht="14.25" customHeight="1">
      <c r="A357" s="1919" t="inlineStr">
        <is>
          <t>02/18/2025</t>
        </is>
      </c>
      <c r="B357" s="1920" t="n">
        <v>6873.55</v>
      </c>
      <c r="C357" s="1919" t="inlineStr">
        <is>
          <t>625</t>
        </is>
      </c>
      <c r="D357" s="1921">
        <f>B357/B358-1</f>
        <v/>
      </c>
      <c r="E357" s="1921">
        <f>C357/C358-1</f>
        <v/>
      </c>
      <c r="F357" s="1921">
        <f>$L$2/365</f>
        <v/>
      </c>
      <c r="G357" s="1921">
        <f>D357-F357</f>
        <v/>
      </c>
      <c r="H357" s="1921">
        <f>E357-F357</f>
        <v/>
      </c>
    </row>
    <row r="358" ht="14.25" customHeight="1">
      <c r="A358" s="1919" t="inlineStr">
        <is>
          <t>02/17/2025</t>
        </is>
      </c>
      <c r="B358" s="1920" t="n">
        <v>6830.88</v>
      </c>
      <c r="C358" s="1919" t="inlineStr">
        <is>
          <t>630</t>
        </is>
      </c>
      <c r="D358" s="1921">
        <f>B358/B359-1</f>
        <v/>
      </c>
      <c r="E358" s="1921">
        <f>C358/C359-1</f>
        <v/>
      </c>
      <c r="F358" s="1921">
        <f>$L$2/365</f>
        <v/>
      </c>
      <c r="G358" s="1921">
        <f>D358-F358</f>
        <v/>
      </c>
      <c r="H358" s="1921">
        <f>E358-F358</f>
        <v/>
      </c>
    </row>
    <row r="359" ht="14.25" customHeight="1">
      <c r="A359" s="1919" t="inlineStr">
        <is>
          <t>02/14/2025</t>
        </is>
      </c>
      <c r="B359" s="1920" t="n">
        <v>6638.46</v>
      </c>
      <c r="C359" s="1919" t="inlineStr">
        <is>
          <t>615</t>
        </is>
      </c>
      <c r="D359" s="1921">
        <f>B359/B360-1</f>
        <v/>
      </c>
      <c r="E359" s="1921">
        <f>C359/C360-1</f>
        <v/>
      </c>
      <c r="F359" s="1921">
        <f>$L$2/365</f>
        <v/>
      </c>
      <c r="G359" s="1921">
        <f>D359-F359</f>
        <v/>
      </c>
      <c r="H359" s="1921">
        <f>E359-F359</f>
        <v/>
      </c>
    </row>
    <row r="360" ht="14.25" customHeight="1">
      <c r="A360" s="1919" t="inlineStr">
        <is>
          <t>02/13/2025</t>
        </is>
      </c>
      <c r="B360" s="1920" t="n">
        <v>6613.57</v>
      </c>
      <c r="C360" s="1919" t="inlineStr">
        <is>
          <t>610</t>
        </is>
      </c>
      <c r="D360" s="1921">
        <f>B360/B361-1</f>
        <v/>
      </c>
      <c r="E360" s="1921">
        <f>C360/C361-1</f>
        <v/>
      </c>
      <c r="F360" s="1921">
        <f>$L$2/365</f>
        <v/>
      </c>
      <c r="G360" s="1921">
        <f>D360-F360</f>
        <v/>
      </c>
      <c r="H360" s="1921">
        <f>E360-F360</f>
        <v/>
      </c>
    </row>
    <row r="361" ht="14.25" customHeight="1">
      <c r="A361" s="1919" t="inlineStr">
        <is>
          <t>02/12/2025</t>
        </is>
      </c>
      <c r="B361" s="1920" t="n">
        <v>6645.78</v>
      </c>
      <c r="C361" s="1919" t="inlineStr">
        <is>
          <t>610</t>
        </is>
      </c>
      <c r="D361" s="1921">
        <f>B361/B362-1</f>
        <v/>
      </c>
      <c r="E361" s="1921">
        <f>C361/C362-1</f>
        <v/>
      </c>
      <c r="F361" s="1921">
        <f>$L$2/365</f>
        <v/>
      </c>
      <c r="G361" s="1921">
        <f>D361-F361</f>
        <v/>
      </c>
      <c r="H361" s="1921">
        <f>E361-F361</f>
        <v/>
      </c>
    </row>
    <row r="362" ht="14.25" customHeight="1">
      <c r="A362" s="1919" t="inlineStr">
        <is>
          <t>02/11/2025</t>
        </is>
      </c>
      <c r="B362" s="1920" t="n">
        <v>6531.99</v>
      </c>
      <c r="C362" s="1919" t="inlineStr">
        <is>
          <t>595</t>
        </is>
      </c>
      <c r="D362" s="1921">
        <f>B362/B363-1</f>
        <v/>
      </c>
      <c r="E362" s="1921">
        <f>C362/C363-1</f>
        <v/>
      </c>
      <c r="F362" s="1921">
        <f>$L$2/365</f>
        <v/>
      </c>
      <c r="G362" s="1921">
        <f>D362-F362</f>
        <v/>
      </c>
      <c r="H362" s="1921">
        <f>E362-F362</f>
        <v/>
      </c>
    </row>
    <row r="363" ht="14.25" customHeight="1">
      <c r="A363" s="1919" t="inlineStr">
        <is>
          <t>02/10/2025</t>
        </is>
      </c>
      <c r="B363" s="1920" t="n">
        <v>6648.14</v>
      </c>
      <c r="C363" s="1919" t="inlineStr">
        <is>
          <t>615</t>
        </is>
      </c>
      <c r="D363" s="1921">
        <f>B363/B364-1</f>
        <v/>
      </c>
      <c r="E363" s="1921">
        <f>C363/C364-1</f>
        <v/>
      </c>
      <c r="F363" s="1921">
        <f>$L$2/365</f>
        <v/>
      </c>
      <c r="G363" s="1921">
        <f>D363-F363</f>
        <v/>
      </c>
      <c r="H363" s="1921">
        <f>E363-F363</f>
        <v/>
      </c>
    </row>
    <row r="364" ht="14.25" customHeight="1">
      <c r="A364" s="1919" t="inlineStr">
        <is>
          <t>02/07/2025</t>
        </is>
      </c>
      <c r="B364" s="1920" t="n">
        <v>6742.58</v>
      </c>
      <c r="C364" s="1919" t="inlineStr">
        <is>
          <t>630</t>
        </is>
      </c>
      <c r="D364" s="1921">
        <f>B364/B365-1</f>
        <v/>
      </c>
      <c r="E364" s="1921">
        <f>C364/C365-1</f>
        <v/>
      </c>
      <c r="F364" s="1921">
        <f>$L$2/365</f>
        <v/>
      </c>
      <c r="G364" s="1921">
        <f>D364-F364</f>
        <v/>
      </c>
      <c r="H364" s="1921">
        <f>E364-F364</f>
        <v/>
      </c>
    </row>
    <row r="365" ht="14.25" customHeight="1">
      <c r="A365" s="1919" t="inlineStr">
        <is>
          <t>02/06/2025</t>
        </is>
      </c>
      <c r="B365" s="1920" t="n">
        <v>6875.54</v>
      </c>
      <c r="C365" s="1919" t="inlineStr">
        <is>
          <t>630</t>
        </is>
      </c>
      <c r="D365" s="1921">
        <f>B365/B366-1</f>
        <v/>
      </c>
      <c r="E365" s="1921">
        <f>C365/C366-1</f>
        <v/>
      </c>
      <c r="F365" s="1921">
        <f>$L$2/365</f>
        <v/>
      </c>
      <c r="G365" s="1921">
        <f>D365-F365</f>
        <v/>
      </c>
      <c r="H365" s="1921">
        <f>E365-F365</f>
        <v/>
      </c>
    </row>
    <row r="366" ht="14.25" customHeight="1">
      <c r="A366" s="1919" t="inlineStr">
        <is>
          <t>02/05/2025</t>
        </is>
      </c>
      <c r="B366" s="1920" t="n">
        <v>7024.23</v>
      </c>
      <c r="C366" s="1919" t="inlineStr">
        <is>
          <t>630</t>
        </is>
      </c>
      <c r="D366" s="1921">
        <f>B366/B367-1</f>
        <v/>
      </c>
      <c r="E366" s="1921">
        <f>C366/C367-1</f>
        <v/>
      </c>
      <c r="F366" s="1921">
        <f>$L$2/365</f>
        <v/>
      </c>
      <c r="G366" s="1921">
        <f>D366-F366</f>
        <v/>
      </c>
      <c r="H366" s="1921">
        <f>E366-F366</f>
        <v/>
      </c>
    </row>
    <row r="367" ht="14.25" customHeight="1">
      <c r="A367" s="1919" t="inlineStr">
        <is>
          <t>02/04/2025</t>
        </is>
      </c>
      <c r="B367" s="1920" t="n">
        <v>7073.46</v>
      </c>
      <c r="C367" s="1919" t="inlineStr">
        <is>
          <t>630</t>
        </is>
      </c>
      <c r="D367" s="1921">
        <f>B367/B368-1</f>
        <v/>
      </c>
      <c r="E367" s="1921">
        <f>C367/C368-1</f>
        <v/>
      </c>
      <c r="F367" s="1921">
        <f>$L$2/365</f>
        <v/>
      </c>
      <c r="G367" s="1921">
        <f>D367-F367</f>
        <v/>
      </c>
      <c r="H367" s="1921">
        <f>E367-F367</f>
        <v/>
      </c>
    </row>
    <row r="368" ht="14.25" customHeight="1">
      <c r="A368" s="1919" t="inlineStr">
        <is>
          <t>02/03/2025</t>
        </is>
      </c>
      <c r="B368" s="1920" t="n">
        <v>7030.06</v>
      </c>
      <c r="C368" s="1919" t="inlineStr">
        <is>
          <t>630</t>
        </is>
      </c>
      <c r="D368" s="1921">
        <f>B368/B369-1</f>
        <v/>
      </c>
      <c r="E368" s="1921">
        <f>C368/C369-1</f>
        <v/>
      </c>
      <c r="F368" s="1921">
        <f>$L$2/365</f>
        <v/>
      </c>
      <c r="G368" s="1921">
        <f>D368-F368</f>
        <v/>
      </c>
      <c r="H368" s="1921">
        <f>E368-F368</f>
        <v/>
      </c>
    </row>
    <row r="369" ht="14.25" customHeight="1">
      <c r="A369" s="1919" t="inlineStr">
        <is>
          <t>01/31/2025</t>
        </is>
      </c>
      <c r="B369" s="1920" t="n">
        <v>7109.2</v>
      </c>
      <c r="C369" s="1919" t="inlineStr">
        <is>
          <t>635</t>
        </is>
      </c>
      <c r="D369" s="1921">
        <f>B369/B370-1</f>
        <v/>
      </c>
      <c r="E369" s="1921">
        <f>C369/C370-1</f>
        <v/>
      </c>
      <c r="F369" s="1921">
        <f>$L$2/365</f>
        <v/>
      </c>
      <c r="G369" s="1921">
        <f>D369-F369</f>
        <v/>
      </c>
      <c r="H369" s="1921">
        <f>E369-F369</f>
        <v/>
      </c>
    </row>
    <row r="370" ht="14.25" customHeight="1">
      <c r="A370" s="1919" t="inlineStr">
        <is>
          <t>01/30/2025</t>
        </is>
      </c>
      <c r="B370" s="1920" t="n">
        <v>7073.48</v>
      </c>
      <c r="C370" s="1919" t="inlineStr">
        <is>
          <t>670</t>
        </is>
      </c>
      <c r="D370" s="1921">
        <f>B370/B371-1</f>
        <v/>
      </c>
      <c r="E370" s="1921">
        <f>C370/C371-1</f>
        <v/>
      </c>
      <c r="F370" s="1921">
        <f>$L$2/365</f>
        <v/>
      </c>
      <c r="G370" s="1921">
        <f>D370-F370</f>
        <v/>
      </c>
      <c r="H370" s="1921">
        <f>E370-F370</f>
        <v/>
      </c>
    </row>
    <row r="371" ht="14.25" customHeight="1">
      <c r="A371" s="1919" t="inlineStr">
        <is>
          <t>01/24/2025</t>
        </is>
      </c>
      <c r="B371" s="1920" t="n">
        <v>7166.06</v>
      </c>
      <c r="C371" s="1919" t="inlineStr">
        <is>
          <t>680</t>
        </is>
      </c>
      <c r="D371" s="1921">
        <f>B371/B372-1</f>
        <v/>
      </c>
      <c r="E371" s="1921">
        <f>C371/C372-1</f>
        <v/>
      </c>
      <c r="F371" s="1921">
        <f>$L$2/365</f>
        <v/>
      </c>
      <c r="G371" s="1921">
        <f>D371-F371</f>
        <v/>
      </c>
      <c r="H371" s="1921">
        <f>E371-F371</f>
        <v/>
      </c>
    </row>
    <row r="372" ht="14.25" customHeight="1">
      <c r="A372" s="1919" t="inlineStr">
        <is>
          <t>01/23/2025</t>
        </is>
      </c>
      <c r="B372" s="1920" t="n">
        <v>7232.64</v>
      </c>
      <c r="C372" s="1919" t="inlineStr">
        <is>
          <t>695</t>
        </is>
      </c>
      <c r="D372" s="1921">
        <f>B372/B373-1</f>
        <v/>
      </c>
      <c r="E372" s="1921">
        <f>C372/C373-1</f>
        <v/>
      </c>
      <c r="F372" s="1921">
        <f>$L$2/365</f>
        <v/>
      </c>
      <c r="G372" s="1921">
        <f>D372-F372</f>
        <v/>
      </c>
      <c r="H372" s="1921">
        <f>E372-F372</f>
        <v/>
      </c>
    </row>
    <row r="373" ht="14.25" customHeight="1">
      <c r="A373" s="1919" t="inlineStr">
        <is>
          <t>01/22/2025</t>
        </is>
      </c>
      <c r="B373" s="1920" t="n">
        <v>7257.13</v>
      </c>
      <c r="C373" s="1919" t="inlineStr">
        <is>
          <t>685</t>
        </is>
      </c>
      <c r="D373" s="1921">
        <f>B373/B374-1</f>
        <v/>
      </c>
      <c r="E373" s="1921">
        <f>C373/C374-1</f>
        <v/>
      </c>
      <c r="F373" s="1921">
        <f>$L$2/365</f>
        <v/>
      </c>
      <c r="G373" s="1921">
        <f>D373-F373</f>
        <v/>
      </c>
      <c r="H373" s="1921">
        <f>E373-F373</f>
        <v/>
      </c>
    </row>
    <row r="374" ht="14.25" customHeight="1">
      <c r="A374" s="1919" t="inlineStr">
        <is>
          <t>01/21/2025</t>
        </is>
      </c>
      <c r="B374" s="1920" t="n">
        <v>7181.82</v>
      </c>
      <c r="C374" s="1919" t="inlineStr">
        <is>
          <t>670</t>
        </is>
      </c>
      <c r="D374" s="1921">
        <f>B374/B375-1</f>
        <v/>
      </c>
      <c r="E374" s="1921">
        <f>C374/C375-1</f>
        <v/>
      </c>
      <c r="F374" s="1921">
        <f>$L$2/365</f>
        <v/>
      </c>
      <c r="G374" s="1921">
        <f>D374-F374</f>
        <v/>
      </c>
      <c r="H374" s="1921">
        <f>E374-F374</f>
        <v/>
      </c>
    </row>
    <row r="375" ht="14.25" customHeight="1">
      <c r="A375" s="1919" t="inlineStr">
        <is>
          <t>01/20/2025</t>
        </is>
      </c>
      <c r="B375" s="1920" t="n">
        <v>7170.74</v>
      </c>
      <c r="C375" s="1919" t="inlineStr">
        <is>
          <t>665</t>
        </is>
      </c>
      <c r="D375" s="1921">
        <f>B375/B376-1</f>
        <v/>
      </c>
      <c r="E375" s="1921">
        <f>C375/C376-1</f>
        <v/>
      </c>
      <c r="F375" s="1921">
        <f>$L$2/365</f>
        <v/>
      </c>
      <c r="G375" s="1921">
        <f>D375-F375</f>
        <v/>
      </c>
      <c r="H375" s="1921">
        <f>E375-F375</f>
        <v/>
      </c>
    </row>
    <row r="376" ht="14.25" customHeight="1">
      <c r="A376" s="1919" t="inlineStr">
        <is>
          <t>01/17/2025</t>
        </is>
      </c>
      <c r="B376" s="1920" t="n">
        <v>7154.66</v>
      </c>
      <c r="C376" s="1919" t="inlineStr">
        <is>
          <t>660</t>
        </is>
      </c>
      <c r="D376" s="1921">
        <f>B376/B377-1</f>
        <v/>
      </c>
      <c r="E376" s="1921">
        <f>C376/C377-1</f>
        <v/>
      </c>
      <c r="F376" s="1921">
        <f>$L$2/365</f>
        <v/>
      </c>
      <c r="G376" s="1921">
        <f>D376-F376</f>
        <v/>
      </c>
      <c r="H376" s="1921">
        <f>E376-F376</f>
        <v/>
      </c>
    </row>
    <row r="377" ht="14.25" customHeight="1">
      <c r="A377" s="1919" t="inlineStr">
        <is>
          <t>01/16/2025</t>
        </is>
      </c>
      <c r="B377" s="1920" t="n">
        <v>7107.52</v>
      </c>
      <c r="C377" s="1919" t="inlineStr">
        <is>
          <t>680</t>
        </is>
      </c>
      <c r="D377" s="1921">
        <f>B377/B378-1</f>
        <v/>
      </c>
      <c r="E377" s="1921">
        <f>C377/C378-1</f>
        <v/>
      </c>
      <c r="F377" s="1921">
        <f>$L$2/365</f>
        <v/>
      </c>
      <c r="G377" s="1921">
        <f>D377-F377</f>
        <v/>
      </c>
      <c r="H377" s="1921">
        <f>E377-F377</f>
        <v/>
      </c>
    </row>
    <row r="378" ht="14.25" customHeight="1">
      <c r="A378" s="1919" t="inlineStr">
        <is>
          <t>01/15/2025</t>
        </is>
      </c>
      <c r="B378" s="1920" t="n">
        <v>7079.56</v>
      </c>
      <c r="C378" s="1919" t="inlineStr">
        <is>
          <t>675</t>
        </is>
      </c>
      <c r="D378" s="1921">
        <f>B378/B379-1</f>
        <v/>
      </c>
      <c r="E378" s="1921">
        <f>C378/C379-1</f>
        <v/>
      </c>
      <c r="F378" s="1921">
        <f>$L$2/365</f>
        <v/>
      </c>
      <c r="G378" s="1921">
        <f>D378-F378</f>
        <v/>
      </c>
      <c r="H378" s="1921">
        <f>E378-F378</f>
        <v/>
      </c>
    </row>
    <row r="379" ht="14.25" customHeight="1">
      <c r="A379" s="1919" t="inlineStr">
        <is>
          <t>01/14/2025</t>
        </is>
      </c>
      <c r="B379" s="1920" t="n">
        <v>6956.67</v>
      </c>
      <c r="C379" s="1919" t="inlineStr">
        <is>
          <t>645</t>
        </is>
      </c>
      <c r="D379" s="1921">
        <f>B379/B380-1</f>
        <v/>
      </c>
      <c r="E379" s="1921">
        <f>C379/C380-1</f>
        <v/>
      </c>
      <c r="F379" s="1921">
        <f>$L$2/365</f>
        <v/>
      </c>
      <c r="G379" s="1921">
        <f>D379-F379</f>
        <v/>
      </c>
      <c r="H379" s="1921">
        <f>E379-F379</f>
        <v/>
      </c>
    </row>
    <row r="380" ht="14.25" customHeight="1">
      <c r="A380" s="1919" t="inlineStr">
        <is>
          <t>01/13/2025</t>
        </is>
      </c>
      <c r="B380" s="1920" t="n">
        <v>7016.88</v>
      </c>
      <c r="C380" s="1919" t="inlineStr">
        <is>
          <t>650</t>
        </is>
      </c>
      <c r="D380" s="1921">
        <f>B380/B381-1</f>
        <v/>
      </c>
      <c r="E380" s="1921">
        <f>C380/C381-1</f>
        <v/>
      </c>
      <c r="F380" s="1921">
        <f>$L$2/365</f>
        <v/>
      </c>
      <c r="G380" s="1921">
        <f>D380-F380</f>
        <v/>
      </c>
      <c r="H380" s="1921">
        <f>E380-F380</f>
        <v/>
      </c>
    </row>
    <row r="381" ht="14.25" customHeight="1">
      <c r="A381" s="1919" t="inlineStr">
        <is>
          <t>01/10/2025</t>
        </is>
      </c>
      <c r="B381" s="1920" t="n">
        <v>7088.87</v>
      </c>
      <c r="C381" s="1919" t="inlineStr">
        <is>
          <t>675</t>
        </is>
      </c>
      <c r="D381" s="1921">
        <f>B381/B382-1</f>
        <v/>
      </c>
      <c r="E381" s="1921">
        <f>C381/C382-1</f>
        <v/>
      </c>
      <c r="F381" s="1921">
        <f>$L$2/365</f>
        <v/>
      </c>
      <c r="G381" s="1921">
        <f>D381-F381</f>
        <v/>
      </c>
      <c r="H381" s="1921">
        <f>E381-F381</f>
        <v/>
      </c>
    </row>
    <row r="382" ht="14.25" customHeight="1">
      <c r="A382" s="1919" t="inlineStr">
        <is>
          <t>01/09/2025</t>
        </is>
      </c>
      <c r="B382" s="1920" t="n">
        <v>7064.59</v>
      </c>
      <c r="C382" s="1919" t="inlineStr">
        <is>
          <t>670</t>
        </is>
      </c>
      <c r="D382" s="1921">
        <f>B382/B383-1</f>
        <v/>
      </c>
      <c r="E382" s="1921">
        <f>C382/C383-1</f>
        <v/>
      </c>
      <c r="F382" s="1921">
        <f>$L$2/365</f>
        <v/>
      </c>
      <c r="G382" s="1921">
        <f>D382-F382</f>
        <v/>
      </c>
      <c r="H382" s="1921">
        <f>E382-F382</f>
        <v/>
      </c>
    </row>
    <row r="383" ht="14.25" customHeight="1">
      <c r="A383" s="1919" t="inlineStr">
        <is>
          <t>01/08/2025</t>
        </is>
      </c>
      <c r="B383" s="1920" t="n">
        <v>7080.35</v>
      </c>
      <c r="C383" s="1919" t="inlineStr">
        <is>
          <t>675</t>
        </is>
      </c>
      <c r="D383" s="1921">
        <f>B383/B384-1</f>
        <v/>
      </c>
      <c r="E383" s="1921">
        <f>C383/C384-1</f>
        <v/>
      </c>
      <c r="F383" s="1921">
        <f>$L$2/365</f>
        <v/>
      </c>
      <c r="G383" s="1921">
        <f>D383-F383</f>
        <v/>
      </c>
      <c r="H383" s="1921">
        <f>E383-F383</f>
        <v/>
      </c>
    </row>
    <row r="384" ht="14.25" customHeight="1">
      <c r="A384" s="1919" t="inlineStr">
        <is>
          <t>01/07/2025</t>
        </is>
      </c>
      <c r="B384" s="1920" t="n">
        <v>7083.28</v>
      </c>
      <c r="C384" s="1919" t="inlineStr">
        <is>
          <t>695</t>
        </is>
      </c>
      <c r="D384" s="1921">
        <f>B384/B385-1</f>
        <v/>
      </c>
      <c r="E384" s="1921">
        <f>C384/C385-1</f>
        <v/>
      </c>
      <c r="F384" s="1921">
        <f>$L$2/365</f>
        <v/>
      </c>
      <c r="G384" s="1921">
        <f>D384-F384</f>
        <v/>
      </c>
      <c r="H384" s="1921">
        <f>E384-F384</f>
        <v/>
      </c>
    </row>
    <row r="385" ht="14.25" customHeight="1">
      <c r="A385" s="1919" t="inlineStr">
        <is>
          <t>01/06/2025</t>
        </is>
      </c>
      <c r="B385" s="1920" t="n">
        <v>7080.47</v>
      </c>
      <c r="C385" s="1919" t="inlineStr">
        <is>
          <t>700</t>
        </is>
      </c>
      <c r="D385" s="1921">
        <f>B385/B386-1</f>
        <v/>
      </c>
      <c r="E385" s="1921">
        <f>C385/C386-1</f>
        <v/>
      </c>
      <c r="F385" s="1921">
        <f>$L$2/365</f>
        <v/>
      </c>
      <c r="G385" s="1921">
        <f>D385-F385</f>
        <v/>
      </c>
      <c r="H385" s="1921">
        <f>E385-F385</f>
        <v/>
      </c>
    </row>
    <row r="386" ht="14.25" customHeight="1">
      <c r="A386" s="1919" t="inlineStr">
        <is>
          <t>01/03/2025</t>
        </is>
      </c>
      <c r="B386" s="1920" t="n">
        <v>7164.43</v>
      </c>
      <c r="C386" s="1919" t="inlineStr">
        <is>
          <t>720</t>
        </is>
      </c>
      <c r="D386" s="1921">
        <f>B386/B387-1</f>
        <v/>
      </c>
      <c r="E386" s="1921">
        <f>C386/C387-1</f>
        <v/>
      </c>
      <c r="F386" s="1921">
        <f>$L$2/365</f>
        <v/>
      </c>
      <c r="G386" s="1921">
        <f>D386-F386</f>
        <v/>
      </c>
      <c r="H386" s="1921">
        <f>E386-F386</f>
        <v/>
      </c>
    </row>
    <row r="387" ht="14.25" customHeight="1">
      <c r="A387" s="1919" t="inlineStr">
        <is>
          <t>01/02/2025</t>
        </is>
      </c>
      <c r="B387" s="1920" t="n">
        <v>7163.21</v>
      </c>
      <c r="C387" s="1919" t="inlineStr">
        <is>
          <t>640</t>
        </is>
      </c>
      <c r="D387" s="1921">
        <f>B387/B388-1</f>
        <v/>
      </c>
      <c r="E387" s="1921">
        <f>C387/C388-1</f>
        <v/>
      </c>
      <c r="F387" s="1921">
        <f>$L$2/365</f>
        <v/>
      </c>
      <c r="G387" s="1921">
        <f>D387-F387</f>
        <v/>
      </c>
      <c r="H387" s="1921">
        <f>E387-F387</f>
        <v/>
      </c>
    </row>
    <row r="388" ht="14.25" customHeight="1">
      <c r="A388" s="1919" t="inlineStr">
        <is>
          <t>12/30/2024</t>
        </is>
      </c>
      <c r="B388" s="1920" t="n">
        <v>7079.9</v>
      </c>
      <c r="C388" s="1919" t="inlineStr">
        <is>
          <t>655</t>
        </is>
      </c>
      <c r="D388" s="1921">
        <f>B388/B389-1</f>
        <v/>
      </c>
      <c r="E388" s="1921">
        <f>C388/C389-1</f>
        <v/>
      </c>
      <c r="F388" s="1921">
        <f>$L$2/365</f>
        <v/>
      </c>
      <c r="G388" s="1921">
        <f>D388-F388</f>
        <v/>
      </c>
      <c r="H388" s="1921">
        <f>E388-F388</f>
        <v/>
      </c>
    </row>
    <row r="389" ht="14.25" customHeight="1">
      <c r="A389" s="1919" t="inlineStr">
        <is>
          <t>12/27/2024</t>
        </is>
      </c>
      <c r="B389" s="1920" t="n">
        <v>7036.57</v>
      </c>
      <c r="C389" s="1919" t="inlineStr">
        <is>
          <t>635</t>
        </is>
      </c>
      <c r="D389" s="1921">
        <f>B389/B390-1</f>
        <v/>
      </c>
      <c r="E389" s="1921">
        <f>C389/C390-1</f>
        <v/>
      </c>
      <c r="F389" s="1921">
        <f>$L$2/365</f>
        <v/>
      </c>
      <c r="G389" s="1921">
        <f>D389-F389</f>
        <v/>
      </c>
      <c r="H389" s="1921">
        <f>E389-F389</f>
        <v/>
      </c>
    </row>
    <row r="390" ht="14.25" customHeight="1">
      <c r="A390" s="1919" t="inlineStr">
        <is>
          <t>12/24/2024</t>
        </is>
      </c>
      <c r="B390" s="1920" t="n">
        <v>7065.75</v>
      </c>
      <c r="C390" s="1919" t="inlineStr">
        <is>
          <t>620</t>
        </is>
      </c>
      <c r="D390" s="1921">
        <f>B390/B391-1</f>
        <v/>
      </c>
      <c r="E390" s="1921">
        <f>C390/C391-1</f>
        <v/>
      </c>
      <c r="F390" s="1921">
        <f>$L$2/365</f>
        <v/>
      </c>
      <c r="G390" s="1921">
        <f>D390-F390</f>
        <v/>
      </c>
      <c r="H390" s="1921">
        <f>E390-F390</f>
        <v/>
      </c>
    </row>
    <row r="391" ht="14.25" customHeight="1">
      <c r="A391" s="1919" t="inlineStr">
        <is>
          <t>12/23/2024</t>
        </is>
      </c>
      <c r="B391" s="1920" t="n">
        <v>7096.44</v>
      </c>
      <c r="C391" s="1919" t="inlineStr">
        <is>
          <t>615</t>
        </is>
      </c>
      <c r="D391" s="1921">
        <f>B391/B392-1</f>
        <v/>
      </c>
      <c r="E391" s="1921">
        <f>C391/C392-1</f>
        <v/>
      </c>
      <c r="F391" s="1921">
        <f>$L$2/365</f>
        <v/>
      </c>
      <c r="G391" s="1921">
        <f>D391-F391</f>
        <v/>
      </c>
      <c r="H391" s="1921">
        <f>E391-F391</f>
        <v/>
      </c>
    </row>
    <row r="392" ht="14.25" customHeight="1">
      <c r="A392" s="1919" t="inlineStr">
        <is>
          <t>12/20/2024</t>
        </is>
      </c>
      <c r="B392" s="1920" t="n">
        <v>6983.87</v>
      </c>
      <c r="C392" s="1919" t="inlineStr">
        <is>
          <t>610</t>
        </is>
      </c>
      <c r="D392" s="1921">
        <f>B392/B393-1</f>
        <v/>
      </c>
      <c r="E392" s="1921">
        <f>C392/C393-1</f>
        <v/>
      </c>
      <c r="F392" s="1921">
        <f>$L$2/365</f>
        <v/>
      </c>
      <c r="G392" s="1921">
        <f>D392-F392</f>
        <v/>
      </c>
      <c r="H392" s="1921">
        <f>E392-F392</f>
        <v/>
      </c>
    </row>
    <row r="393" ht="14.25" customHeight="1">
      <c r="A393" s="1919" t="inlineStr">
        <is>
          <t>12/19/2024</t>
        </is>
      </c>
      <c r="B393" s="1920" t="n">
        <v>6977.24</v>
      </c>
      <c r="C393" s="1919" t="inlineStr">
        <is>
          <t>650</t>
        </is>
      </c>
      <c r="D393" s="1921">
        <f>B393/B394-1</f>
        <v/>
      </c>
      <c r="E393" s="1921">
        <f>C393/C394-1</f>
        <v/>
      </c>
      <c r="F393" s="1921">
        <f>$L$2/365</f>
        <v/>
      </c>
      <c r="G393" s="1921">
        <f>D393-F393</f>
        <v/>
      </c>
      <c r="H393" s="1921">
        <f>E393-F393</f>
        <v/>
      </c>
    </row>
    <row r="394" ht="14.25" customHeight="1">
      <c r="A394" s="1919" t="inlineStr">
        <is>
          <t>12/18/2024</t>
        </is>
      </c>
      <c r="B394" s="1920" t="n">
        <v>7107.88</v>
      </c>
      <c r="C394" s="1919" t="inlineStr">
        <is>
          <t>660</t>
        </is>
      </c>
      <c r="D394" s="1921">
        <f>B394/B395-1</f>
        <v/>
      </c>
      <c r="E394" s="1921">
        <f>C394/C395-1</f>
        <v/>
      </c>
      <c r="F394" s="1921">
        <f>$L$2/365</f>
        <v/>
      </c>
      <c r="G394" s="1921">
        <f>D394-F394</f>
        <v/>
      </c>
      <c r="H394" s="1921">
        <f>E394-F394</f>
        <v/>
      </c>
    </row>
    <row r="395" ht="14.25" customHeight="1">
      <c r="A395" s="1919" t="inlineStr">
        <is>
          <t>12/17/2024</t>
        </is>
      </c>
      <c r="B395" s="1920" t="n">
        <v>7157.73</v>
      </c>
      <c r="C395" s="1919" t="inlineStr">
        <is>
          <t>680</t>
        </is>
      </c>
      <c r="D395" s="1921">
        <f>B395/B396-1</f>
        <v/>
      </c>
      <c r="E395" s="1921">
        <f>C395/C396-1</f>
        <v/>
      </c>
      <c r="F395" s="1921">
        <f>$L$2/365</f>
        <v/>
      </c>
      <c r="G395" s="1921">
        <f>D395-F395</f>
        <v/>
      </c>
      <c r="H395" s="1921">
        <f>E395-F395</f>
        <v/>
      </c>
    </row>
    <row r="396" ht="14.25" customHeight="1">
      <c r="A396" s="1919" t="inlineStr">
        <is>
          <t>12/16/2024</t>
        </is>
      </c>
      <c r="B396" s="1920" t="n">
        <v>7258.63</v>
      </c>
      <c r="C396" s="1919" t="inlineStr">
        <is>
          <t>680</t>
        </is>
      </c>
      <c r="D396" s="1921">
        <f>B396/B397-1</f>
        <v/>
      </c>
      <c r="E396" s="1921">
        <f>C396/C397-1</f>
        <v/>
      </c>
      <c r="F396" s="1921">
        <f>$L$2/365</f>
        <v/>
      </c>
      <c r="G396" s="1921">
        <f>D396-F396</f>
        <v/>
      </c>
      <c r="H396" s="1921">
        <f>E396-F396</f>
        <v/>
      </c>
    </row>
    <row r="397" ht="14.25" customHeight="1">
      <c r="A397" s="1919" t="inlineStr">
        <is>
          <t>12/13/2024</t>
        </is>
      </c>
      <c r="B397" s="1920" t="n">
        <v>7324.79</v>
      </c>
      <c r="C397" s="1919" t="inlineStr">
        <is>
          <t>690</t>
        </is>
      </c>
      <c r="D397" s="1921">
        <f>B397/B398-1</f>
        <v/>
      </c>
      <c r="E397" s="1921">
        <f>C397/C398-1</f>
        <v/>
      </c>
      <c r="F397" s="1921">
        <f>$L$2/365</f>
        <v/>
      </c>
      <c r="G397" s="1921">
        <f>D397-F397</f>
        <v/>
      </c>
      <c r="H397" s="1921">
        <f>E397-F397</f>
        <v/>
      </c>
    </row>
    <row r="398" ht="14.25" customHeight="1">
      <c r="A398" s="1919" t="inlineStr">
        <is>
          <t>12/12/2024</t>
        </is>
      </c>
      <c r="B398" s="1920" t="n">
        <v>7394.24</v>
      </c>
      <c r="C398" s="1919" t="inlineStr">
        <is>
          <t>685</t>
        </is>
      </c>
      <c r="D398" s="1921">
        <f>B398/B399-1</f>
        <v/>
      </c>
      <c r="E398" s="1921">
        <f>C398/C399-1</f>
        <v/>
      </c>
      <c r="F398" s="1921">
        <f>$L$2/365</f>
        <v/>
      </c>
      <c r="G398" s="1921">
        <f>D398-F398</f>
        <v/>
      </c>
      <c r="H398" s="1921">
        <f>E398-F398</f>
        <v/>
      </c>
    </row>
    <row r="399" ht="14.25" customHeight="1">
      <c r="A399" s="1919" t="inlineStr">
        <is>
          <t>12/11/2024</t>
        </is>
      </c>
      <c r="B399" s="1920" t="n">
        <v>7464.75</v>
      </c>
      <c r="C399" s="1919" t="inlineStr">
        <is>
          <t>715</t>
        </is>
      </c>
      <c r="D399" s="1921">
        <f>B399/B400-1</f>
        <v/>
      </c>
      <c r="E399" s="1921">
        <f>C399/C400-1</f>
        <v/>
      </c>
      <c r="F399" s="1921">
        <f>$L$2/365</f>
        <v/>
      </c>
      <c r="G399" s="1921">
        <f>D399-F399</f>
        <v/>
      </c>
      <c r="H399" s="1921">
        <f>E399-F399</f>
        <v/>
      </c>
    </row>
    <row r="400" ht="14.25" customHeight="1">
      <c r="A400" s="1919" t="inlineStr">
        <is>
          <t>12/10/2024</t>
        </is>
      </c>
      <c r="B400" s="1920" t="n">
        <v>7453.29</v>
      </c>
      <c r="C400" s="1919" t="inlineStr">
        <is>
          <t>720</t>
        </is>
      </c>
      <c r="D400" s="1921">
        <f>B400/B401-1</f>
        <v/>
      </c>
      <c r="E400" s="1921">
        <f>C400/C401-1</f>
        <v/>
      </c>
      <c r="F400" s="1921">
        <f>$L$2/365</f>
        <v/>
      </c>
      <c r="G400" s="1921">
        <f>D400-F400</f>
        <v/>
      </c>
      <c r="H400" s="1921">
        <f>E400-F400</f>
        <v/>
      </c>
    </row>
    <row r="401" ht="14.25" customHeight="1">
      <c r="A401" s="1919" t="inlineStr">
        <is>
          <t>12/09/2024</t>
        </is>
      </c>
      <c r="B401" s="1920" t="n">
        <v>7437.73</v>
      </c>
      <c r="C401" s="1919" t="inlineStr">
        <is>
          <t>730</t>
        </is>
      </c>
      <c r="D401" s="1921">
        <f>B401/B402-1</f>
        <v/>
      </c>
      <c r="E401" s="1921">
        <f>C401/C402-1</f>
        <v/>
      </c>
      <c r="F401" s="1921">
        <f>$L$2/365</f>
        <v/>
      </c>
      <c r="G401" s="1921">
        <f>D401-F401</f>
        <v/>
      </c>
      <c r="H401" s="1921">
        <f>E401-F401</f>
        <v/>
      </c>
    </row>
    <row r="402" ht="14.25" customHeight="1">
      <c r="A402" s="1919" t="inlineStr">
        <is>
          <t>12/06/2024</t>
        </is>
      </c>
      <c r="B402" s="1920" t="n">
        <v>7382.79</v>
      </c>
      <c r="C402" s="1919" t="inlineStr">
        <is>
          <t>710</t>
        </is>
      </c>
      <c r="D402" s="1921">
        <f>B402/B403-1</f>
        <v/>
      </c>
      <c r="E402" s="1921">
        <f>C402/C403-1</f>
        <v/>
      </c>
      <c r="F402" s="1921">
        <f>$L$2/365</f>
        <v/>
      </c>
      <c r="G402" s="1921">
        <f>D402-F402</f>
        <v/>
      </c>
      <c r="H402" s="1921">
        <f>E402-F402</f>
        <v/>
      </c>
    </row>
    <row r="403" ht="14.25" customHeight="1">
      <c r="A403" s="1919" t="inlineStr">
        <is>
          <t>12/05/2024</t>
        </is>
      </c>
      <c r="B403" s="1920" t="n">
        <v>7313.31</v>
      </c>
      <c r="C403" s="1919" t="inlineStr">
        <is>
          <t>720</t>
        </is>
      </c>
      <c r="D403" s="1921">
        <f>B403/B404-1</f>
        <v/>
      </c>
      <c r="E403" s="1921">
        <f>C403/C404-1</f>
        <v/>
      </c>
      <c r="F403" s="1921">
        <f>$L$2/365</f>
        <v/>
      </c>
      <c r="G403" s="1921">
        <f>D403-F403</f>
        <v/>
      </c>
      <c r="H403" s="1921">
        <f>E403-F403</f>
        <v/>
      </c>
    </row>
    <row r="404" ht="14.25" customHeight="1">
      <c r="A404" s="1919" t="inlineStr">
        <is>
          <t>12/04/2024</t>
        </is>
      </c>
      <c r="B404" s="1920" t="n">
        <v>7326.76</v>
      </c>
      <c r="C404" s="1919" t="inlineStr">
        <is>
          <t>710</t>
        </is>
      </c>
      <c r="D404" s="1921">
        <f>B404/B405-1</f>
        <v/>
      </c>
      <c r="E404" s="1921">
        <f>C404/C405-1</f>
        <v/>
      </c>
      <c r="F404" s="1921">
        <f>$L$2/365</f>
        <v/>
      </c>
      <c r="G404" s="1921">
        <f>D404-F404</f>
        <v/>
      </c>
      <c r="H404" s="1921">
        <f>E404-F404</f>
        <v/>
      </c>
    </row>
    <row r="405" ht="14.25" customHeight="1">
      <c r="A405" s="1919" t="inlineStr">
        <is>
          <t>12/03/2024</t>
        </is>
      </c>
      <c r="B405" s="1920" t="n">
        <v>7196.02</v>
      </c>
      <c r="C405" s="1919" t="inlineStr">
        <is>
          <t>690</t>
        </is>
      </c>
      <c r="D405" s="1921">
        <f>B405/B406-1</f>
        <v/>
      </c>
      <c r="E405" s="1921">
        <f>C405/C406-1</f>
        <v/>
      </c>
      <c r="F405" s="1921">
        <f>$L$2/365</f>
        <v/>
      </c>
      <c r="G405" s="1921">
        <f>D405-F405</f>
        <v/>
      </c>
      <c r="H405" s="1921">
        <f>E405-F405</f>
        <v/>
      </c>
    </row>
    <row r="406" ht="14.25" customHeight="1">
      <c r="A406" s="1919" t="inlineStr">
        <is>
          <t>12/02/2024</t>
        </is>
      </c>
      <c r="B406" s="1920" t="n">
        <v>7046.99</v>
      </c>
      <c r="C406" s="1919" t="inlineStr">
        <is>
          <t>690</t>
        </is>
      </c>
      <c r="D406" s="1921">
        <f>B406/B407-1</f>
        <v/>
      </c>
      <c r="E406" s="1921">
        <f>C406/C407-1</f>
        <v/>
      </c>
      <c r="F406" s="1921">
        <f>$L$2/365</f>
        <v/>
      </c>
      <c r="G406" s="1921">
        <f>D406-F406</f>
        <v/>
      </c>
      <c r="H406" s="1921">
        <f>E406-F406</f>
        <v/>
      </c>
    </row>
    <row r="407" ht="14.25" customHeight="1">
      <c r="A407" s="1919" t="inlineStr">
        <is>
          <t>11/29/2024</t>
        </is>
      </c>
      <c r="B407" s="1920" t="n">
        <v>7114.27</v>
      </c>
      <c r="C407" s="1919" t="inlineStr">
        <is>
          <t>705</t>
        </is>
      </c>
      <c r="D407" s="1921">
        <f>B407/B408-1</f>
        <v/>
      </c>
      <c r="E407" s="1921">
        <f>C407/C408-1</f>
        <v/>
      </c>
      <c r="F407" s="1921">
        <f>$L$2/365</f>
        <v/>
      </c>
      <c r="G407" s="1921">
        <f>D407-F407</f>
        <v/>
      </c>
      <c r="H407" s="1921">
        <f>E407-F407</f>
        <v/>
      </c>
    </row>
    <row r="408" ht="14.25" customHeight="1">
      <c r="A408" s="1919" t="inlineStr">
        <is>
          <t>11/28/2024</t>
        </is>
      </c>
      <c r="B408" s="1920" t="n">
        <v>7200.16</v>
      </c>
      <c r="C408" s="1919" t="inlineStr">
        <is>
          <t>705</t>
        </is>
      </c>
      <c r="D408" s="1921">
        <f>B408/B409-1</f>
        <v/>
      </c>
      <c r="E408" s="1921">
        <f>C408/C409-1</f>
        <v/>
      </c>
      <c r="F408" s="1921">
        <f>$L$2/365</f>
        <v/>
      </c>
      <c r="G408" s="1921">
        <f>D408-F408</f>
        <v/>
      </c>
      <c r="H408" s="1921">
        <f>E408-F408</f>
        <v/>
      </c>
    </row>
    <row r="409" ht="14.25" customHeight="1">
      <c r="A409" s="1919" t="inlineStr">
        <is>
          <t>11/26/2024</t>
        </is>
      </c>
      <c r="B409" s="1920" t="n">
        <v>7245.89</v>
      </c>
      <c r="C409" s="1919" t="inlineStr">
        <is>
          <t>705</t>
        </is>
      </c>
      <c r="D409" s="1921">
        <f>B409/B410-1</f>
        <v/>
      </c>
      <c r="E409" s="1921">
        <f>C409/C410-1</f>
        <v/>
      </c>
      <c r="F409" s="1921">
        <f>$L$2/365</f>
        <v/>
      </c>
      <c r="G409" s="1921">
        <f>D409-F409</f>
        <v/>
      </c>
      <c r="H409" s="1921">
        <f>E409-F409</f>
        <v/>
      </c>
    </row>
    <row r="410" ht="14.25" customHeight="1">
      <c r="A410" s="1919" t="inlineStr">
        <is>
          <t>11/25/2024</t>
        </is>
      </c>
      <c r="B410" s="1920" t="n">
        <v>7314.11</v>
      </c>
      <c r="C410" s="1919" t="inlineStr">
        <is>
          <t>705</t>
        </is>
      </c>
      <c r="D410" s="1921">
        <f>B410/B411-1</f>
        <v/>
      </c>
      <c r="E410" s="1921">
        <f>C410/C411-1</f>
        <v/>
      </c>
      <c r="F410" s="1921">
        <f>$L$2/365</f>
        <v/>
      </c>
      <c r="G410" s="1921">
        <f>D410-F410</f>
        <v/>
      </c>
      <c r="H410" s="1921">
        <f>E410-F410</f>
        <v/>
      </c>
    </row>
    <row r="411" ht="14.25" customHeight="1">
      <c r="A411" s="1919" t="inlineStr">
        <is>
          <t>11/22/2024</t>
        </is>
      </c>
      <c r="B411" s="1920" t="n">
        <v>7195.56</v>
      </c>
      <c r="C411" s="1919" t="inlineStr">
        <is>
          <t>720</t>
        </is>
      </c>
      <c r="D411" s="1921">
        <f>B411/B412-1</f>
        <v/>
      </c>
      <c r="E411" s="1921">
        <f>C411/C412-1</f>
        <v/>
      </c>
      <c r="F411" s="1921">
        <f>$L$2/365</f>
        <v/>
      </c>
      <c r="G411" s="1921">
        <f>D411-F411</f>
        <v/>
      </c>
      <c r="H411" s="1921">
        <f>E411-F411</f>
        <v/>
      </c>
    </row>
    <row r="412" ht="14.25" customHeight="1">
      <c r="A412" s="1919" t="inlineStr">
        <is>
          <t>11/21/2024</t>
        </is>
      </c>
      <c r="B412" s="1920" t="n">
        <v>7140.91</v>
      </c>
      <c r="C412" s="1919" t="inlineStr">
        <is>
          <t>720</t>
        </is>
      </c>
      <c r="D412" s="1921">
        <f>B412/B413-1</f>
        <v/>
      </c>
      <c r="E412" s="1921">
        <f>C412/C413-1</f>
        <v/>
      </c>
      <c r="F412" s="1921">
        <f>$L$2/365</f>
        <v/>
      </c>
      <c r="G412" s="1921">
        <f>D412-F412</f>
        <v/>
      </c>
      <c r="H412" s="1921">
        <f>E412-F412</f>
        <v/>
      </c>
    </row>
    <row r="413" ht="14.25" customHeight="1">
      <c r="A413" s="1919" t="inlineStr">
        <is>
          <t>11/20/2024</t>
        </is>
      </c>
      <c r="B413" s="1920" t="n">
        <v>7180.33</v>
      </c>
      <c r="C413" s="1919" t="inlineStr">
        <is>
          <t>720</t>
        </is>
      </c>
      <c r="D413" s="1921">
        <f>B413/B414-1</f>
        <v/>
      </c>
      <c r="E413" s="1921">
        <f>C413/C414-1</f>
        <v/>
      </c>
      <c r="F413" s="1921">
        <f>$L$2/365</f>
        <v/>
      </c>
      <c r="G413" s="1921">
        <f>D413-F413</f>
        <v/>
      </c>
      <c r="H413" s="1921">
        <f>E413-F413</f>
        <v/>
      </c>
    </row>
    <row r="414" ht="14.25" customHeight="1">
      <c r="A414" s="1919" t="inlineStr">
        <is>
          <t>11/19/2024</t>
        </is>
      </c>
      <c r="B414" s="1920" t="n">
        <v>7195.71</v>
      </c>
      <c r="C414" s="1919" t="inlineStr">
        <is>
          <t>720</t>
        </is>
      </c>
      <c r="D414" s="1921">
        <f>B414/B415-1</f>
        <v/>
      </c>
      <c r="E414" s="1921">
        <f>C414/C415-1</f>
        <v/>
      </c>
      <c r="F414" s="1921">
        <f>$L$2/365</f>
        <v/>
      </c>
      <c r="G414" s="1921">
        <f>D414-F414</f>
        <v/>
      </c>
      <c r="H414" s="1921">
        <f>E414-F414</f>
        <v/>
      </c>
    </row>
    <row r="415" ht="14.25" customHeight="1">
      <c r="A415" s="1919" t="inlineStr">
        <is>
          <t>11/18/2024</t>
        </is>
      </c>
      <c r="B415" s="1920" t="n">
        <v>7134.28</v>
      </c>
      <c r="C415" s="1919" t="inlineStr">
        <is>
          <t>710</t>
        </is>
      </c>
      <c r="D415" s="1921">
        <f>B415/B416-1</f>
        <v/>
      </c>
      <c r="E415" s="1921">
        <f>C415/C416-1</f>
        <v/>
      </c>
      <c r="F415" s="1921">
        <f>$L$2/365</f>
        <v/>
      </c>
      <c r="G415" s="1921">
        <f>D415-F415</f>
        <v/>
      </c>
      <c r="H415" s="1921">
        <f>E415-F415</f>
        <v/>
      </c>
    </row>
    <row r="416" ht="14.25" customHeight="1">
      <c r="A416" s="1919" t="inlineStr">
        <is>
          <t>11/15/2024</t>
        </is>
      </c>
      <c r="B416" s="1920" t="n">
        <v>7161.26</v>
      </c>
      <c r="C416" s="1919" t="inlineStr">
        <is>
          <t>720</t>
        </is>
      </c>
      <c r="D416" s="1921">
        <f>B416/B417-1</f>
        <v/>
      </c>
      <c r="E416" s="1921">
        <f>C416/C417-1</f>
        <v/>
      </c>
      <c r="F416" s="1921">
        <f>$L$2/365</f>
        <v/>
      </c>
      <c r="G416" s="1921">
        <f>D416-F416</f>
        <v/>
      </c>
      <c r="H416" s="1921">
        <f>E416-F416</f>
        <v/>
      </c>
    </row>
    <row r="417" ht="14.25" customHeight="1">
      <c r="A417" s="1919" t="inlineStr">
        <is>
          <t>11/14/2024</t>
        </is>
      </c>
      <c r="B417" s="1920" t="n">
        <v>7214.56</v>
      </c>
      <c r="C417" s="1919" t="inlineStr">
        <is>
          <t>725</t>
        </is>
      </c>
      <c r="D417" s="1921">
        <f>B417/B418-1</f>
        <v/>
      </c>
      <c r="E417" s="1921">
        <f>C417/C418-1</f>
        <v/>
      </c>
      <c r="F417" s="1921">
        <f>$L$2/365</f>
        <v/>
      </c>
      <c r="G417" s="1921">
        <f>D417-F417</f>
        <v/>
      </c>
      <c r="H417" s="1921">
        <f>E417-F417</f>
        <v/>
      </c>
    </row>
    <row r="418" ht="14.25" customHeight="1">
      <c r="A418" s="1919" t="inlineStr">
        <is>
          <t>11/13/2024</t>
        </is>
      </c>
      <c r="B418" s="1920" t="n">
        <v>7308.67</v>
      </c>
      <c r="C418" s="1919" t="inlineStr">
        <is>
          <t>735</t>
        </is>
      </c>
      <c r="D418" s="1921">
        <f>B418/B419-1</f>
        <v/>
      </c>
      <c r="E418" s="1921">
        <f>C418/C419-1</f>
        <v/>
      </c>
      <c r="F418" s="1921">
        <f>$L$2/365</f>
        <v/>
      </c>
      <c r="G418" s="1921">
        <f>D418-F418</f>
        <v/>
      </c>
      <c r="H418" s="1921">
        <f>E418-F418</f>
        <v/>
      </c>
    </row>
    <row r="419" ht="14.25" customHeight="1">
      <c r="A419" s="1919" t="inlineStr">
        <is>
          <t>11/12/2024</t>
        </is>
      </c>
      <c r="B419" s="1920" t="n">
        <v>7321.99</v>
      </c>
      <c r="C419" s="1919" t="inlineStr">
        <is>
          <t>740</t>
        </is>
      </c>
      <c r="D419" s="1921">
        <f>B419/B420-1</f>
        <v/>
      </c>
      <c r="E419" s="1921">
        <f>C419/C420-1</f>
        <v/>
      </c>
      <c r="F419" s="1921">
        <f>$L$2/365</f>
        <v/>
      </c>
      <c r="G419" s="1921">
        <f>D419-F419</f>
        <v/>
      </c>
      <c r="H419" s="1921">
        <f>E419-F419</f>
        <v/>
      </c>
    </row>
    <row r="420" ht="14.25" customHeight="1">
      <c r="A420" s="1919" t="inlineStr">
        <is>
          <t>11/11/2024</t>
        </is>
      </c>
      <c r="B420" s="1920" t="n">
        <v>7266.46</v>
      </c>
      <c r="C420" s="1919" t="inlineStr">
        <is>
          <t>750</t>
        </is>
      </c>
      <c r="D420" s="1921">
        <f>B420/B421-1</f>
        <v/>
      </c>
      <c r="E420" s="1921">
        <f>C420/C421-1</f>
        <v/>
      </c>
      <c r="F420" s="1921">
        <f>$L$2/365</f>
        <v/>
      </c>
      <c r="G420" s="1921">
        <f>D420-F420</f>
        <v/>
      </c>
      <c r="H420" s="1921">
        <f>E420-F420</f>
        <v/>
      </c>
    </row>
    <row r="421" ht="14.25" customHeight="1">
      <c r="A421" s="1919" t="inlineStr">
        <is>
          <t>11/08/2024</t>
        </is>
      </c>
      <c r="B421" s="1920" t="n">
        <v>7287.19</v>
      </c>
      <c r="C421" s="1919" t="inlineStr">
        <is>
          <t>755</t>
        </is>
      </c>
      <c r="D421" s="1921">
        <f>B421/B422-1</f>
        <v/>
      </c>
      <c r="E421" s="1921">
        <f>C421/C422-1</f>
        <v/>
      </c>
      <c r="F421" s="1921">
        <f>$L$2/365</f>
        <v/>
      </c>
      <c r="G421" s="1921">
        <f>D421-F421</f>
        <v/>
      </c>
      <c r="H421" s="1921">
        <f>E421-F421</f>
        <v/>
      </c>
    </row>
    <row r="422" ht="14.25" customHeight="1">
      <c r="A422" s="1919" t="inlineStr">
        <is>
          <t>11/07/2024</t>
        </is>
      </c>
      <c r="B422" s="1920" t="n">
        <v>7243.86</v>
      </c>
      <c r="C422" s="1919" t="inlineStr">
        <is>
          <t>780</t>
        </is>
      </c>
      <c r="D422" s="1921">
        <f>B422/B423-1</f>
        <v/>
      </c>
      <c r="E422" s="1921">
        <f>C422/C423-1</f>
        <v/>
      </c>
      <c r="F422" s="1921">
        <f>$L$2/365</f>
        <v/>
      </c>
      <c r="G422" s="1921">
        <f>D422-F422</f>
        <v/>
      </c>
      <c r="H422" s="1921">
        <f>E422-F422</f>
        <v/>
      </c>
    </row>
    <row r="423" ht="14.25" customHeight="1">
      <c r="A423" s="1919" t="inlineStr">
        <is>
          <t>11/06/2024</t>
        </is>
      </c>
      <c r="B423" s="1920" t="n">
        <v>7383.87</v>
      </c>
      <c r="C423" s="1919" t="inlineStr">
        <is>
          <t>770</t>
        </is>
      </c>
      <c r="D423" s="1921">
        <f>B423/B424-1</f>
        <v/>
      </c>
      <c r="E423" s="1921">
        <f>C423/C424-1</f>
        <v/>
      </c>
      <c r="F423" s="1921">
        <f>$L$2/365</f>
        <v/>
      </c>
      <c r="G423" s="1921">
        <f>D423-F423</f>
        <v/>
      </c>
      <c r="H423" s="1921">
        <f>E423-F423</f>
        <v/>
      </c>
    </row>
    <row r="424" ht="14.25" customHeight="1">
      <c r="A424" s="1919" t="inlineStr">
        <is>
          <t>11/05/2024</t>
        </is>
      </c>
      <c r="B424" s="1920" t="n">
        <v>7491.93</v>
      </c>
      <c r="C424" s="1919" t="inlineStr">
        <is>
          <t>785</t>
        </is>
      </c>
      <c r="D424" s="1921">
        <f>B424/B425-1</f>
        <v/>
      </c>
      <c r="E424" s="1921">
        <f>C424/C425-1</f>
        <v/>
      </c>
      <c r="F424" s="1921">
        <f>$L$2/365</f>
        <v/>
      </c>
      <c r="G424" s="1921">
        <f>D424-F424</f>
        <v/>
      </c>
      <c r="H424" s="1921">
        <f>E424-F424</f>
        <v/>
      </c>
    </row>
    <row r="425" ht="14.25" customHeight="1">
      <c r="A425" s="1919" t="inlineStr">
        <is>
          <t>11/04/2024</t>
        </is>
      </c>
      <c r="B425" s="1920" t="n">
        <v>7479.5</v>
      </c>
      <c r="C425" s="1919" t="inlineStr">
        <is>
          <t>785</t>
        </is>
      </c>
      <c r="D425" s="1921">
        <f>B425/B426-1</f>
        <v/>
      </c>
      <c r="E425" s="1921">
        <f>C425/C426-1</f>
        <v/>
      </c>
      <c r="F425" s="1921">
        <f>$L$2/365</f>
        <v/>
      </c>
      <c r="G425" s="1921">
        <f>D425-F425</f>
        <v/>
      </c>
      <c r="H425" s="1921">
        <f>E425-F425</f>
        <v/>
      </c>
    </row>
    <row r="426" ht="14.25" customHeight="1">
      <c r="A426" s="1919" t="inlineStr">
        <is>
          <t>11/01/2024</t>
        </is>
      </c>
      <c r="B426" s="1920" t="n">
        <v>7505.26</v>
      </c>
      <c r="C426" s="1919" t="inlineStr">
        <is>
          <t>800</t>
        </is>
      </c>
      <c r="D426" s="1921">
        <f>B426/B427-1</f>
        <v/>
      </c>
      <c r="E426" s="1921">
        <f>C426/C427-1</f>
        <v/>
      </c>
      <c r="F426" s="1921">
        <f>$L$2/365</f>
        <v/>
      </c>
      <c r="G426" s="1921">
        <f>D426-F426</f>
        <v/>
      </c>
      <c r="H426" s="1921">
        <f>E426-F426</f>
        <v/>
      </c>
    </row>
    <row r="427" ht="14.25" customHeight="1">
      <c r="A427" s="1919" t="inlineStr">
        <is>
          <t>10/31/2024</t>
        </is>
      </c>
      <c r="B427" s="1920" t="n">
        <v>7574.02</v>
      </c>
      <c r="C427" s="1919" t="inlineStr">
        <is>
          <t>800</t>
        </is>
      </c>
      <c r="D427" s="1921">
        <f>B427/B428-1</f>
        <v/>
      </c>
      <c r="E427" s="1921">
        <f>C427/C428-1</f>
        <v/>
      </c>
      <c r="F427" s="1921">
        <f>$L$2/365</f>
        <v/>
      </c>
      <c r="G427" s="1921">
        <f>D427-F427</f>
        <v/>
      </c>
      <c r="H427" s="1921">
        <f>E427-F427</f>
        <v/>
      </c>
    </row>
    <row r="428" ht="14.25" customHeight="1">
      <c r="A428" s="1919" t="inlineStr">
        <is>
          <t>10/30/2024</t>
        </is>
      </c>
      <c r="B428" s="1920" t="n">
        <v>7569.85</v>
      </c>
      <c r="C428" s="1919" t="inlineStr">
        <is>
          <t>790</t>
        </is>
      </c>
      <c r="D428" s="1921">
        <f>B428/B429-1</f>
        <v/>
      </c>
      <c r="E428" s="1921">
        <f>C428/C429-1</f>
        <v/>
      </c>
      <c r="F428" s="1921">
        <f>$L$2/365</f>
        <v/>
      </c>
      <c r="G428" s="1921">
        <f>D428-F428</f>
        <v/>
      </c>
      <c r="H428" s="1921">
        <f>E428-F428</f>
        <v/>
      </c>
    </row>
    <row r="429" ht="14.25" customHeight="1">
      <c r="A429" s="1919" t="inlineStr">
        <is>
          <t>10/29/2024</t>
        </is>
      </c>
      <c r="B429" s="1920" t="n">
        <v>7606.6</v>
      </c>
      <c r="C429" s="1919" t="inlineStr">
        <is>
          <t>785</t>
        </is>
      </c>
      <c r="D429" s="1921">
        <f>B429/B430-1</f>
        <v/>
      </c>
      <c r="E429" s="1921">
        <f>C429/C430-1</f>
        <v/>
      </c>
      <c r="F429" s="1921">
        <f>$L$2/365</f>
        <v/>
      </c>
      <c r="G429" s="1921">
        <f>D429-F429</f>
        <v/>
      </c>
      <c r="H429" s="1921">
        <f>E429-F429</f>
        <v/>
      </c>
    </row>
    <row r="430" ht="14.25" customHeight="1">
      <c r="A430" s="1919" t="inlineStr">
        <is>
          <t>10/28/2024</t>
        </is>
      </c>
      <c r="B430" s="1920" t="n">
        <v>7634.63</v>
      </c>
      <c r="C430" s="1919" t="inlineStr">
        <is>
          <t>775</t>
        </is>
      </c>
      <c r="D430" s="1921">
        <f>B430/B431-1</f>
        <v/>
      </c>
      <c r="E430" s="1921">
        <f>C430/C431-1</f>
        <v/>
      </c>
      <c r="F430" s="1921">
        <f>$L$2/365</f>
        <v/>
      </c>
      <c r="G430" s="1921">
        <f>D430-F430</f>
        <v/>
      </c>
      <c r="H430" s="1921">
        <f>E430-F430</f>
        <v/>
      </c>
    </row>
    <row r="431" ht="14.25" customHeight="1">
      <c r="A431" s="1919" t="inlineStr">
        <is>
          <t>10/25/2024</t>
        </is>
      </c>
      <c r="B431" s="1920" t="n">
        <v>7694.66</v>
      </c>
      <c r="C431" s="1919" t="inlineStr">
        <is>
          <t>795</t>
        </is>
      </c>
      <c r="D431" s="1921">
        <f>B431/B432-1</f>
        <v/>
      </c>
      <c r="E431" s="1921">
        <f>C431/C432-1</f>
        <v/>
      </c>
      <c r="F431" s="1921">
        <f>$L$2/365</f>
        <v/>
      </c>
      <c r="G431" s="1921">
        <f>D431-F431</f>
        <v/>
      </c>
      <c r="H431" s="1921">
        <f>E431-F431</f>
        <v/>
      </c>
    </row>
    <row r="432" ht="14.25" customHeight="1">
      <c r="A432" s="1919" t="inlineStr">
        <is>
          <t>10/24/2024</t>
        </is>
      </c>
      <c r="B432" s="1920" t="n">
        <v>7716.55</v>
      </c>
      <c r="C432" s="1919" t="inlineStr">
        <is>
          <t>805</t>
        </is>
      </c>
      <c r="D432" s="1921">
        <f>B432/B433-1</f>
        <v/>
      </c>
      <c r="E432" s="1921">
        <f>C432/C433-1</f>
        <v/>
      </c>
      <c r="F432" s="1921">
        <f>$L$2/365</f>
        <v/>
      </c>
      <c r="G432" s="1921">
        <f>D432-F432</f>
        <v/>
      </c>
      <c r="H432" s="1921">
        <f>E432-F432</f>
        <v/>
      </c>
    </row>
    <row r="433" ht="14.25" customHeight="1">
      <c r="A433" s="1919" t="inlineStr">
        <is>
          <t>10/23/2024</t>
        </is>
      </c>
      <c r="B433" s="1920" t="n">
        <v>7787.56</v>
      </c>
      <c r="C433" s="1919" t="inlineStr">
        <is>
          <t>800</t>
        </is>
      </c>
      <c r="D433" s="1921">
        <f>B433/B434-1</f>
        <v/>
      </c>
      <c r="E433" s="1921">
        <f>C433/C434-1</f>
        <v/>
      </c>
      <c r="F433" s="1921">
        <f>$L$2/365</f>
        <v/>
      </c>
      <c r="G433" s="1921">
        <f>D433-F433</f>
        <v/>
      </c>
      <c r="H433" s="1921">
        <f>E433-F433</f>
        <v/>
      </c>
    </row>
    <row r="434" ht="14.25" customHeight="1">
      <c r="A434" s="1919" t="inlineStr">
        <is>
          <t>10/22/2024</t>
        </is>
      </c>
      <c r="B434" s="1920" t="n">
        <v>7788.98</v>
      </c>
      <c r="C434" s="1919" t="inlineStr">
        <is>
          <t>810</t>
        </is>
      </c>
      <c r="D434" s="1921">
        <f>B434/B435-1</f>
        <v/>
      </c>
      <c r="E434" s="1921">
        <f>C434/C435-1</f>
        <v/>
      </c>
      <c r="F434" s="1921">
        <f>$L$2/365</f>
        <v/>
      </c>
      <c r="G434" s="1921">
        <f>D434-F434</f>
        <v/>
      </c>
      <c r="H434" s="1921">
        <f>E434-F434</f>
        <v/>
      </c>
    </row>
    <row r="435" ht="14.25" customHeight="1">
      <c r="A435" s="1919" t="inlineStr">
        <is>
          <t>10/21/2024</t>
        </is>
      </c>
      <c r="B435" s="1920" t="n">
        <v>7772.6</v>
      </c>
      <c r="C435" s="1919" t="inlineStr">
        <is>
          <t>815</t>
        </is>
      </c>
      <c r="D435" s="1921">
        <f>B435/B436-1</f>
        <v/>
      </c>
      <c r="E435" s="1921">
        <f>C435/C436-1</f>
        <v/>
      </c>
      <c r="F435" s="1921">
        <f>$L$2/365</f>
        <v/>
      </c>
      <c r="G435" s="1921">
        <f>D435-F435</f>
        <v/>
      </c>
      <c r="H435" s="1921">
        <f>E435-F435</f>
        <v/>
      </c>
    </row>
    <row r="436" ht="14.25" customHeight="1">
      <c r="A436" s="1919" t="inlineStr">
        <is>
          <t>10/18/2024</t>
        </is>
      </c>
      <c r="B436" s="1920" t="n">
        <v>7760.06</v>
      </c>
      <c r="C436" s="1919" t="inlineStr">
        <is>
          <t>810</t>
        </is>
      </c>
      <c r="D436" s="1921">
        <f>B436/B437-1</f>
        <v/>
      </c>
      <c r="E436" s="1921">
        <f>C436/C437-1</f>
        <v/>
      </c>
      <c r="F436" s="1921">
        <f>$L$2/365</f>
        <v/>
      </c>
      <c r="G436" s="1921">
        <f>D436-F436</f>
        <v/>
      </c>
      <c r="H436" s="1921">
        <f>E436-F436</f>
        <v/>
      </c>
    </row>
    <row r="437" ht="14.25" customHeight="1">
      <c r="A437" s="1919" t="inlineStr">
        <is>
          <t>10/17/2024</t>
        </is>
      </c>
      <c r="B437" s="1920" t="n">
        <v>7735.04</v>
      </c>
      <c r="C437" s="1919" t="inlineStr">
        <is>
          <t>810</t>
        </is>
      </c>
      <c r="D437" s="1921">
        <f>B437/B438-1</f>
        <v/>
      </c>
      <c r="E437" s="1921">
        <f>C437/C438-1</f>
        <v/>
      </c>
      <c r="F437" s="1921">
        <f>$L$2/365</f>
        <v/>
      </c>
      <c r="G437" s="1921">
        <f>D437-F437</f>
        <v/>
      </c>
      <c r="H437" s="1921">
        <f>E437-F437</f>
        <v/>
      </c>
    </row>
    <row r="438" ht="14.25" customHeight="1">
      <c r="A438" s="1919" t="inlineStr">
        <is>
          <t>10/16/2024</t>
        </is>
      </c>
      <c r="B438" s="1920" t="n">
        <v>7648.94</v>
      </c>
      <c r="C438" s="1919" t="inlineStr">
        <is>
          <t>820</t>
        </is>
      </c>
      <c r="D438" s="1921">
        <f>B438/B439-1</f>
        <v/>
      </c>
      <c r="E438" s="1921">
        <f>C438/C439-1</f>
        <v/>
      </c>
      <c r="F438" s="1921">
        <f>$L$2/365</f>
        <v/>
      </c>
      <c r="G438" s="1921">
        <f>D438-F438</f>
        <v/>
      </c>
      <c r="H438" s="1921">
        <f>E438-F438</f>
        <v/>
      </c>
    </row>
    <row r="439" ht="14.25" customHeight="1">
      <c r="A439" s="1919" t="inlineStr">
        <is>
          <t>10/15/2024</t>
        </is>
      </c>
      <c r="B439" s="1920" t="n">
        <v>7626.95</v>
      </c>
      <c r="C439" s="1919" t="inlineStr">
        <is>
          <t>825</t>
        </is>
      </c>
      <c r="D439" s="1921">
        <f>B439/B440-1</f>
        <v/>
      </c>
      <c r="E439" s="1921">
        <f>C439/C440-1</f>
        <v/>
      </c>
      <c r="F439" s="1921">
        <f>$L$2/365</f>
        <v/>
      </c>
      <c r="G439" s="1921">
        <f>D439-F439</f>
        <v/>
      </c>
      <c r="H439" s="1921">
        <f>E439-F439</f>
        <v/>
      </c>
    </row>
    <row r="440" ht="14.25" customHeight="1">
      <c r="A440" s="1919" t="inlineStr">
        <is>
          <t>10/14/2024</t>
        </is>
      </c>
      <c r="B440" s="1920" t="n">
        <v>7559.65</v>
      </c>
      <c r="C440" s="1919" t="inlineStr">
        <is>
          <t>815</t>
        </is>
      </c>
      <c r="D440" s="1921">
        <f>B440/B441-1</f>
        <v/>
      </c>
      <c r="E440" s="1921">
        <f>C440/C441-1</f>
        <v/>
      </c>
      <c r="F440" s="1921">
        <f>$L$2/365</f>
        <v/>
      </c>
      <c r="G440" s="1921">
        <f>D440-F440</f>
        <v/>
      </c>
      <c r="H440" s="1921">
        <f>E440-F440</f>
        <v/>
      </c>
    </row>
    <row r="441" ht="14.25" customHeight="1">
      <c r="A441" s="1919" t="inlineStr">
        <is>
          <t>10/11/2024</t>
        </is>
      </c>
      <c r="B441" s="1920" t="n">
        <v>7520.6</v>
      </c>
      <c r="C441" s="1919" t="inlineStr">
        <is>
          <t>840</t>
        </is>
      </c>
      <c r="D441" s="1921">
        <f>B441/B442-1</f>
        <v/>
      </c>
      <c r="E441" s="1921">
        <f>C441/C442-1</f>
        <v/>
      </c>
      <c r="F441" s="1921">
        <f>$L$2/365</f>
        <v/>
      </c>
      <c r="G441" s="1921">
        <f>D441-F441</f>
        <v/>
      </c>
      <c r="H441" s="1921">
        <f>E441-F441</f>
        <v/>
      </c>
    </row>
    <row r="442" ht="14.25" customHeight="1">
      <c r="A442" s="1919" t="inlineStr">
        <is>
          <t>10/10/2024</t>
        </is>
      </c>
      <c r="B442" s="1920" t="n">
        <v>7480.08</v>
      </c>
      <c r="C442" s="1919" t="inlineStr">
        <is>
          <t>840</t>
        </is>
      </c>
      <c r="D442" s="1921">
        <f>B442/B443-1</f>
        <v/>
      </c>
      <c r="E442" s="1921">
        <f>C442/C443-1</f>
        <v/>
      </c>
      <c r="F442" s="1921">
        <f>$L$2/365</f>
        <v/>
      </c>
      <c r="G442" s="1921">
        <f>D442-F442</f>
        <v/>
      </c>
      <c r="H442" s="1921">
        <f>E442-F442</f>
        <v/>
      </c>
    </row>
    <row r="443" ht="14.25" customHeight="1">
      <c r="A443" s="1919" t="inlineStr">
        <is>
          <t>10/09/2024</t>
        </is>
      </c>
      <c r="B443" s="1920" t="n">
        <v>7501.29</v>
      </c>
      <c r="C443" s="1919" t="inlineStr">
        <is>
          <t>840</t>
        </is>
      </c>
      <c r="D443" s="1921">
        <f>B443/B444-1</f>
        <v/>
      </c>
      <c r="E443" s="1921">
        <f>C443/C444-1</f>
        <v/>
      </c>
      <c r="F443" s="1921">
        <f>$L$2/365</f>
        <v/>
      </c>
      <c r="G443" s="1921">
        <f>D443-F443</f>
        <v/>
      </c>
      <c r="H443" s="1921">
        <f>E443-F443</f>
        <v/>
      </c>
    </row>
    <row r="444" ht="14.25" customHeight="1">
      <c r="A444" s="1919" t="inlineStr">
        <is>
          <t>10/08/2024</t>
        </is>
      </c>
      <c r="B444" s="1920" t="n">
        <v>7557.14</v>
      </c>
      <c r="C444" s="1919" t="inlineStr">
        <is>
          <t>840</t>
        </is>
      </c>
      <c r="D444" s="1921">
        <f>B444/B445-1</f>
        <v/>
      </c>
      <c r="E444" s="1921">
        <f>C444/C445-1</f>
        <v/>
      </c>
      <c r="F444" s="1921">
        <f>$L$2/365</f>
        <v/>
      </c>
      <c r="G444" s="1921">
        <f>D444-F444</f>
        <v/>
      </c>
      <c r="H444" s="1921">
        <f>E444-F444</f>
        <v/>
      </c>
    </row>
    <row r="445" ht="14.25" customHeight="1">
      <c r="A445" s="1919" t="inlineStr">
        <is>
          <t>10/07/2024</t>
        </is>
      </c>
      <c r="B445" s="1920" t="n">
        <v>7504.13</v>
      </c>
      <c r="C445" s="1919" t="inlineStr">
        <is>
          <t>845</t>
        </is>
      </c>
      <c r="D445" s="1921">
        <f>B445/B446-1</f>
        <v/>
      </c>
      <c r="E445" s="1921">
        <f>C445/C446-1</f>
        <v/>
      </c>
      <c r="F445" s="1921">
        <f>$L$2/365</f>
        <v/>
      </c>
      <c r="G445" s="1921">
        <f>D445-F445</f>
        <v/>
      </c>
      <c r="H445" s="1921">
        <f>E445-F445</f>
        <v/>
      </c>
    </row>
    <row r="446" ht="14.25" customHeight="1">
      <c r="A446" s="1919" t="inlineStr">
        <is>
          <t>10/04/2024</t>
        </is>
      </c>
      <c r="B446" s="1920" t="n">
        <v>7496.09</v>
      </c>
      <c r="C446" s="1919" t="inlineStr">
        <is>
          <t>850</t>
        </is>
      </c>
      <c r="D446" s="1921">
        <f>B446/B447-1</f>
        <v/>
      </c>
      <c r="E446" s="1921">
        <f>C446/C447-1</f>
        <v/>
      </c>
      <c r="F446" s="1921">
        <f>$L$2/365</f>
        <v/>
      </c>
      <c r="G446" s="1921">
        <f>D446-F446</f>
        <v/>
      </c>
      <c r="H446" s="1921">
        <f>E446-F446</f>
        <v/>
      </c>
    </row>
    <row r="447" ht="14.25" customHeight="1">
      <c r="A447" s="1919" t="inlineStr">
        <is>
          <t>10/03/2024</t>
        </is>
      </c>
      <c r="B447" s="1920" t="n">
        <v>7543.83</v>
      </c>
      <c r="C447" s="1919" t="inlineStr">
        <is>
          <t>845</t>
        </is>
      </c>
      <c r="D447" s="1921">
        <f>B447/B448-1</f>
        <v/>
      </c>
      <c r="E447" s="1921">
        <f>C447/C448-1</f>
        <v/>
      </c>
      <c r="F447" s="1921">
        <f>$L$2/365</f>
        <v/>
      </c>
      <c r="G447" s="1921">
        <f>D447-F447</f>
        <v/>
      </c>
      <c r="H447" s="1921">
        <f>E447-F447</f>
        <v/>
      </c>
    </row>
    <row r="448" ht="14.25" customHeight="1">
      <c r="A448" s="1919" t="inlineStr">
        <is>
          <t>10/02/2024</t>
        </is>
      </c>
      <c r="B448" s="1920" t="n">
        <v>7563.26</v>
      </c>
      <c r="C448" s="1919" t="inlineStr">
        <is>
          <t>855</t>
        </is>
      </c>
      <c r="D448" s="1921">
        <f>B448/B449-1</f>
        <v/>
      </c>
      <c r="E448" s="1921">
        <f>C448/C449-1</f>
        <v/>
      </c>
      <c r="F448" s="1921">
        <f>$L$2/365</f>
        <v/>
      </c>
      <c r="G448" s="1921">
        <f>D448-F448</f>
        <v/>
      </c>
      <c r="H448" s="1921">
        <f>E448-F448</f>
        <v/>
      </c>
    </row>
    <row r="449" ht="14.25" customHeight="1">
      <c r="A449" s="1919" t="inlineStr">
        <is>
          <t>10/01/2024</t>
        </is>
      </c>
      <c r="B449" s="1920" t="n">
        <v>7642.13</v>
      </c>
      <c r="C449" s="1919" t="inlineStr">
        <is>
          <t>870</t>
        </is>
      </c>
      <c r="D449" s="1921">
        <f>B449/B450-1</f>
        <v/>
      </c>
      <c r="E449" s="1921">
        <f>C449/C450-1</f>
        <v/>
      </c>
      <c r="F449" s="1921">
        <f>$L$2/365</f>
        <v/>
      </c>
      <c r="G449" s="1921">
        <f>D449-F449</f>
        <v/>
      </c>
      <c r="H449" s="1921">
        <f>E449-F449</f>
        <v/>
      </c>
    </row>
    <row r="450" ht="14.25" customHeight="1">
      <c r="A450" s="1919" t="inlineStr">
        <is>
          <t>09/30/2024</t>
        </is>
      </c>
      <c r="B450" s="1920" t="n">
        <v>7527.93</v>
      </c>
      <c r="C450" s="1919" t="inlineStr">
        <is>
          <t>855</t>
        </is>
      </c>
      <c r="D450" s="1921">
        <f>B450/B451-1</f>
        <v/>
      </c>
      <c r="E450" s="1921">
        <f>C450/C451-1</f>
        <v/>
      </c>
      <c r="F450" s="1921">
        <f>$L$2/365</f>
        <v/>
      </c>
      <c r="G450" s="1921">
        <f>D450-F450</f>
        <v/>
      </c>
      <c r="H450" s="1921">
        <f>E450-F450</f>
        <v/>
      </c>
    </row>
    <row r="451" ht="14.25" customHeight="1">
      <c r="A451" s="1919" t="inlineStr">
        <is>
          <t>09/27/2024</t>
        </is>
      </c>
      <c r="B451" s="1920" t="n">
        <v>7696.92</v>
      </c>
      <c r="C451" s="1919" t="inlineStr">
        <is>
          <t>855</t>
        </is>
      </c>
      <c r="D451" s="1921">
        <f>B451/B452-1</f>
        <v/>
      </c>
      <c r="E451" s="1921">
        <f>C451/C452-1</f>
        <v/>
      </c>
      <c r="F451" s="1921">
        <f>$L$2/365</f>
        <v/>
      </c>
      <c r="G451" s="1921">
        <f>D451-F451</f>
        <v/>
      </c>
      <c r="H451" s="1921">
        <f>E451-F451</f>
        <v/>
      </c>
    </row>
    <row r="452" ht="14.25" customHeight="1">
      <c r="A452" s="1919" t="inlineStr">
        <is>
          <t>09/26/2024</t>
        </is>
      </c>
      <c r="B452" s="1920" t="n">
        <v>7744.52</v>
      </c>
      <c r="C452" s="1919" t="inlineStr">
        <is>
          <t>855</t>
        </is>
      </c>
      <c r="D452" s="1921">
        <f>B452/B453-1</f>
        <v/>
      </c>
      <c r="E452" s="1921">
        <f>C452/C453-1</f>
        <v/>
      </c>
      <c r="F452" s="1921">
        <f>$L$2/365</f>
        <v/>
      </c>
      <c r="G452" s="1921">
        <f>D452-F452</f>
        <v/>
      </c>
      <c r="H452" s="1921">
        <f>E452-F452</f>
        <v/>
      </c>
    </row>
    <row r="453" ht="14.25" customHeight="1">
      <c r="A453" s="1919" t="inlineStr">
        <is>
          <t>09/25/2024</t>
        </is>
      </c>
      <c r="B453" s="1920" t="n">
        <v>7740.9</v>
      </c>
      <c r="C453" s="1919" t="inlineStr">
        <is>
          <t>855</t>
        </is>
      </c>
      <c r="D453" s="1921">
        <f>B453/B454-1</f>
        <v/>
      </c>
      <c r="E453" s="1921">
        <f>C453/C454-1</f>
        <v/>
      </c>
      <c r="F453" s="1921">
        <f>$L$2/365</f>
        <v/>
      </c>
      <c r="G453" s="1921">
        <f>D453-F453</f>
        <v/>
      </c>
      <c r="H453" s="1921">
        <f>E453-F453</f>
        <v/>
      </c>
    </row>
    <row r="454" ht="14.25" customHeight="1">
      <c r="A454" s="1919" t="inlineStr">
        <is>
          <t>09/24/2024</t>
        </is>
      </c>
      <c r="B454" s="1920" t="n">
        <v>7778.49</v>
      </c>
      <c r="C454" s="1919" t="inlineStr">
        <is>
          <t>855</t>
        </is>
      </c>
      <c r="D454" s="1921">
        <f>B454/B455-1</f>
        <v/>
      </c>
      <c r="E454" s="1921">
        <f>C454/C455-1</f>
        <v/>
      </c>
      <c r="F454" s="1921">
        <f>$L$2/365</f>
        <v/>
      </c>
      <c r="G454" s="1921">
        <f>D454-F454</f>
        <v/>
      </c>
      <c r="H454" s="1921">
        <f>E454-F454</f>
        <v/>
      </c>
    </row>
    <row r="455" ht="14.25" customHeight="1">
      <c r="A455" s="1919" t="inlineStr">
        <is>
          <t>09/23/2024</t>
        </is>
      </c>
      <c r="B455" s="1920" t="n">
        <v>7775.73</v>
      </c>
      <c r="C455" s="1919" t="inlineStr">
        <is>
          <t>845</t>
        </is>
      </c>
      <c r="D455" s="1921">
        <f>B455/B456-1</f>
        <v/>
      </c>
      <c r="E455" s="1921">
        <f>C455/C456-1</f>
        <v/>
      </c>
      <c r="F455" s="1921">
        <f>$L$2/365</f>
        <v/>
      </c>
      <c r="G455" s="1921">
        <f>D455-F455</f>
        <v/>
      </c>
      <c r="H455" s="1921">
        <f>E455-F455</f>
        <v/>
      </c>
    </row>
    <row r="456" ht="14.25" customHeight="1">
      <c r="A456" s="1919" t="inlineStr">
        <is>
          <t>09/20/2024</t>
        </is>
      </c>
      <c r="B456" s="1920" t="n">
        <v>7743</v>
      </c>
      <c r="C456" s="1919" t="inlineStr">
        <is>
          <t>840</t>
        </is>
      </c>
      <c r="D456" s="1921">
        <f>B456/B457-1</f>
        <v/>
      </c>
      <c r="E456" s="1921">
        <f>C456/C457-1</f>
        <v/>
      </c>
      <c r="F456" s="1921">
        <f>$L$2/365</f>
        <v/>
      </c>
      <c r="G456" s="1921">
        <f>D456-F456</f>
        <v/>
      </c>
      <c r="H456" s="1921">
        <f>E456-F456</f>
        <v/>
      </c>
    </row>
    <row r="457" ht="14.25" customHeight="1">
      <c r="A457" s="1919" t="inlineStr">
        <is>
          <t>09/19/2024</t>
        </is>
      </c>
      <c r="B457" s="1920" t="n">
        <v>7905.39</v>
      </c>
      <c r="C457" s="1919" t="inlineStr">
        <is>
          <t>855</t>
        </is>
      </c>
      <c r="D457" s="1921">
        <f>B457/B458-1</f>
        <v/>
      </c>
      <c r="E457" s="1921">
        <f>C457/C458-1</f>
        <v/>
      </c>
      <c r="F457" s="1921">
        <f>$L$2/365</f>
        <v/>
      </c>
      <c r="G457" s="1921">
        <f>D457-F457</f>
        <v/>
      </c>
      <c r="H457" s="1921">
        <f>E457-F457</f>
        <v/>
      </c>
    </row>
    <row r="458" ht="14.25" customHeight="1">
      <c r="A458" s="1919" t="inlineStr">
        <is>
          <t>09/18/2024</t>
        </is>
      </c>
      <c r="B458" s="1920" t="n">
        <v>7829.13</v>
      </c>
      <c r="C458" s="1919" t="inlineStr">
        <is>
          <t>800</t>
        </is>
      </c>
      <c r="D458" s="1921">
        <f>B458/B459-1</f>
        <v/>
      </c>
      <c r="E458" s="1921">
        <f>C458/C459-1</f>
        <v/>
      </c>
      <c r="F458" s="1921">
        <f>$L$2/365</f>
        <v/>
      </c>
      <c r="G458" s="1921">
        <f>D458-F458</f>
        <v/>
      </c>
      <c r="H458" s="1921">
        <f>E458-F458</f>
        <v/>
      </c>
    </row>
    <row r="459" ht="14.25" customHeight="1">
      <c r="A459" s="1919" t="inlineStr">
        <is>
          <t>09/17/2024</t>
        </is>
      </c>
      <c r="B459" s="1920" t="n">
        <v>7831.78</v>
      </c>
      <c r="C459" s="1919" t="inlineStr">
        <is>
          <t>845</t>
        </is>
      </c>
      <c r="D459" s="1921">
        <f>B459/B460-1</f>
        <v/>
      </c>
      <c r="E459" s="1921">
        <f>C459/C460-1</f>
        <v/>
      </c>
      <c r="F459" s="1921">
        <f>$L$2/365</f>
        <v/>
      </c>
      <c r="G459" s="1921">
        <f>D459-F459</f>
        <v/>
      </c>
      <c r="H459" s="1921">
        <f>E459-F459</f>
        <v/>
      </c>
    </row>
    <row r="460" ht="14.25" customHeight="1">
      <c r="A460" s="1919" t="inlineStr">
        <is>
          <t>09/13/2024</t>
        </is>
      </c>
      <c r="B460" s="1920" t="n">
        <v>7812.13</v>
      </c>
      <c r="C460" s="1919" t="inlineStr">
        <is>
          <t>860</t>
        </is>
      </c>
      <c r="D460" s="1921">
        <f>B460/B461-1</f>
        <v/>
      </c>
      <c r="E460" s="1921">
        <f>C460/C461-1</f>
        <v/>
      </c>
      <c r="F460" s="1921">
        <f>$L$2/365</f>
        <v/>
      </c>
      <c r="G460" s="1921">
        <f>D460-F460</f>
        <v/>
      </c>
      <c r="H460" s="1921">
        <f>E460-F460</f>
        <v/>
      </c>
    </row>
    <row r="461" ht="14.25" customHeight="1">
      <c r="A461" s="1919" t="inlineStr">
        <is>
          <t>09/12/2024</t>
        </is>
      </c>
      <c r="B461" s="1920" t="n">
        <v>7798.15</v>
      </c>
      <c r="C461" s="1919" t="inlineStr">
        <is>
          <t>860</t>
        </is>
      </c>
      <c r="D461" s="1921">
        <f>B461/B462-1</f>
        <v/>
      </c>
      <c r="E461" s="1921">
        <f>C461/C462-1</f>
        <v/>
      </c>
      <c r="F461" s="1921">
        <f>$L$2/365</f>
        <v/>
      </c>
      <c r="G461" s="1921">
        <f>D461-F461</f>
        <v/>
      </c>
      <c r="H461" s="1921">
        <f>E461-F461</f>
        <v/>
      </c>
    </row>
    <row r="462" ht="14.25" customHeight="1">
      <c r="A462" s="1919" t="inlineStr">
        <is>
          <t>09/11/2024</t>
        </is>
      </c>
      <c r="B462" s="1920" t="n">
        <v>7760.96</v>
      </c>
      <c r="C462" s="1919" t="inlineStr">
        <is>
          <t>860</t>
        </is>
      </c>
      <c r="D462" s="1921">
        <f>B462/B463-1</f>
        <v/>
      </c>
      <c r="E462" s="1921">
        <f>C462/C463-1</f>
        <v/>
      </c>
      <c r="F462" s="1921">
        <f>$L$2/365</f>
        <v/>
      </c>
      <c r="G462" s="1921">
        <f>D462-F462</f>
        <v/>
      </c>
      <c r="H462" s="1921">
        <f>E462-F462</f>
        <v/>
      </c>
    </row>
    <row r="463" ht="14.25" customHeight="1">
      <c r="A463" s="1919" t="inlineStr">
        <is>
          <t>09/10/2024</t>
        </is>
      </c>
      <c r="B463" s="1920" t="n">
        <v>7761.39</v>
      </c>
      <c r="C463" s="1919" t="inlineStr">
        <is>
          <t>880</t>
        </is>
      </c>
      <c r="D463" s="1921">
        <f>B463/B464-1</f>
        <v/>
      </c>
      <c r="E463" s="1921">
        <f>C463/C464-1</f>
        <v/>
      </c>
      <c r="F463" s="1921">
        <f>$L$2/365</f>
        <v/>
      </c>
      <c r="G463" s="1921">
        <f>D463-F463</f>
        <v/>
      </c>
      <c r="H463" s="1921">
        <f>E463-F463</f>
        <v/>
      </c>
    </row>
    <row r="464" ht="14.25" customHeight="1">
      <c r="A464" s="1919" t="inlineStr">
        <is>
          <t>09/09/2024</t>
        </is>
      </c>
      <c r="B464" s="1920" t="n">
        <v>7702.74</v>
      </c>
      <c r="C464" s="1919" t="inlineStr">
        <is>
          <t>840</t>
        </is>
      </c>
      <c r="D464" s="1921">
        <f>B464/B465-1</f>
        <v/>
      </c>
      <c r="E464" s="1921">
        <f>C464/C465-1</f>
        <v/>
      </c>
      <c r="F464" s="1921">
        <f>$L$2/365</f>
        <v/>
      </c>
      <c r="G464" s="1921">
        <f>D464-F464</f>
        <v/>
      </c>
      <c r="H464" s="1921">
        <f>E464-F464</f>
        <v/>
      </c>
    </row>
    <row r="465" ht="14.25" customHeight="1">
      <c r="A465" s="1919" t="inlineStr">
        <is>
          <t>09/06/2024</t>
        </is>
      </c>
      <c r="B465" s="1920" t="n">
        <v>7721.85</v>
      </c>
      <c r="C465" s="1919" t="inlineStr">
        <is>
          <t>840</t>
        </is>
      </c>
      <c r="D465" s="1921">
        <f>B465/B466-1</f>
        <v/>
      </c>
      <c r="E465" s="1921">
        <f>C465/C466-1</f>
        <v/>
      </c>
      <c r="F465" s="1921">
        <f>$L$2/365</f>
        <v/>
      </c>
      <c r="G465" s="1921">
        <f>D465-F465</f>
        <v/>
      </c>
      <c r="H465" s="1921">
        <f>E465-F465</f>
        <v/>
      </c>
    </row>
    <row r="466" ht="14.25" customHeight="1">
      <c r="A466" s="1919" t="inlineStr">
        <is>
          <t>09/05/2024</t>
        </is>
      </c>
      <c r="B466" s="1920" t="n">
        <v>7681.04</v>
      </c>
      <c r="C466" s="1919" t="inlineStr">
        <is>
          <t>835</t>
        </is>
      </c>
      <c r="D466" s="1921">
        <f>B466/B467-1</f>
        <v/>
      </c>
      <c r="E466" s="1921">
        <f>C466/C467-1</f>
        <v/>
      </c>
      <c r="F466" s="1921">
        <f>$L$2/365</f>
        <v/>
      </c>
      <c r="G466" s="1921">
        <f>D466-F466</f>
        <v/>
      </c>
      <c r="H466" s="1921">
        <f>E466-F466</f>
        <v/>
      </c>
    </row>
    <row r="467" ht="14.25" customHeight="1">
      <c r="A467" s="1919" t="inlineStr">
        <is>
          <t>09/04/2024</t>
        </is>
      </c>
      <c r="B467" s="1920" t="n">
        <v>7672.9</v>
      </c>
      <c r="C467" s="1919" t="inlineStr">
        <is>
          <t>815</t>
        </is>
      </c>
      <c r="D467" s="1921">
        <f>B467/B468-1</f>
        <v/>
      </c>
      <c r="E467" s="1921">
        <f>C467/C468-1</f>
        <v/>
      </c>
      <c r="F467" s="1921">
        <f>$L$2/365</f>
        <v/>
      </c>
      <c r="G467" s="1921">
        <f>D467-F467</f>
        <v/>
      </c>
      <c r="H467" s="1921">
        <f>E467-F467</f>
        <v/>
      </c>
    </row>
    <row r="468" ht="14.25" customHeight="1">
      <c r="A468" s="1919" t="inlineStr">
        <is>
          <t>09/03/2024</t>
        </is>
      </c>
      <c r="B468" s="1920" t="n">
        <v>7616.52</v>
      </c>
      <c r="C468" s="1919" t="inlineStr">
        <is>
          <t>815</t>
        </is>
      </c>
      <c r="D468" s="1921">
        <f>B468/B469-1</f>
        <v/>
      </c>
      <c r="E468" s="1921">
        <f>C468/C469-1</f>
        <v/>
      </c>
      <c r="F468" s="1921">
        <f>$L$2/365</f>
        <v/>
      </c>
      <c r="G468" s="1921">
        <f>D468-F468</f>
        <v/>
      </c>
      <c r="H468" s="1921">
        <f>E468-F468</f>
        <v/>
      </c>
    </row>
    <row r="469" ht="14.25" customHeight="1">
      <c r="A469" s="1919" t="inlineStr">
        <is>
          <t>09/02/2024</t>
        </is>
      </c>
      <c r="B469" s="1920" t="n">
        <v>7694.53</v>
      </c>
      <c r="C469" s="1919" t="inlineStr">
        <is>
          <t>835</t>
        </is>
      </c>
      <c r="D469" s="1921">
        <f>B469/B470-1</f>
        <v/>
      </c>
      <c r="E469" s="1921">
        <f>C469/C470-1</f>
        <v/>
      </c>
      <c r="F469" s="1921">
        <f>$L$2/365</f>
        <v/>
      </c>
      <c r="G469" s="1921">
        <f>D469-F469</f>
        <v/>
      </c>
      <c r="H469" s="1921">
        <f>E469-F469</f>
        <v/>
      </c>
    </row>
    <row r="470" ht="14.25" customHeight="1">
      <c r="A470" s="1919" t="inlineStr">
        <is>
          <t>08/30/2024</t>
        </is>
      </c>
      <c r="B470" s="1920" t="n">
        <v>7670.73</v>
      </c>
      <c r="C470" s="1919" t="inlineStr">
        <is>
          <t>835</t>
        </is>
      </c>
      <c r="D470" s="1921">
        <f>B470/B471-1</f>
        <v/>
      </c>
      <c r="E470" s="1921">
        <f>C470/C471-1</f>
        <v/>
      </c>
      <c r="F470" s="1921">
        <f>$L$2/365</f>
        <v/>
      </c>
      <c r="G470" s="1921">
        <f>D470-F470</f>
        <v/>
      </c>
      <c r="H470" s="1921">
        <f>E470-F470</f>
        <v/>
      </c>
    </row>
    <row r="471" ht="14.25" customHeight="1">
      <c r="A471" s="1919" t="inlineStr">
        <is>
          <t>08/29/2024</t>
        </is>
      </c>
      <c r="B471" s="1920" t="n">
        <v>7627.6</v>
      </c>
      <c r="C471" s="1919" t="inlineStr">
        <is>
          <t>830</t>
        </is>
      </c>
      <c r="D471" s="1921">
        <f>B471/B472-1</f>
        <v/>
      </c>
      <c r="E471" s="1921">
        <f>C471/C472-1</f>
        <v/>
      </c>
      <c r="F471" s="1921">
        <f>$L$2/365</f>
        <v/>
      </c>
      <c r="G471" s="1921">
        <f>D471-F471</f>
        <v/>
      </c>
      <c r="H471" s="1921">
        <f>E471-F471</f>
        <v/>
      </c>
    </row>
    <row r="472" ht="14.25" customHeight="1">
      <c r="A472" s="1919" t="inlineStr">
        <is>
          <t>08/28/2024</t>
        </is>
      </c>
      <c r="B472" s="1920" t="n">
        <v>7658.88</v>
      </c>
      <c r="C472" s="1919" t="inlineStr">
        <is>
          <t>830</t>
        </is>
      </c>
      <c r="D472" s="1921">
        <f>B472/B473-1</f>
        <v/>
      </c>
      <c r="E472" s="1921">
        <f>C472/C473-1</f>
        <v/>
      </c>
      <c r="F472" s="1921">
        <f>$L$2/365</f>
        <v/>
      </c>
      <c r="G472" s="1921">
        <f>D472-F472</f>
        <v/>
      </c>
      <c r="H472" s="1921">
        <f>E472-F472</f>
        <v/>
      </c>
    </row>
    <row r="473" ht="14.25" customHeight="1">
      <c r="A473" s="1919" t="inlineStr">
        <is>
          <t>08/27/2024</t>
        </is>
      </c>
      <c r="B473" s="1920" t="n">
        <v>7597.88</v>
      </c>
      <c r="C473" s="1919" t="inlineStr">
        <is>
          <t>825</t>
        </is>
      </c>
      <c r="D473" s="1921">
        <f>B473/B474-1</f>
        <v/>
      </c>
      <c r="E473" s="1921">
        <f>C473/C474-1</f>
        <v/>
      </c>
      <c r="F473" s="1921">
        <f>$L$2/365</f>
        <v/>
      </c>
      <c r="G473" s="1921">
        <f>D473-F473</f>
        <v/>
      </c>
      <c r="H473" s="1921">
        <f>E473-F473</f>
        <v/>
      </c>
    </row>
    <row r="474" ht="14.25" customHeight="1">
      <c r="A474" s="1919" t="inlineStr">
        <is>
          <t>08/26/2024</t>
        </is>
      </c>
      <c r="B474" s="1920" t="n">
        <v>7606.19</v>
      </c>
      <c r="C474" s="1919" t="inlineStr">
        <is>
          <t>815</t>
        </is>
      </c>
      <c r="D474" s="1921">
        <f>B474/B475-1</f>
        <v/>
      </c>
      <c r="E474" s="1921">
        <f>C474/C475-1</f>
        <v/>
      </c>
      <c r="F474" s="1921">
        <f>$L$2/365</f>
        <v/>
      </c>
      <c r="G474" s="1921">
        <f>D474-F474</f>
        <v/>
      </c>
      <c r="H474" s="1921">
        <f>E474-F474</f>
        <v/>
      </c>
    </row>
    <row r="475" ht="14.25" customHeight="1">
      <c r="A475" s="1919" t="inlineStr">
        <is>
          <t>08/23/2024</t>
        </is>
      </c>
      <c r="B475" s="1920" t="n">
        <v>7544.3</v>
      </c>
      <c r="C475" s="1919" t="inlineStr">
        <is>
          <t>810</t>
        </is>
      </c>
      <c r="D475" s="1921">
        <f>B475/B476-1</f>
        <v/>
      </c>
      <c r="E475" s="1921">
        <f>C475/C476-1</f>
        <v/>
      </c>
      <c r="F475" s="1921">
        <f>$L$2/365</f>
        <v/>
      </c>
      <c r="G475" s="1921">
        <f>D475-F475</f>
        <v/>
      </c>
      <c r="H475" s="1921">
        <f>E475-F475</f>
        <v/>
      </c>
    </row>
    <row r="476" ht="14.25" customHeight="1">
      <c r="A476" s="1919" t="inlineStr">
        <is>
          <t>08/22/2024</t>
        </is>
      </c>
      <c r="B476" s="1920" t="n">
        <v>7488.68</v>
      </c>
      <c r="C476" s="1919" t="inlineStr">
        <is>
          <t>805</t>
        </is>
      </c>
      <c r="D476" s="1921">
        <f>B476/B477-1</f>
        <v/>
      </c>
      <c r="E476" s="1921">
        <f>C476/C477-1</f>
        <v/>
      </c>
      <c r="F476" s="1921">
        <f>$L$2/365</f>
        <v/>
      </c>
      <c r="G476" s="1921">
        <f>D476-F476</f>
        <v/>
      </c>
      <c r="H476" s="1921">
        <f>E476-F476</f>
        <v/>
      </c>
    </row>
    <row r="477" ht="14.25" customHeight="1">
      <c r="A477" s="1919" t="inlineStr">
        <is>
          <t>08/21/2024</t>
        </is>
      </c>
      <c r="B477" s="1920" t="n">
        <v>7554.59</v>
      </c>
      <c r="C477" s="1919" t="inlineStr">
        <is>
          <t>815</t>
        </is>
      </c>
      <c r="D477" s="1921">
        <f>B477/B478-1</f>
        <v/>
      </c>
      <c r="E477" s="1921">
        <f>C477/C478-1</f>
        <v/>
      </c>
      <c r="F477" s="1921">
        <f>$L$2/365</f>
        <v/>
      </c>
      <c r="G477" s="1921">
        <f>D477-F477</f>
        <v/>
      </c>
      <c r="H477" s="1921">
        <f>E477-F477</f>
        <v/>
      </c>
    </row>
    <row r="478" ht="14.25" customHeight="1">
      <c r="A478" s="1919" t="inlineStr">
        <is>
          <t>08/20/2024</t>
        </is>
      </c>
      <c r="B478" s="1920" t="n">
        <v>7533.98</v>
      </c>
      <c r="C478" s="1919" t="inlineStr">
        <is>
          <t>810</t>
        </is>
      </c>
      <c r="D478" s="1921">
        <f>B478/B479-1</f>
        <v/>
      </c>
      <c r="E478" s="1921">
        <f>C478/C479-1</f>
        <v/>
      </c>
      <c r="F478" s="1921">
        <f>$L$2/365</f>
        <v/>
      </c>
      <c r="G478" s="1921">
        <f>D478-F478</f>
        <v/>
      </c>
      <c r="H478" s="1921">
        <f>E478-F478</f>
        <v/>
      </c>
    </row>
    <row r="479" ht="14.25" customHeight="1">
      <c r="A479" s="1919" t="inlineStr">
        <is>
          <t>08/19/2024</t>
        </is>
      </c>
      <c r="B479" s="1920" t="n">
        <v>7466.83</v>
      </c>
      <c r="C479" s="1919" t="inlineStr">
        <is>
          <t>800</t>
        </is>
      </c>
      <c r="D479" s="1921">
        <f>B479/B480-1</f>
        <v/>
      </c>
      <c r="E479" s="1921">
        <f>C479/C480-1</f>
        <v/>
      </c>
      <c r="F479" s="1921">
        <f>$L$2/365</f>
        <v/>
      </c>
      <c r="G479" s="1921">
        <f>D479-F479</f>
        <v/>
      </c>
      <c r="H479" s="1921">
        <f>E479-F479</f>
        <v/>
      </c>
    </row>
    <row r="480" ht="14.25" customHeight="1">
      <c r="A480" s="1919" t="inlineStr">
        <is>
          <t>08/16/2024</t>
        </is>
      </c>
      <c r="B480" s="1920" t="n">
        <v>7432.09</v>
      </c>
      <c r="C480" s="1919" t="inlineStr">
        <is>
          <t>815</t>
        </is>
      </c>
      <c r="D480" s="1921">
        <f>B480/B481-1</f>
        <v/>
      </c>
      <c r="E480" s="1921">
        <f>C480/C481-1</f>
        <v/>
      </c>
      <c r="F480" s="1921">
        <f>$L$2/365</f>
        <v/>
      </c>
      <c r="G480" s="1921">
        <f>D480-F480</f>
        <v/>
      </c>
      <c r="H480" s="1921">
        <f>E480-F480</f>
        <v/>
      </c>
    </row>
    <row r="481" ht="14.25" customHeight="1">
      <c r="A481" s="1919" t="inlineStr">
        <is>
          <t>08/15/2024</t>
        </is>
      </c>
      <c r="B481" s="1920" t="n">
        <v>7409.5</v>
      </c>
      <c r="C481" s="1919" t="inlineStr">
        <is>
          <t>825</t>
        </is>
      </c>
      <c r="D481" s="1921">
        <f>B481/B482-1</f>
        <v/>
      </c>
      <c r="E481" s="1921">
        <f>C481/C482-1</f>
        <v/>
      </c>
      <c r="F481" s="1921">
        <f>$L$2/365</f>
        <v/>
      </c>
      <c r="G481" s="1921">
        <f>D481-F481</f>
        <v/>
      </c>
      <c r="H481" s="1921">
        <f>E481-F481</f>
        <v/>
      </c>
    </row>
    <row r="482" ht="14.25" customHeight="1">
      <c r="A482" s="1919" t="inlineStr">
        <is>
          <t>08/14/2024</t>
        </is>
      </c>
      <c r="B482" s="1920" t="n">
        <v>7436.04</v>
      </c>
      <c r="C482" s="1919" t="inlineStr">
        <is>
          <t>840</t>
        </is>
      </c>
      <c r="D482" s="1921">
        <f>B482/B483-1</f>
        <v/>
      </c>
      <c r="E482" s="1921">
        <f>C482/C483-1</f>
        <v/>
      </c>
      <c r="F482" s="1921">
        <f>$L$2/365</f>
        <v/>
      </c>
      <c r="G482" s="1921">
        <f>D482-F482</f>
        <v/>
      </c>
      <c r="H482" s="1921">
        <f>E482-F482</f>
        <v/>
      </c>
    </row>
    <row r="483" ht="14.25" customHeight="1">
      <c r="A483" s="1919" t="inlineStr">
        <is>
          <t>08/13/2024</t>
        </is>
      </c>
      <c r="B483" s="1920" t="n">
        <v>7356.64</v>
      </c>
      <c r="C483" s="1919" t="inlineStr">
        <is>
          <t>835</t>
        </is>
      </c>
      <c r="D483" s="1921">
        <f>B483/B484-1</f>
        <v/>
      </c>
      <c r="E483" s="1921">
        <f>C483/C484-1</f>
        <v/>
      </c>
      <c r="F483" s="1921">
        <f>$L$2/365</f>
        <v/>
      </c>
      <c r="G483" s="1921">
        <f>D483-F483</f>
        <v/>
      </c>
      <c r="H483" s="1921">
        <f>E483-F483</f>
        <v/>
      </c>
    </row>
    <row r="484" ht="14.25" customHeight="1">
      <c r="A484" s="1919" t="inlineStr">
        <is>
          <t>08/12/2024</t>
        </is>
      </c>
      <c r="B484" s="1920" t="n">
        <v>7297.63</v>
      </c>
      <c r="C484" s="1919" t="inlineStr">
        <is>
          <t>820</t>
        </is>
      </c>
      <c r="D484" s="1921">
        <f>B484/B485-1</f>
        <v/>
      </c>
      <c r="E484" s="1921">
        <f>C484/C485-1</f>
        <v/>
      </c>
      <c r="F484" s="1921">
        <f>$L$2/365</f>
        <v/>
      </c>
      <c r="G484" s="1921">
        <f>D484-F484</f>
        <v/>
      </c>
      <c r="H484" s="1921">
        <f>E484-F484</f>
        <v/>
      </c>
    </row>
    <row r="485" ht="14.25" customHeight="1">
      <c r="A485" s="1919" t="inlineStr">
        <is>
          <t>08/09/2024</t>
        </is>
      </c>
      <c r="B485" s="1920" t="n">
        <v>7257</v>
      </c>
      <c r="C485" s="1919" t="inlineStr">
        <is>
          <t>835</t>
        </is>
      </c>
      <c r="D485" s="1921">
        <f>B485/B486-1</f>
        <v/>
      </c>
      <c r="E485" s="1921">
        <f>C485/C486-1</f>
        <v/>
      </c>
      <c r="F485" s="1921">
        <f>$L$2/365</f>
        <v/>
      </c>
      <c r="G485" s="1921">
        <f>D485-F485</f>
        <v/>
      </c>
      <c r="H485" s="1921">
        <f>E485-F485</f>
        <v/>
      </c>
    </row>
    <row r="486" ht="14.25" customHeight="1">
      <c r="A486" s="1919" t="inlineStr">
        <is>
          <t>08/08/2024</t>
        </is>
      </c>
      <c r="B486" s="1920" t="n">
        <v>7195.12</v>
      </c>
      <c r="C486" s="1919" t="inlineStr">
        <is>
          <t>825</t>
        </is>
      </c>
      <c r="D486" s="1921">
        <f>B486/B487-1</f>
        <v/>
      </c>
      <c r="E486" s="1921">
        <f>C486/C487-1</f>
        <v/>
      </c>
      <c r="F486" s="1921">
        <f>$L$2/365</f>
        <v/>
      </c>
      <c r="G486" s="1921">
        <f>D486-F486</f>
        <v/>
      </c>
      <c r="H486" s="1921">
        <f>E486-F486</f>
        <v/>
      </c>
    </row>
    <row r="487" ht="14.25" customHeight="1">
      <c r="A487" s="1919" t="inlineStr">
        <is>
          <t>08/07/2024</t>
        </is>
      </c>
      <c r="B487" s="1920" t="n">
        <v>7212.13</v>
      </c>
      <c r="C487" s="1919" t="inlineStr">
        <is>
          <t>825</t>
        </is>
      </c>
      <c r="D487" s="1921">
        <f>B487/B488-1</f>
        <v/>
      </c>
      <c r="E487" s="1921">
        <f>C487/C488-1</f>
        <v/>
      </c>
      <c r="F487" s="1921">
        <f>$L$2/365</f>
        <v/>
      </c>
      <c r="G487" s="1921">
        <f>D487-F487</f>
        <v/>
      </c>
      <c r="H487" s="1921">
        <f>E487-F487</f>
        <v/>
      </c>
    </row>
    <row r="488" ht="14.25" customHeight="1">
      <c r="A488" s="1919" t="inlineStr">
        <is>
          <t>08/06/2024</t>
        </is>
      </c>
      <c r="B488" s="1920" t="n">
        <v>7129.21</v>
      </c>
      <c r="C488" s="1919" t="inlineStr">
        <is>
          <t>815</t>
        </is>
      </c>
      <c r="D488" s="1921">
        <f>B488/B489-1</f>
        <v/>
      </c>
      <c r="E488" s="1921">
        <f>C488/C489-1</f>
        <v/>
      </c>
      <c r="F488" s="1921">
        <f>$L$2/365</f>
        <v/>
      </c>
      <c r="G488" s="1921">
        <f>D488-F488</f>
        <v/>
      </c>
      <c r="H488" s="1921">
        <f>E488-F488</f>
        <v/>
      </c>
    </row>
    <row r="489" ht="14.25" customHeight="1">
      <c r="A489" s="1919" t="inlineStr">
        <is>
          <t>08/05/2024</t>
        </is>
      </c>
      <c r="B489" s="1920" t="n">
        <v>7059.65</v>
      </c>
      <c r="C489" s="1919" t="inlineStr">
        <is>
          <t>800</t>
        </is>
      </c>
      <c r="D489" s="1921">
        <f>B489/B490-1</f>
        <v/>
      </c>
      <c r="E489" s="1921">
        <f>C489/C490-1</f>
        <v/>
      </c>
      <c r="F489" s="1921">
        <f>$L$2/365</f>
        <v/>
      </c>
      <c r="G489" s="1921">
        <f>D489-F489</f>
        <v/>
      </c>
      <c r="H489" s="1921">
        <f>E489-F489</f>
        <v/>
      </c>
    </row>
    <row r="490" ht="14.25" customHeight="1">
      <c r="A490" s="1919" t="inlineStr">
        <is>
          <t>08/02/2024</t>
        </is>
      </c>
      <c r="B490" s="1920" t="n">
        <v>7308.12</v>
      </c>
      <c r="C490" s="1919" t="inlineStr">
        <is>
          <t>835</t>
        </is>
      </c>
      <c r="D490" s="1921">
        <f>B490/B491-1</f>
        <v/>
      </c>
      <c r="E490" s="1921">
        <f>C490/C491-1</f>
        <v/>
      </c>
      <c r="F490" s="1921">
        <f>$L$2/365</f>
        <v/>
      </c>
      <c r="G490" s="1921">
        <f>D490-F490</f>
        <v/>
      </c>
      <c r="H490" s="1921">
        <f>E490-F490</f>
        <v/>
      </c>
    </row>
    <row r="491" ht="14.25" customHeight="1">
      <c r="A491" s="1919" t="inlineStr">
        <is>
          <t>08/01/2024</t>
        </is>
      </c>
      <c r="B491" s="1920" t="n">
        <v>7325.98</v>
      </c>
      <c r="C491" s="1919" t="inlineStr">
        <is>
          <t>820</t>
        </is>
      </c>
      <c r="D491" s="1921">
        <f>B491/B492-1</f>
        <v/>
      </c>
      <c r="E491" s="1921">
        <f>C491/C492-1</f>
        <v/>
      </c>
      <c r="F491" s="1921">
        <f>$L$2/365</f>
        <v/>
      </c>
      <c r="G491" s="1921">
        <f>D491-F491</f>
        <v/>
      </c>
      <c r="H491" s="1921">
        <f>E491-F491</f>
        <v/>
      </c>
    </row>
    <row r="492" ht="14.25" customHeight="1">
      <c r="A492" s="1919" t="inlineStr">
        <is>
          <t>07/31/2024</t>
        </is>
      </c>
      <c r="B492" s="1920" t="n">
        <v>7255.76</v>
      </c>
      <c r="C492" s="1919" t="inlineStr">
        <is>
          <t>795</t>
        </is>
      </c>
      <c r="D492" s="1921">
        <f>B492/B493-1</f>
        <v/>
      </c>
      <c r="E492" s="1921">
        <f>C492/C493-1</f>
        <v/>
      </c>
      <c r="F492" s="1921">
        <f>$L$2/365</f>
        <v/>
      </c>
      <c r="G492" s="1921">
        <f>D492-F492</f>
        <v/>
      </c>
      <c r="H492" s="1921">
        <f>E492-F492</f>
        <v/>
      </c>
    </row>
    <row r="493" ht="14.25" customHeight="1">
      <c r="A493" s="1919" t="inlineStr">
        <is>
          <t>07/30/2024</t>
        </is>
      </c>
      <c r="B493" s="1920" t="n">
        <v>7241.86</v>
      </c>
      <c r="C493" s="1919" t="inlineStr">
        <is>
          <t>785</t>
        </is>
      </c>
      <c r="D493" s="1921">
        <f>B493/B494-1</f>
        <v/>
      </c>
      <c r="E493" s="1921">
        <f>C493/C494-1</f>
        <v/>
      </c>
      <c r="F493" s="1921">
        <f>$L$2/365</f>
        <v/>
      </c>
      <c r="G493" s="1921">
        <f>D493-F493</f>
        <v/>
      </c>
      <c r="H493" s="1921">
        <f>E493-F493</f>
        <v/>
      </c>
    </row>
    <row r="494" ht="14.25" customHeight="1">
      <c r="A494" s="1919" t="inlineStr">
        <is>
          <t>07/29/2024</t>
        </is>
      </c>
      <c r="B494" s="1920" t="n">
        <v>7288.9</v>
      </c>
      <c r="C494" s="1919" t="inlineStr">
        <is>
          <t>785</t>
        </is>
      </c>
      <c r="D494" s="1921">
        <f>B494/B495-1</f>
        <v/>
      </c>
      <c r="E494" s="1921">
        <f>C494/C495-1</f>
        <v/>
      </c>
      <c r="F494" s="1921">
        <f>$L$2/365</f>
        <v/>
      </c>
      <c r="G494" s="1921">
        <f>D494-F494</f>
        <v/>
      </c>
      <c r="H494" s="1921">
        <f>E494-F494</f>
        <v/>
      </c>
    </row>
    <row r="495" ht="14.25" customHeight="1">
      <c r="A495" s="1919" t="inlineStr">
        <is>
          <t>07/26/2024</t>
        </is>
      </c>
      <c r="B495" s="1920" t="n">
        <v>7288.17</v>
      </c>
      <c r="C495" s="1919" t="inlineStr">
        <is>
          <t>790</t>
        </is>
      </c>
      <c r="D495" s="1921">
        <f>B495/B496-1</f>
        <v/>
      </c>
      <c r="E495" s="1921">
        <f>C495/C496-1</f>
        <v/>
      </c>
      <c r="F495" s="1921">
        <f>$L$2/365</f>
        <v/>
      </c>
      <c r="G495" s="1921">
        <f>D495-F495</f>
        <v/>
      </c>
      <c r="H495" s="1921">
        <f>E495-F495</f>
        <v/>
      </c>
    </row>
    <row r="496" ht="14.25" customHeight="1">
      <c r="A496" s="1919" t="inlineStr">
        <is>
          <t>07/25/2024</t>
        </is>
      </c>
      <c r="B496" s="1920" t="n">
        <v>7240.28</v>
      </c>
      <c r="C496" s="1919" t="inlineStr">
        <is>
          <t>790</t>
        </is>
      </c>
      <c r="D496" s="1921">
        <f>B496/B497-1</f>
        <v/>
      </c>
      <c r="E496" s="1921">
        <f>C496/C497-1</f>
        <v/>
      </c>
      <c r="F496" s="1921">
        <f>$L$2/365</f>
        <v/>
      </c>
      <c r="G496" s="1921">
        <f>D496-F496</f>
        <v/>
      </c>
      <c r="H496" s="1921">
        <f>E496-F496</f>
        <v/>
      </c>
    </row>
    <row r="497" ht="14.25" customHeight="1">
      <c r="A497" s="1919" t="inlineStr">
        <is>
          <t>07/24/2024</t>
        </is>
      </c>
      <c r="B497" s="1920" t="n">
        <v>7262.76</v>
      </c>
      <c r="C497" s="1919" t="inlineStr">
        <is>
          <t>785</t>
        </is>
      </c>
      <c r="D497" s="1921">
        <f>B497/B498-1</f>
        <v/>
      </c>
      <c r="E497" s="1921">
        <f>C497/C498-1</f>
        <v/>
      </c>
      <c r="F497" s="1921">
        <f>$L$2/365</f>
        <v/>
      </c>
      <c r="G497" s="1921">
        <f>D497-F497</f>
        <v/>
      </c>
      <c r="H497" s="1921">
        <f>E497-F497</f>
        <v/>
      </c>
    </row>
    <row r="498" ht="14.25" customHeight="1">
      <c r="A498" s="1919" t="inlineStr">
        <is>
          <t>07/23/2024</t>
        </is>
      </c>
      <c r="B498" s="1920" t="n">
        <v>7313.86</v>
      </c>
      <c r="C498" s="1919" t="inlineStr">
        <is>
          <t>795</t>
        </is>
      </c>
      <c r="D498" s="1921">
        <f>B498/B499-1</f>
        <v/>
      </c>
      <c r="E498" s="1921">
        <f>C498/C499-1</f>
        <v/>
      </c>
      <c r="F498" s="1921">
        <f>$L$2/365</f>
        <v/>
      </c>
      <c r="G498" s="1921">
        <f>D498-F498</f>
        <v/>
      </c>
      <c r="H498" s="1921">
        <f>E498-F498</f>
        <v/>
      </c>
    </row>
    <row r="499" ht="14.25" customHeight="1">
      <c r="A499" s="1919" t="inlineStr">
        <is>
          <t>07/22/2024</t>
        </is>
      </c>
      <c r="B499" s="1920" t="n">
        <v>7321.98</v>
      </c>
      <c r="C499" s="1919" t="inlineStr">
        <is>
          <t>780</t>
        </is>
      </c>
      <c r="D499" s="1921">
        <f>B499/B500-1</f>
        <v/>
      </c>
      <c r="E499" s="1921">
        <f>C499/C500-1</f>
        <v/>
      </c>
      <c r="F499" s="1921">
        <f>$L$2/365</f>
        <v/>
      </c>
      <c r="G499" s="1921">
        <f>D499-F499</f>
        <v/>
      </c>
      <c r="H499" s="1921">
        <f>E499-F499</f>
        <v/>
      </c>
    </row>
    <row r="500" ht="14.25" customHeight="1">
      <c r="A500" s="1919" t="inlineStr">
        <is>
          <t>07/19/2024</t>
        </is>
      </c>
      <c r="B500" s="1920" t="n">
        <v>7294.5</v>
      </c>
      <c r="C500" s="1919" t="inlineStr">
        <is>
          <t>780</t>
        </is>
      </c>
      <c r="D500" s="1921">
        <f>B500/B501-1</f>
        <v/>
      </c>
      <c r="E500" s="1921">
        <f>C500/C501-1</f>
        <v/>
      </c>
      <c r="F500" s="1921">
        <f>$L$2/365</f>
        <v/>
      </c>
      <c r="G500" s="1921">
        <f>D500-F500</f>
        <v/>
      </c>
      <c r="H500" s="1921">
        <f>E500-F500</f>
        <v/>
      </c>
    </row>
    <row r="501" ht="14.25" customHeight="1">
      <c r="A501" s="1919" t="inlineStr">
        <is>
          <t>07/18/2024</t>
        </is>
      </c>
      <c r="B501" s="1920" t="n">
        <v>7321.07</v>
      </c>
      <c r="C501" s="1919" t="inlineStr">
        <is>
          <t>795</t>
        </is>
      </c>
      <c r="D501" s="1921">
        <f>B501/B502-1</f>
        <v/>
      </c>
      <c r="E501" s="1921">
        <f>C501/C502-1</f>
        <v/>
      </c>
      <c r="F501" s="1921">
        <f>$L$2/365</f>
        <v/>
      </c>
      <c r="G501" s="1921">
        <f>D501-F501</f>
        <v/>
      </c>
      <c r="H501" s="1921">
        <f>E501-F501</f>
        <v/>
      </c>
    </row>
    <row r="502" ht="14.25" customHeight="1">
      <c r="A502" s="1919" t="inlineStr">
        <is>
          <t>07/17/2024</t>
        </is>
      </c>
      <c r="B502" s="1920" t="n">
        <v>7224.22</v>
      </c>
      <c r="C502" s="1919" t="inlineStr">
        <is>
          <t>795</t>
        </is>
      </c>
      <c r="D502" s="1921">
        <f>B502/B503-1</f>
        <v/>
      </c>
      <c r="E502" s="1921">
        <f>C502/C503-1</f>
        <v/>
      </c>
      <c r="F502" s="1921">
        <f>$L$2/365</f>
        <v/>
      </c>
      <c r="G502" s="1921">
        <f>D502-F502</f>
        <v/>
      </c>
      <c r="H502" s="1921">
        <f>E502-F502</f>
        <v/>
      </c>
    </row>
    <row r="503" ht="14.25" customHeight="1">
      <c r="A503" s="1919" t="inlineStr">
        <is>
          <t>07/16/2024</t>
        </is>
      </c>
      <c r="B503" s="1920" t="n">
        <v>7224.29</v>
      </c>
      <c r="C503" s="1919" t="inlineStr">
        <is>
          <t>790</t>
        </is>
      </c>
      <c r="D503" s="1921">
        <f>B503/B504-1</f>
        <v/>
      </c>
      <c r="E503" s="1921">
        <f>C503/C504-1</f>
        <v/>
      </c>
      <c r="F503" s="1921">
        <f>$L$2/365</f>
        <v/>
      </c>
      <c r="G503" s="1921">
        <f>D503-F503</f>
        <v/>
      </c>
      <c r="H503" s="1921">
        <f>E503-F503</f>
        <v/>
      </c>
    </row>
    <row r="504" ht="14.25" customHeight="1">
      <c r="A504" s="1919" t="inlineStr">
        <is>
          <t>07/15/2024</t>
        </is>
      </c>
      <c r="B504" s="1920" t="n">
        <v>7278.86</v>
      </c>
      <c r="C504" s="1919" t="inlineStr">
        <is>
          <t>800</t>
        </is>
      </c>
      <c r="D504" s="1921">
        <f>B504/B505-1</f>
        <v/>
      </c>
      <c r="E504" s="1921">
        <f>C504/C505-1</f>
        <v/>
      </c>
      <c r="F504" s="1921">
        <f>$L$2/365</f>
        <v/>
      </c>
      <c r="G504" s="1921">
        <f>D504-F504</f>
        <v/>
      </c>
      <c r="H504" s="1921">
        <f>E504-F504</f>
        <v/>
      </c>
    </row>
    <row r="505" ht="14.25" customHeight="1">
      <c r="A505" s="1919" t="inlineStr">
        <is>
          <t>07/12/2024</t>
        </is>
      </c>
      <c r="B505" s="1920" t="n">
        <v>7327.58</v>
      </c>
      <c r="C505" s="1919" t="inlineStr">
        <is>
          <t>810</t>
        </is>
      </c>
      <c r="D505" s="1921">
        <f>B505/B506-1</f>
        <v/>
      </c>
      <c r="E505" s="1921">
        <f>C505/C506-1</f>
        <v/>
      </c>
      <c r="F505" s="1921">
        <f>$L$2/365</f>
        <v/>
      </c>
      <c r="G505" s="1921">
        <f>D505-F505</f>
        <v/>
      </c>
      <c r="H505" s="1921">
        <f>E505-F505</f>
        <v/>
      </c>
    </row>
    <row r="506" ht="14.25" customHeight="1">
      <c r="A506" s="1919" t="inlineStr">
        <is>
          <t>07/11/2024</t>
        </is>
      </c>
      <c r="B506" s="1920" t="n">
        <v>7300.41</v>
      </c>
      <c r="C506" s="1919" t="inlineStr">
        <is>
          <t>785</t>
        </is>
      </c>
      <c r="D506" s="1921">
        <f>B506/B507-1</f>
        <v/>
      </c>
      <c r="E506" s="1921">
        <f>C506/C507-1</f>
        <v/>
      </c>
      <c r="F506" s="1921">
        <f>$L$2/365</f>
        <v/>
      </c>
      <c r="G506" s="1921">
        <f>D506-F506</f>
        <v/>
      </c>
      <c r="H506" s="1921">
        <f>E506-F506</f>
        <v/>
      </c>
    </row>
    <row r="507" ht="14.25" customHeight="1">
      <c r="A507" s="1919" t="inlineStr">
        <is>
          <t>07/10/2024</t>
        </is>
      </c>
      <c r="B507" s="1920" t="n">
        <v>7287.04</v>
      </c>
      <c r="C507" s="1919" t="inlineStr">
        <is>
          <t>780</t>
        </is>
      </c>
      <c r="D507" s="1921">
        <f>B507/B508-1</f>
        <v/>
      </c>
      <c r="E507" s="1921">
        <f>C507/C508-1</f>
        <v/>
      </c>
      <c r="F507" s="1921">
        <f>$L$2/365</f>
        <v/>
      </c>
      <c r="G507" s="1921">
        <f>D507-F507</f>
        <v/>
      </c>
      <c r="H507" s="1921">
        <f>E507-F507</f>
        <v/>
      </c>
    </row>
    <row r="508" ht="14.25" customHeight="1">
      <c r="A508" s="1919" t="inlineStr">
        <is>
          <t>07/09/2024</t>
        </is>
      </c>
      <c r="B508" s="1920" t="n">
        <v>7269.8</v>
      </c>
      <c r="C508" s="1919" t="inlineStr">
        <is>
          <t>785</t>
        </is>
      </c>
      <c r="D508" s="1921">
        <f>B508/B509-1</f>
        <v/>
      </c>
      <c r="E508" s="1921">
        <f>C508/C509-1</f>
        <v/>
      </c>
      <c r="F508" s="1921">
        <f>$L$2/365</f>
        <v/>
      </c>
      <c r="G508" s="1921">
        <f>D508-F508</f>
        <v/>
      </c>
      <c r="H508" s="1921">
        <f>E508-F508</f>
        <v/>
      </c>
    </row>
    <row r="509" ht="14.25" customHeight="1">
      <c r="A509" s="1919" t="inlineStr">
        <is>
          <t>07/08/2024</t>
        </is>
      </c>
      <c r="B509" s="1920" t="n">
        <v>7250.98</v>
      </c>
      <c r="C509" s="1919" t="inlineStr">
        <is>
          <t>750</t>
        </is>
      </c>
      <c r="D509" s="1921">
        <f>B509/B510-1</f>
        <v/>
      </c>
      <c r="E509" s="1921">
        <f>C509/C510-1</f>
        <v/>
      </c>
      <c r="F509" s="1921">
        <f>$L$2/365</f>
        <v/>
      </c>
      <c r="G509" s="1921">
        <f>D509-F509</f>
        <v/>
      </c>
      <c r="H509" s="1921">
        <f>E509-F509</f>
        <v/>
      </c>
    </row>
    <row r="510" ht="14.25" customHeight="1">
      <c r="A510" s="1919" t="inlineStr">
        <is>
          <t>07/05/2024</t>
        </is>
      </c>
      <c r="B510" s="1920" t="n">
        <v>7253.37</v>
      </c>
      <c r="C510" s="1919" t="inlineStr">
        <is>
          <t>735</t>
        </is>
      </c>
      <c r="D510" s="1921">
        <f>B510/B511-1</f>
        <v/>
      </c>
      <c r="E510" s="1921">
        <f>C510/C511-1</f>
        <v/>
      </c>
      <c r="F510" s="1921">
        <f>$L$2/365</f>
        <v/>
      </c>
      <c r="G510" s="1921">
        <f>D510-F510</f>
        <v/>
      </c>
      <c r="H510" s="1921">
        <f>E510-F510</f>
        <v/>
      </c>
    </row>
    <row r="511" ht="14.25" customHeight="1">
      <c r="A511" s="1919" t="inlineStr">
        <is>
          <t>07/04/2024</t>
        </is>
      </c>
      <c r="B511" s="1920" t="n">
        <v>7220.89</v>
      </c>
      <c r="C511" s="1919" t="inlineStr">
        <is>
          <t>745</t>
        </is>
      </c>
      <c r="D511" s="1921">
        <f>B511/B512-1</f>
        <v/>
      </c>
      <c r="E511" s="1921">
        <f>C511/C512-1</f>
        <v/>
      </c>
      <c r="F511" s="1921">
        <f>$L$2/365</f>
        <v/>
      </c>
      <c r="G511" s="1921">
        <f>D511-F511</f>
        <v/>
      </c>
      <c r="H511" s="1921">
        <f>E511-F511</f>
        <v/>
      </c>
    </row>
    <row r="512" ht="14.25" customHeight="1">
      <c r="A512" s="1919" t="inlineStr">
        <is>
          <t>07/03/2024</t>
        </is>
      </c>
      <c r="B512" s="1920" t="n">
        <v>7196.75</v>
      </c>
      <c r="C512" s="1919" t="inlineStr">
        <is>
          <t>745</t>
        </is>
      </c>
      <c r="D512" s="1921">
        <f>B512/B513-1</f>
        <v/>
      </c>
      <c r="E512" s="1921">
        <f>C512/C513-1</f>
        <v/>
      </c>
      <c r="F512" s="1921">
        <f>$L$2/365</f>
        <v/>
      </c>
      <c r="G512" s="1921">
        <f>D512-F512</f>
        <v/>
      </c>
      <c r="H512" s="1921">
        <f>E512-F512</f>
        <v/>
      </c>
    </row>
    <row r="513" ht="14.25" customHeight="1">
      <c r="A513" s="1919" t="inlineStr">
        <is>
          <t>07/02/2024</t>
        </is>
      </c>
      <c r="B513" s="1920" t="n">
        <v>7125.14</v>
      </c>
      <c r="C513" s="1919" t="inlineStr">
        <is>
          <t>730</t>
        </is>
      </c>
      <c r="D513" s="1921">
        <f>B513/B514-1</f>
        <v/>
      </c>
      <c r="E513" s="1921">
        <f>C513/C514-1</f>
        <v/>
      </c>
      <c r="F513" s="1921">
        <f>$L$2/365</f>
        <v/>
      </c>
      <c r="G513" s="1921">
        <f>D513-F513</f>
        <v/>
      </c>
      <c r="H513" s="1921">
        <f>E513-F513</f>
        <v/>
      </c>
    </row>
    <row r="514" ht="14.25" customHeight="1">
      <c r="A514" s="1919" t="inlineStr">
        <is>
          <t>07/01/2024</t>
        </is>
      </c>
      <c r="B514" s="1920" t="n">
        <v>7139.63</v>
      </c>
      <c r="C514" s="1919" t="inlineStr">
        <is>
          <t>730</t>
        </is>
      </c>
      <c r="D514" s="1921">
        <f>B514/B515-1</f>
        <v/>
      </c>
      <c r="E514" s="1921">
        <f>C514/C515-1</f>
        <v/>
      </c>
      <c r="F514" s="1921">
        <f>$L$2/365</f>
        <v/>
      </c>
      <c r="G514" s="1921">
        <f>D514-F514</f>
        <v/>
      </c>
      <c r="H514" s="1921">
        <f>E514-F514</f>
        <v/>
      </c>
    </row>
    <row r="515" ht="14.25" customHeight="1">
      <c r="A515" s="1919" t="inlineStr">
        <is>
          <t>06/28/2024</t>
        </is>
      </c>
      <c r="B515" s="1920" t="n">
        <v>7063.58</v>
      </c>
      <c r="C515" s="1919" t="inlineStr">
        <is>
          <t>735</t>
        </is>
      </c>
      <c r="D515" s="1921">
        <f>B515/B516-1</f>
        <v/>
      </c>
      <c r="E515" s="1921">
        <f>C515/C516-1</f>
        <v/>
      </c>
      <c r="F515" s="1921">
        <f>$L$2/365</f>
        <v/>
      </c>
      <c r="G515" s="1921">
        <f>D515-F515</f>
        <v/>
      </c>
      <c r="H515" s="1921">
        <f>E515-F515</f>
        <v/>
      </c>
    </row>
    <row r="516" ht="14.25" customHeight="1">
      <c r="A516" s="1919" t="inlineStr">
        <is>
          <t>06/27/2024</t>
        </is>
      </c>
      <c r="B516" s="1920" t="n">
        <v>6967.95</v>
      </c>
      <c r="C516" s="1919" t="inlineStr">
        <is>
          <t>715</t>
        </is>
      </c>
      <c r="D516" s="1921">
        <f>B516/B517-1</f>
        <v/>
      </c>
      <c r="E516" s="1921">
        <f>C516/C517-1</f>
        <v/>
      </c>
      <c r="F516" s="1921">
        <f>$L$2/365</f>
        <v/>
      </c>
      <c r="G516" s="1921">
        <f>D516-F516</f>
        <v/>
      </c>
      <c r="H516" s="1921">
        <f>E516-F516</f>
        <v/>
      </c>
    </row>
    <row r="517" ht="14.25" customHeight="1">
      <c r="A517" s="1919" t="inlineStr">
        <is>
          <t>06/26/2024</t>
        </is>
      </c>
      <c r="B517" s="1920" t="n">
        <v>6905.64</v>
      </c>
      <c r="C517" s="1919" t="inlineStr">
        <is>
          <t>685</t>
        </is>
      </c>
      <c r="D517" s="1921">
        <f>B517/B518-1</f>
        <v/>
      </c>
      <c r="E517" s="1921">
        <f>C517/C518-1</f>
        <v/>
      </c>
      <c r="F517" s="1921">
        <f>$L$2/365</f>
        <v/>
      </c>
      <c r="G517" s="1921">
        <f>D517-F517</f>
        <v/>
      </c>
      <c r="H517" s="1921">
        <f>E517-F517</f>
        <v/>
      </c>
    </row>
    <row r="518" ht="14.25" customHeight="1">
      <c r="A518" s="1919" t="inlineStr">
        <is>
          <t>06/25/2024</t>
        </is>
      </c>
      <c r="B518" s="1920" t="n">
        <v>6882.7</v>
      </c>
      <c r="C518" s="1919" t="inlineStr">
        <is>
          <t>685</t>
        </is>
      </c>
      <c r="D518" s="1921">
        <f>B518/B519-1</f>
        <v/>
      </c>
      <c r="E518" s="1921">
        <f>C518/C519-1</f>
        <v/>
      </c>
      <c r="F518" s="1921">
        <f>$L$2/365</f>
        <v/>
      </c>
      <c r="G518" s="1921">
        <f>D518-F518</f>
        <v/>
      </c>
      <c r="H518" s="1921">
        <f>E518-F518</f>
        <v/>
      </c>
    </row>
    <row r="519" ht="14.25" customHeight="1">
      <c r="A519" s="1919" t="inlineStr">
        <is>
          <t>06/24/2024</t>
        </is>
      </c>
      <c r="B519" s="1920" t="n">
        <v>6889.17</v>
      </c>
      <c r="C519" s="1919" t="inlineStr">
        <is>
          <t>675</t>
        </is>
      </c>
      <c r="D519" s="1921">
        <f>B519/B520-1</f>
        <v/>
      </c>
      <c r="E519" s="1921">
        <f>C519/C520-1</f>
        <v/>
      </c>
      <c r="F519" s="1921">
        <f>$L$2/365</f>
        <v/>
      </c>
      <c r="G519" s="1921">
        <f>D519-F519</f>
        <v/>
      </c>
      <c r="H519" s="1921">
        <f>E519-F519</f>
        <v/>
      </c>
    </row>
    <row r="520" ht="14.25" customHeight="1">
      <c r="A520" s="1919" t="inlineStr">
        <is>
          <t>06/21/2024</t>
        </is>
      </c>
      <c r="B520" s="1920" t="n">
        <v>6879.98</v>
      </c>
      <c r="C520" s="1919" t="inlineStr">
        <is>
          <t>700</t>
        </is>
      </c>
      <c r="D520" s="1921">
        <f>B520/B521-1</f>
        <v/>
      </c>
      <c r="E520" s="1921">
        <f>C520/C521-1</f>
        <v/>
      </c>
      <c r="F520" s="1921">
        <f>$L$2/365</f>
        <v/>
      </c>
      <c r="G520" s="1921">
        <f>D520-F520</f>
        <v/>
      </c>
      <c r="H520" s="1921">
        <f>E520-F520</f>
        <v/>
      </c>
    </row>
    <row r="521" ht="14.25" customHeight="1">
      <c r="A521" s="1919" t="inlineStr">
        <is>
          <t>06/20/2024</t>
        </is>
      </c>
      <c r="B521" s="1920" t="n">
        <v>6819.32</v>
      </c>
      <c r="C521" s="1919" t="inlineStr">
        <is>
          <t>680</t>
        </is>
      </c>
      <c r="D521" s="1921">
        <f>B521/B522-1</f>
        <v/>
      </c>
      <c r="E521" s="1921">
        <f>C521/C522-1</f>
        <v/>
      </c>
      <c r="F521" s="1921">
        <f>$L$2/365</f>
        <v/>
      </c>
      <c r="G521" s="1921">
        <f>D521-F521</f>
        <v/>
      </c>
      <c r="H521" s="1921">
        <f>E521-F521</f>
        <v/>
      </c>
    </row>
    <row r="522" ht="14.25" customHeight="1">
      <c r="A522" s="1919" t="inlineStr">
        <is>
          <t>06/19/2024</t>
        </is>
      </c>
      <c r="B522" s="1920" t="n">
        <v>6726.92</v>
      </c>
      <c r="C522" s="1919" t="inlineStr">
        <is>
          <t>680</t>
        </is>
      </c>
      <c r="D522" s="1921">
        <f>B522/B523-1</f>
        <v/>
      </c>
      <c r="E522" s="1921">
        <f>C522/C523-1</f>
        <v/>
      </c>
      <c r="F522" s="1921">
        <f>$L$2/365</f>
        <v/>
      </c>
      <c r="G522" s="1921">
        <f>D522-F522</f>
        <v/>
      </c>
      <c r="H522" s="1921">
        <f>E522-F522</f>
        <v/>
      </c>
    </row>
    <row r="523" ht="14.25" customHeight="1">
      <c r="A523" s="1919" t="inlineStr">
        <is>
          <t>06/14/2024</t>
        </is>
      </c>
      <c r="B523" s="1920" t="n">
        <v>6734.83</v>
      </c>
      <c r="C523" s="1919" t="inlineStr">
        <is>
          <t>675</t>
        </is>
      </c>
      <c r="D523" s="1921">
        <f>B523/B524-1</f>
        <v/>
      </c>
      <c r="E523" s="1921">
        <f>C523/C524-1</f>
        <v/>
      </c>
      <c r="F523" s="1921">
        <f>$L$2/365</f>
        <v/>
      </c>
      <c r="G523" s="1921">
        <f>D523-F523</f>
        <v/>
      </c>
      <c r="H523" s="1921">
        <f>E523-F523</f>
        <v/>
      </c>
    </row>
    <row r="524" ht="14.25" customHeight="1">
      <c r="A524" s="1919" t="inlineStr">
        <is>
          <t>06/13/2024</t>
        </is>
      </c>
      <c r="B524" s="1920" t="n">
        <v>6831.56</v>
      </c>
      <c r="C524" s="1919" t="inlineStr">
        <is>
          <t>690</t>
        </is>
      </c>
      <c r="D524" s="1921">
        <f>B524/B525-1</f>
        <v/>
      </c>
      <c r="E524" s="1921">
        <f>C524/C525-1</f>
        <v/>
      </c>
      <c r="F524" s="1921">
        <f>$L$2/365</f>
        <v/>
      </c>
      <c r="G524" s="1921">
        <f>D524-F524</f>
        <v/>
      </c>
      <c r="H524" s="1921">
        <f>E524-F524</f>
        <v/>
      </c>
    </row>
    <row r="525" ht="14.25" customHeight="1">
      <c r="A525" s="1919" t="inlineStr">
        <is>
          <t>06/12/2024</t>
        </is>
      </c>
      <c r="B525" s="1920" t="n">
        <v>6850.1</v>
      </c>
      <c r="C525" s="1919" t="inlineStr">
        <is>
          <t>695</t>
        </is>
      </c>
      <c r="D525" s="1921">
        <f>B525/B526-1</f>
        <v/>
      </c>
      <c r="E525" s="1921">
        <f>C525/C526-1</f>
        <v/>
      </c>
      <c r="F525" s="1921">
        <f>$L$2/365</f>
        <v/>
      </c>
      <c r="G525" s="1921">
        <f>D525-F525</f>
        <v/>
      </c>
      <c r="H525" s="1921">
        <f>E525-F525</f>
        <v/>
      </c>
    </row>
    <row r="526" ht="14.25" customHeight="1">
      <c r="A526" s="1919" t="inlineStr">
        <is>
          <t>06/11/2024</t>
        </is>
      </c>
      <c r="B526" s="1920" t="n">
        <v>6855.69</v>
      </c>
      <c r="C526" s="1919" t="inlineStr">
        <is>
          <t>710</t>
        </is>
      </c>
      <c r="D526" s="1921">
        <f>B526/B527-1</f>
        <v/>
      </c>
      <c r="E526" s="1921">
        <f>C526/C527-1</f>
        <v/>
      </c>
      <c r="F526" s="1921">
        <f>$L$2/365</f>
        <v/>
      </c>
      <c r="G526" s="1921">
        <f>D526-F526</f>
        <v/>
      </c>
      <c r="H526" s="1921">
        <f>E526-F526</f>
        <v/>
      </c>
    </row>
    <row r="527" ht="14.25" customHeight="1">
      <c r="A527" s="1919" t="inlineStr">
        <is>
          <t>06/10/2024</t>
        </is>
      </c>
      <c r="B527" s="1920" t="n">
        <v>6921.55</v>
      </c>
      <c r="C527" s="1919" t="inlineStr">
        <is>
          <t>720</t>
        </is>
      </c>
      <c r="D527" s="1921">
        <f>B527/B528-1</f>
        <v/>
      </c>
      <c r="E527" s="1921">
        <f>C527/C528-1</f>
        <v/>
      </c>
      <c r="F527" s="1921">
        <f>$L$2/365</f>
        <v/>
      </c>
      <c r="G527" s="1921">
        <f>D527-F527</f>
        <v/>
      </c>
      <c r="H527" s="1921">
        <f>E527-F527</f>
        <v/>
      </c>
    </row>
    <row r="528" ht="14.25" customHeight="1">
      <c r="A528" s="1919" t="inlineStr">
        <is>
          <t>06/07/2024</t>
        </is>
      </c>
      <c r="B528" s="1920" t="n">
        <v>6897.95</v>
      </c>
      <c r="C528" s="1919" t="inlineStr">
        <is>
          <t>725</t>
        </is>
      </c>
      <c r="D528" s="1921">
        <f>B528/B529-1</f>
        <v/>
      </c>
      <c r="E528" s="1921">
        <f>C528/C529-1</f>
        <v/>
      </c>
      <c r="F528" s="1921">
        <f>$L$2/365</f>
        <v/>
      </c>
      <c r="G528" s="1921">
        <f>D528-F528</f>
        <v/>
      </c>
      <c r="H528" s="1921">
        <f>E528-F528</f>
        <v/>
      </c>
    </row>
    <row r="529" ht="14.25" customHeight="1">
      <c r="A529" s="1919" t="inlineStr">
        <is>
          <t>06/06/2024</t>
        </is>
      </c>
      <c r="B529" s="1920" t="n">
        <v>6974.9</v>
      </c>
      <c r="C529" s="1919" t="inlineStr">
        <is>
          <t>725</t>
        </is>
      </c>
      <c r="D529" s="1921">
        <f>B529/B530-1</f>
        <v/>
      </c>
      <c r="E529" s="1921">
        <f>C529/C530-1</f>
        <v/>
      </c>
      <c r="F529" s="1921">
        <f>$L$2/365</f>
        <v/>
      </c>
      <c r="G529" s="1921">
        <f>D529-F529</f>
        <v/>
      </c>
      <c r="H529" s="1921">
        <f>E529-F529</f>
        <v/>
      </c>
    </row>
    <row r="530" ht="14.25" customHeight="1">
      <c r="A530" s="1919" t="inlineStr">
        <is>
          <t>06/05/2024</t>
        </is>
      </c>
      <c r="B530" s="1920" t="n">
        <v>6947.67</v>
      </c>
      <c r="C530" s="1919" t="inlineStr">
        <is>
          <t>705</t>
        </is>
      </c>
      <c r="D530" s="1921">
        <f>B530/B531-1</f>
        <v/>
      </c>
      <c r="E530" s="1921">
        <f>C530/C531-1</f>
        <v/>
      </c>
      <c r="F530" s="1921">
        <f>$L$2/365</f>
        <v/>
      </c>
      <c r="G530" s="1921">
        <f>D530-F530</f>
        <v/>
      </c>
      <c r="H530" s="1921">
        <f>E530-F530</f>
        <v/>
      </c>
    </row>
    <row r="531" ht="14.25" customHeight="1">
      <c r="A531" s="1919" t="inlineStr">
        <is>
          <t>06/04/2024</t>
        </is>
      </c>
      <c r="B531" s="1920" t="n">
        <v>7099.31</v>
      </c>
      <c r="C531" s="1919" t="inlineStr">
        <is>
          <t>715</t>
        </is>
      </c>
      <c r="D531" s="1921">
        <f>B531/B532-1</f>
        <v/>
      </c>
      <c r="E531" s="1921">
        <f>C531/C532-1</f>
        <v/>
      </c>
      <c r="F531" s="1921">
        <f>$L$2/365</f>
        <v/>
      </c>
      <c r="G531" s="1921">
        <f>D531-F531</f>
        <v/>
      </c>
      <c r="H531" s="1921">
        <f>E531-F531</f>
        <v/>
      </c>
    </row>
    <row r="532" ht="14.25" customHeight="1">
      <c r="A532" s="1919" t="inlineStr">
        <is>
          <t>06/03/2024</t>
        </is>
      </c>
      <c r="B532" s="1920" t="n">
        <v>7036.19</v>
      </c>
      <c r="C532" s="1919" t="inlineStr">
        <is>
          <t>690</t>
        </is>
      </c>
      <c r="D532" s="1921">
        <f>B532/B533-1</f>
        <v/>
      </c>
      <c r="E532" s="1921">
        <f>C532/C533-1</f>
        <v/>
      </c>
      <c r="F532" s="1921">
        <f>$L$2/365</f>
        <v/>
      </c>
      <c r="G532" s="1921">
        <f>D532-F532</f>
        <v/>
      </c>
      <c r="H532" s="1921">
        <f>E532-F532</f>
        <v/>
      </c>
    </row>
    <row r="533" ht="14.25" customHeight="1">
      <c r="A533" s="1919" t="inlineStr">
        <is>
          <t>05/31/2024</t>
        </is>
      </c>
      <c r="B533" s="1920" t="n">
        <v>6970.74</v>
      </c>
      <c r="C533" s="1919" t="inlineStr">
        <is>
          <t>690</t>
        </is>
      </c>
      <c r="D533" s="1921">
        <f>B533/B534-1</f>
        <v/>
      </c>
      <c r="E533" s="1921">
        <f>C533/C534-1</f>
        <v/>
      </c>
      <c r="F533" s="1921">
        <f>$L$2/365</f>
        <v/>
      </c>
      <c r="G533" s="1921">
        <f>D533-F533</f>
        <v/>
      </c>
      <c r="H533" s="1921">
        <f>E533-F533</f>
        <v/>
      </c>
    </row>
    <row r="534" ht="14.25" customHeight="1">
      <c r="A534" s="1919" t="inlineStr">
        <is>
          <t>05/30/2024</t>
        </is>
      </c>
      <c r="B534" s="1920" t="n">
        <v>7034.14</v>
      </c>
      <c r="C534" s="1919" t="inlineStr">
        <is>
          <t>720</t>
        </is>
      </c>
      <c r="D534" s="1921">
        <f>B534/B535-1</f>
        <v/>
      </c>
      <c r="E534" s="1921">
        <f>C534/C535-1</f>
        <v/>
      </c>
      <c r="F534" s="1921">
        <f>$L$2/365</f>
        <v/>
      </c>
      <c r="G534" s="1921">
        <f>D534-F534</f>
        <v/>
      </c>
      <c r="H534" s="1921">
        <f>E534-F534</f>
        <v/>
      </c>
    </row>
    <row r="535" ht="14.25" customHeight="1">
      <c r="A535" s="1919" t="inlineStr">
        <is>
          <t>05/29/2024</t>
        </is>
      </c>
      <c r="B535" s="1920" t="n">
        <v>7140.23</v>
      </c>
      <c r="C535" s="1919" t="inlineStr">
        <is>
          <t>715</t>
        </is>
      </c>
      <c r="D535" s="1921">
        <f>B535/B536-1</f>
        <v/>
      </c>
      <c r="E535" s="1921">
        <f>C535/C536-1</f>
        <v/>
      </c>
      <c r="F535" s="1921">
        <f>$L$2/365</f>
        <v/>
      </c>
      <c r="G535" s="1921">
        <f>D535-F535</f>
        <v/>
      </c>
      <c r="H535" s="1921">
        <f>E535-F535</f>
        <v/>
      </c>
    </row>
    <row r="536" ht="14.25" customHeight="1">
      <c r="A536" s="1919" t="inlineStr">
        <is>
          <t>05/28/2024</t>
        </is>
      </c>
      <c r="B536" s="1920" t="n">
        <v>7253.63</v>
      </c>
      <c r="C536" s="1919" t="inlineStr">
        <is>
          <t>725</t>
        </is>
      </c>
      <c r="D536" s="1921">
        <f>B536/B537-1</f>
        <v/>
      </c>
      <c r="E536" s="1921">
        <f>C536/C537-1</f>
        <v/>
      </c>
      <c r="F536" s="1921">
        <f>$L$2/365</f>
        <v/>
      </c>
      <c r="G536" s="1921">
        <f>D536-F536</f>
        <v/>
      </c>
      <c r="H536" s="1921">
        <f>E536-F536</f>
        <v/>
      </c>
    </row>
    <row r="537" ht="14.25" customHeight="1">
      <c r="A537" s="1919" t="inlineStr">
        <is>
          <t>05/27/2024</t>
        </is>
      </c>
      <c r="B537" s="1920" t="n">
        <v>7176.42</v>
      </c>
      <c r="C537" s="1919" t="inlineStr">
        <is>
          <t>710</t>
        </is>
      </c>
      <c r="D537" s="1921">
        <f>B537/B538-1</f>
        <v/>
      </c>
      <c r="E537" s="1921">
        <f>C537/C538-1</f>
        <v/>
      </c>
      <c r="F537" s="1921">
        <f>$L$2/365</f>
        <v/>
      </c>
      <c r="G537" s="1921">
        <f>D537-F537</f>
        <v/>
      </c>
      <c r="H537" s="1921">
        <f>E537-F537</f>
        <v/>
      </c>
    </row>
    <row r="538" ht="14.25" customHeight="1">
      <c r="A538" s="1919" t="inlineStr">
        <is>
          <t>05/22/2024</t>
        </is>
      </c>
      <c r="B538" s="1920" t="n">
        <v>7222.38</v>
      </c>
      <c r="C538" s="1919" t="inlineStr">
        <is>
          <t>765</t>
        </is>
      </c>
      <c r="D538" s="1921">
        <f>B538/B539-1</f>
        <v/>
      </c>
      <c r="E538" s="1921">
        <f>C538/C539-1</f>
        <v/>
      </c>
      <c r="F538" s="1921">
        <f>$L$2/365</f>
        <v/>
      </c>
      <c r="G538" s="1921">
        <f>D538-F538</f>
        <v/>
      </c>
      <c r="H538" s="1921">
        <f>E538-F538</f>
        <v/>
      </c>
    </row>
    <row r="539" ht="14.25" customHeight="1">
      <c r="A539" s="1919" t="inlineStr">
        <is>
          <t>05/21/2024</t>
        </is>
      </c>
      <c r="B539" s="1920" t="n">
        <v>7186.04</v>
      </c>
      <c r="C539" s="1919" t="inlineStr">
        <is>
          <t>745</t>
        </is>
      </c>
      <c r="D539" s="1921">
        <f>B539/B540-1</f>
        <v/>
      </c>
      <c r="E539" s="1921">
        <f>C539/C540-1</f>
        <v/>
      </c>
      <c r="F539" s="1921">
        <f>$L$2/365</f>
        <v/>
      </c>
      <c r="G539" s="1921">
        <f>D539-F539</f>
        <v/>
      </c>
      <c r="H539" s="1921">
        <f>E539-F539</f>
        <v/>
      </c>
    </row>
    <row r="540" ht="14.25" customHeight="1">
      <c r="A540" s="1919" t="inlineStr">
        <is>
          <t>05/20/2024</t>
        </is>
      </c>
      <c r="B540" s="1920" t="n">
        <v>7266.69</v>
      </c>
      <c r="C540" s="1919" t="inlineStr">
        <is>
          <t>765</t>
        </is>
      </c>
      <c r="D540" s="1921">
        <f>B540/B541-1</f>
        <v/>
      </c>
      <c r="E540" s="1921">
        <f>C540/C541-1</f>
        <v/>
      </c>
      <c r="F540" s="1921">
        <f>$L$2/365</f>
        <v/>
      </c>
      <c r="G540" s="1921">
        <f>D540-F540</f>
        <v/>
      </c>
      <c r="H540" s="1921">
        <f>E540-F540</f>
        <v/>
      </c>
    </row>
    <row r="541" ht="14.25" customHeight="1">
      <c r="A541" s="1919" t="inlineStr">
        <is>
          <t>05/17/2024</t>
        </is>
      </c>
      <c r="B541" s="1920" t="n">
        <v>7317.24</v>
      </c>
      <c r="C541" s="1919" t="inlineStr">
        <is>
          <t>760</t>
        </is>
      </c>
      <c r="D541" s="1921">
        <f>B541/B542-1</f>
        <v/>
      </c>
      <c r="E541" s="1921">
        <f>C541/C542-1</f>
        <v/>
      </c>
      <c r="F541" s="1921">
        <f>$L$2/365</f>
        <v/>
      </c>
      <c r="G541" s="1921">
        <f>D541-F541</f>
        <v/>
      </c>
      <c r="H541" s="1921">
        <f>E541-F541</f>
        <v/>
      </c>
    </row>
    <row r="542" ht="14.25" customHeight="1">
      <c r="A542" s="1919" t="inlineStr">
        <is>
          <t>05/16/2024</t>
        </is>
      </c>
      <c r="B542" s="1920" t="n">
        <v>7246.7</v>
      </c>
      <c r="C542" s="1919" t="inlineStr">
        <is>
          <t>760</t>
        </is>
      </c>
      <c r="D542" s="1921">
        <f>B542/B543-1</f>
        <v/>
      </c>
      <c r="E542" s="1921">
        <f>C542/C543-1</f>
        <v/>
      </c>
      <c r="F542" s="1921">
        <f>$L$2/365</f>
        <v/>
      </c>
      <c r="G542" s="1921">
        <f>D542-F542</f>
        <v/>
      </c>
      <c r="H542" s="1921">
        <f>E542-F542</f>
        <v/>
      </c>
    </row>
    <row r="543" ht="14.25" customHeight="1">
      <c r="A543" s="1919" t="inlineStr">
        <is>
          <t>05/15/2024</t>
        </is>
      </c>
      <c r="B543" s="1920" t="n">
        <v>7179.83</v>
      </c>
      <c r="C543" s="1919" t="inlineStr">
        <is>
          <t>750</t>
        </is>
      </c>
      <c r="D543" s="1921">
        <f>B543/B544-1</f>
        <v/>
      </c>
      <c r="E543" s="1921">
        <f>C543/C544-1</f>
        <v/>
      </c>
      <c r="F543" s="1921">
        <f>$L$2/365</f>
        <v/>
      </c>
      <c r="G543" s="1921">
        <f>D543-F543</f>
        <v/>
      </c>
      <c r="H543" s="1921">
        <f>E543-F543</f>
        <v/>
      </c>
    </row>
    <row r="544" ht="14.25" customHeight="1">
      <c r="A544" s="1919" t="inlineStr">
        <is>
          <t>05/14/2024</t>
        </is>
      </c>
      <c r="B544" s="1920" t="n">
        <v>7083.76</v>
      </c>
      <c r="C544" s="1919" t="inlineStr">
        <is>
          <t>780</t>
        </is>
      </c>
      <c r="D544" s="1921">
        <f>B544/B545-1</f>
        <v/>
      </c>
      <c r="E544" s="1921">
        <f>C544/C545-1</f>
        <v/>
      </c>
      <c r="F544" s="1921">
        <f>$L$2/365</f>
        <v/>
      </c>
      <c r="G544" s="1921">
        <f>D544-F544</f>
        <v/>
      </c>
      <c r="H544" s="1921">
        <f>E544-F544</f>
        <v/>
      </c>
    </row>
    <row r="545" ht="14.25" customHeight="1">
      <c r="A545" s="1919" t="inlineStr">
        <is>
          <t>05/13/2024</t>
        </is>
      </c>
      <c r="B545" s="1920" t="n">
        <v>7099.26</v>
      </c>
      <c r="C545" s="1919" t="inlineStr">
        <is>
          <t>780</t>
        </is>
      </c>
      <c r="D545" s="1921">
        <f>B545/B546-1</f>
        <v/>
      </c>
      <c r="E545" s="1921">
        <f>C545/C546-1</f>
        <v/>
      </c>
      <c r="F545" s="1921">
        <f>$L$2/365</f>
        <v/>
      </c>
      <c r="G545" s="1921">
        <f>D545-F545</f>
        <v/>
      </c>
      <c r="H545" s="1921">
        <f>E545-F545</f>
        <v/>
      </c>
    </row>
    <row r="546" ht="14.25" customHeight="1">
      <c r="A546" s="1919" t="inlineStr">
        <is>
          <t>05/08/2024</t>
        </is>
      </c>
      <c r="B546" s="1920" t="n">
        <v>7088.79</v>
      </c>
      <c r="C546" s="1919" t="inlineStr">
        <is>
          <t>795</t>
        </is>
      </c>
      <c r="D546" s="1921">
        <f>B546/B547-1</f>
        <v/>
      </c>
      <c r="E546" s="1921">
        <f>C546/C547-1</f>
        <v/>
      </c>
      <c r="F546" s="1921">
        <f>$L$2/365</f>
        <v/>
      </c>
      <c r="G546" s="1921">
        <f>D546-F546</f>
        <v/>
      </c>
      <c r="H546" s="1921">
        <f>E546-F546</f>
        <v/>
      </c>
    </row>
    <row r="547" ht="14.25" customHeight="1">
      <c r="A547" s="1919" t="inlineStr">
        <is>
          <t>05/07/2024</t>
        </is>
      </c>
      <c r="B547" s="1920" t="n">
        <v>7123.61</v>
      </c>
      <c r="C547" s="1919" t="inlineStr">
        <is>
          <t>795</t>
        </is>
      </c>
      <c r="D547" s="1921">
        <f>B547/B548-1</f>
        <v/>
      </c>
      <c r="E547" s="1921">
        <f>C547/C548-1</f>
        <v/>
      </c>
      <c r="F547" s="1921">
        <f>$L$2/365</f>
        <v/>
      </c>
      <c r="G547" s="1921">
        <f>D547-F547</f>
        <v/>
      </c>
      <c r="H547" s="1921">
        <f>E547-F547</f>
        <v/>
      </c>
    </row>
    <row r="548" ht="14.25" customHeight="1">
      <c r="A548" s="1919" t="inlineStr">
        <is>
          <t>05/06/2024</t>
        </is>
      </c>
      <c r="B548" s="1920" t="n">
        <v>7135.89</v>
      </c>
      <c r="C548" s="1919" t="inlineStr">
        <is>
          <t>800</t>
        </is>
      </c>
      <c r="D548" s="1921">
        <f>B548/B549-1</f>
        <v/>
      </c>
      <c r="E548" s="1921">
        <f>C548/C549-1</f>
        <v/>
      </c>
      <c r="F548" s="1921">
        <f>$L$2/365</f>
        <v/>
      </c>
      <c r="G548" s="1921">
        <f>D548-F548</f>
        <v/>
      </c>
      <c r="H548" s="1921">
        <f>E548-F548</f>
        <v/>
      </c>
    </row>
    <row r="549" ht="14.25" customHeight="1">
      <c r="A549" s="1919" t="inlineStr">
        <is>
          <t>05/03/2024</t>
        </is>
      </c>
      <c r="B549" s="1920" t="n">
        <v>7134.72</v>
      </c>
      <c r="C549" s="1919" t="inlineStr">
        <is>
          <t>800</t>
        </is>
      </c>
      <c r="D549" s="1921">
        <f>B549/B550-1</f>
        <v/>
      </c>
      <c r="E549" s="1921">
        <f>C549/C550-1</f>
        <v/>
      </c>
      <c r="F549" s="1921">
        <f>$L$2/365</f>
        <v/>
      </c>
      <c r="G549" s="1921">
        <f>D549-F549</f>
        <v/>
      </c>
      <c r="H549" s="1921">
        <f>E549-F549</f>
        <v/>
      </c>
    </row>
    <row r="550" ht="14.25" customHeight="1">
      <c r="A550" s="1919" t="inlineStr">
        <is>
          <t>05/02/2024</t>
        </is>
      </c>
      <c r="B550" s="1920" t="n">
        <v>7117.42</v>
      </c>
      <c r="C550" s="1919" t="inlineStr">
        <is>
          <t>790</t>
        </is>
      </c>
      <c r="D550" s="1921">
        <f>B550/B551-1</f>
        <v/>
      </c>
      <c r="E550" s="1921">
        <f>C550/C551-1</f>
        <v/>
      </c>
      <c r="F550" s="1921">
        <f>$L$2/365</f>
        <v/>
      </c>
      <c r="G550" s="1921">
        <f>D550-F550</f>
        <v/>
      </c>
      <c r="H550" s="1921">
        <f>E550-F550</f>
        <v/>
      </c>
    </row>
    <row r="551" ht="14.25" customHeight="1">
      <c r="A551" s="1919" t="inlineStr">
        <is>
          <t>04/30/2024</t>
        </is>
      </c>
      <c r="B551" s="1920" t="n">
        <v>7234.2</v>
      </c>
      <c r="C551" s="1919" t="inlineStr">
        <is>
          <t>805</t>
        </is>
      </c>
      <c r="D551" s="1921">
        <f>B551/B552-1</f>
        <v/>
      </c>
      <c r="E551" s="1921">
        <f>C551/C552-1</f>
        <v/>
      </c>
      <c r="F551" s="1921">
        <f>$L$2/365</f>
        <v/>
      </c>
      <c r="G551" s="1921">
        <f>D551-F551</f>
        <v/>
      </c>
      <c r="H551" s="1921">
        <f>E551-F551</f>
        <v/>
      </c>
    </row>
    <row r="552" ht="14.25" customHeight="1">
      <c r="A552" s="1919" t="inlineStr">
        <is>
          <t>04/29/2024</t>
        </is>
      </c>
      <c r="B552" s="1920" t="n">
        <v>7155.78</v>
      </c>
      <c r="C552" s="1919" t="inlineStr">
        <is>
          <t>805</t>
        </is>
      </c>
      <c r="D552" s="1921">
        <f>B552/B553-1</f>
        <v/>
      </c>
      <c r="E552" s="1921">
        <f>C552/C553-1</f>
        <v/>
      </c>
      <c r="F552" s="1921">
        <f>$L$2/365</f>
        <v/>
      </c>
      <c r="G552" s="1921">
        <f>D552-F552</f>
        <v/>
      </c>
      <c r="H552" s="1921">
        <f>E552-F552</f>
        <v/>
      </c>
    </row>
    <row r="553" ht="14.25" customHeight="1">
      <c r="A553" s="1919" t="inlineStr">
        <is>
          <t>04/26/2024</t>
        </is>
      </c>
      <c r="B553" s="1920" t="n">
        <v>7036.08</v>
      </c>
      <c r="C553" s="1919" t="inlineStr">
        <is>
          <t>795</t>
        </is>
      </c>
      <c r="D553" s="1921">
        <f>B553/B554-1</f>
        <v/>
      </c>
      <c r="E553" s="1921">
        <f>C553/C554-1</f>
        <v/>
      </c>
      <c r="F553" s="1921">
        <f>$L$2/365</f>
        <v/>
      </c>
      <c r="G553" s="1921">
        <f>D553-F553</f>
        <v/>
      </c>
      <c r="H553" s="1921">
        <f>E553-F553</f>
        <v/>
      </c>
    </row>
    <row r="554" ht="14.25" customHeight="1">
      <c r="A554" s="1919" t="inlineStr">
        <is>
          <t>04/25/2024</t>
        </is>
      </c>
      <c r="B554" s="1920" t="n">
        <v>7155.29</v>
      </c>
      <c r="C554" s="1919" t="inlineStr">
        <is>
          <t>815</t>
        </is>
      </c>
      <c r="D554" s="1921">
        <f>B554/B555-1</f>
        <v/>
      </c>
      <c r="E554" s="1921">
        <f>C554/C555-1</f>
        <v/>
      </c>
      <c r="F554" s="1921">
        <f>$L$2/365</f>
        <v/>
      </c>
      <c r="G554" s="1921">
        <f>D554-F554</f>
        <v/>
      </c>
      <c r="H554" s="1921">
        <f>E554-F554</f>
        <v/>
      </c>
    </row>
    <row r="555" ht="14.25" customHeight="1">
      <c r="A555" s="1919" t="inlineStr">
        <is>
          <t>04/24/2024</t>
        </is>
      </c>
      <c r="B555" s="1920" t="n">
        <v>7174.53</v>
      </c>
      <c r="C555" s="1919" t="inlineStr">
        <is>
          <t>800</t>
        </is>
      </c>
      <c r="D555" s="1921">
        <f>B555/B556-1</f>
        <v/>
      </c>
      <c r="E555" s="1921">
        <f>C555/C556-1</f>
        <v/>
      </c>
      <c r="F555" s="1921">
        <f>$L$2/365</f>
        <v/>
      </c>
      <c r="G555" s="1921">
        <f>D555-F555</f>
        <v/>
      </c>
      <c r="H555" s="1921">
        <f>E555-F555</f>
        <v/>
      </c>
    </row>
    <row r="556" ht="14.25" customHeight="1">
      <c r="A556" s="1919" t="inlineStr">
        <is>
          <t>04/23/2024</t>
        </is>
      </c>
      <c r="B556" s="1920" t="n">
        <v>7110.81</v>
      </c>
      <c r="C556" s="1919" t="inlineStr">
        <is>
          <t>800</t>
        </is>
      </c>
      <c r="D556" s="1921">
        <f>B556/B557-1</f>
        <v/>
      </c>
      <c r="E556" s="1921">
        <f>C556/C557-1</f>
        <v/>
      </c>
      <c r="F556" s="1921">
        <f>$L$2/365</f>
        <v/>
      </c>
      <c r="G556" s="1921">
        <f>D556-F556</f>
        <v/>
      </c>
      <c r="H556" s="1921">
        <f>E556-F556</f>
        <v/>
      </c>
    </row>
    <row r="557" ht="14.25" customHeight="1">
      <c r="A557" s="1919" t="inlineStr">
        <is>
          <t>04/22/2024</t>
        </is>
      </c>
      <c r="B557" s="1920" t="n">
        <v>7073.82</v>
      </c>
      <c r="C557" s="1919" t="inlineStr">
        <is>
          <t>780</t>
        </is>
      </c>
      <c r="D557" s="1921">
        <f>B557/B558-1</f>
        <v/>
      </c>
      <c r="E557" s="1921">
        <f>C557/C558-1</f>
        <v/>
      </c>
      <c r="F557" s="1921">
        <f>$L$2/365</f>
        <v/>
      </c>
      <c r="G557" s="1921">
        <f>D557-F557</f>
        <v/>
      </c>
      <c r="H557" s="1921">
        <f>E557-F557</f>
        <v/>
      </c>
    </row>
    <row r="558" ht="14.25" customHeight="1">
      <c r="A558" s="1919" t="inlineStr">
        <is>
          <t>04/19/2024</t>
        </is>
      </c>
      <c r="B558" s="1920" t="n">
        <v>7087.32</v>
      </c>
      <c r="C558" s="1919" t="inlineStr">
        <is>
          <t>800</t>
        </is>
      </c>
      <c r="D558" s="1921">
        <f>B558/B559-1</f>
        <v/>
      </c>
      <c r="E558" s="1921">
        <f>C558/C559-1</f>
        <v/>
      </c>
      <c r="F558" s="1921">
        <f>$L$2/365</f>
        <v/>
      </c>
      <c r="G558" s="1921">
        <f>D558-F558</f>
        <v/>
      </c>
      <c r="H558" s="1921">
        <f>E558-F558</f>
        <v/>
      </c>
    </row>
    <row r="559" ht="14.25" customHeight="1">
      <c r="A559" s="1919" t="inlineStr">
        <is>
          <t>04/18/2024</t>
        </is>
      </c>
      <c r="B559" s="1920" t="n">
        <v>7166.81</v>
      </c>
      <c r="C559" s="1919" t="inlineStr">
        <is>
          <t>805</t>
        </is>
      </c>
      <c r="D559" s="1921">
        <f>B559/B560-1</f>
        <v/>
      </c>
      <c r="E559" s="1921">
        <f>C559/C560-1</f>
        <v/>
      </c>
      <c r="F559" s="1921">
        <f>$L$2/365</f>
        <v/>
      </c>
      <c r="G559" s="1921">
        <f>D559-F559</f>
        <v/>
      </c>
      <c r="H559" s="1921">
        <f>E559-F559</f>
        <v/>
      </c>
    </row>
    <row r="560" ht="14.25" customHeight="1">
      <c r="A560" s="1919" t="inlineStr">
        <is>
          <t>04/17/2024</t>
        </is>
      </c>
      <c r="B560" s="1920" t="n">
        <v>7130.84</v>
      </c>
      <c r="C560" s="1919" t="inlineStr">
        <is>
          <t>800</t>
        </is>
      </c>
      <c r="D560" s="1921">
        <f>B560/B561-1</f>
        <v/>
      </c>
      <c r="E560" s="1921">
        <f>C560/C561-1</f>
        <v/>
      </c>
      <c r="F560" s="1921">
        <f>$L$2/365</f>
        <v/>
      </c>
      <c r="G560" s="1921">
        <f>D560-F560</f>
        <v/>
      </c>
      <c r="H560" s="1921">
        <f>E560-F560</f>
        <v/>
      </c>
    </row>
    <row r="561" ht="14.25" customHeight="1">
      <c r="A561" s="1919" t="inlineStr">
        <is>
          <t>04/16/2024</t>
        </is>
      </c>
      <c r="B561" s="1920" t="n">
        <v>7164.81</v>
      </c>
      <c r="C561" s="1919" t="inlineStr">
        <is>
          <t>815</t>
        </is>
      </c>
      <c r="D561" s="1921">
        <f>B561/B562-1</f>
        <v/>
      </c>
      <c r="E561" s="1921">
        <f>C561/C562-1</f>
        <v/>
      </c>
      <c r="F561" s="1921">
        <f>$L$2/365</f>
        <v/>
      </c>
      <c r="G561" s="1921">
        <f>D561-F561</f>
        <v/>
      </c>
      <c r="H561" s="1921">
        <f>E561-F561</f>
        <v/>
      </c>
    </row>
    <row r="562" ht="14.25" customHeight="1">
      <c r="A562" s="1919" t="inlineStr">
        <is>
          <t>04/05/2024</t>
        </is>
      </c>
      <c r="B562" s="1920" t="n">
        <v>7286.88</v>
      </c>
      <c r="C562" s="1919" t="inlineStr">
        <is>
          <t>855</t>
        </is>
      </c>
      <c r="D562" s="1921">
        <f>B562/B563-1</f>
        <v/>
      </c>
      <c r="E562" s="1921">
        <f>C562/C563-1</f>
        <v/>
      </c>
      <c r="F562" s="1921">
        <f>$L$2/365</f>
        <v/>
      </c>
      <c r="G562" s="1921">
        <f>D562-F562</f>
        <v/>
      </c>
      <c r="H562" s="1921">
        <f>E562-F562</f>
        <v/>
      </c>
    </row>
    <row r="563" ht="14.25" customHeight="1">
      <c r="A563" s="1919" t="inlineStr">
        <is>
          <t>04/04/2024</t>
        </is>
      </c>
      <c r="B563" s="1920" t="n">
        <v>7254.4</v>
      </c>
      <c r="C563" s="1919" t="inlineStr">
        <is>
          <t>855</t>
        </is>
      </c>
      <c r="D563" s="1921">
        <f>B563/B564-1</f>
        <v/>
      </c>
      <c r="E563" s="1921">
        <f>C563/C564-1</f>
        <v/>
      </c>
      <c r="F563" s="1921">
        <f>$L$2/365</f>
        <v/>
      </c>
      <c r="G563" s="1921">
        <f>D563-F563</f>
        <v/>
      </c>
      <c r="H563" s="1921">
        <f>E563-F563</f>
        <v/>
      </c>
    </row>
    <row r="564" ht="14.25" customHeight="1">
      <c r="A564" s="1919" t="inlineStr">
        <is>
          <t>04/03/2024</t>
        </is>
      </c>
      <c r="B564" s="1920" t="n">
        <v>7166.84</v>
      </c>
      <c r="C564" s="1919" t="inlineStr">
        <is>
          <t>855</t>
        </is>
      </c>
      <c r="D564" s="1921">
        <f>B564/B565-1</f>
        <v/>
      </c>
      <c r="E564" s="1921">
        <f>C564/C565-1</f>
        <v/>
      </c>
      <c r="F564" s="1921">
        <f>$L$2/365</f>
        <v/>
      </c>
      <c r="G564" s="1921">
        <f>D564-F564</f>
        <v/>
      </c>
      <c r="H564" s="1921">
        <f>E564-F564</f>
        <v/>
      </c>
    </row>
    <row r="565" ht="14.25" customHeight="1">
      <c r="A565" s="1919" t="inlineStr">
        <is>
          <t>04/02/2024</t>
        </is>
      </c>
      <c r="B565" s="1920" t="n">
        <v>7236.98</v>
      </c>
      <c r="C565" s="1919" t="inlineStr">
        <is>
          <t>855</t>
        </is>
      </c>
      <c r="D565" s="1921">
        <f>B565/B566-1</f>
        <v/>
      </c>
      <c r="E565" s="1921">
        <f>C565/C566-1</f>
        <v/>
      </c>
      <c r="F565" s="1921">
        <f>$L$2/365</f>
        <v/>
      </c>
      <c r="G565" s="1921">
        <f>D565-F565</f>
        <v/>
      </c>
      <c r="H565" s="1921">
        <f>E565-F565</f>
        <v/>
      </c>
    </row>
    <row r="566" ht="14.25" customHeight="1">
      <c r="A566" s="1919" t="inlineStr">
        <is>
          <t>04/01/2024</t>
        </is>
      </c>
      <c r="B566" s="1920" t="n">
        <v>7205.06</v>
      </c>
      <c r="C566" s="1919" t="inlineStr">
        <is>
          <t>850</t>
        </is>
      </c>
      <c r="D566" s="1921">
        <f>B566/B567-1</f>
        <v/>
      </c>
      <c r="E566" s="1921">
        <f>C566/C567-1</f>
        <v/>
      </c>
      <c r="F566" s="1921">
        <f>$L$2/365</f>
        <v/>
      </c>
      <c r="G566" s="1921">
        <f>D566-F566</f>
        <v/>
      </c>
      <c r="H566" s="1921">
        <f>E566-F566</f>
        <v/>
      </c>
    </row>
    <row r="567" ht="14.25" customHeight="1">
      <c r="A567" s="1919" t="inlineStr">
        <is>
          <t>03/28/2024</t>
        </is>
      </c>
      <c r="B567" s="1920" t="n">
        <v>7288.81</v>
      </c>
      <c r="C567" s="1919" t="inlineStr">
        <is>
          <t>860</t>
        </is>
      </c>
      <c r="D567" s="1921">
        <f>B567/B568-1</f>
        <v/>
      </c>
      <c r="E567" s="1921">
        <f>C567/C568-1</f>
        <v/>
      </c>
      <c r="F567" s="1921">
        <f>$L$2/365</f>
        <v/>
      </c>
      <c r="G567" s="1921">
        <f>D567-F567</f>
        <v/>
      </c>
      <c r="H567" s="1921">
        <f>E567-F567</f>
        <v/>
      </c>
    </row>
    <row r="568" ht="14.25" customHeight="1">
      <c r="A568" s="1919" t="inlineStr">
        <is>
          <t>03/27/2024</t>
        </is>
      </c>
      <c r="B568" s="1920" t="n">
        <v>7310.09</v>
      </c>
      <c r="C568" s="1919" t="inlineStr">
        <is>
          <t>855</t>
        </is>
      </c>
      <c r="D568" s="1921">
        <f>B568/B569-1</f>
        <v/>
      </c>
      <c r="E568" s="1921">
        <f>C568/C569-1</f>
        <v/>
      </c>
      <c r="F568" s="1921">
        <f>$L$2/365</f>
        <v/>
      </c>
      <c r="G568" s="1921">
        <f>D568-F568</f>
        <v/>
      </c>
      <c r="H568" s="1921">
        <f>E568-F568</f>
        <v/>
      </c>
    </row>
    <row r="569" ht="14.25" customHeight="1">
      <c r="A569" s="1919" t="inlineStr">
        <is>
          <t>03/26/2024</t>
        </is>
      </c>
      <c r="B569" s="1920" t="n">
        <v>7365.66</v>
      </c>
      <c r="C569" s="1919" t="inlineStr">
        <is>
          <t>870</t>
        </is>
      </c>
      <c r="D569" s="1921">
        <f>B569/B570-1</f>
        <v/>
      </c>
      <c r="E569" s="1921">
        <f>C569/C570-1</f>
        <v/>
      </c>
      <c r="F569" s="1921">
        <f>$L$2/365</f>
        <v/>
      </c>
      <c r="G569" s="1921">
        <f>D569-F569</f>
        <v/>
      </c>
      <c r="H569" s="1921">
        <f>E569-F569</f>
        <v/>
      </c>
    </row>
    <row r="570" ht="14.25" customHeight="1">
      <c r="A570" s="1919" t="inlineStr">
        <is>
          <t>03/25/2024</t>
        </is>
      </c>
      <c r="B570" s="1920" t="n">
        <v>7377.76</v>
      </c>
      <c r="C570" s="1919" t="inlineStr">
        <is>
          <t>865</t>
        </is>
      </c>
      <c r="D570" s="1921">
        <f>B570/B571-1</f>
        <v/>
      </c>
      <c r="E570" s="1921">
        <f>C570/C571-1</f>
        <v/>
      </c>
      <c r="F570" s="1921">
        <f>$L$2/365</f>
        <v/>
      </c>
      <c r="G570" s="1921">
        <f>D570-F570</f>
        <v/>
      </c>
      <c r="H570" s="1921">
        <f>E570-F570</f>
        <v/>
      </c>
    </row>
    <row r="571" ht="14.25" customHeight="1">
      <c r="A571" s="1919" t="inlineStr">
        <is>
          <t>03/22/2024</t>
        </is>
      </c>
      <c r="B571" s="1920" t="n">
        <v>7350.15</v>
      </c>
      <c r="C571" s="1919" t="inlineStr">
        <is>
          <t>875</t>
        </is>
      </c>
      <c r="D571" s="1921">
        <f>B571/B572-1</f>
        <v/>
      </c>
      <c r="E571" s="1921">
        <f>C571/C572-1</f>
        <v/>
      </c>
      <c r="F571" s="1921">
        <f>$L$2/365</f>
        <v/>
      </c>
      <c r="G571" s="1921">
        <f>D571-F571</f>
        <v/>
      </c>
      <c r="H571" s="1921">
        <f>E571-F571</f>
        <v/>
      </c>
    </row>
    <row r="572" ht="14.25" customHeight="1">
      <c r="A572" s="1919" t="inlineStr">
        <is>
          <t>03/21/2024</t>
        </is>
      </c>
      <c r="B572" s="1920" t="n">
        <v>7338.35</v>
      </c>
      <c r="C572" s="1919" t="inlineStr">
        <is>
          <t>855</t>
        </is>
      </c>
      <c r="D572" s="1921">
        <f>B572/B573-1</f>
        <v/>
      </c>
      <c r="E572" s="1921">
        <f>C572/C573-1</f>
        <v/>
      </c>
      <c r="F572" s="1921">
        <f>$L$2/365</f>
        <v/>
      </c>
      <c r="G572" s="1921">
        <f>D572-F572</f>
        <v/>
      </c>
      <c r="H572" s="1921">
        <f>E572-F572</f>
        <v/>
      </c>
    </row>
    <row r="573" ht="14.25" customHeight="1">
      <c r="A573" s="1919" t="inlineStr">
        <is>
          <t>03/20/2024</t>
        </is>
      </c>
      <c r="B573" s="1920" t="n">
        <v>7331.13</v>
      </c>
      <c r="C573" s="1919" t="inlineStr">
        <is>
          <t>850</t>
        </is>
      </c>
      <c r="D573" s="1921">
        <f>B573/B574-1</f>
        <v/>
      </c>
      <c r="E573" s="1921">
        <f>C573/C574-1</f>
        <v/>
      </c>
      <c r="F573" s="1921">
        <f>$L$2/365</f>
        <v/>
      </c>
      <c r="G573" s="1921">
        <f>D573-F573</f>
        <v/>
      </c>
      <c r="H573" s="1921">
        <f>E573-F573</f>
        <v/>
      </c>
    </row>
    <row r="574" ht="14.25" customHeight="1">
      <c r="A574" s="1919" t="inlineStr">
        <is>
          <t>03/19/2024</t>
        </is>
      </c>
      <c r="B574" s="1920" t="n">
        <v>7336.75</v>
      </c>
      <c r="C574" s="1919" t="inlineStr">
        <is>
          <t>855</t>
        </is>
      </c>
      <c r="D574" s="1921">
        <f>B574/B575-1</f>
        <v/>
      </c>
      <c r="E574" s="1921">
        <f>C574/C575-1</f>
        <v/>
      </c>
      <c r="F574" s="1921">
        <f>$L$2/365</f>
        <v/>
      </c>
      <c r="G574" s="1921">
        <f>D574-F574</f>
        <v/>
      </c>
      <c r="H574" s="1921">
        <f>E574-F574</f>
        <v/>
      </c>
    </row>
    <row r="575" ht="14.25" customHeight="1">
      <c r="A575" s="1919" t="inlineStr">
        <is>
          <t>03/18/2024</t>
        </is>
      </c>
      <c r="B575" s="1920" t="n">
        <v>7302.45</v>
      </c>
      <c r="C575" s="1919" t="inlineStr">
        <is>
          <t>865</t>
        </is>
      </c>
      <c r="D575" s="1921">
        <f>B575/B576-1</f>
        <v/>
      </c>
      <c r="E575" s="1921">
        <f>C575/C576-1</f>
        <v/>
      </c>
      <c r="F575" s="1921">
        <f>$L$2/365</f>
        <v/>
      </c>
      <c r="G575" s="1921">
        <f>D575-F575</f>
        <v/>
      </c>
      <c r="H575" s="1921">
        <f>E575-F575</f>
        <v/>
      </c>
    </row>
    <row r="576" ht="14.25" customHeight="1">
      <c r="A576" s="1919" t="inlineStr">
        <is>
          <t>03/15/2024</t>
        </is>
      </c>
      <c r="B576" s="1920" t="n">
        <v>7328.05</v>
      </c>
      <c r="C576" s="1919" t="inlineStr">
        <is>
          <t>865</t>
        </is>
      </c>
      <c r="D576" s="1921">
        <f>B576/B577-1</f>
        <v/>
      </c>
      <c r="E576" s="1921">
        <f>C576/C577-1</f>
        <v/>
      </c>
      <c r="F576" s="1921">
        <f>$L$2/365</f>
        <v/>
      </c>
      <c r="G576" s="1921">
        <f>D576-F576</f>
        <v/>
      </c>
      <c r="H576" s="1921">
        <f>E576-F576</f>
        <v/>
      </c>
    </row>
    <row r="577" ht="14.25" customHeight="1">
      <c r="A577" s="1919" t="inlineStr">
        <is>
          <t>03/14/2024</t>
        </is>
      </c>
      <c r="B577" s="1920" t="n">
        <v>7433.31</v>
      </c>
      <c r="C577" s="1919" t="inlineStr">
        <is>
          <t>900</t>
        </is>
      </c>
      <c r="D577" s="1921">
        <f>B577/B578-1</f>
        <v/>
      </c>
      <c r="E577" s="1921">
        <f>C577/C578-1</f>
        <v/>
      </c>
      <c r="F577" s="1921">
        <f>$L$2/365</f>
        <v/>
      </c>
      <c r="G577" s="1921">
        <f>D577-F577</f>
        <v/>
      </c>
      <c r="H577" s="1921">
        <f>E577-F577</f>
        <v/>
      </c>
    </row>
    <row r="578" ht="14.25" customHeight="1">
      <c r="A578" s="1919" t="inlineStr">
        <is>
          <t>03/13/2024</t>
        </is>
      </c>
      <c r="B578" s="1920" t="n">
        <v>7421.21</v>
      </c>
      <c r="C578" s="1919" t="inlineStr">
        <is>
          <t>875</t>
        </is>
      </c>
      <c r="D578" s="1921">
        <f>B578/B579-1</f>
        <v/>
      </c>
      <c r="E578" s="1921">
        <f>C578/C579-1</f>
        <v/>
      </c>
      <c r="F578" s="1921">
        <f>$L$2/365</f>
        <v/>
      </c>
      <c r="G578" s="1921">
        <f>D578-F578</f>
        <v/>
      </c>
      <c r="H578" s="1921">
        <f>E578-F578</f>
        <v/>
      </c>
    </row>
    <row r="579" ht="14.25" customHeight="1">
      <c r="A579" s="1919" t="inlineStr">
        <is>
          <t>03/08/2024</t>
        </is>
      </c>
      <c r="B579" s="1920" t="n">
        <v>7381.91</v>
      </c>
      <c r="C579" s="1919" t="inlineStr">
        <is>
          <t>890</t>
        </is>
      </c>
      <c r="D579" s="1921">
        <f>B579/B580-1</f>
        <v/>
      </c>
      <c r="E579" s="1921">
        <f>C579/C580-1</f>
        <v/>
      </c>
      <c r="F579" s="1921">
        <f>$L$2/365</f>
        <v/>
      </c>
      <c r="G579" s="1921">
        <f>D579-F579</f>
        <v/>
      </c>
      <c r="H579" s="1921">
        <f>E579-F579</f>
        <v/>
      </c>
    </row>
    <row r="580" ht="14.25" customHeight="1">
      <c r="A580" s="1919" t="inlineStr">
        <is>
          <t>03/07/2024</t>
        </is>
      </c>
      <c r="B580" s="1920" t="n">
        <v>7373.96</v>
      </c>
      <c r="C580" s="1919" t="inlineStr">
        <is>
          <t>885</t>
        </is>
      </c>
      <c r="D580" s="1921">
        <f>B580/B581-1</f>
        <v/>
      </c>
      <c r="E580" s="1921">
        <f>C580/C581-1</f>
        <v/>
      </c>
      <c r="F580" s="1921">
        <f>$L$2/365</f>
        <v/>
      </c>
      <c r="G580" s="1921">
        <f>D580-F580</f>
        <v/>
      </c>
      <c r="H580" s="1921">
        <f>E580-F580</f>
        <v/>
      </c>
    </row>
    <row r="581" ht="14.25" customHeight="1">
      <c r="A581" s="1919" t="inlineStr">
        <is>
          <t>03/06/2024</t>
        </is>
      </c>
      <c r="B581" s="1920" t="n">
        <v>7329.8</v>
      </c>
      <c r="C581" s="1919" t="inlineStr">
        <is>
          <t>875</t>
        </is>
      </c>
      <c r="D581" s="1921">
        <f>B581/B582-1</f>
        <v/>
      </c>
      <c r="E581" s="1921">
        <f>C581/C582-1</f>
        <v/>
      </c>
      <c r="F581" s="1921">
        <f>$L$2/365</f>
        <v/>
      </c>
      <c r="G581" s="1921">
        <f>D581-F581</f>
        <v/>
      </c>
      <c r="H581" s="1921">
        <f>E581-F581</f>
        <v/>
      </c>
    </row>
    <row r="582" ht="14.25" customHeight="1">
      <c r="A582" s="1919" t="inlineStr">
        <is>
          <t>03/05/2024</t>
        </is>
      </c>
      <c r="B582" s="1920" t="n">
        <v>7247.46</v>
      </c>
      <c r="C582" s="1919" t="inlineStr">
        <is>
          <t>880</t>
        </is>
      </c>
      <c r="D582" s="1921">
        <f>B582/B583-1</f>
        <v/>
      </c>
      <c r="E582" s="1921">
        <f>C582/C583-1</f>
        <v/>
      </c>
      <c r="F582" s="1921">
        <f>$L$2/365</f>
        <v/>
      </c>
      <c r="G582" s="1921">
        <f>D582-F582</f>
        <v/>
      </c>
      <c r="H582" s="1921">
        <f>E582-F582</f>
        <v/>
      </c>
    </row>
    <row r="583" ht="14.25" customHeight="1">
      <c r="A583" s="1919" t="inlineStr">
        <is>
          <t>03/04/2024</t>
        </is>
      </c>
      <c r="B583" s="1920" t="n">
        <v>7276.75</v>
      </c>
      <c r="C583" s="1919" t="inlineStr">
        <is>
          <t>890</t>
        </is>
      </c>
      <c r="D583" s="1921">
        <f>B583/B584-1</f>
        <v/>
      </c>
      <c r="E583" s="1921">
        <f>C583/C584-1</f>
        <v/>
      </c>
      <c r="F583" s="1921">
        <f>$L$2/365</f>
        <v/>
      </c>
      <c r="G583" s="1921">
        <f>D583-F583</f>
        <v/>
      </c>
      <c r="H583" s="1921">
        <f>E583-F583</f>
        <v/>
      </c>
    </row>
    <row r="584" ht="14.25" customHeight="1">
      <c r="A584" s="1919" t="inlineStr">
        <is>
          <t>03/01/2024</t>
        </is>
      </c>
      <c r="B584" s="1920" t="n">
        <v>7311.91</v>
      </c>
      <c r="C584" s="1919" t="inlineStr">
        <is>
          <t>900</t>
        </is>
      </c>
      <c r="D584" s="1921">
        <f>B584/B585-1</f>
        <v/>
      </c>
      <c r="E584" s="1921">
        <f>C584/C585-1</f>
        <v/>
      </c>
      <c r="F584" s="1921">
        <f>$L$2/365</f>
        <v/>
      </c>
      <c r="G584" s="1921">
        <f>D584-F584</f>
        <v/>
      </c>
      <c r="H584" s="1921">
        <f>E584-F584</f>
        <v/>
      </c>
    </row>
    <row r="585" ht="14.25" customHeight="1">
      <c r="A585" s="1919" t="inlineStr">
        <is>
          <t>02/29/2024</t>
        </is>
      </c>
      <c r="B585" s="1920" t="n">
        <v>7316.11</v>
      </c>
      <c r="C585" s="1919" t="inlineStr">
        <is>
          <t>920</t>
        </is>
      </c>
      <c r="D585" s="1921">
        <f>B585/B586-1</f>
        <v/>
      </c>
      <c r="E585" s="1921">
        <f>C585/C586-1</f>
        <v/>
      </c>
      <c r="F585" s="1921">
        <f>$L$2/365</f>
        <v/>
      </c>
      <c r="G585" s="1921">
        <f>D585-F585</f>
        <v/>
      </c>
      <c r="H585" s="1921">
        <f>E585-F585</f>
        <v/>
      </c>
    </row>
    <row r="586" ht="14.25" customHeight="1">
      <c r="A586" s="1919" t="inlineStr">
        <is>
          <t>02/28/2024</t>
        </is>
      </c>
      <c r="B586" s="1920" t="n">
        <v>7328.64</v>
      </c>
      <c r="C586" s="1919" t="inlineStr">
        <is>
          <t>935</t>
        </is>
      </c>
      <c r="D586" s="1921">
        <f>B586/B587-1</f>
        <v/>
      </c>
      <c r="E586" s="1921">
        <f>C586/C587-1</f>
        <v/>
      </c>
      <c r="F586" s="1921">
        <f>$L$2/365</f>
        <v/>
      </c>
      <c r="G586" s="1921">
        <f>D586-F586</f>
        <v/>
      </c>
      <c r="H586" s="1921">
        <f>E586-F586</f>
        <v/>
      </c>
    </row>
    <row r="587" ht="14.25" customHeight="1">
      <c r="A587" s="1919" t="inlineStr">
        <is>
          <t>02/27/2024</t>
        </is>
      </c>
      <c r="B587" s="1920" t="n">
        <v>7285.32</v>
      </c>
      <c r="C587" s="1919" t="inlineStr">
        <is>
          <t>935</t>
        </is>
      </c>
      <c r="D587" s="1921">
        <f>B587/B588-1</f>
        <v/>
      </c>
      <c r="E587" s="1921">
        <f>C587/C588-1</f>
        <v/>
      </c>
      <c r="F587" s="1921">
        <f>$L$2/365</f>
        <v/>
      </c>
      <c r="G587" s="1921">
        <f>D587-F587</f>
        <v/>
      </c>
      <c r="H587" s="1921">
        <f>E587-F587</f>
        <v/>
      </c>
    </row>
    <row r="588" ht="14.25" customHeight="1">
      <c r="A588" s="1919" t="inlineStr">
        <is>
          <t>02/26/2024</t>
        </is>
      </c>
      <c r="B588" s="1920" t="n">
        <v>7283.82</v>
      </c>
      <c r="C588" s="1919" t="inlineStr">
        <is>
          <t>930</t>
        </is>
      </c>
      <c r="D588" s="1921">
        <f>B588/B589-1</f>
        <v/>
      </c>
      <c r="E588" s="1921">
        <f>C588/C589-1</f>
        <v/>
      </c>
      <c r="F588" s="1921">
        <f>$L$2/365</f>
        <v/>
      </c>
      <c r="G588" s="1921">
        <f>D588-F588</f>
        <v/>
      </c>
      <c r="H588" s="1921">
        <f>E588-F588</f>
        <v/>
      </c>
    </row>
    <row r="589" ht="14.25" customHeight="1">
      <c r="A589" s="1919" t="inlineStr">
        <is>
          <t>02/23/2024</t>
        </is>
      </c>
      <c r="B589" s="1920" t="n">
        <v>7295.1</v>
      </c>
      <c r="C589" s="1919" t="inlineStr">
        <is>
          <t>930</t>
        </is>
      </c>
      <c r="D589" s="1921">
        <f>B589/B590-1</f>
        <v/>
      </c>
      <c r="E589" s="1921">
        <f>C589/C590-1</f>
        <v/>
      </c>
      <c r="F589" s="1921">
        <f>$L$2/365</f>
        <v/>
      </c>
      <c r="G589" s="1921">
        <f>D589-F589</f>
        <v/>
      </c>
      <c r="H589" s="1921">
        <f>E589-F589</f>
        <v/>
      </c>
    </row>
    <row r="590" ht="14.25" customHeight="1">
      <c r="A590" s="1919" t="inlineStr">
        <is>
          <t>02/22/2024</t>
        </is>
      </c>
      <c r="B590" s="1920" t="n">
        <v>7339.64</v>
      </c>
      <c r="C590" s="1919" t="inlineStr">
        <is>
          <t>930</t>
        </is>
      </c>
      <c r="D590" s="1921">
        <f>B590/B591-1</f>
        <v/>
      </c>
      <c r="E590" s="1921">
        <f>C590/C591-1</f>
        <v/>
      </c>
      <c r="F590" s="1921">
        <f>$L$2/365</f>
        <v/>
      </c>
      <c r="G590" s="1921">
        <f>D590-F590</f>
        <v/>
      </c>
      <c r="H590" s="1921">
        <f>E590-F590</f>
        <v/>
      </c>
    </row>
    <row r="591" ht="14.25" customHeight="1">
      <c r="A591" s="1919" t="inlineStr">
        <is>
          <t>02/21/2024</t>
        </is>
      </c>
      <c r="B591" s="1920" t="n">
        <v>7349.02</v>
      </c>
      <c r="C591" s="1919" t="inlineStr">
        <is>
          <t>920</t>
        </is>
      </c>
      <c r="D591" s="1921">
        <f>B591/B592-1</f>
        <v/>
      </c>
      <c r="E591" s="1921">
        <f>C591/C592-1</f>
        <v/>
      </c>
      <c r="F591" s="1921">
        <f>$L$2/365</f>
        <v/>
      </c>
      <c r="G591" s="1921">
        <f>D591-F591</f>
        <v/>
      </c>
      <c r="H591" s="1921">
        <f>E591-F591</f>
        <v/>
      </c>
    </row>
    <row r="592" ht="14.25" customHeight="1">
      <c r="A592" s="1919" t="inlineStr">
        <is>
          <t>02/20/2024</t>
        </is>
      </c>
      <c r="B592" s="1920" t="n">
        <v>7352.6</v>
      </c>
      <c r="C592" s="1919" t="inlineStr">
        <is>
          <t>925</t>
        </is>
      </c>
      <c r="D592" s="1921">
        <f>B592/B593-1</f>
        <v/>
      </c>
      <c r="E592" s="1921">
        <f>C592/C593-1</f>
        <v/>
      </c>
      <c r="F592" s="1921">
        <f>$L$2/365</f>
        <v/>
      </c>
      <c r="G592" s="1921">
        <f>D592-F592</f>
        <v/>
      </c>
      <c r="H592" s="1921">
        <f>E592-F592</f>
        <v/>
      </c>
    </row>
    <row r="593" ht="14.25" customHeight="1">
      <c r="A593" s="1919" t="inlineStr">
        <is>
          <t>02/19/2024</t>
        </is>
      </c>
      <c r="B593" s="1920" t="n">
        <v>7296.7</v>
      </c>
      <c r="C593" s="1919" t="inlineStr">
        <is>
          <t>875</t>
        </is>
      </c>
      <c r="D593" s="1921">
        <f>B593/B594-1</f>
        <v/>
      </c>
      <c r="E593" s="1921">
        <f>C593/C594-1</f>
        <v/>
      </c>
      <c r="F593" s="1921">
        <f>$L$2/365</f>
        <v/>
      </c>
      <c r="G593" s="1921">
        <f>D593-F593</f>
        <v/>
      </c>
      <c r="H593" s="1921">
        <f>E593-F593</f>
        <v/>
      </c>
    </row>
    <row r="594" ht="14.25" customHeight="1">
      <c r="A594" s="1919" t="inlineStr">
        <is>
          <t>02/16/2024</t>
        </is>
      </c>
      <c r="B594" s="1920" t="n">
        <v>7335.54</v>
      </c>
      <c r="C594" s="1919" t="inlineStr">
        <is>
          <t>880</t>
        </is>
      </c>
      <c r="D594" s="1921">
        <f>B594/B595-1</f>
        <v/>
      </c>
      <c r="E594" s="1921">
        <f>C594/C595-1</f>
        <v/>
      </c>
      <c r="F594" s="1921">
        <f>$L$2/365</f>
        <v/>
      </c>
      <c r="G594" s="1921">
        <f>D594-F594</f>
        <v/>
      </c>
      <c r="H594" s="1921">
        <f>E594-F594</f>
        <v/>
      </c>
    </row>
    <row r="595" ht="14.25" customHeight="1">
      <c r="A595" s="1919" t="inlineStr">
        <is>
          <t>02/15/2024</t>
        </is>
      </c>
      <c r="B595" s="1920" t="n">
        <v>7303.28</v>
      </c>
      <c r="C595" s="1919" t="inlineStr">
        <is>
          <t>875</t>
        </is>
      </c>
      <c r="D595" s="1921">
        <f>B595/B596-1</f>
        <v/>
      </c>
      <c r="E595" s="1921">
        <f>C595/C596-1</f>
        <v/>
      </c>
      <c r="F595" s="1921">
        <f>$L$2/365</f>
        <v/>
      </c>
      <c r="G595" s="1921">
        <f>D595-F595</f>
        <v/>
      </c>
      <c r="H595" s="1921">
        <f>E595-F595</f>
        <v/>
      </c>
    </row>
    <row r="596" ht="14.25" customHeight="1">
      <c r="A596" s="1919" t="inlineStr">
        <is>
          <t>02/13/2024</t>
        </is>
      </c>
      <c r="B596" s="1920" t="n">
        <v>7209.74</v>
      </c>
      <c r="C596" s="1919" t="inlineStr">
        <is>
          <t>880</t>
        </is>
      </c>
      <c r="D596" s="1921">
        <f>B596/B597-1</f>
        <v/>
      </c>
      <c r="E596" s="1921">
        <f>C596/C597-1</f>
        <v/>
      </c>
      <c r="F596" s="1921">
        <f>$L$2/365</f>
        <v/>
      </c>
      <c r="G596" s="1921">
        <f>D596-F596</f>
        <v/>
      </c>
      <c r="H596" s="1921">
        <f>E596-F596</f>
        <v/>
      </c>
    </row>
    <row r="597" ht="14.25" customHeight="1">
      <c r="A597" s="1919" t="inlineStr">
        <is>
          <t>02/12/2024</t>
        </is>
      </c>
      <c r="B597" s="1920" t="n">
        <v>7297.67</v>
      </c>
      <c r="C597" s="1919" t="inlineStr">
        <is>
          <t>880</t>
        </is>
      </c>
      <c r="D597" s="1921">
        <f>B597/B598-1</f>
        <v/>
      </c>
      <c r="E597" s="1921">
        <f>C597/C598-1</f>
        <v/>
      </c>
      <c r="F597" s="1921">
        <f>$L$2/365</f>
        <v/>
      </c>
      <c r="G597" s="1921">
        <f>D597-F597</f>
        <v/>
      </c>
      <c r="H597" s="1921">
        <f>E597-F597</f>
        <v/>
      </c>
    </row>
    <row r="598" ht="14.25" customHeight="1">
      <c r="A598" s="1919" t="inlineStr">
        <is>
          <t>02/07/2024</t>
        </is>
      </c>
      <c r="B598" s="1920" t="n">
        <v>7235.15</v>
      </c>
      <c r="C598" s="1919" t="inlineStr">
        <is>
          <t>880</t>
        </is>
      </c>
      <c r="D598" s="1921">
        <f>B598/B599-1</f>
        <v/>
      </c>
      <c r="E598" s="1921">
        <f>C598/C599-1</f>
        <v/>
      </c>
      <c r="F598" s="1921">
        <f>$L$2/365</f>
        <v/>
      </c>
      <c r="G598" s="1921">
        <f>D598-F598</f>
        <v/>
      </c>
      <c r="H598" s="1921">
        <f>E598-F598</f>
        <v/>
      </c>
    </row>
    <row r="599" ht="14.25" customHeight="1">
      <c r="A599" s="1919" t="inlineStr">
        <is>
          <t>02/06/2024</t>
        </is>
      </c>
      <c r="B599" s="1920" t="n">
        <v>7247.41</v>
      </c>
      <c r="C599" s="1919" t="inlineStr">
        <is>
          <t>910</t>
        </is>
      </c>
      <c r="D599" s="1921">
        <f>B599/B600-1</f>
        <v/>
      </c>
      <c r="E599" s="1921">
        <f>C599/C600-1</f>
        <v/>
      </c>
      <c r="F599" s="1921">
        <f>$L$2/365</f>
        <v/>
      </c>
      <c r="G599" s="1921">
        <f>D599-F599</f>
        <v/>
      </c>
      <c r="H599" s="1921">
        <f>E599-F599</f>
        <v/>
      </c>
    </row>
    <row r="600" ht="14.25" customHeight="1">
      <c r="A600" s="1919" t="inlineStr">
        <is>
          <t>02/05/2024</t>
        </is>
      </c>
      <c r="B600" s="1920" t="n">
        <v>7198.62</v>
      </c>
      <c r="C600" s="1919" t="inlineStr">
        <is>
          <t>905</t>
        </is>
      </c>
      <c r="D600" s="1921">
        <f>B600/B601-1</f>
        <v/>
      </c>
      <c r="E600" s="1921">
        <f>C600/C601-1</f>
        <v/>
      </c>
      <c r="F600" s="1921">
        <f>$L$2/365</f>
        <v/>
      </c>
      <c r="G600" s="1921">
        <f>D600-F600</f>
        <v/>
      </c>
      <c r="H600" s="1921">
        <f>E600-F600</f>
        <v/>
      </c>
    </row>
    <row r="601" ht="14.25" customHeight="1">
      <c r="A601" s="1919" t="inlineStr">
        <is>
          <t>02/02/2024</t>
        </is>
      </c>
      <c r="B601" s="1920" t="n">
        <v>7238.79</v>
      </c>
      <c r="C601" s="1919" t="inlineStr">
        <is>
          <t>925</t>
        </is>
      </c>
      <c r="D601" s="1921">
        <f>B601/B602-1</f>
        <v/>
      </c>
      <c r="E601" s="1921">
        <f>C601/C602-1</f>
        <v/>
      </c>
      <c r="F601" s="1921">
        <f>$L$2/365</f>
        <v/>
      </c>
      <c r="G601" s="1921">
        <f>D601-F601</f>
        <v/>
      </c>
      <c r="H601" s="1921">
        <f>E601-F601</f>
        <v/>
      </c>
    </row>
    <row r="602" ht="14.25" customHeight="1">
      <c r="A602" s="1919" t="inlineStr">
        <is>
          <t>02/01/2024</t>
        </is>
      </c>
      <c r="B602" s="1920" t="n">
        <v>7201.7</v>
      </c>
      <c r="C602" s="1919" t="inlineStr">
        <is>
          <t>910</t>
        </is>
      </c>
      <c r="D602" s="1921">
        <f>B602/B603-1</f>
        <v/>
      </c>
      <c r="E602" s="1921">
        <f>C602/C603-1</f>
        <v/>
      </c>
      <c r="F602" s="1921">
        <f>$L$2/365</f>
        <v/>
      </c>
      <c r="G602" s="1921">
        <f>D602-F602</f>
        <v/>
      </c>
      <c r="H602" s="1921">
        <f>E602-F602</f>
        <v/>
      </c>
    </row>
    <row r="603" ht="14.25" customHeight="1">
      <c r="A603" s="1919" t="inlineStr">
        <is>
          <t>01/31/2024</t>
        </is>
      </c>
      <c r="B603" s="1920" t="n">
        <v>7207.94</v>
      </c>
      <c r="C603" s="1919" t="inlineStr">
        <is>
          <t>890</t>
        </is>
      </c>
      <c r="D603" s="1921">
        <f>B603/B604-1</f>
        <v/>
      </c>
      <c r="E603" s="1921">
        <f>C603/C604-1</f>
        <v/>
      </c>
      <c r="F603" s="1921">
        <f>$L$2/365</f>
        <v/>
      </c>
      <c r="G603" s="1921">
        <f>D603-F603</f>
        <v/>
      </c>
      <c r="H603" s="1921">
        <f>E603-F603</f>
        <v/>
      </c>
    </row>
    <row r="604" ht="14.25" customHeight="1">
      <c r="A604" s="1919" t="inlineStr">
        <is>
          <t>01/30/2024</t>
        </is>
      </c>
      <c r="B604" s="1920" t="n">
        <v>7192.22</v>
      </c>
      <c r="C604" s="1919" t="inlineStr">
        <is>
          <t>875</t>
        </is>
      </c>
      <c r="D604" s="1921">
        <f>B604/B605-1</f>
        <v/>
      </c>
      <c r="E604" s="1921">
        <f>C604/C605-1</f>
        <v/>
      </c>
      <c r="F604" s="1921">
        <f>$L$2/365</f>
        <v/>
      </c>
      <c r="G604" s="1921">
        <f>D604-F604</f>
        <v/>
      </c>
      <c r="H604" s="1921">
        <f>E604-F604</f>
        <v/>
      </c>
    </row>
    <row r="605" ht="14.25" customHeight="1">
      <c r="A605" s="1919" t="inlineStr">
        <is>
          <t>01/29/2024</t>
        </is>
      </c>
      <c r="B605" s="1920" t="n">
        <v>7157.17</v>
      </c>
      <c r="C605" s="1919" t="inlineStr">
        <is>
          <t>915</t>
        </is>
      </c>
      <c r="D605" s="1921">
        <f>B605/B606-1</f>
        <v/>
      </c>
      <c r="E605" s="1921">
        <f>C605/C606-1</f>
        <v/>
      </c>
      <c r="F605" s="1921">
        <f>$L$2/365</f>
        <v/>
      </c>
      <c r="G605" s="1921">
        <f>D605-F605</f>
        <v/>
      </c>
      <c r="H605" s="1921">
        <f>E605-F605</f>
        <v/>
      </c>
    </row>
    <row r="606" ht="14.25" customHeight="1">
      <c r="A606" s="1919" t="inlineStr">
        <is>
          <t>01/26/2024</t>
        </is>
      </c>
      <c r="B606" s="1920" t="n">
        <v>7137.09</v>
      </c>
      <c r="C606" s="1919" t="inlineStr">
        <is>
          <t>915</t>
        </is>
      </c>
      <c r="D606" s="1921">
        <f>B606/B607-1</f>
        <v/>
      </c>
      <c r="E606" s="1921">
        <f>C606/C607-1</f>
        <v/>
      </c>
      <c r="F606" s="1921">
        <f>$L$2/365</f>
        <v/>
      </c>
      <c r="G606" s="1921">
        <f>D606-F606</f>
        <v/>
      </c>
      <c r="H606" s="1921">
        <f>E606-F606</f>
        <v/>
      </c>
    </row>
    <row r="607" ht="14.25" customHeight="1">
      <c r="A607" s="1919" t="inlineStr">
        <is>
          <t>01/25/2024</t>
        </is>
      </c>
      <c r="B607" s="1920" t="n">
        <v>7178.04</v>
      </c>
      <c r="C607" s="1919" t="inlineStr">
        <is>
          <t>920</t>
        </is>
      </c>
      <c r="D607" s="1921">
        <f>B607/B608-1</f>
        <v/>
      </c>
      <c r="E607" s="1921">
        <f>C607/C608-1</f>
        <v/>
      </c>
      <c r="F607" s="1921">
        <f>$L$2/365</f>
        <v/>
      </c>
      <c r="G607" s="1921">
        <f>D607-F607</f>
        <v/>
      </c>
      <c r="H607" s="1921">
        <f>E607-F607</f>
        <v/>
      </c>
    </row>
    <row r="608" ht="14.25" customHeight="1">
      <c r="A608" s="1919" t="inlineStr">
        <is>
          <t>01/24/2024</t>
        </is>
      </c>
      <c r="B608" s="1920" t="n">
        <v>7227.82</v>
      </c>
      <c r="C608" s="1919" t="inlineStr">
        <is>
          <t>965</t>
        </is>
      </c>
      <c r="D608" s="1921">
        <f>B608/B609-1</f>
        <v/>
      </c>
      <c r="E608" s="1921">
        <f>C608/C609-1</f>
        <v/>
      </c>
      <c r="F608" s="1921">
        <f>$L$2/365</f>
        <v/>
      </c>
      <c r="G608" s="1921">
        <f>D608-F608</f>
        <v/>
      </c>
      <c r="H608" s="1921">
        <f>E608-F608</f>
        <v/>
      </c>
    </row>
    <row r="609" ht="14.25" customHeight="1">
      <c r="A609" s="1919" t="inlineStr">
        <is>
          <t>01/23/2024</t>
        </is>
      </c>
      <c r="B609" s="1920" t="n">
        <v>7256.23</v>
      </c>
      <c r="C609" s="1919" t="inlineStr">
        <is>
          <t>965</t>
        </is>
      </c>
      <c r="D609" s="1921">
        <f>B609/B610-1</f>
        <v/>
      </c>
      <c r="E609" s="1921">
        <f>C609/C610-1</f>
        <v/>
      </c>
      <c r="F609" s="1921">
        <f>$L$2/365</f>
        <v/>
      </c>
      <c r="G609" s="1921">
        <f>D609-F609</f>
        <v/>
      </c>
      <c r="H609" s="1921">
        <f>E609-F609</f>
        <v/>
      </c>
    </row>
    <row r="610" ht="14.25" customHeight="1">
      <c r="A610" s="1919" t="inlineStr">
        <is>
          <t>01/22/2024</t>
        </is>
      </c>
      <c r="B610" s="1920" t="n">
        <v>7247.93</v>
      </c>
      <c r="C610" s="1919" t="inlineStr">
        <is>
          <t>955</t>
        </is>
      </c>
      <c r="D610" s="1921">
        <f>B610/B611-1</f>
        <v/>
      </c>
      <c r="E610" s="1921">
        <f>C610/C611-1</f>
        <v/>
      </c>
      <c r="F610" s="1921">
        <f>$L$2/365</f>
        <v/>
      </c>
      <c r="G610" s="1921">
        <f>D610-F610</f>
        <v/>
      </c>
      <c r="H610" s="1921">
        <f>E610-F610</f>
        <v/>
      </c>
    </row>
    <row r="611" ht="14.25" customHeight="1">
      <c r="A611" s="1919" t="inlineStr">
        <is>
          <t>01/19/2024</t>
        </is>
      </c>
      <c r="B611" s="1920" t="n">
        <v>7227.4</v>
      </c>
      <c r="C611" s="1919" t="inlineStr">
        <is>
          <t>940</t>
        </is>
      </c>
      <c r="D611" s="1921">
        <f>B611/B612-1</f>
        <v/>
      </c>
      <c r="E611" s="1921">
        <f>C611/C612-1</f>
        <v/>
      </c>
      <c r="F611" s="1921">
        <f>$L$2/365</f>
        <v/>
      </c>
      <c r="G611" s="1921">
        <f>D611-F611</f>
        <v/>
      </c>
      <c r="H611" s="1921">
        <f>E611-F611</f>
        <v/>
      </c>
    </row>
    <row r="612" ht="14.25" customHeight="1">
      <c r="A612" s="1919" t="inlineStr">
        <is>
          <t>01/18/2024</t>
        </is>
      </c>
      <c r="B612" s="1920" t="n">
        <v>7252.97</v>
      </c>
      <c r="C612" s="1919" t="inlineStr">
        <is>
          <t>940</t>
        </is>
      </c>
      <c r="D612" s="1921">
        <f>B612/B613-1</f>
        <v/>
      </c>
      <c r="E612" s="1921">
        <f>C612/C613-1</f>
        <v/>
      </c>
      <c r="F612" s="1921">
        <f>$L$2/365</f>
        <v/>
      </c>
      <c r="G612" s="1921">
        <f>D612-F612</f>
        <v/>
      </c>
      <c r="H612" s="1921">
        <f>E612-F612</f>
        <v/>
      </c>
    </row>
    <row r="613" ht="14.25" customHeight="1">
      <c r="A613" s="1919" t="inlineStr">
        <is>
          <t>01/17/2024</t>
        </is>
      </c>
      <c r="B613" s="1920" t="n">
        <v>7200.63</v>
      </c>
      <c r="C613" s="1919" t="inlineStr">
        <is>
          <t>950</t>
        </is>
      </c>
      <c r="D613" s="1921">
        <f>B613/B614-1</f>
        <v/>
      </c>
      <c r="E613" s="1921">
        <f>C613/C614-1</f>
        <v/>
      </c>
      <c r="F613" s="1921">
        <f>$L$2/365</f>
        <v/>
      </c>
      <c r="G613" s="1921">
        <f>D613-F613</f>
        <v/>
      </c>
      <c r="H613" s="1921">
        <f>E613-F613</f>
        <v/>
      </c>
    </row>
    <row r="614" ht="14.25" customHeight="1">
      <c r="A614" s="1919" t="inlineStr">
        <is>
          <t>01/16/2024</t>
        </is>
      </c>
      <c r="B614" s="1920" t="n">
        <v>7242.79</v>
      </c>
      <c r="C614" s="1919" t="inlineStr">
        <is>
          <t>955</t>
        </is>
      </c>
      <c r="D614" s="1921">
        <f>B614/B615-1</f>
        <v/>
      </c>
      <c r="E614" s="1921">
        <f>C614/C615-1</f>
        <v/>
      </c>
      <c r="F614" s="1921">
        <f>$L$2/365</f>
        <v/>
      </c>
      <c r="G614" s="1921">
        <f>D614-F614</f>
        <v/>
      </c>
      <c r="H614" s="1921">
        <f>E614-F614</f>
        <v/>
      </c>
    </row>
    <row r="615" ht="14.25" customHeight="1">
      <c r="A615" s="1919" t="inlineStr">
        <is>
          <t>01/15/2024</t>
        </is>
      </c>
      <c r="B615" s="1920" t="n">
        <v>7224</v>
      </c>
      <c r="C615" s="1919" t="inlineStr">
        <is>
          <t>985</t>
        </is>
      </c>
      <c r="D615" s="1921">
        <f>B615/B616-1</f>
        <v/>
      </c>
      <c r="E615" s="1921">
        <f>C615/C616-1</f>
        <v/>
      </c>
      <c r="F615" s="1921">
        <f>$L$2/365</f>
        <v/>
      </c>
      <c r="G615" s="1921">
        <f>D615-F615</f>
        <v/>
      </c>
      <c r="H615" s="1921">
        <f>E615-F615</f>
        <v/>
      </c>
    </row>
    <row r="616" ht="14.25" customHeight="1">
      <c r="A616" s="1919" t="inlineStr">
        <is>
          <t>01/12/2024</t>
        </is>
      </c>
      <c r="B616" s="1920" t="n">
        <v>7241.14</v>
      </c>
      <c r="C616" s="1919" t="inlineStr">
        <is>
          <t>980</t>
        </is>
      </c>
      <c r="D616" s="1921">
        <f>B616/B617-1</f>
        <v/>
      </c>
      <c r="E616" s="1921">
        <f>C616/C617-1</f>
        <v/>
      </c>
      <c r="F616" s="1921">
        <f>$L$2/365</f>
        <v/>
      </c>
      <c r="G616" s="1921">
        <f>D616-F616</f>
        <v/>
      </c>
      <c r="H616" s="1921">
        <f>E616-F616</f>
        <v/>
      </c>
    </row>
    <row r="617" ht="14.25" customHeight="1">
      <c r="A617" s="1919" t="inlineStr">
        <is>
          <t>01/11/2024</t>
        </is>
      </c>
      <c r="B617" s="1920" t="n">
        <v>7219.96</v>
      </c>
      <c r="C617" s="1919" t="inlineStr">
        <is>
          <t>975</t>
        </is>
      </c>
      <c r="D617" s="1921">
        <f>B617/B618-1</f>
        <v/>
      </c>
      <c r="E617" s="1921">
        <f>C617/C618-1</f>
        <v/>
      </c>
      <c r="F617" s="1921">
        <f>$L$2/365</f>
        <v/>
      </c>
      <c r="G617" s="1921">
        <f>D617-F617</f>
        <v/>
      </c>
      <c r="H617" s="1921">
        <f>E617-F617</f>
        <v/>
      </c>
    </row>
    <row r="618" ht="14.25" customHeight="1">
      <c r="A618" s="1919" t="inlineStr">
        <is>
          <t>01/10/2024</t>
        </is>
      </c>
      <c r="B618" s="1920" t="n">
        <v>7227.3</v>
      </c>
      <c r="C618" s="1919" t="inlineStr">
        <is>
          <t>955</t>
        </is>
      </c>
      <c r="D618" s="1921">
        <f>B618/B619-1</f>
        <v/>
      </c>
      <c r="E618" s="1921">
        <f>C618/C619-1</f>
        <v/>
      </c>
      <c r="F618" s="1921">
        <f>$L$2/365</f>
        <v/>
      </c>
      <c r="G618" s="1921">
        <f>D618-F618</f>
        <v/>
      </c>
      <c r="H618" s="1921">
        <f>E618-F618</f>
        <v/>
      </c>
    </row>
    <row r="619" ht="14.25" customHeight="1">
      <c r="A619" s="1919" t="inlineStr">
        <is>
          <t>01/09/2024</t>
        </is>
      </c>
      <c r="B619" s="1920" t="n">
        <v>7200.2</v>
      </c>
      <c r="C619" s="1919" t="inlineStr">
        <is>
          <t>980</t>
        </is>
      </c>
      <c r="D619" s="1921">
        <f>B619/B620-1</f>
        <v/>
      </c>
      <c r="E619" s="1921">
        <f>C619/C620-1</f>
        <v/>
      </c>
      <c r="F619" s="1921">
        <f>$L$2/365</f>
        <v/>
      </c>
      <c r="G619" s="1921">
        <f>D619-F619</f>
        <v/>
      </c>
      <c r="H619" s="1921">
        <f>E619-F619</f>
        <v/>
      </c>
    </row>
    <row r="620" ht="14.25" customHeight="1">
      <c r="A620" s="1919" t="inlineStr">
        <is>
          <t>01/08/2024</t>
        </is>
      </c>
      <c r="B620" s="1920" t="n">
        <v>7283.58</v>
      </c>
      <c r="C620" s="1919" t="inlineStr">
        <is>
          <t>975</t>
        </is>
      </c>
      <c r="D620" s="1921">
        <f>B620/B621-1</f>
        <v/>
      </c>
      <c r="E620" s="1921">
        <f>C620/C621-1</f>
        <v/>
      </c>
      <c r="F620" s="1921">
        <f>$L$2/365</f>
        <v/>
      </c>
      <c r="G620" s="1921">
        <f>D620-F620</f>
        <v/>
      </c>
      <c r="H620" s="1921">
        <f>E620-F620</f>
        <v/>
      </c>
    </row>
    <row r="621" ht="14.25" customHeight="1">
      <c r="A621" s="1919" t="inlineStr">
        <is>
          <t>01/05/2024</t>
        </is>
      </c>
      <c r="B621" s="1920" t="n">
        <v>7350.62</v>
      </c>
      <c r="C621" s="1919" t="inlineStr">
        <is>
          <t>995</t>
        </is>
      </c>
      <c r="D621" s="1921">
        <f>B621/B622-1</f>
        <v/>
      </c>
      <c r="E621" s="1921">
        <f>C621/C622-1</f>
        <v/>
      </c>
      <c r="F621" s="1921">
        <f>$L$2/365</f>
        <v/>
      </c>
      <c r="G621" s="1921">
        <f>D621-F621</f>
        <v/>
      </c>
      <c r="H621" s="1921">
        <f>E621-F621</f>
        <v/>
      </c>
    </row>
    <row r="622" ht="14.25" customHeight="1">
      <c r="A622" s="1919" t="inlineStr">
        <is>
          <t>01/04/2024</t>
        </is>
      </c>
      <c r="B622" s="1920" t="n">
        <v>7359.76</v>
      </c>
      <c r="C622" s="1926" t="n">
        <v>1020</v>
      </c>
      <c r="D622" s="1921">
        <f>B622/B623-1</f>
        <v/>
      </c>
      <c r="E622" s="1921">
        <f>C622/C623-1</f>
        <v/>
      </c>
      <c r="F622" s="1921">
        <f>$L$2/365</f>
        <v/>
      </c>
      <c r="G622" s="1921">
        <f>D622-F622</f>
        <v/>
      </c>
      <c r="H622" s="1921">
        <f>E622-F622</f>
        <v/>
      </c>
    </row>
    <row r="623" ht="14.25" customHeight="1">
      <c r="A623" s="1919" t="inlineStr">
        <is>
          <t>01/03/2024</t>
        </is>
      </c>
      <c r="B623" s="1920" t="n">
        <v>7279.09</v>
      </c>
      <c r="C623" s="1926" t="n">
        <v>1015</v>
      </c>
      <c r="D623" s="1921">
        <f>B623/B624-1</f>
        <v/>
      </c>
      <c r="E623" s="1921">
        <f>C623/C624-1</f>
        <v/>
      </c>
      <c r="F623" s="1921">
        <f>$L$2/365</f>
        <v/>
      </c>
      <c r="G623" s="1921">
        <f>D623-F623</f>
        <v/>
      </c>
      <c r="H623" s="1921">
        <f>E623-F623</f>
        <v/>
      </c>
    </row>
    <row r="624" ht="14.25" customHeight="1">
      <c r="A624" s="1919" t="inlineStr">
        <is>
          <t>01/02/2024</t>
        </is>
      </c>
      <c r="B624" s="1920" t="n">
        <v>7323.59</v>
      </c>
      <c r="C624" s="1926" t="n">
        <v>1010</v>
      </c>
      <c r="D624" s="1921">
        <f>B624/B625-1</f>
        <v/>
      </c>
      <c r="E624" s="1921">
        <f>C624/C625-1</f>
        <v/>
      </c>
      <c r="F624" s="1921">
        <f>$L$2/365</f>
        <v/>
      </c>
      <c r="G624" s="1921">
        <f>D624-F624</f>
        <v/>
      </c>
      <c r="H624" s="1921">
        <f>E624-F624</f>
        <v/>
      </c>
    </row>
    <row r="625" ht="14.25" customHeight="1">
      <c r="A625" s="1919" t="inlineStr">
        <is>
          <t>12/29/2023</t>
        </is>
      </c>
      <c r="B625" s="1920" t="n">
        <v>7272.8</v>
      </c>
      <c r="C625" s="1919" t="inlineStr">
        <is>
          <t>990</t>
        </is>
      </c>
      <c r="D625" s="1921">
        <f>B625/B626-1</f>
        <v/>
      </c>
      <c r="E625" s="1921">
        <f>C625/C626-1</f>
        <v/>
      </c>
      <c r="F625" s="1921">
        <f>$L$2/365</f>
        <v/>
      </c>
      <c r="G625" s="1921">
        <f>D625-F625</f>
        <v/>
      </c>
      <c r="H625" s="1921">
        <f>E625-F625</f>
        <v/>
      </c>
    </row>
    <row r="626" ht="14.25" customHeight="1">
      <c r="A626" s="1919" t="inlineStr">
        <is>
          <t>12/28/2023</t>
        </is>
      </c>
      <c r="B626" s="1920" t="n">
        <v>7303.89</v>
      </c>
      <c r="C626" s="1919" t="inlineStr">
        <is>
          <t>970</t>
        </is>
      </c>
      <c r="D626" s="1921">
        <f>B626/B627-1</f>
        <v/>
      </c>
      <c r="E626" s="1921">
        <f>C626/C627-1</f>
        <v/>
      </c>
      <c r="F626" s="1921">
        <f>$L$2/365</f>
        <v/>
      </c>
      <c r="G626" s="1921">
        <f>D626-F626</f>
        <v/>
      </c>
      <c r="H626" s="1921">
        <f>E626-F626</f>
        <v/>
      </c>
    </row>
    <row r="627" ht="14.25" customHeight="1">
      <c r="A627" s="1919" t="inlineStr">
        <is>
          <t>12/27/2023</t>
        </is>
      </c>
      <c r="B627" s="1920" t="n">
        <v>7245.92</v>
      </c>
      <c r="C627" s="1919" t="inlineStr">
        <is>
          <t>965</t>
        </is>
      </c>
      <c r="D627" s="1921">
        <f>B627/B628-1</f>
        <v/>
      </c>
      <c r="E627" s="1921">
        <f>C627/C628-1</f>
        <v/>
      </c>
      <c r="F627" s="1921">
        <f>$L$2/365</f>
        <v/>
      </c>
      <c r="G627" s="1921">
        <f>D627-F627</f>
        <v/>
      </c>
      <c r="H627" s="1921">
        <f>E627-F627</f>
        <v/>
      </c>
    </row>
    <row r="628" ht="14.25" customHeight="1">
      <c r="A628" s="1919" t="inlineStr">
        <is>
          <t>12/22/2023</t>
        </is>
      </c>
      <c r="B628" s="1920" t="n">
        <v>7237.52</v>
      </c>
      <c r="C628" s="1919" t="inlineStr">
        <is>
          <t>965</t>
        </is>
      </c>
      <c r="D628" s="1921">
        <f>B628/B629-1</f>
        <v/>
      </c>
      <c r="E628" s="1921">
        <f>C628/C629-1</f>
        <v/>
      </c>
      <c r="F628" s="1921">
        <f>$L$2/365</f>
        <v/>
      </c>
      <c r="G628" s="1921">
        <f>D628-F628</f>
        <v/>
      </c>
      <c r="H628" s="1921">
        <f>E628-F628</f>
        <v/>
      </c>
    </row>
    <row r="629" ht="14.25" customHeight="1">
      <c r="A629" s="1919" t="inlineStr">
        <is>
          <t>12/21/2023</t>
        </is>
      </c>
      <c r="B629" s="1920" t="n">
        <v>7209.62</v>
      </c>
      <c r="C629" s="1919" t="inlineStr">
        <is>
          <t>955</t>
        </is>
      </c>
      <c r="D629" s="1921">
        <f>B629/B630-1</f>
        <v/>
      </c>
      <c r="E629" s="1921">
        <f>C629/C630-1</f>
        <v/>
      </c>
      <c r="F629" s="1921">
        <f>$L$2/365</f>
        <v/>
      </c>
      <c r="G629" s="1921">
        <f>D629-F629</f>
        <v/>
      </c>
      <c r="H629" s="1921">
        <f>E629-F629</f>
        <v/>
      </c>
    </row>
    <row r="630" ht="14.25" customHeight="1">
      <c r="A630" s="1919" t="inlineStr">
        <is>
          <t>12/20/2023</t>
        </is>
      </c>
      <c r="B630" s="1920" t="n">
        <v>7219.67</v>
      </c>
      <c r="C630" s="1919" t="inlineStr">
        <is>
          <t>980</t>
        </is>
      </c>
      <c r="D630" s="1921">
        <f>B630/B631-1</f>
        <v/>
      </c>
      <c r="E630" s="1921">
        <f>C630/C631-1</f>
        <v/>
      </c>
      <c r="F630" s="1921">
        <f>$L$2/365</f>
        <v/>
      </c>
      <c r="G630" s="1921">
        <f>D630-F630</f>
        <v/>
      </c>
      <c r="H630" s="1921">
        <f>E630-F630</f>
        <v/>
      </c>
    </row>
    <row r="631" ht="14.25" customHeight="1">
      <c r="A631" s="1919" t="inlineStr">
        <is>
          <t>12/19/2023</t>
        </is>
      </c>
      <c r="B631" s="1920" t="n">
        <v>7187.85</v>
      </c>
      <c r="C631" s="1919" t="inlineStr">
        <is>
          <t>970</t>
        </is>
      </c>
      <c r="D631" s="1921">
        <f>B631/B632-1</f>
        <v/>
      </c>
      <c r="E631" s="1921">
        <f>C631/C632-1</f>
        <v/>
      </c>
      <c r="F631" s="1921">
        <f>$L$2/365</f>
        <v/>
      </c>
      <c r="G631" s="1921">
        <f>D631-F631</f>
        <v/>
      </c>
      <c r="H631" s="1921">
        <f>E631-F631</f>
        <v/>
      </c>
    </row>
    <row r="632" ht="14.25" customHeight="1">
      <c r="A632" s="1919" t="inlineStr">
        <is>
          <t>12/18/2023</t>
        </is>
      </c>
      <c r="B632" s="1920" t="n">
        <v>7119.52</v>
      </c>
      <c r="C632" s="1919" t="inlineStr">
        <is>
          <t>955</t>
        </is>
      </c>
      <c r="D632" s="1921">
        <f>B632/B633-1</f>
        <v/>
      </c>
      <c r="E632" s="1921">
        <f>C632/C633-1</f>
        <v/>
      </c>
      <c r="F632" s="1921">
        <f>$L$2/365</f>
        <v/>
      </c>
      <c r="G632" s="1921">
        <f>D632-F632</f>
        <v/>
      </c>
      <c r="H632" s="1921">
        <f>E632-F632</f>
        <v/>
      </c>
    </row>
    <row r="633" ht="14.25" customHeight="1">
      <c r="A633" s="1919" t="inlineStr">
        <is>
          <t>12/15/2023</t>
        </is>
      </c>
      <c r="B633" s="1920" t="n">
        <v>7190.99</v>
      </c>
      <c r="C633" s="1926" t="n">
        <v>1000</v>
      </c>
      <c r="D633" s="1921">
        <f>B633/B634-1</f>
        <v/>
      </c>
      <c r="E633" s="1921">
        <f>C633/C634-1</f>
        <v/>
      </c>
      <c r="F633" s="1921">
        <f>$L$2/365</f>
        <v/>
      </c>
      <c r="G633" s="1921">
        <f>D633-F633</f>
        <v/>
      </c>
      <c r="H633" s="1921">
        <f>E633-F633</f>
        <v/>
      </c>
    </row>
    <row r="634" ht="14.25" customHeight="1">
      <c r="A634" s="1919" t="inlineStr">
        <is>
          <t>12/14/2023</t>
        </is>
      </c>
      <c r="B634" s="1920" t="n">
        <v>7176.02</v>
      </c>
      <c r="C634" s="1926" t="n">
        <v>1000</v>
      </c>
      <c r="D634" s="1921">
        <f>B634/B635-1</f>
        <v/>
      </c>
      <c r="E634" s="1921">
        <f>C634/C635-1</f>
        <v/>
      </c>
      <c r="F634" s="1921">
        <f>$L$2/365</f>
        <v/>
      </c>
      <c r="G634" s="1921">
        <f>D634-F634</f>
        <v/>
      </c>
      <c r="H634" s="1921">
        <f>E634-F634</f>
        <v/>
      </c>
    </row>
    <row r="635" ht="14.25" customHeight="1">
      <c r="A635" s="1919" t="inlineStr">
        <is>
          <t>12/13/2023</t>
        </is>
      </c>
      <c r="B635" s="1920" t="n">
        <v>7075.34</v>
      </c>
      <c r="C635" s="1919" t="inlineStr">
        <is>
          <t>990</t>
        </is>
      </c>
      <c r="D635" s="1921">
        <f>B635/B636-1</f>
        <v/>
      </c>
      <c r="E635" s="1921">
        <f>C635/C636-1</f>
        <v/>
      </c>
      <c r="F635" s="1921">
        <f>$L$2/365</f>
        <v/>
      </c>
      <c r="G635" s="1921">
        <f>D635-F635</f>
        <v/>
      </c>
      <c r="H635" s="1921">
        <f>E635-F635</f>
        <v/>
      </c>
    </row>
    <row r="636" ht="14.25" customHeight="1">
      <c r="A636" s="1919" t="inlineStr">
        <is>
          <t>12/12/2023</t>
        </is>
      </c>
      <c r="B636" s="1920" t="n">
        <v>7125.31</v>
      </c>
      <c r="C636" s="1919" t="inlineStr">
        <is>
          <t>965</t>
        </is>
      </c>
      <c r="D636" s="1921">
        <f>B636/B637-1</f>
        <v/>
      </c>
      <c r="E636" s="1921">
        <f>C636/C637-1</f>
        <v/>
      </c>
      <c r="F636" s="1921">
        <f>$L$2/365</f>
        <v/>
      </c>
      <c r="G636" s="1921">
        <f>D636-F636</f>
        <v/>
      </c>
      <c r="H636" s="1921">
        <f>E636-F636</f>
        <v/>
      </c>
    </row>
    <row r="637" ht="14.25" customHeight="1">
      <c r="A637" s="1919" t="inlineStr">
        <is>
          <t>12/11/2023</t>
        </is>
      </c>
      <c r="B637" s="1920" t="n">
        <v>7088.79</v>
      </c>
      <c r="C637" s="1919" t="inlineStr">
        <is>
          <t>940</t>
        </is>
      </c>
      <c r="D637" s="1921">
        <f>B637/B638-1</f>
        <v/>
      </c>
      <c r="E637" s="1921">
        <f>C637/C638-1</f>
        <v/>
      </c>
      <c r="F637" s="1921">
        <f>$L$2/365</f>
        <v/>
      </c>
      <c r="G637" s="1921">
        <f>D637-F637</f>
        <v/>
      </c>
      <c r="H637" s="1921">
        <f>E637-F637</f>
        <v/>
      </c>
    </row>
    <row r="638" ht="14.25" customHeight="1">
      <c r="A638" s="1919" t="inlineStr">
        <is>
          <t>12/08/2023</t>
        </is>
      </c>
      <c r="B638" s="1920" t="n">
        <v>7159.6</v>
      </c>
      <c r="C638" s="1919" t="inlineStr">
        <is>
          <t>905</t>
        </is>
      </c>
      <c r="D638" s="1921">
        <f>B638/B639-1</f>
        <v/>
      </c>
      <c r="E638" s="1921">
        <f>C638/C639-1</f>
        <v/>
      </c>
      <c r="F638" s="1921">
        <f>$L$2/365</f>
        <v/>
      </c>
      <c r="G638" s="1921">
        <f>D638-F638</f>
        <v/>
      </c>
      <c r="H638" s="1921">
        <f>E638-F638</f>
        <v/>
      </c>
    </row>
    <row r="639" ht="14.25" customHeight="1">
      <c r="A639" s="1919" t="inlineStr">
        <is>
          <t>12/07/2023</t>
        </is>
      </c>
      <c r="B639" s="1920" t="n">
        <v>7134.62</v>
      </c>
      <c r="C639" s="1919" t="inlineStr">
        <is>
          <t>905</t>
        </is>
      </c>
      <c r="D639" s="1921">
        <f>B639/B640-1</f>
        <v/>
      </c>
      <c r="E639" s="1921">
        <f>C639/C640-1</f>
        <v/>
      </c>
      <c r="F639" s="1921">
        <f>$L$2/365</f>
        <v/>
      </c>
      <c r="G639" s="1921">
        <f>D639-F639</f>
        <v/>
      </c>
      <c r="H639" s="1921">
        <f>E639-F639</f>
        <v/>
      </c>
    </row>
    <row r="640" ht="14.25" customHeight="1">
      <c r="A640" s="1919" t="inlineStr">
        <is>
          <t>12/06/2023</t>
        </is>
      </c>
      <c r="B640" s="1920" t="n">
        <v>7087.4</v>
      </c>
      <c r="C640" s="1919" t="inlineStr">
        <is>
          <t>950</t>
        </is>
      </c>
      <c r="D640" s="1921">
        <f>B640/B641-1</f>
        <v/>
      </c>
      <c r="E640" s="1921">
        <f>C640/C641-1</f>
        <v/>
      </c>
      <c r="F640" s="1921">
        <f>$L$2/365</f>
        <v/>
      </c>
      <c r="G640" s="1921">
        <f>D640-F640</f>
        <v/>
      </c>
      <c r="H640" s="1921">
        <f>E640-F640</f>
        <v/>
      </c>
    </row>
    <row r="641" ht="14.25" customHeight="1">
      <c r="A641" s="1919" t="inlineStr">
        <is>
          <t>12/05/2023</t>
        </is>
      </c>
      <c r="B641" s="1920" t="n">
        <v>7100.85</v>
      </c>
      <c r="C641" s="1919" t="inlineStr">
        <is>
          <t>980</t>
        </is>
      </c>
      <c r="D641" s="1921">
        <f>B641/B642-1</f>
        <v/>
      </c>
      <c r="E641" s="1921">
        <f>C641/C642-1</f>
        <v/>
      </c>
      <c r="F641" s="1921">
        <f>$L$2/365</f>
        <v/>
      </c>
      <c r="G641" s="1921">
        <f>D641-F641</f>
        <v/>
      </c>
      <c r="H641" s="1921">
        <f>E641-F641</f>
        <v/>
      </c>
    </row>
    <row r="642" ht="14.25" customHeight="1">
      <c r="A642" s="1919" t="inlineStr">
        <is>
          <t>12/04/2023</t>
        </is>
      </c>
      <c r="B642" s="1920" t="n">
        <v>7093.6</v>
      </c>
      <c r="C642" s="1919" t="inlineStr">
        <is>
          <t>965</t>
        </is>
      </c>
      <c r="D642" s="1921">
        <f>B642/B643-1</f>
        <v/>
      </c>
      <c r="E642" s="1921">
        <f>C642/C643-1</f>
        <v/>
      </c>
      <c r="F642" s="1921">
        <f>$L$2/365</f>
        <v/>
      </c>
      <c r="G642" s="1921">
        <f>D642-F642</f>
        <v/>
      </c>
      <c r="H642" s="1921">
        <f>E642-F642</f>
        <v/>
      </c>
    </row>
    <row r="643" ht="14.25" customHeight="1">
      <c r="A643" s="1919" t="inlineStr">
        <is>
          <t>12/01/2023</t>
        </is>
      </c>
      <c r="B643" s="1920" t="n">
        <v>7059.91</v>
      </c>
      <c r="C643" s="1919" t="inlineStr">
        <is>
          <t>940</t>
        </is>
      </c>
      <c r="D643" s="1921">
        <f>B643/B644-1</f>
        <v/>
      </c>
      <c r="E643" s="1921">
        <f>C643/C644-1</f>
        <v/>
      </c>
      <c r="F643" s="1921">
        <f>$L$2/365</f>
        <v/>
      </c>
      <c r="G643" s="1921">
        <f>D643-F643</f>
        <v/>
      </c>
      <c r="H643" s="1921">
        <f>E643-F643</f>
        <v/>
      </c>
    </row>
    <row r="644" ht="14.25" customHeight="1">
      <c r="A644" s="1919" t="inlineStr">
        <is>
          <t>11/30/2023</t>
        </is>
      </c>
      <c r="B644" s="1920" t="n">
        <v>7080.74</v>
      </c>
      <c r="C644" s="1926" t="n">
        <v>1000</v>
      </c>
      <c r="D644" s="1921">
        <f>B644/B645-1</f>
        <v/>
      </c>
      <c r="E644" s="1921">
        <f>C644/C645-1</f>
        <v/>
      </c>
      <c r="F644" s="1921">
        <f>$L$2/365</f>
        <v/>
      </c>
      <c r="G644" s="1921">
        <f>D644-F644</f>
        <v/>
      </c>
      <c r="H644" s="1921">
        <f>E644-F644</f>
        <v/>
      </c>
    </row>
    <row r="645" ht="14.25" customHeight="1">
      <c r="A645" s="1919" t="inlineStr">
        <is>
          <t>11/29/2023</t>
        </is>
      </c>
      <c r="B645" s="1920" t="n">
        <v>7036.09</v>
      </c>
      <c r="C645" s="1919" t="inlineStr">
        <is>
          <t>990</t>
        </is>
      </c>
      <c r="D645" s="1921">
        <f>B645/B646-1</f>
        <v/>
      </c>
      <c r="E645" s="1921">
        <f>C645/C646-1</f>
        <v/>
      </c>
      <c r="F645" s="1921">
        <f>$L$2/365</f>
        <v/>
      </c>
      <c r="G645" s="1921">
        <f>D645-F645</f>
        <v/>
      </c>
      <c r="H645" s="1921">
        <f>E645-F645</f>
        <v/>
      </c>
    </row>
    <row r="646" ht="14.25" customHeight="1">
      <c r="A646" s="1919" t="inlineStr">
        <is>
          <t>11/28/2023</t>
        </is>
      </c>
      <c r="B646" s="1920" t="n">
        <v>7041.07</v>
      </c>
      <c r="C646" s="1919" t="inlineStr">
        <is>
          <t>990</t>
        </is>
      </c>
      <c r="D646" s="1921">
        <f>B646/B647-1</f>
        <v/>
      </c>
      <c r="E646" s="1921">
        <f>C646/C647-1</f>
        <v/>
      </c>
      <c r="F646" s="1921">
        <f>$L$2/365</f>
        <v/>
      </c>
      <c r="G646" s="1921">
        <f>D646-F646</f>
        <v/>
      </c>
      <c r="H646" s="1921">
        <f>E646-F646</f>
        <v/>
      </c>
    </row>
    <row r="647" ht="14.25" customHeight="1">
      <c r="A647" s="1919" t="inlineStr">
        <is>
          <t>11/27/2023</t>
        </is>
      </c>
      <c r="B647" s="1920" t="n">
        <v>7013.41</v>
      </c>
      <c r="C647" s="1919" t="inlineStr">
        <is>
          <t>970</t>
        </is>
      </c>
      <c r="D647" s="1921">
        <f>B647/B648-1</f>
        <v/>
      </c>
      <c r="E647" s="1921">
        <f>C647/C648-1</f>
        <v/>
      </c>
      <c r="F647" s="1921">
        <f>$L$2/365</f>
        <v/>
      </c>
      <c r="G647" s="1921">
        <f>D647-F647</f>
        <v/>
      </c>
      <c r="H647" s="1921">
        <f>E647-F647</f>
        <v/>
      </c>
    </row>
    <row r="648" ht="14.25" customHeight="1">
      <c r="A648" s="1919" t="inlineStr">
        <is>
          <t>11/24/2023</t>
        </is>
      </c>
      <c r="B648" s="1920" t="n">
        <v>7009.63</v>
      </c>
      <c r="C648" s="1919" t="inlineStr">
        <is>
          <t>975</t>
        </is>
      </c>
      <c r="D648" s="1921">
        <f>B648/B649-1</f>
        <v/>
      </c>
      <c r="E648" s="1921">
        <f>C648/C649-1</f>
        <v/>
      </c>
      <c r="F648" s="1921">
        <f>$L$2/365</f>
        <v/>
      </c>
      <c r="G648" s="1921">
        <f>D648-F648</f>
        <v/>
      </c>
      <c r="H648" s="1921">
        <f>E648-F648</f>
        <v/>
      </c>
    </row>
    <row r="649" ht="14.25" customHeight="1">
      <c r="A649" s="1919" t="inlineStr">
        <is>
          <t>11/23/2023</t>
        </is>
      </c>
      <c r="B649" s="1920" t="n">
        <v>7004.34</v>
      </c>
      <c r="C649" s="1919" t="inlineStr">
        <is>
          <t>970</t>
        </is>
      </c>
      <c r="D649" s="1921">
        <f>B649/B650-1</f>
        <v/>
      </c>
      <c r="E649" s="1921">
        <f>C649/C650-1</f>
        <v/>
      </c>
      <c r="F649" s="1921">
        <f>$L$2/365</f>
        <v/>
      </c>
      <c r="G649" s="1921">
        <f>D649-F649</f>
        <v/>
      </c>
      <c r="H649" s="1921">
        <f>E649-F649</f>
        <v/>
      </c>
    </row>
    <row r="650" ht="14.25" customHeight="1">
      <c r="A650" s="1919" t="inlineStr">
        <is>
          <t>11/22/2023</t>
        </is>
      </c>
      <c r="B650" s="1920" t="n">
        <v>6906.95</v>
      </c>
      <c r="C650" s="1919" t="inlineStr">
        <is>
          <t>980</t>
        </is>
      </c>
      <c r="D650" s="1921">
        <f>B650/B651-1</f>
        <v/>
      </c>
      <c r="E650" s="1921">
        <f>C650/C651-1</f>
        <v/>
      </c>
      <c r="F650" s="1921">
        <f>$L$2/365</f>
        <v/>
      </c>
      <c r="G650" s="1921">
        <f>D650-F650</f>
        <v/>
      </c>
      <c r="H650" s="1921">
        <f>E650-F650</f>
        <v/>
      </c>
    </row>
    <row r="651" ht="14.25" customHeight="1">
      <c r="A651" s="1919" t="inlineStr">
        <is>
          <t>11/21/2023</t>
        </is>
      </c>
      <c r="B651" s="1920" t="n">
        <v>6961.79</v>
      </c>
      <c r="C651" s="1919" t="inlineStr">
        <is>
          <t>990</t>
        </is>
      </c>
      <c r="D651" s="1921">
        <f>B651/B652-1</f>
        <v/>
      </c>
      <c r="E651" s="1921">
        <f>C651/C652-1</f>
        <v/>
      </c>
      <c r="F651" s="1921">
        <f>$L$2/365</f>
        <v/>
      </c>
      <c r="G651" s="1921">
        <f>D651-F651</f>
        <v/>
      </c>
      <c r="H651" s="1921">
        <f>E651-F651</f>
        <v/>
      </c>
    </row>
    <row r="652" ht="14.25" customHeight="1">
      <c r="A652" s="1919" t="inlineStr">
        <is>
          <t>11/20/2023</t>
        </is>
      </c>
      <c r="B652" s="1920" t="n">
        <v>6994.89</v>
      </c>
      <c r="C652" s="1919" t="inlineStr">
        <is>
          <t>980</t>
        </is>
      </c>
      <c r="D652" s="1921">
        <f>B652/B653-1</f>
        <v/>
      </c>
      <c r="E652" s="1921">
        <f>C652/C653-1</f>
        <v/>
      </c>
      <c r="F652" s="1921">
        <f>$L$2/365</f>
        <v/>
      </c>
      <c r="G652" s="1921">
        <f>D652-F652</f>
        <v/>
      </c>
      <c r="H652" s="1921">
        <f>E652-F652</f>
        <v/>
      </c>
    </row>
    <row r="653" ht="14.25" customHeight="1">
      <c r="A653" s="1919" t="inlineStr">
        <is>
          <t>11/17/2023</t>
        </is>
      </c>
      <c r="B653" s="1920" t="n">
        <v>6977.67</v>
      </c>
      <c r="C653" s="1919" t="inlineStr">
        <is>
          <t>980</t>
        </is>
      </c>
      <c r="D653" s="1921">
        <f>B653/B654-1</f>
        <v/>
      </c>
      <c r="E653" s="1921">
        <f>C653/C654-1</f>
        <v/>
      </c>
      <c r="F653" s="1921">
        <f>$L$2/365</f>
        <v/>
      </c>
      <c r="G653" s="1921">
        <f>D653-F653</f>
        <v/>
      </c>
      <c r="H653" s="1921">
        <f>E653-F653</f>
        <v/>
      </c>
    </row>
    <row r="654" ht="14.25" customHeight="1">
      <c r="A654" s="1919" t="inlineStr">
        <is>
          <t>11/16/2023</t>
        </is>
      </c>
      <c r="B654" s="1920" t="n">
        <v>6958.01</v>
      </c>
      <c r="C654" s="1919" t="inlineStr">
        <is>
          <t>960</t>
        </is>
      </c>
      <c r="D654" s="1921">
        <f>B654/B655-1</f>
        <v/>
      </c>
      <c r="E654" s="1921">
        <f>C654/C655-1</f>
        <v/>
      </c>
      <c r="F654" s="1921">
        <f>$L$2/365</f>
        <v/>
      </c>
      <c r="G654" s="1921">
        <f>D654-F654</f>
        <v/>
      </c>
      <c r="H654" s="1921">
        <f>E654-F654</f>
        <v/>
      </c>
    </row>
    <row r="655" ht="14.25" customHeight="1">
      <c r="A655" s="1919" t="inlineStr">
        <is>
          <t>11/15/2023</t>
        </is>
      </c>
      <c r="B655" s="1920" t="n">
        <v>6958.21</v>
      </c>
      <c r="C655" s="1919" t="inlineStr">
        <is>
          <t>960</t>
        </is>
      </c>
      <c r="D655" s="1921">
        <f>B655/B656-1</f>
        <v/>
      </c>
      <c r="E655" s="1921">
        <f>C655/C656-1</f>
        <v/>
      </c>
      <c r="F655" s="1921">
        <f>$L$2/365</f>
        <v/>
      </c>
      <c r="G655" s="1921">
        <f>D655-F655</f>
        <v/>
      </c>
      <c r="H655" s="1921">
        <f>E655-F655</f>
        <v/>
      </c>
    </row>
    <row r="656" ht="14.25" customHeight="1">
      <c r="A656" s="1919" t="inlineStr">
        <is>
          <t>11/14/2023</t>
        </is>
      </c>
      <c r="B656" s="1920" t="n">
        <v>6862.06</v>
      </c>
      <c r="C656" s="1919" t="inlineStr">
        <is>
          <t>930</t>
        </is>
      </c>
      <c r="D656" s="1921">
        <f>B656/B657-1</f>
        <v/>
      </c>
      <c r="E656" s="1921">
        <f>C656/C657-1</f>
        <v/>
      </c>
      <c r="F656" s="1921">
        <f>$L$2/365</f>
        <v/>
      </c>
      <c r="G656" s="1921">
        <f>D656-F656</f>
        <v/>
      </c>
      <c r="H656" s="1921">
        <f>E656-F656</f>
        <v/>
      </c>
    </row>
    <row r="657" ht="14.25" customHeight="1">
      <c r="A657" s="1919" t="inlineStr">
        <is>
          <t>11/13/2023</t>
        </is>
      </c>
      <c r="B657" s="1920" t="n">
        <v>6838.31</v>
      </c>
      <c r="C657" s="1919" t="inlineStr">
        <is>
          <t>950</t>
        </is>
      </c>
      <c r="D657" s="1921">
        <f>B657/B658-1</f>
        <v/>
      </c>
      <c r="E657" s="1921">
        <f>C657/C658-1</f>
        <v/>
      </c>
      <c r="F657" s="1921">
        <f>$L$2/365</f>
        <v/>
      </c>
      <c r="G657" s="1921">
        <f>D657-F657</f>
        <v/>
      </c>
      <c r="H657" s="1921">
        <f>E657-F657</f>
        <v/>
      </c>
    </row>
    <row r="658" ht="14.25" customHeight="1">
      <c r="A658" s="1919" t="inlineStr">
        <is>
          <t>11/10/2023</t>
        </is>
      </c>
      <c r="B658" s="1920" t="n">
        <v>6809.26</v>
      </c>
      <c r="C658" s="1919" t="inlineStr">
        <is>
          <t>935</t>
        </is>
      </c>
      <c r="D658" s="1921">
        <f>B658/B659-1</f>
        <v/>
      </c>
      <c r="E658" s="1921">
        <f>C658/C659-1</f>
        <v/>
      </c>
      <c r="F658" s="1921">
        <f>$L$2/365</f>
        <v/>
      </c>
      <c r="G658" s="1921">
        <f>D658-F658</f>
        <v/>
      </c>
      <c r="H658" s="1921">
        <f>E658-F658</f>
        <v/>
      </c>
    </row>
    <row r="659" ht="14.25" customHeight="1">
      <c r="A659" s="1919" t="inlineStr">
        <is>
          <t>11/09/2023</t>
        </is>
      </c>
      <c r="B659" s="1920" t="n">
        <v>6838.23</v>
      </c>
      <c r="C659" s="1919" t="inlineStr">
        <is>
          <t>955</t>
        </is>
      </c>
      <c r="D659" s="1921">
        <f>B659/B660-1</f>
        <v/>
      </c>
      <c r="E659" s="1921">
        <f>C659/C660-1</f>
        <v/>
      </c>
      <c r="F659" s="1921">
        <f>$L$2/365</f>
        <v/>
      </c>
      <c r="G659" s="1921">
        <f>D659-F659</f>
        <v/>
      </c>
      <c r="H659" s="1921">
        <f>E659-F659</f>
        <v/>
      </c>
    </row>
    <row r="660" ht="14.25" customHeight="1">
      <c r="A660" s="1919" t="inlineStr">
        <is>
          <t>11/08/2023</t>
        </is>
      </c>
      <c r="B660" s="1920" t="n">
        <v>6804.11</v>
      </c>
      <c r="C660" s="1919" t="inlineStr">
        <is>
          <t>950</t>
        </is>
      </c>
      <c r="D660" s="1921">
        <f>B660/B661-1</f>
        <v/>
      </c>
      <c r="E660" s="1921">
        <f>C660/C661-1</f>
        <v/>
      </c>
      <c r="F660" s="1921">
        <f>$L$2/365</f>
        <v/>
      </c>
      <c r="G660" s="1921">
        <f>D660-F660</f>
        <v/>
      </c>
      <c r="H660" s="1921">
        <f>E660-F660</f>
        <v/>
      </c>
    </row>
    <row r="661" ht="14.25" customHeight="1">
      <c r="A661" s="1919" t="inlineStr">
        <is>
          <t>11/07/2023</t>
        </is>
      </c>
      <c r="B661" s="1920" t="n">
        <v>6843.79</v>
      </c>
      <c r="C661" s="1919" t="inlineStr">
        <is>
          <t>960</t>
        </is>
      </c>
      <c r="D661" s="1921">
        <f>B661/B662-1</f>
        <v/>
      </c>
      <c r="E661" s="1921">
        <f>C661/C662-1</f>
        <v/>
      </c>
      <c r="F661" s="1921">
        <f>$L$2/365</f>
        <v/>
      </c>
      <c r="G661" s="1921">
        <f>D661-F661</f>
        <v/>
      </c>
      <c r="H661" s="1921">
        <f>E661-F661</f>
        <v/>
      </c>
    </row>
    <row r="662" ht="14.25" customHeight="1">
      <c r="A662" s="1919" t="inlineStr">
        <is>
          <t>11/06/2023</t>
        </is>
      </c>
      <c r="B662" s="1920" t="n">
        <v>6878.84</v>
      </c>
      <c r="C662" s="1919" t="inlineStr">
        <is>
          <t>960</t>
        </is>
      </c>
      <c r="D662" s="1921">
        <f>B662/B663-1</f>
        <v/>
      </c>
      <c r="E662" s="1921">
        <f>C662/C663-1</f>
        <v/>
      </c>
      <c r="F662" s="1921">
        <f>$L$2/365</f>
        <v/>
      </c>
      <c r="G662" s="1921">
        <f>D662-F662</f>
        <v/>
      </c>
      <c r="H662" s="1921">
        <f>E662-F662</f>
        <v/>
      </c>
    </row>
    <row r="663" ht="14.25" customHeight="1">
      <c r="A663" s="1919" t="inlineStr">
        <is>
          <t>11/03/2023</t>
        </is>
      </c>
      <c r="B663" s="1920" t="n">
        <v>6788.85</v>
      </c>
      <c r="C663" s="1919" t="inlineStr">
        <is>
          <t>955</t>
        </is>
      </c>
      <c r="D663" s="1921">
        <f>B663/B664-1</f>
        <v/>
      </c>
      <c r="E663" s="1921">
        <f>C663/C664-1</f>
        <v/>
      </c>
      <c r="F663" s="1921">
        <f>$L$2/365</f>
        <v/>
      </c>
      <c r="G663" s="1921">
        <f>D663-F663</f>
        <v/>
      </c>
      <c r="H663" s="1921">
        <f>E663-F663</f>
        <v/>
      </c>
    </row>
    <row r="664" ht="14.25" customHeight="1">
      <c r="A664" s="1919" t="inlineStr">
        <is>
          <t>11/02/2023</t>
        </is>
      </c>
      <c r="B664" s="1920" t="n">
        <v>6751.39</v>
      </c>
      <c r="C664" s="1919" t="inlineStr">
        <is>
          <t>935</t>
        </is>
      </c>
      <c r="D664" s="1921">
        <f>B664/B665-1</f>
        <v/>
      </c>
      <c r="E664" s="1921">
        <f>C664/C665-1</f>
        <v/>
      </c>
      <c r="F664" s="1921">
        <f>$L$2/365</f>
        <v/>
      </c>
      <c r="G664" s="1921">
        <f>D664-F664</f>
        <v/>
      </c>
      <c r="H664" s="1921">
        <f>E664-F664</f>
        <v/>
      </c>
    </row>
    <row r="665" ht="14.25" customHeight="1">
      <c r="A665" s="1919" t="inlineStr">
        <is>
          <t>11/01/2023</t>
        </is>
      </c>
      <c r="B665" s="1920" t="n">
        <v>6642.42</v>
      </c>
      <c r="C665" s="1919" t="inlineStr">
        <is>
          <t>850</t>
        </is>
      </c>
      <c r="D665" s="1921">
        <f>B665/B666-1</f>
        <v/>
      </c>
      <c r="E665" s="1921">
        <f>C665/C666-1</f>
        <v/>
      </c>
      <c r="F665" s="1921">
        <f>$L$2/365</f>
        <v/>
      </c>
      <c r="G665" s="1921">
        <f>D665-F665</f>
        <v/>
      </c>
      <c r="H665" s="1921">
        <f>E665-F665</f>
        <v/>
      </c>
    </row>
    <row r="666" ht="14.25" customHeight="1">
      <c r="A666" s="1919" t="inlineStr">
        <is>
          <t>10/31/2023</t>
        </is>
      </c>
      <c r="B666" s="1920" t="n">
        <v>6752.21</v>
      </c>
      <c r="C666" s="1919" t="inlineStr">
        <is>
          <t>890</t>
        </is>
      </c>
      <c r="D666" s="1921">
        <f>B666/B667-1</f>
        <v/>
      </c>
      <c r="E666" s="1921">
        <f>C666/C667-1</f>
        <v/>
      </c>
      <c r="F666" s="1921">
        <f>$L$2/365</f>
        <v/>
      </c>
      <c r="G666" s="1921">
        <f>D666-F666</f>
        <v/>
      </c>
      <c r="H666" s="1921">
        <f>E666-F666</f>
        <v/>
      </c>
    </row>
    <row r="667" ht="14.25" customHeight="1">
      <c r="A667" s="1919" t="inlineStr">
        <is>
          <t>10/30/2023</t>
        </is>
      </c>
      <c r="B667" s="1920" t="n">
        <v>6735.89</v>
      </c>
      <c r="C667" s="1919" t="inlineStr">
        <is>
          <t>845</t>
        </is>
      </c>
      <c r="D667" s="1921">
        <f>B667/B668-1</f>
        <v/>
      </c>
      <c r="E667" s="1921">
        <f>C667/C668-1</f>
        <v/>
      </c>
      <c r="F667" s="1921">
        <f>$L$2/365</f>
        <v/>
      </c>
      <c r="G667" s="1921">
        <f>D667-F667</f>
        <v/>
      </c>
      <c r="H667" s="1921">
        <f>E667-F667</f>
        <v/>
      </c>
    </row>
    <row r="668" ht="14.25" customHeight="1">
      <c r="A668" s="1919" t="inlineStr">
        <is>
          <t>10/27/2023</t>
        </is>
      </c>
      <c r="B668" s="1920" t="n">
        <v>6758.79</v>
      </c>
      <c r="C668" s="1919" t="inlineStr">
        <is>
          <t>825</t>
        </is>
      </c>
      <c r="D668" s="1921">
        <f>B668/B669-1</f>
        <v/>
      </c>
      <c r="E668" s="1921">
        <f>C668/C669-1</f>
        <v/>
      </c>
      <c r="F668" s="1921">
        <f>$L$2/365</f>
        <v/>
      </c>
      <c r="G668" s="1921">
        <f>D668-F668</f>
        <v/>
      </c>
      <c r="H668" s="1921">
        <f>E668-F668</f>
        <v/>
      </c>
    </row>
    <row r="669" ht="14.25" customHeight="1">
      <c r="A669" s="1919" t="inlineStr">
        <is>
          <t>10/26/2023</t>
        </is>
      </c>
      <c r="B669" s="1920" t="n">
        <v>6714.52</v>
      </c>
      <c r="C669" s="1919" t="inlineStr">
        <is>
          <t>825</t>
        </is>
      </c>
      <c r="D669" s="1921">
        <f>B669/B670-1</f>
        <v/>
      </c>
      <c r="E669" s="1921">
        <f>C669/C670-1</f>
        <v/>
      </c>
      <c r="F669" s="1921">
        <f>$L$2/365</f>
        <v/>
      </c>
      <c r="G669" s="1921">
        <f>D669-F669</f>
        <v/>
      </c>
      <c r="H669" s="1921">
        <f>E669-F669</f>
        <v/>
      </c>
    </row>
    <row r="670" ht="14.25" customHeight="1">
      <c r="A670" s="1919" t="inlineStr">
        <is>
          <t>10/25/2023</t>
        </is>
      </c>
      <c r="B670" s="1920" t="n">
        <v>6834.39</v>
      </c>
      <c r="C670" s="1919" t="inlineStr">
        <is>
          <t>875</t>
        </is>
      </c>
      <c r="D670" s="1921">
        <f>B670/B671-1</f>
        <v/>
      </c>
      <c r="E670" s="1921">
        <f>C670/C671-1</f>
        <v/>
      </c>
      <c r="F670" s="1921">
        <f>$L$2/365</f>
        <v/>
      </c>
      <c r="G670" s="1921">
        <f>D670-F670</f>
        <v/>
      </c>
      <c r="H670" s="1921">
        <f>E670-F670</f>
        <v/>
      </c>
    </row>
    <row r="671" ht="14.25" customHeight="1">
      <c r="A671" s="1919" t="inlineStr">
        <is>
          <t>10/24/2023</t>
        </is>
      </c>
      <c r="B671" s="1920" t="n">
        <v>6806.76</v>
      </c>
      <c r="C671" s="1919" t="inlineStr">
        <is>
          <t>900</t>
        </is>
      </c>
      <c r="D671" s="1921">
        <f>B671/B672-1</f>
        <v/>
      </c>
      <c r="E671" s="1921">
        <f>C671/C672-1</f>
        <v/>
      </c>
      <c r="F671" s="1921">
        <f>$L$2/365</f>
        <v/>
      </c>
      <c r="G671" s="1921">
        <f>D671-F671</f>
        <v/>
      </c>
      <c r="H671" s="1921">
        <f>E671-F671</f>
        <v/>
      </c>
    </row>
    <row r="672" ht="14.25" customHeight="1">
      <c r="A672" s="1919" t="inlineStr">
        <is>
          <t>10/23/2023</t>
        </is>
      </c>
      <c r="B672" s="1920" t="n">
        <v>6741.96</v>
      </c>
      <c r="C672" s="1919" t="inlineStr">
        <is>
          <t>870</t>
        </is>
      </c>
      <c r="D672" s="1921">
        <f>B672/B673-1</f>
        <v/>
      </c>
      <c r="E672" s="1921">
        <f>C672/C673-1</f>
        <v/>
      </c>
      <c r="F672" s="1921">
        <f>$L$2/365</f>
        <v/>
      </c>
      <c r="G672" s="1921">
        <f>D672-F672</f>
        <v/>
      </c>
      <c r="H672" s="1921">
        <f>E672-F672</f>
        <v/>
      </c>
    </row>
    <row r="673" ht="14.25" customHeight="1">
      <c r="A673" s="1919" t="inlineStr">
        <is>
          <t>10/20/2023</t>
        </is>
      </c>
      <c r="B673" s="1920" t="n">
        <v>6849.17</v>
      </c>
      <c r="C673" s="1919" t="inlineStr">
        <is>
          <t>880</t>
        </is>
      </c>
      <c r="D673" s="1921">
        <f>B673/B674-1</f>
        <v/>
      </c>
      <c r="E673" s="1921">
        <f>C673/C674-1</f>
        <v/>
      </c>
      <c r="F673" s="1921">
        <f>$L$2/365</f>
        <v/>
      </c>
      <c r="G673" s="1921">
        <f>D673-F673</f>
        <v/>
      </c>
      <c r="H673" s="1921">
        <f>E673-F673</f>
        <v/>
      </c>
    </row>
    <row r="674" ht="14.25" customHeight="1">
      <c r="A674" s="1919" t="inlineStr">
        <is>
          <t>10/19/2023</t>
        </is>
      </c>
      <c r="B674" s="1920" t="n">
        <v>6846.43</v>
      </c>
      <c r="C674" s="1919" t="inlineStr">
        <is>
          <t>900</t>
        </is>
      </c>
      <c r="D674" s="1921">
        <f>B674/B675-1</f>
        <v/>
      </c>
      <c r="E674" s="1921">
        <f>C674/C675-1</f>
        <v/>
      </c>
      <c r="F674" s="1921">
        <f>$L$2/365</f>
        <v/>
      </c>
      <c r="G674" s="1921">
        <f>D674-F674</f>
        <v/>
      </c>
      <c r="H674" s="1921">
        <f>E674-F674</f>
        <v/>
      </c>
    </row>
    <row r="675" ht="14.25" customHeight="1">
      <c r="A675" s="1919" t="inlineStr">
        <is>
          <t>10/18/2023</t>
        </is>
      </c>
      <c r="B675" s="1920" t="n">
        <v>6927.91</v>
      </c>
      <c r="C675" s="1919" t="inlineStr">
        <is>
          <t>905</t>
        </is>
      </c>
      <c r="D675" s="1921">
        <f>B675/B676-1</f>
        <v/>
      </c>
      <c r="E675" s="1921">
        <f>C675/C676-1</f>
        <v/>
      </c>
      <c r="F675" s="1921">
        <f>$L$2/365</f>
        <v/>
      </c>
      <c r="G675" s="1921">
        <f>D675-F675</f>
        <v/>
      </c>
      <c r="H675" s="1921">
        <f>E675-F675</f>
        <v/>
      </c>
    </row>
    <row r="676" ht="14.25" customHeight="1">
      <c r="A676" s="1919" t="inlineStr">
        <is>
          <t>10/17/2023</t>
        </is>
      </c>
      <c r="B676" s="1920" t="n">
        <v>6939.62</v>
      </c>
      <c r="C676" s="1919" t="inlineStr">
        <is>
          <t>940</t>
        </is>
      </c>
      <c r="D676" s="1921">
        <f>B676/B677-1</f>
        <v/>
      </c>
      <c r="E676" s="1921">
        <f>C676/C677-1</f>
        <v/>
      </c>
      <c r="F676" s="1921">
        <f>$L$2/365</f>
        <v/>
      </c>
      <c r="G676" s="1921">
        <f>D676-F676</f>
        <v/>
      </c>
      <c r="H676" s="1921">
        <f>E676-F676</f>
        <v/>
      </c>
    </row>
    <row r="677" ht="14.25" customHeight="1">
      <c r="A677" s="1919" t="inlineStr">
        <is>
          <t>10/16/2023</t>
        </is>
      </c>
      <c r="B677" s="1920" t="n">
        <v>6896.29</v>
      </c>
      <c r="C677" s="1919" t="inlineStr">
        <is>
          <t>930</t>
        </is>
      </c>
      <c r="D677" s="1921">
        <f>B677/B678-1</f>
        <v/>
      </c>
      <c r="E677" s="1921">
        <f>C677/C678-1</f>
        <v/>
      </c>
      <c r="F677" s="1921">
        <f>$L$2/365</f>
        <v/>
      </c>
      <c r="G677" s="1921">
        <f>D677-F677</f>
        <v/>
      </c>
      <c r="H677" s="1921">
        <f>E677-F677</f>
        <v/>
      </c>
    </row>
    <row r="678" ht="14.25" customHeight="1">
      <c r="A678" s="1919" t="inlineStr">
        <is>
          <t>10/13/2023</t>
        </is>
      </c>
      <c r="B678" s="1920" t="n">
        <v>6926.78</v>
      </c>
      <c r="C678" s="1919" t="inlineStr">
        <is>
          <t>945</t>
        </is>
      </c>
      <c r="D678" s="1921">
        <f>B678/B679-1</f>
        <v/>
      </c>
      <c r="E678" s="1921">
        <f>C678/C679-1</f>
        <v/>
      </c>
      <c r="F678" s="1921">
        <f>$L$2/365</f>
        <v/>
      </c>
      <c r="G678" s="1921">
        <f>D678-F678</f>
        <v/>
      </c>
      <c r="H678" s="1921">
        <f>E678-F678</f>
        <v/>
      </c>
    </row>
    <row r="679" ht="14.25" customHeight="1">
      <c r="A679" s="1919" t="inlineStr">
        <is>
          <t>10/12/2023</t>
        </is>
      </c>
      <c r="B679" s="1920" t="n">
        <v>6935.15</v>
      </c>
      <c r="C679" s="1919" t="inlineStr">
        <is>
          <t>955</t>
        </is>
      </c>
      <c r="D679" s="1921">
        <f>B679/B680-1</f>
        <v/>
      </c>
      <c r="E679" s="1921">
        <f>C679/C680-1</f>
        <v/>
      </c>
      <c r="F679" s="1921">
        <f>$L$2/365</f>
        <v/>
      </c>
      <c r="G679" s="1921">
        <f>D679-F679</f>
        <v/>
      </c>
      <c r="H679" s="1921">
        <f>E679-F679</f>
        <v/>
      </c>
    </row>
    <row r="680" ht="14.25" customHeight="1">
      <c r="A680" s="1919" t="inlineStr">
        <is>
          <t>10/11/2023</t>
        </is>
      </c>
      <c r="B680" s="1920" t="n">
        <v>6931.75</v>
      </c>
      <c r="C680" s="1919" t="inlineStr">
        <is>
          <t>955</t>
        </is>
      </c>
      <c r="D680" s="1921">
        <f>B680/B681-1</f>
        <v/>
      </c>
      <c r="E680" s="1921">
        <f>C680/C681-1</f>
        <v/>
      </c>
      <c r="F680" s="1921">
        <f>$L$2/365</f>
        <v/>
      </c>
      <c r="G680" s="1921">
        <f>D680-F680</f>
        <v/>
      </c>
      <c r="H680" s="1921">
        <f>E680-F680</f>
        <v/>
      </c>
    </row>
    <row r="681" ht="14.25" customHeight="1">
      <c r="A681" s="1919" t="inlineStr">
        <is>
          <t>10/10/2023</t>
        </is>
      </c>
      <c r="B681" s="1920" t="n">
        <v>6922.19</v>
      </c>
      <c r="C681" s="1919" t="inlineStr">
        <is>
          <t>955</t>
        </is>
      </c>
      <c r="D681" s="1921">
        <f>B681/B682-1</f>
        <v/>
      </c>
      <c r="E681" s="1921">
        <f>C681/C682-1</f>
        <v/>
      </c>
      <c r="F681" s="1921">
        <f>$L$2/365</f>
        <v/>
      </c>
      <c r="G681" s="1921">
        <f>D681-F681</f>
        <v/>
      </c>
      <c r="H681" s="1921">
        <f>E681-F681</f>
        <v/>
      </c>
    </row>
    <row r="682" ht="14.25" customHeight="1">
      <c r="A682" s="1919" t="inlineStr">
        <is>
          <t>10/09/2023</t>
        </is>
      </c>
      <c r="B682" s="1920" t="n">
        <v>6891.46</v>
      </c>
      <c r="C682" s="1919" t="inlineStr">
        <is>
          <t>930</t>
        </is>
      </c>
      <c r="D682" s="1921">
        <f>B682/B683-1</f>
        <v/>
      </c>
      <c r="E682" s="1921">
        <f>C682/C683-1</f>
        <v/>
      </c>
      <c r="F682" s="1921">
        <f>$L$2/365</f>
        <v/>
      </c>
      <c r="G682" s="1921">
        <f>D682-F682</f>
        <v/>
      </c>
      <c r="H682" s="1921">
        <f>E682-F682</f>
        <v/>
      </c>
    </row>
    <row r="683" ht="14.25" customHeight="1">
      <c r="A683" s="1919" t="inlineStr">
        <is>
          <t>10/06/2023</t>
        </is>
      </c>
      <c r="B683" s="1920" t="n">
        <v>6888.52</v>
      </c>
      <c r="C683" s="1919" t="inlineStr">
        <is>
          <t>930</t>
        </is>
      </c>
      <c r="D683" s="1921">
        <f>B683/B684-1</f>
        <v/>
      </c>
      <c r="E683" s="1921">
        <f>C683/C684-1</f>
        <v/>
      </c>
      <c r="F683" s="1921">
        <f>$L$2/365</f>
        <v/>
      </c>
      <c r="G683" s="1921">
        <f>D683-F683</f>
        <v/>
      </c>
      <c r="H683" s="1921">
        <f>E683-F683</f>
        <v/>
      </c>
    </row>
    <row r="684" ht="14.25" customHeight="1">
      <c r="A684" s="1919" t="inlineStr">
        <is>
          <t>10/05/2023</t>
        </is>
      </c>
      <c r="B684" s="1920" t="n">
        <v>6874.83</v>
      </c>
      <c r="C684" s="1919" t="inlineStr">
        <is>
          <t>920</t>
        </is>
      </c>
      <c r="D684" s="1921">
        <f>B684/B685-1</f>
        <v/>
      </c>
      <c r="E684" s="1921">
        <f>C684/C685-1</f>
        <v/>
      </c>
      <c r="F684" s="1921">
        <f>$L$2/365</f>
        <v/>
      </c>
      <c r="G684" s="1921">
        <f>D684-F684</f>
        <v/>
      </c>
      <c r="H684" s="1921">
        <f>E684-F684</f>
        <v/>
      </c>
    </row>
    <row r="685" ht="14.25" customHeight="1">
      <c r="A685" s="1919" t="inlineStr">
        <is>
          <t>10/04/2023</t>
        </is>
      </c>
      <c r="B685" s="1920" t="n">
        <v>6886.58</v>
      </c>
      <c r="C685" s="1919" t="inlineStr">
        <is>
          <t>950</t>
        </is>
      </c>
      <c r="D685" s="1921">
        <f>B685/B686-1</f>
        <v/>
      </c>
      <c r="E685" s="1921">
        <f>C685/C686-1</f>
        <v/>
      </c>
      <c r="F685" s="1921">
        <f>$L$2/365</f>
        <v/>
      </c>
      <c r="G685" s="1921">
        <f>D685-F685</f>
        <v/>
      </c>
      <c r="H685" s="1921">
        <f>E685-F685</f>
        <v/>
      </c>
    </row>
    <row r="686" ht="14.25" customHeight="1">
      <c r="A686" s="1919" t="inlineStr">
        <is>
          <t>10/03/2023</t>
        </is>
      </c>
      <c r="B686" s="1920" t="n">
        <v>6940.89</v>
      </c>
      <c r="C686" s="1919" t="inlineStr">
        <is>
          <t>970</t>
        </is>
      </c>
      <c r="D686" s="1921">
        <f>B686/B687-1</f>
        <v/>
      </c>
      <c r="E686" s="1921">
        <f>C686/C687-1</f>
        <v/>
      </c>
      <c r="F686" s="1921">
        <f>$L$2/365</f>
        <v/>
      </c>
      <c r="G686" s="1921">
        <f>D686-F686</f>
        <v/>
      </c>
      <c r="H686" s="1921">
        <f>E686-F686</f>
        <v/>
      </c>
    </row>
    <row r="687" ht="14.25" customHeight="1">
      <c r="A687" s="1919" t="inlineStr">
        <is>
          <t>10/02/2023</t>
        </is>
      </c>
      <c r="B687" s="1920" t="n">
        <v>6961.46</v>
      </c>
      <c r="C687" s="1919" t="inlineStr">
        <is>
          <t>960</t>
        </is>
      </c>
      <c r="D687" s="1921">
        <f>B687/B688-1</f>
        <v/>
      </c>
      <c r="E687" s="1921">
        <f>C687/C688-1</f>
        <v/>
      </c>
      <c r="F687" s="1921">
        <f>$L$2/365</f>
        <v/>
      </c>
      <c r="G687" s="1921">
        <f>D687-F687</f>
        <v/>
      </c>
      <c r="H687" s="1921">
        <f>E687-F687</f>
        <v/>
      </c>
    </row>
    <row r="688" ht="14.25" customHeight="1">
      <c r="A688" s="1919" t="inlineStr">
        <is>
          <t>09/29/2023</t>
        </is>
      </c>
      <c r="B688" s="1920" t="n">
        <v>6939.89</v>
      </c>
      <c r="C688" s="1919" t="inlineStr">
        <is>
          <t>960</t>
        </is>
      </c>
      <c r="D688" s="1921">
        <f>B688/B689-1</f>
        <v/>
      </c>
      <c r="E688" s="1921">
        <f>C688/C689-1</f>
        <v/>
      </c>
      <c r="F688" s="1921">
        <f>$L$2/365</f>
        <v/>
      </c>
      <c r="G688" s="1921">
        <f>D688-F688</f>
        <v/>
      </c>
      <c r="H688" s="1921">
        <f>E688-F688</f>
        <v/>
      </c>
    </row>
    <row r="689" ht="14.25" customHeight="1">
      <c r="A689" s="1919" t="inlineStr">
        <is>
          <t>09/27/2023</t>
        </is>
      </c>
      <c r="B689" s="1920" t="n">
        <v>6937.83</v>
      </c>
      <c r="C689" s="1919" t="inlineStr">
        <is>
          <t>960</t>
        </is>
      </c>
      <c r="D689" s="1921">
        <f>B689/B690-1</f>
        <v/>
      </c>
      <c r="E689" s="1921">
        <f>C689/C690-1</f>
        <v/>
      </c>
      <c r="F689" s="1921">
        <f>$L$2/365</f>
        <v/>
      </c>
      <c r="G689" s="1921">
        <f>D689-F689</f>
        <v/>
      </c>
      <c r="H689" s="1921">
        <f>E689-F689</f>
        <v/>
      </c>
    </row>
    <row r="690" ht="14.25" customHeight="1">
      <c r="A690" s="1919" t="inlineStr">
        <is>
          <t>09/26/2023</t>
        </is>
      </c>
      <c r="B690" s="1920" t="n">
        <v>6923.8</v>
      </c>
      <c r="C690" s="1919" t="inlineStr">
        <is>
          <t>965</t>
        </is>
      </c>
      <c r="D690" s="1921">
        <f>B690/B691-1</f>
        <v/>
      </c>
      <c r="E690" s="1921">
        <f>C690/C691-1</f>
        <v/>
      </c>
      <c r="F690" s="1921">
        <f>$L$2/365</f>
        <v/>
      </c>
      <c r="G690" s="1921">
        <f>D690-F690</f>
        <v/>
      </c>
      <c r="H690" s="1921">
        <f>E690-F690</f>
        <v/>
      </c>
    </row>
    <row r="691" ht="14.25" customHeight="1">
      <c r="A691" s="1919" t="inlineStr">
        <is>
          <t>09/25/2023</t>
        </is>
      </c>
      <c r="B691" s="1920" t="n">
        <v>6998.38</v>
      </c>
      <c r="C691" s="1919" t="inlineStr">
        <is>
          <t>965</t>
        </is>
      </c>
      <c r="D691" s="1921">
        <f>B691/B692-1</f>
        <v/>
      </c>
      <c r="E691" s="1921">
        <f>C691/C692-1</f>
        <v/>
      </c>
      <c r="F691" s="1921">
        <f>$L$2/365</f>
        <v/>
      </c>
      <c r="G691" s="1921">
        <f>D691-F691</f>
        <v/>
      </c>
      <c r="H691" s="1921">
        <f>E691-F691</f>
        <v/>
      </c>
    </row>
    <row r="692" ht="14.25" customHeight="1">
      <c r="A692" s="1919" t="inlineStr">
        <is>
          <t>09/22/2023</t>
        </is>
      </c>
      <c r="B692" s="1920" t="n">
        <v>7016.84</v>
      </c>
      <c r="C692" s="1919" t="inlineStr">
        <is>
          <t>985</t>
        </is>
      </c>
      <c r="D692" s="1921">
        <f>B692/B693-1</f>
        <v/>
      </c>
      <c r="E692" s="1921">
        <f>C692/C693-1</f>
        <v/>
      </c>
      <c r="F692" s="1921">
        <f>$L$2/365</f>
        <v/>
      </c>
      <c r="G692" s="1921">
        <f>D692-F692</f>
        <v/>
      </c>
      <c r="H692" s="1921">
        <f>E692-F692</f>
        <v/>
      </c>
    </row>
    <row r="693" ht="14.25" customHeight="1">
      <c r="A693" s="1919" t="inlineStr">
        <is>
          <t>09/21/2023</t>
        </is>
      </c>
      <c r="B693" s="1920" t="n">
        <v>6991.47</v>
      </c>
      <c r="C693" s="1919" t="inlineStr">
        <is>
          <t>995</t>
        </is>
      </c>
      <c r="D693" s="1921">
        <f>B693/B694-1</f>
        <v/>
      </c>
      <c r="E693" s="1921">
        <f>C693/C694-1</f>
        <v/>
      </c>
      <c r="F693" s="1921">
        <f>$L$2/365</f>
        <v/>
      </c>
      <c r="G693" s="1921">
        <f>D693-F693</f>
        <v/>
      </c>
      <c r="H693" s="1921">
        <f>E693-F693</f>
        <v/>
      </c>
    </row>
    <row r="694" ht="14.25" customHeight="1">
      <c r="A694" s="1919" t="inlineStr">
        <is>
          <t>09/20/2023</t>
        </is>
      </c>
      <c r="B694" s="1920" t="n">
        <v>7011.68</v>
      </c>
      <c r="C694" s="1926" t="n">
        <v>1000</v>
      </c>
      <c r="D694" s="1921">
        <f>B694/B695-1</f>
        <v/>
      </c>
      <c r="E694" s="1921">
        <f>C694/C695-1</f>
        <v/>
      </c>
      <c r="F694" s="1921">
        <f>$L$2/365</f>
        <v/>
      </c>
      <c r="G694" s="1921">
        <f>D694-F694</f>
        <v/>
      </c>
      <c r="H694" s="1921">
        <f>E694-F694</f>
        <v/>
      </c>
    </row>
    <row r="695" ht="14.25" customHeight="1">
      <c r="A695" s="1919" t="inlineStr">
        <is>
          <t>09/19/2023</t>
        </is>
      </c>
      <c r="B695" s="1920" t="n">
        <v>6980.32</v>
      </c>
      <c r="C695" s="1926" t="n">
        <v>1025</v>
      </c>
      <c r="D695" s="1921">
        <f>B695/B696-1</f>
        <v/>
      </c>
      <c r="E695" s="1921">
        <f>C695/C696-1</f>
        <v/>
      </c>
      <c r="F695" s="1921">
        <f>$L$2/365</f>
        <v/>
      </c>
      <c r="G695" s="1921">
        <f>D695-F695</f>
        <v/>
      </c>
      <c r="H695" s="1921">
        <f>E695-F695</f>
        <v/>
      </c>
    </row>
    <row r="696" ht="14.25" customHeight="1">
      <c r="A696" s="1919" t="inlineStr">
        <is>
          <t>09/18/2023</t>
        </is>
      </c>
      <c r="B696" s="1920" t="n">
        <v>6936.08</v>
      </c>
      <c r="C696" s="1926" t="n">
        <v>1020</v>
      </c>
      <c r="D696" s="1921">
        <f>B696/B697-1</f>
        <v/>
      </c>
      <c r="E696" s="1921">
        <f>C696/C697-1</f>
        <v/>
      </c>
      <c r="F696" s="1921">
        <f>$L$2/365</f>
        <v/>
      </c>
      <c r="G696" s="1921">
        <f>D696-F696</f>
        <v/>
      </c>
      <c r="H696" s="1921">
        <f>E696-F696</f>
        <v/>
      </c>
    </row>
    <row r="697" ht="14.25" customHeight="1">
      <c r="A697" s="1919" t="inlineStr">
        <is>
          <t>09/15/2023</t>
        </is>
      </c>
      <c r="B697" s="1920" t="n">
        <v>6982.79</v>
      </c>
      <c r="C697" s="1926" t="n">
        <v>1020</v>
      </c>
      <c r="D697" s="1921">
        <f>B697/B698-1</f>
        <v/>
      </c>
      <c r="E697" s="1921">
        <f>C697/C698-1</f>
        <v/>
      </c>
      <c r="F697" s="1921">
        <f>$L$2/365</f>
        <v/>
      </c>
      <c r="G697" s="1921">
        <f>D697-F697</f>
        <v/>
      </c>
      <c r="H697" s="1921">
        <f>E697-F697</f>
        <v/>
      </c>
    </row>
    <row r="698" ht="14.25" customHeight="1">
      <c r="A698" s="1919" t="inlineStr">
        <is>
          <t>09/14/2023</t>
        </is>
      </c>
      <c r="B698" s="1920" t="n">
        <v>6959.33</v>
      </c>
      <c r="C698" s="1926" t="n">
        <v>1025</v>
      </c>
      <c r="D698" s="1921">
        <f>B698/B699-1</f>
        <v/>
      </c>
      <c r="E698" s="1921">
        <f>C698/C699-1</f>
        <v/>
      </c>
      <c r="F698" s="1921">
        <f>$L$2/365</f>
        <v/>
      </c>
      <c r="G698" s="1921">
        <f>D698-F698</f>
        <v/>
      </c>
      <c r="H698" s="1921">
        <f>E698-F698</f>
        <v/>
      </c>
    </row>
    <row r="699" ht="14.25" customHeight="1">
      <c r="A699" s="1919" t="inlineStr">
        <is>
          <t>09/13/2023</t>
        </is>
      </c>
      <c r="B699" s="1920" t="n">
        <v>6935.48</v>
      </c>
      <c r="C699" s="1926" t="n">
        <v>1040</v>
      </c>
      <c r="D699" s="1921">
        <f>B699/B700-1</f>
        <v/>
      </c>
      <c r="E699" s="1921">
        <f>C699/C700-1</f>
        <v/>
      </c>
      <c r="F699" s="1921">
        <f>$L$2/365</f>
        <v/>
      </c>
      <c r="G699" s="1921">
        <f>D699-F699</f>
        <v/>
      </c>
      <c r="H699" s="1921">
        <f>E699-F699</f>
        <v/>
      </c>
    </row>
    <row r="700" ht="14.25" customHeight="1">
      <c r="A700" s="1919" t="inlineStr">
        <is>
          <t>09/12/2023</t>
        </is>
      </c>
      <c r="B700" s="1920" t="n">
        <v>6933.97</v>
      </c>
      <c r="C700" s="1926" t="n">
        <v>1045</v>
      </c>
      <c r="D700" s="1921">
        <f>B700/B701-1</f>
        <v/>
      </c>
      <c r="E700" s="1921">
        <f>C700/C701-1</f>
        <v/>
      </c>
      <c r="F700" s="1921">
        <f>$L$2/365</f>
        <v/>
      </c>
      <c r="G700" s="1921">
        <f>D700-F700</f>
        <v/>
      </c>
      <c r="H700" s="1921">
        <f>E700-F700</f>
        <v/>
      </c>
    </row>
    <row r="701" ht="14.25" customHeight="1">
      <c r="A701" s="1919" t="inlineStr">
        <is>
          <t>09/11/2023</t>
        </is>
      </c>
      <c r="B701" s="1920" t="n">
        <v>6963.39</v>
      </c>
      <c r="C701" s="1926" t="n">
        <v>1070</v>
      </c>
      <c r="D701" s="1921">
        <f>B701/B702-1</f>
        <v/>
      </c>
      <c r="E701" s="1921">
        <f>C701/C702-1</f>
        <v/>
      </c>
      <c r="F701" s="1921">
        <f>$L$2/365</f>
        <v/>
      </c>
      <c r="G701" s="1921">
        <f>D701-F701</f>
        <v/>
      </c>
      <c r="H701" s="1921">
        <f>E701-F701</f>
        <v/>
      </c>
    </row>
    <row r="702" ht="14.25" customHeight="1">
      <c r="A702" s="1919" t="inlineStr">
        <is>
          <t>09/08/2023</t>
        </is>
      </c>
      <c r="B702" s="1920" t="n">
        <v>6924.78</v>
      </c>
      <c r="C702" s="1926" t="n">
        <v>1045</v>
      </c>
      <c r="D702" s="1921">
        <f>B702/B703-1</f>
        <v/>
      </c>
      <c r="E702" s="1921">
        <f>C702/C703-1</f>
        <v/>
      </c>
      <c r="F702" s="1921">
        <f>$L$2/365</f>
        <v/>
      </c>
      <c r="G702" s="1921">
        <f>D702-F702</f>
        <v/>
      </c>
      <c r="H702" s="1921">
        <f>E702-F702</f>
        <v/>
      </c>
    </row>
    <row r="703" ht="14.25" customHeight="1">
      <c r="A703" s="1919" t="inlineStr">
        <is>
          <t>09/07/2023</t>
        </is>
      </c>
      <c r="B703" s="1920" t="n">
        <v>6954.81</v>
      </c>
      <c r="C703" s="1926" t="n">
        <v>1040</v>
      </c>
      <c r="D703" s="1921">
        <f>B703/B704-1</f>
        <v/>
      </c>
      <c r="E703" s="1921">
        <f>C703/C704-1</f>
        <v/>
      </c>
      <c r="F703" s="1921">
        <f>$L$2/365</f>
        <v/>
      </c>
      <c r="G703" s="1921">
        <f>D703-F703</f>
        <v/>
      </c>
      <c r="H703" s="1921">
        <f>E703-F703</f>
        <v/>
      </c>
    </row>
    <row r="704" ht="14.25" customHeight="1">
      <c r="A704" s="1919" t="inlineStr">
        <is>
          <t>09/06/2023</t>
        </is>
      </c>
      <c r="B704" s="1920" t="n">
        <v>6995.95</v>
      </c>
      <c r="C704" s="1926" t="n">
        <v>1035</v>
      </c>
      <c r="D704" s="1921">
        <f>B704/B705-1</f>
        <v/>
      </c>
      <c r="E704" s="1921">
        <f>C704/C705-1</f>
        <v/>
      </c>
      <c r="F704" s="1921">
        <f>$L$2/365</f>
        <v/>
      </c>
      <c r="G704" s="1921">
        <f>D704-F704</f>
        <v/>
      </c>
      <c r="H704" s="1921">
        <f>E704-F704</f>
        <v/>
      </c>
    </row>
    <row r="705" ht="14.25" customHeight="1">
      <c r="A705" s="1919" t="inlineStr">
        <is>
          <t>09/05/2023</t>
        </is>
      </c>
      <c r="B705" s="1920" t="n">
        <v>6991.71</v>
      </c>
      <c r="C705" s="1926" t="n">
        <v>1035</v>
      </c>
      <c r="D705" s="1921">
        <f>B705/B706-1</f>
        <v/>
      </c>
      <c r="E705" s="1921">
        <f>C705/C706-1</f>
        <v/>
      </c>
      <c r="F705" s="1921">
        <f>$L$2/365</f>
        <v/>
      </c>
      <c r="G705" s="1921">
        <f>D705-F705</f>
        <v/>
      </c>
      <c r="H705" s="1921">
        <f>E705-F705</f>
        <v/>
      </c>
    </row>
    <row r="706" ht="14.25" customHeight="1">
      <c r="A706" s="1919" t="inlineStr">
        <is>
          <t>09/04/2023</t>
        </is>
      </c>
      <c r="B706" s="1920" t="n">
        <v>6996.75</v>
      </c>
      <c r="C706" s="1926" t="n">
        <v>1035</v>
      </c>
      <c r="D706" s="1921">
        <f>B706/B707-1</f>
        <v/>
      </c>
      <c r="E706" s="1921">
        <f>C706/C707-1</f>
        <v/>
      </c>
      <c r="F706" s="1921">
        <f>$L$2/365</f>
        <v/>
      </c>
      <c r="G706" s="1921">
        <f>D706-F706</f>
        <v/>
      </c>
      <c r="H706" s="1921">
        <f>E706-F706</f>
        <v/>
      </c>
    </row>
    <row r="707" ht="14.25" customHeight="1">
      <c r="A707" s="1919" t="inlineStr">
        <is>
          <t>09/01/2023</t>
        </is>
      </c>
      <c r="B707" s="1920" t="n">
        <v>6977.65</v>
      </c>
      <c r="C707" s="1926" t="n">
        <v>1030</v>
      </c>
      <c r="D707" s="1921">
        <f>B707/B708-1</f>
        <v/>
      </c>
      <c r="E707" s="1921">
        <f>C707/C708-1</f>
        <v/>
      </c>
      <c r="F707" s="1921">
        <f>$L$2/365</f>
        <v/>
      </c>
      <c r="G707" s="1921">
        <f>D707-F707</f>
        <v/>
      </c>
      <c r="H707" s="1921">
        <f>E707-F707</f>
        <v/>
      </c>
    </row>
    <row r="708" ht="14.25" customHeight="1">
      <c r="A708" s="1919" t="inlineStr">
        <is>
          <t>08/31/2023</t>
        </is>
      </c>
      <c r="B708" s="1920" t="n">
        <v>6953.26</v>
      </c>
      <c r="C708" s="1926" t="n">
        <v>1030</v>
      </c>
      <c r="D708" s="1921">
        <f>B708/B709-1</f>
        <v/>
      </c>
      <c r="E708" s="1921">
        <f>C708/C709-1</f>
        <v/>
      </c>
      <c r="F708" s="1921">
        <f>$L$2/365</f>
        <v/>
      </c>
      <c r="G708" s="1921">
        <f>D708-F708</f>
        <v/>
      </c>
      <c r="H708" s="1921">
        <f>E708-F708</f>
        <v/>
      </c>
    </row>
    <row r="709" ht="14.25" customHeight="1">
      <c r="A709" s="1919" t="inlineStr">
        <is>
          <t>08/30/2023</t>
        </is>
      </c>
      <c r="B709" s="1920" t="n">
        <v>6966.66</v>
      </c>
      <c r="C709" s="1926" t="n">
        <v>1050</v>
      </c>
      <c r="D709" s="1921">
        <f>B709/B710-1</f>
        <v/>
      </c>
      <c r="E709" s="1921">
        <f>C709/C710-1</f>
        <v/>
      </c>
      <c r="F709" s="1921">
        <f>$L$2/365</f>
        <v/>
      </c>
      <c r="G709" s="1921">
        <f>D709-F709</f>
        <v/>
      </c>
      <c r="H709" s="1921">
        <f>E709-F709</f>
        <v/>
      </c>
    </row>
    <row r="710" ht="14.25" customHeight="1">
      <c r="A710" s="1919" t="inlineStr">
        <is>
          <t>08/29/2023</t>
        </is>
      </c>
      <c r="B710" s="1920" t="n">
        <v>6957.83</v>
      </c>
      <c r="C710" s="1926" t="n">
        <v>1010</v>
      </c>
      <c r="D710" s="1921">
        <f>B710/B711-1</f>
        <v/>
      </c>
      <c r="E710" s="1921">
        <f>C710/C711-1</f>
        <v/>
      </c>
      <c r="F710" s="1921">
        <f>$L$2/365</f>
        <v/>
      </c>
      <c r="G710" s="1921">
        <f>D710-F710</f>
        <v/>
      </c>
      <c r="H710" s="1921">
        <f>E710-F710</f>
        <v/>
      </c>
    </row>
    <row r="711" ht="14.25" customHeight="1">
      <c r="A711" s="1919" t="inlineStr">
        <is>
          <t>08/28/2023</t>
        </is>
      </c>
      <c r="B711" s="1920" t="n">
        <v>6921.73</v>
      </c>
      <c r="C711" s="1926" t="n">
        <v>1015</v>
      </c>
      <c r="D711" s="1921">
        <f>B711/B712-1</f>
        <v/>
      </c>
      <c r="E711" s="1921">
        <f>C711/C712-1</f>
        <v/>
      </c>
      <c r="F711" s="1921">
        <f>$L$2/365</f>
        <v/>
      </c>
      <c r="G711" s="1921">
        <f>D711-F711</f>
        <v/>
      </c>
      <c r="H711" s="1921">
        <f>E711-F711</f>
        <v/>
      </c>
    </row>
    <row r="712" ht="14.25" customHeight="1">
      <c r="A712" s="1919" t="inlineStr">
        <is>
          <t>08/25/2023</t>
        </is>
      </c>
      <c r="B712" s="1920" t="n">
        <v>6895.44</v>
      </c>
      <c r="C712" s="1926" t="n">
        <v>1020</v>
      </c>
      <c r="D712" s="1921">
        <f>B712/B713-1</f>
        <v/>
      </c>
      <c r="E712" s="1921">
        <f>C712/C713-1</f>
        <v/>
      </c>
      <c r="F712" s="1921">
        <f>$L$2/365</f>
        <v/>
      </c>
      <c r="G712" s="1921">
        <f>D712-F712</f>
        <v/>
      </c>
      <c r="H712" s="1921">
        <f>E712-F712</f>
        <v/>
      </c>
    </row>
    <row r="713" ht="14.25" customHeight="1">
      <c r="A713" s="1919" t="inlineStr">
        <is>
          <t>08/24/2023</t>
        </is>
      </c>
      <c r="B713" s="1920" t="n">
        <v>6899.39</v>
      </c>
      <c r="C713" s="1919" t="inlineStr">
        <is>
          <t>995</t>
        </is>
      </c>
      <c r="D713" s="1921">
        <f>B713/B714-1</f>
        <v/>
      </c>
      <c r="E713" s="1921">
        <f>C713/C714-1</f>
        <v/>
      </c>
      <c r="F713" s="1921">
        <f>$L$2/365</f>
        <v/>
      </c>
      <c r="G713" s="1921">
        <f>D713-F713</f>
        <v/>
      </c>
      <c r="H713" s="1921">
        <f>E713-F713</f>
        <v/>
      </c>
    </row>
    <row r="714" ht="14.25" customHeight="1">
      <c r="A714" s="1919" t="inlineStr">
        <is>
          <t>08/23/2023</t>
        </is>
      </c>
      <c r="B714" s="1920" t="n">
        <v>6921.41</v>
      </c>
      <c r="C714" s="1926" t="n">
        <v>1005</v>
      </c>
      <c r="D714" s="1921">
        <f>B714/B715-1</f>
        <v/>
      </c>
      <c r="E714" s="1921">
        <f>C714/C715-1</f>
        <v/>
      </c>
      <c r="F714" s="1921">
        <f>$L$2/365</f>
        <v/>
      </c>
      <c r="G714" s="1921">
        <f>D714-F714</f>
        <v/>
      </c>
      <c r="H714" s="1921">
        <f>E714-F714</f>
        <v/>
      </c>
    </row>
    <row r="715" ht="14.25" customHeight="1">
      <c r="A715" s="1919" t="inlineStr">
        <is>
          <t>08/22/2023</t>
        </is>
      </c>
      <c r="B715" s="1920" t="n">
        <v>6916.45</v>
      </c>
      <c r="C715" s="1926" t="n">
        <v>1025</v>
      </c>
      <c r="D715" s="1921">
        <f>B715/B716-1</f>
        <v/>
      </c>
      <c r="E715" s="1921">
        <f>C715/C716-1</f>
        <v/>
      </c>
      <c r="F715" s="1921">
        <f>$L$2/365</f>
        <v/>
      </c>
      <c r="G715" s="1921">
        <f>D715-F715</f>
        <v/>
      </c>
      <c r="H715" s="1921">
        <f>E715-F715</f>
        <v/>
      </c>
    </row>
    <row r="716" ht="14.25" customHeight="1">
      <c r="A716" s="1919" t="inlineStr">
        <is>
          <t>08/21/2023</t>
        </is>
      </c>
      <c r="B716" s="1920" t="n">
        <v>6866.03</v>
      </c>
      <c r="C716" s="1926" t="n">
        <v>1010</v>
      </c>
      <c r="D716" s="1921">
        <f>B716/B717-1</f>
        <v/>
      </c>
      <c r="E716" s="1921">
        <f>C716/C717-1</f>
        <v/>
      </c>
      <c r="F716" s="1921">
        <f>$L$2/365</f>
        <v/>
      </c>
      <c r="G716" s="1921">
        <f>D716-F716</f>
        <v/>
      </c>
      <c r="H716" s="1921">
        <f>E716-F716</f>
        <v/>
      </c>
    </row>
    <row r="717" ht="14.25" customHeight="1">
      <c r="A717" s="1919" t="inlineStr">
        <is>
          <t>08/18/2023</t>
        </is>
      </c>
      <c r="B717" s="1920" t="n">
        <v>6859.91</v>
      </c>
      <c r="C717" s="1926" t="n">
        <v>1010</v>
      </c>
      <c r="D717" s="1921">
        <f>B717/B718-1</f>
        <v/>
      </c>
      <c r="E717" s="1921">
        <f>C717/C718-1</f>
        <v/>
      </c>
      <c r="F717" s="1921">
        <f>$L$2/365</f>
        <v/>
      </c>
      <c r="G717" s="1921">
        <f>D717-F717</f>
        <v/>
      </c>
      <c r="H717" s="1921">
        <f>E717-F717</f>
        <v/>
      </c>
    </row>
    <row r="718" ht="14.25" customHeight="1">
      <c r="A718" s="1919" t="inlineStr">
        <is>
          <t>08/16/2023</t>
        </is>
      </c>
      <c r="B718" s="1920" t="n">
        <v>6900.54</v>
      </c>
      <c r="C718" s="1926" t="n">
        <v>1000</v>
      </c>
      <c r="D718" s="1921">
        <f>B718/B719-1</f>
        <v/>
      </c>
      <c r="E718" s="1921">
        <f>C718/C719-1</f>
        <v/>
      </c>
      <c r="F718" s="1921">
        <f>$L$2/365</f>
        <v/>
      </c>
      <c r="G718" s="1921">
        <f>D718-F718</f>
        <v/>
      </c>
      <c r="H718" s="1921">
        <f>E718-F718</f>
        <v/>
      </c>
    </row>
    <row r="719" ht="14.25" customHeight="1">
      <c r="A719" s="1919" t="inlineStr">
        <is>
          <t>08/15/2023</t>
        </is>
      </c>
      <c r="B719" s="1920" t="n">
        <v>6915.1</v>
      </c>
      <c r="C719" s="1926" t="n">
        <v>1010</v>
      </c>
      <c r="D719" s="1921">
        <f>B719/B720-1</f>
        <v/>
      </c>
      <c r="E719" s="1921">
        <f>C719/C720-1</f>
        <v/>
      </c>
      <c r="F719" s="1921">
        <f>$L$2/365</f>
        <v/>
      </c>
      <c r="G719" s="1921">
        <f>D719-F719</f>
        <v/>
      </c>
      <c r="H719" s="1921">
        <f>E719-F719</f>
        <v/>
      </c>
    </row>
    <row r="720" ht="14.25" customHeight="1">
      <c r="A720" s="1919" t="inlineStr">
        <is>
          <t>08/14/2023</t>
        </is>
      </c>
      <c r="B720" s="1920" t="n">
        <v>6910.17</v>
      </c>
      <c r="C720" s="1919" t="inlineStr">
        <is>
          <t>985</t>
        </is>
      </c>
      <c r="D720" s="1921">
        <f>B720/B721-1</f>
        <v/>
      </c>
      <c r="E720" s="1921">
        <f>C720/C721-1</f>
        <v/>
      </c>
      <c r="F720" s="1921">
        <f>$L$2/365</f>
        <v/>
      </c>
      <c r="G720" s="1921">
        <f>D720-F720</f>
        <v/>
      </c>
      <c r="H720" s="1921">
        <f>E720-F720</f>
        <v/>
      </c>
    </row>
    <row r="721" ht="14.25" customHeight="1">
      <c r="A721" s="1919" t="inlineStr">
        <is>
          <t>08/11/2023</t>
        </is>
      </c>
      <c r="B721" s="1920" t="n">
        <v>6879.98</v>
      </c>
      <c r="C721" s="1919" t="inlineStr">
        <is>
          <t>985</t>
        </is>
      </c>
      <c r="D721" s="1921">
        <f>B721/B722-1</f>
        <v/>
      </c>
      <c r="E721" s="1921">
        <f>C721/C722-1</f>
        <v/>
      </c>
      <c r="F721" s="1921">
        <f>$L$2/365</f>
        <v/>
      </c>
      <c r="G721" s="1921">
        <f>D721-F721</f>
        <v/>
      </c>
      <c r="H721" s="1921">
        <f>E721-F721</f>
        <v/>
      </c>
    </row>
    <row r="722" ht="14.25" customHeight="1">
      <c r="A722" s="1919" t="inlineStr">
        <is>
          <t>08/10/2023</t>
        </is>
      </c>
      <c r="B722" s="1920" t="n">
        <v>6893.28</v>
      </c>
      <c r="C722" s="1919" t="inlineStr">
        <is>
          <t>980</t>
        </is>
      </c>
      <c r="D722" s="1921">
        <f>B722/B723-1</f>
        <v/>
      </c>
      <c r="E722" s="1921">
        <f>C722/C723-1</f>
        <v/>
      </c>
      <c r="F722" s="1921">
        <f>$L$2/365</f>
        <v/>
      </c>
      <c r="G722" s="1921">
        <f>D722-F722</f>
        <v/>
      </c>
      <c r="H722" s="1921">
        <f>E722-F722</f>
        <v/>
      </c>
    </row>
    <row r="723" ht="14.25" customHeight="1">
      <c r="A723" s="1919" t="inlineStr">
        <is>
          <t>08/09/2023</t>
        </is>
      </c>
      <c r="B723" s="1920" t="n">
        <v>6875.11</v>
      </c>
      <c r="C723" s="1919" t="inlineStr">
        <is>
          <t>965</t>
        </is>
      </c>
      <c r="D723" s="1921">
        <f>B723/B724-1</f>
        <v/>
      </c>
      <c r="E723" s="1921">
        <f>C723/C724-1</f>
        <v/>
      </c>
      <c r="F723" s="1921">
        <f>$L$2/365</f>
        <v/>
      </c>
      <c r="G723" s="1921">
        <f>D723-F723</f>
        <v/>
      </c>
      <c r="H723" s="1921">
        <f>E723-F723</f>
        <v/>
      </c>
    </row>
    <row r="724" ht="14.25" customHeight="1">
      <c r="A724" s="1919" t="inlineStr">
        <is>
          <t>08/08/2023</t>
        </is>
      </c>
      <c r="B724" s="1920" t="n">
        <v>6868.81</v>
      </c>
      <c r="C724" s="1919" t="inlineStr">
        <is>
          <t>950</t>
        </is>
      </c>
      <c r="D724" s="1921">
        <f>B724/B725-1</f>
        <v/>
      </c>
      <c r="E724" s="1921">
        <f>C724/C725-1</f>
        <v/>
      </c>
      <c r="F724" s="1921">
        <f>$L$2/365</f>
        <v/>
      </c>
      <c r="G724" s="1921">
        <f>D724-F724</f>
        <v/>
      </c>
      <c r="H724" s="1921">
        <f>E724-F724</f>
        <v/>
      </c>
    </row>
    <row r="725" ht="14.25" customHeight="1">
      <c r="A725" s="1919" t="inlineStr">
        <is>
          <t>08/07/2023</t>
        </is>
      </c>
      <c r="B725" s="1920" t="n">
        <v>6886.37</v>
      </c>
      <c r="C725" s="1919" t="inlineStr">
        <is>
          <t>970</t>
        </is>
      </c>
      <c r="D725" s="1921">
        <f>B725/B726-1</f>
        <v/>
      </c>
      <c r="E725" s="1921">
        <f>C725/C726-1</f>
        <v/>
      </c>
      <c r="F725" s="1921">
        <f>$L$2/365</f>
        <v/>
      </c>
      <c r="G725" s="1921">
        <f>D725-F725</f>
        <v/>
      </c>
      <c r="H725" s="1921">
        <f>E725-F725</f>
        <v/>
      </c>
    </row>
    <row r="726" ht="14.25" customHeight="1">
      <c r="A726" s="1919" t="inlineStr">
        <is>
          <t>08/04/2023</t>
        </is>
      </c>
      <c r="B726" s="1920" t="n">
        <v>6852.84</v>
      </c>
      <c r="C726" s="1919" t="inlineStr">
        <is>
          <t>965</t>
        </is>
      </c>
      <c r="D726" s="1921">
        <f>B726/B727-1</f>
        <v/>
      </c>
      <c r="E726" s="1921">
        <f>C726/C727-1</f>
        <v/>
      </c>
      <c r="F726" s="1921">
        <f>$L$2/365</f>
        <v/>
      </c>
      <c r="G726" s="1921">
        <f>D726-F726</f>
        <v/>
      </c>
      <c r="H726" s="1921">
        <f>E726-F726</f>
        <v/>
      </c>
    </row>
    <row r="727" ht="14.25" customHeight="1">
      <c r="A727" s="1919" t="inlineStr">
        <is>
          <t>08/03/2023</t>
        </is>
      </c>
      <c r="B727" s="1920" t="n">
        <v>6898.08</v>
      </c>
      <c r="C727" s="1919" t="inlineStr">
        <is>
          <t>970</t>
        </is>
      </c>
      <c r="D727" s="1921">
        <f>B727/B728-1</f>
        <v/>
      </c>
      <c r="E727" s="1921">
        <f>C727/C728-1</f>
        <v/>
      </c>
      <c r="F727" s="1921">
        <f>$L$2/365</f>
        <v/>
      </c>
      <c r="G727" s="1921">
        <f>D727-F727</f>
        <v/>
      </c>
      <c r="H727" s="1921">
        <f>E727-F727</f>
        <v/>
      </c>
    </row>
    <row r="728" ht="14.25" customHeight="1">
      <c r="A728" s="1919" t="inlineStr">
        <is>
          <t>08/02/2023</t>
        </is>
      </c>
      <c r="B728" s="1920" t="n">
        <v>6854.51</v>
      </c>
      <c r="C728" s="1919" t="inlineStr">
        <is>
          <t>975</t>
        </is>
      </c>
      <c r="D728" s="1921">
        <f>B728/B729-1</f>
        <v/>
      </c>
      <c r="E728" s="1921">
        <f>C728/C729-1</f>
        <v/>
      </c>
      <c r="F728" s="1921">
        <f>$L$2/365</f>
        <v/>
      </c>
      <c r="G728" s="1921">
        <f>D728-F728</f>
        <v/>
      </c>
      <c r="H728" s="1921">
        <f>E728-F728</f>
        <v/>
      </c>
    </row>
    <row r="729" ht="14.25" customHeight="1">
      <c r="A729" s="1919" t="inlineStr">
        <is>
          <t>08/01/2023</t>
        </is>
      </c>
      <c r="B729" s="1920" t="n">
        <v>6886.5</v>
      </c>
      <c r="C729" s="1926" t="n">
        <v>1020</v>
      </c>
      <c r="D729" s="1921">
        <f>B729/B730-1</f>
        <v/>
      </c>
      <c r="E729" s="1921">
        <f>C729/C730-1</f>
        <v/>
      </c>
      <c r="F729" s="1921">
        <f>$L$2/365</f>
        <v/>
      </c>
      <c r="G729" s="1921">
        <f>D729-F729</f>
        <v/>
      </c>
      <c r="H729" s="1921">
        <f>E729-F729</f>
        <v/>
      </c>
    </row>
    <row r="730" ht="14.25" customHeight="1">
      <c r="A730" s="1919" t="inlineStr">
        <is>
          <t>07/31/2023</t>
        </is>
      </c>
      <c r="B730" s="1920" t="n">
        <v>6931.36</v>
      </c>
      <c r="C730" s="1926" t="n">
        <v>1015</v>
      </c>
      <c r="D730" s="1921">
        <f>B730/B731-1</f>
        <v/>
      </c>
      <c r="E730" s="1921">
        <f>C730/C731-1</f>
        <v/>
      </c>
      <c r="F730" s="1921">
        <f>$L$2/365</f>
        <v/>
      </c>
      <c r="G730" s="1921">
        <f>D730-F730</f>
        <v/>
      </c>
      <c r="H730" s="1921">
        <f>E730-F730</f>
        <v/>
      </c>
    </row>
    <row r="731" ht="14.25" customHeight="1">
      <c r="A731" s="1919" t="inlineStr">
        <is>
          <t>07/28/2023</t>
        </is>
      </c>
      <c r="B731" s="1920" t="n">
        <v>6900.23</v>
      </c>
      <c r="C731" s="1926" t="n">
        <v>1010</v>
      </c>
      <c r="D731" s="1921">
        <f>B731/B732-1</f>
        <v/>
      </c>
      <c r="E731" s="1921">
        <f>C731/C732-1</f>
        <v/>
      </c>
      <c r="F731" s="1921">
        <f>$L$2/365</f>
        <v/>
      </c>
      <c r="G731" s="1921">
        <f>D731-F731</f>
        <v/>
      </c>
      <c r="H731" s="1921">
        <f>E731-F731</f>
        <v/>
      </c>
    </row>
    <row r="732" ht="14.25" customHeight="1">
      <c r="A732" s="1919" t="inlineStr">
        <is>
          <t>07/27/2023</t>
        </is>
      </c>
      <c r="B732" s="1920" t="n">
        <v>6896.66</v>
      </c>
      <c r="C732" s="1926" t="n">
        <v>1020</v>
      </c>
      <c r="D732" s="1921">
        <f>B732/B733-1</f>
        <v/>
      </c>
      <c r="E732" s="1921">
        <f>C732/C733-1</f>
        <v/>
      </c>
      <c r="F732" s="1921">
        <f>$L$2/365</f>
        <v/>
      </c>
      <c r="G732" s="1921">
        <f>D732-F732</f>
        <v/>
      </c>
      <c r="H732" s="1921">
        <f>E732-F732</f>
        <v/>
      </c>
    </row>
    <row r="733" ht="14.25" customHeight="1">
      <c r="A733" s="1919" t="inlineStr">
        <is>
          <t>07/26/2023</t>
        </is>
      </c>
      <c r="B733" s="1920" t="n">
        <v>6948.28</v>
      </c>
      <c r="C733" s="1926" t="n">
        <v>1030</v>
      </c>
      <c r="D733" s="1921">
        <f>B733/B734-1</f>
        <v/>
      </c>
      <c r="E733" s="1921">
        <f>C733/C734-1</f>
        <v/>
      </c>
      <c r="F733" s="1921">
        <f>$L$2/365</f>
        <v/>
      </c>
      <c r="G733" s="1921">
        <f>D733-F733</f>
        <v/>
      </c>
      <c r="H733" s="1921">
        <f>E733-F733</f>
        <v/>
      </c>
    </row>
    <row r="734" ht="14.25" customHeight="1">
      <c r="A734" s="1919" t="inlineStr">
        <is>
          <t>07/25/2023</t>
        </is>
      </c>
      <c r="B734" s="1920" t="n">
        <v>6917.71</v>
      </c>
      <c r="C734" s="1926" t="n">
        <v>1030</v>
      </c>
      <c r="D734" s="1921">
        <f>B734/B735-1</f>
        <v/>
      </c>
      <c r="E734" s="1921">
        <f>C734/C735-1</f>
        <v/>
      </c>
      <c r="F734" s="1921">
        <f>$L$2/365</f>
        <v/>
      </c>
      <c r="G734" s="1921">
        <f>D734-F734</f>
        <v/>
      </c>
      <c r="H734" s="1921">
        <f>E734-F734</f>
        <v/>
      </c>
    </row>
    <row r="735" ht="14.25" customHeight="1">
      <c r="A735" s="1919" t="inlineStr">
        <is>
          <t>07/24/2023</t>
        </is>
      </c>
      <c r="B735" s="1920" t="n">
        <v>6899.4</v>
      </c>
      <c r="C735" s="1926" t="n">
        <v>1025</v>
      </c>
      <c r="D735" s="1921">
        <f>B735/B736-1</f>
        <v/>
      </c>
      <c r="E735" s="1921">
        <f>C735/C736-1</f>
        <v/>
      </c>
      <c r="F735" s="1921">
        <f>$L$2/365</f>
        <v/>
      </c>
      <c r="G735" s="1921">
        <f>D735-F735</f>
        <v/>
      </c>
      <c r="H735" s="1921">
        <f>E735-F735</f>
        <v/>
      </c>
    </row>
    <row r="736" ht="14.25" customHeight="1">
      <c r="A736" s="1919" t="inlineStr">
        <is>
          <t>07/21/2023</t>
        </is>
      </c>
      <c r="B736" s="1920" t="n">
        <v>6880.8</v>
      </c>
      <c r="C736" s="1926" t="n">
        <v>1060</v>
      </c>
      <c r="D736" s="1921">
        <f>B736/B737-1</f>
        <v/>
      </c>
      <c r="E736" s="1921">
        <f>C736/C737-1</f>
        <v/>
      </c>
      <c r="F736" s="1921">
        <f>$L$2/365</f>
        <v/>
      </c>
      <c r="G736" s="1921">
        <f>D736-F736</f>
        <v/>
      </c>
      <c r="H736" s="1921">
        <f>E736-F736</f>
        <v/>
      </c>
    </row>
    <row r="737" ht="14.25" customHeight="1">
      <c r="A737" s="1919" t="inlineStr">
        <is>
          <t>07/20/2023</t>
        </is>
      </c>
      <c r="B737" s="1920" t="n">
        <v>6864.19</v>
      </c>
      <c r="C737" s="1926" t="n">
        <v>1035</v>
      </c>
      <c r="D737" s="1921">
        <f>B737/B738-1</f>
        <v/>
      </c>
      <c r="E737" s="1921">
        <f>C737/C738-1</f>
        <v/>
      </c>
      <c r="F737" s="1921">
        <f>$L$2/365</f>
        <v/>
      </c>
      <c r="G737" s="1921">
        <f>D737-F737</f>
        <v/>
      </c>
      <c r="H737" s="1921">
        <f>E737-F737</f>
        <v/>
      </c>
    </row>
    <row r="738" ht="14.25" customHeight="1">
      <c r="A738" s="1919" t="inlineStr">
        <is>
          <t>07/18/2023</t>
        </is>
      </c>
      <c r="B738" s="1920" t="n">
        <v>6830.2</v>
      </c>
      <c r="C738" s="1926" t="n">
        <v>1050</v>
      </c>
      <c r="D738" s="1921">
        <f>B738/B739-1</f>
        <v/>
      </c>
      <c r="E738" s="1921">
        <f>C738/C739-1</f>
        <v/>
      </c>
      <c r="F738" s="1921">
        <f>$L$2/365</f>
        <v/>
      </c>
      <c r="G738" s="1921">
        <f>D738-F738</f>
        <v/>
      </c>
      <c r="H738" s="1921">
        <f>E738-F738</f>
        <v/>
      </c>
    </row>
    <row r="739" ht="14.25" customHeight="1">
      <c r="A739" s="1919" t="inlineStr">
        <is>
          <t>07/17/2023</t>
        </is>
      </c>
      <c r="B739" s="1920" t="n">
        <v>6867.14</v>
      </c>
      <c r="C739" s="1926" t="n">
        <v>1055</v>
      </c>
      <c r="D739" s="1921">
        <f>B739/B740-1</f>
        <v/>
      </c>
      <c r="E739" s="1921">
        <f>C739/C740-1</f>
        <v/>
      </c>
      <c r="F739" s="1921">
        <f>$L$2/365</f>
        <v/>
      </c>
      <c r="G739" s="1921">
        <f>D739-F739</f>
        <v/>
      </c>
      <c r="H739" s="1921">
        <f>E739-F739</f>
        <v/>
      </c>
    </row>
    <row r="740" ht="14.25" customHeight="1">
      <c r="A740" s="1919" t="inlineStr">
        <is>
          <t>07/14/2023</t>
        </is>
      </c>
      <c r="B740" s="1920" t="n">
        <v>6869.57</v>
      </c>
      <c r="C740" s="1926" t="n">
        <v>1075</v>
      </c>
      <c r="D740" s="1921">
        <f>B740/B741-1</f>
        <v/>
      </c>
      <c r="E740" s="1921">
        <f>C740/C741-1</f>
        <v/>
      </c>
      <c r="F740" s="1921">
        <f>$L$2/365</f>
        <v/>
      </c>
      <c r="G740" s="1921">
        <f>D740-F740</f>
        <v/>
      </c>
      <c r="H740" s="1921">
        <f>E740-F740</f>
        <v/>
      </c>
    </row>
    <row r="741" ht="14.25" customHeight="1">
      <c r="A741" s="1919" t="inlineStr">
        <is>
          <t>07/13/2023</t>
        </is>
      </c>
      <c r="B741" s="1920" t="n">
        <v>6810.21</v>
      </c>
      <c r="C741" s="1926" t="n">
        <v>1080</v>
      </c>
      <c r="D741" s="1921">
        <f>B741/B742-1</f>
        <v/>
      </c>
      <c r="E741" s="1921">
        <f>C741/C742-1</f>
        <v/>
      </c>
      <c r="F741" s="1921">
        <f>$L$2/365</f>
        <v/>
      </c>
      <c r="G741" s="1921">
        <f>D741-F741</f>
        <v/>
      </c>
      <c r="H741" s="1921">
        <f>E741-F741</f>
        <v/>
      </c>
    </row>
    <row r="742" ht="14.25" customHeight="1">
      <c r="A742" s="1919" t="inlineStr">
        <is>
          <t>07/12/2023</t>
        </is>
      </c>
      <c r="B742" s="1920" t="n">
        <v>6808.21</v>
      </c>
      <c r="C742" s="1926" t="n">
        <v>1110</v>
      </c>
      <c r="D742" s="1921">
        <f>B742/B743-1</f>
        <v/>
      </c>
      <c r="E742" s="1921">
        <f>C742/C743-1</f>
        <v/>
      </c>
      <c r="F742" s="1921">
        <f>$L$2/365</f>
        <v/>
      </c>
      <c r="G742" s="1921">
        <f>D742-F742</f>
        <v/>
      </c>
      <c r="H742" s="1921">
        <f>E742-F742</f>
        <v/>
      </c>
    </row>
    <row r="743" ht="14.25" customHeight="1">
      <c r="A743" s="1919" t="inlineStr">
        <is>
          <t>07/11/2023</t>
        </is>
      </c>
      <c r="B743" s="1920" t="n">
        <v>6796.92</v>
      </c>
      <c r="C743" s="1926" t="n">
        <v>1095</v>
      </c>
      <c r="D743" s="1921">
        <f>B743/B744-1</f>
        <v/>
      </c>
      <c r="E743" s="1921">
        <f>C743/C744-1</f>
        <v/>
      </c>
      <c r="F743" s="1921">
        <f>$L$2/365</f>
        <v/>
      </c>
      <c r="G743" s="1921">
        <f>D743-F743</f>
        <v/>
      </c>
      <c r="H743" s="1921">
        <f>E743-F743</f>
        <v/>
      </c>
    </row>
    <row r="744" ht="14.25" customHeight="1">
      <c r="A744" s="1919" t="inlineStr">
        <is>
          <t>07/10/2023</t>
        </is>
      </c>
      <c r="B744" s="1920" t="n">
        <v>6731.04</v>
      </c>
      <c r="C744" s="1926" t="n">
        <v>1105</v>
      </c>
      <c r="D744" s="1921">
        <f>B744/B745-1</f>
        <v/>
      </c>
      <c r="E744" s="1921">
        <f>C744/C745-1</f>
        <v/>
      </c>
      <c r="F744" s="1921">
        <f>$L$2/365</f>
        <v/>
      </c>
      <c r="G744" s="1921">
        <f>D744-F744</f>
        <v/>
      </c>
      <c r="H744" s="1921">
        <f>E744-F744</f>
        <v/>
      </c>
    </row>
    <row r="745" ht="14.25" customHeight="1">
      <c r="A745" s="1919" t="inlineStr">
        <is>
          <t>07/07/2023</t>
        </is>
      </c>
      <c r="B745" s="1920" t="n">
        <v>6716.46</v>
      </c>
      <c r="C745" s="1926" t="n">
        <v>1100</v>
      </c>
      <c r="D745" s="1921">
        <f>B745/B746-1</f>
        <v/>
      </c>
      <c r="E745" s="1921">
        <f>C745/C746-1</f>
        <v/>
      </c>
      <c r="F745" s="1921">
        <f>$L$2/365</f>
        <v/>
      </c>
      <c r="G745" s="1921">
        <f>D745-F745</f>
        <v/>
      </c>
      <c r="H745" s="1921">
        <f>E745-F745</f>
        <v/>
      </c>
    </row>
    <row r="746" ht="14.25" customHeight="1">
      <c r="A746" s="1919" t="inlineStr">
        <is>
          <t>07/06/2023</t>
        </is>
      </c>
      <c r="B746" s="1920" t="n">
        <v>6757.33</v>
      </c>
      <c r="C746" s="1926" t="n">
        <v>1110</v>
      </c>
      <c r="D746" s="1921">
        <f>B746/B747-1</f>
        <v/>
      </c>
      <c r="E746" s="1921">
        <f>C746/C747-1</f>
        <v/>
      </c>
      <c r="F746" s="1921">
        <f>$L$2/365</f>
        <v/>
      </c>
      <c r="G746" s="1921">
        <f>D746-F746</f>
        <v/>
      </c>
      <c r="H746" s="1921">
        <f>E746-F746</f>
        <v/>
      </c>
    </row>
    <row r="747" ht="14.25" customHeight="1">
      <c r="A747" s="1919" t="inlineStr">
        <is>
          <t>07/05/2023</t>
        </is>
      </c>
      <c r="B747" s="1920" t="n">
        <v>6718.98</v>
      </c>
      <c r="C747" s="1926" t="n">
        <v>1110</v>
      </c>
      <c r="D747" s="1921">
        <f>B747/B748-1</f>
        <v/>
      </c>
      <c r="E747" s="1921">
        <f>C747/C748-1</f>
        <v/>
      </c>
      <c r="F747" s="1921">
        <f>$L$2/365</f>
        <v/>
      </c>
      <c r="G747" s="1921">
        <f>D747-F747</f>
        <v/>
      </c>
      <c r="H747" s="1921">
        <f>E747-F747</f>
        <v/>
      </c>
    </row>
    <row r="748" ht="14.25" customHeight="1">
      <c r="A748" s="1919" t="inlineStr">
        <is>
          <t>07/04/2023</t>
        </is>
      </c>
      <c r="B748" s="1920" t="n">
        <v>6681.75</v>
      </c>
      <c r="C748" s="1926" t="n">
        <v>1075</v>
      </c>
      <c r="D748" s="1921">
        <f>B748/B749-1</f>
        <v/>
      </c>
      <c r="E748" s="1921">
        <f>C748/C749-1</f>
        <v/>
      </c>
      <c r="F748" s="1921">
        <f>$L$2/365</f>
        <v/>
      </c>
      <c r="G748" s="1921">
        <f>D748-F748</f>
        <v/>
      </c>
      <c r="H748" s="1921">
        <f>E748-F748</f>
        <v/>
      </c>
    </row>
    <row r="749" ht="14.25" customHeight="1">
      <c r="A749" s="1919" t="inlineStr">
        <is>
          <t>07/03/2023</t>
        </is>
      </c>
      <c r="B749" s="1920" t="n">
        <v>6696.72</v>
      </c>
      <c r="C749" s="1926" t="n">
        <v>1050</v>
      </c>
      <c r="D749" s="1921">
        <f>B749/B750-1</f>
        <v/>
      </c>
      <c r="E749" s="1921">
        <f>C749/C750-1</f>
        <v/>
      </c>
      <c r="F749" s="1921">
        <f>$L$2/365</f>
        <v/>
      </c>
      <c r="G749" s="1921">
        <f>D749-F749</f>
        <v/>
      </c>
      <c r="H749" s="1921">
        <f>E749-F749</f>
        <v/>
      </c>
    </row>
    <row r="750" ht="14.25" customHeight="1">
      <c r="A750" s="1919" t="inlineStr">
        <is>
          <t>06/27/2023</t>
        </is>
      </c>
      <c r="B750" s="1920" t="n">
        <v>6661.88</v>
      </c>
      <c r="C750" s="1926" t="n">
        <v>1055</v>
      </c>
      <c r="D750" s="1921">
        <f>B750/B751-1</f>
        <v/>
      </c>
      <c r="E750" s="1921">
        <f>C750/C751-1</f>
        <v/>
      </c>
      <c r="F750" s="1921">
        <f>$L$2/365</f>
        <v/>
      </c>
      <c r="G750" s="1921">
        <f>D750-F750</f>
        <v/>
      </c>
      <c r="H750" s="1921">
        <f>E750-F750</f>
        <v/>
      </c>
    </row>
    <row r="751" ht="14.25" customHeight="1">
      <c r="A751" s="1919" t="inlineStr">
        <is>
          <t>06/26/2023</t>
        </is>
      </c>
      <c r="B751" s="1920" t="n">
        <v>6664.67</v>
      </c>
      <c r="C751" s="1926" t="n">
        <v>1060</v>
      </c>
      <c r="D751" s="1921">
        <f>B751/B752-1</f>
        <v/>
      </c>
      <c r="E751" s="1921">
        <f>C751/C752-1</f>
        <v/>
      </c>
      <c r="F751" s="1921">
        <f>$L$2/365</f>
        <v/>
      </c>
      <c r="G751" s="1921">
        <f>D751-F751</f>
        <v/>
      </c>
      <c r="H751" s="1921">
        <f>E751-F751</f>
        <v/>
      </c>
    </row>
    <row r="752" ht="14.25" customHeight="1">
      <c r="A752" s="1919" t="inlineStr">
        <is>
          <t>06/23/2023</t>
        </is>
      </c>
      <c r="B752" s="1920" t="n">
        <v>6639.73</v>
      </c>
      <c r="C752" s="1926" t="n">
        <v>1055</v>
      </c>
      <c r="D752" s="1921">
        <f>B752/B753-1</f>
        <v/>
      </c>
      <c r="E752" s="1921">
        <f>C752/C753-1</f>
        <v/>
      </c>
      <c r="F752" s="1921">
        <f>$L$2/365</f>
        <v/>
      </c>
      <c r="G752" s="1921">
        <f>D752-F752</f>
        <v/>
      </c>
      <c r="H752" s="1921">
        <f>E752-F752</f>
        <v/>
      </c>
    </row>
    <row r="753" ht="14.25" customHeight="1">
      <c r="A753" s="1919" t="inlineStr">
        <is>
          <t>06/22/2023</t>
        </is>
      </c>
      <c r="B753" s="1920" t="n">
        <v>6652.26</v>
      </c>
      <c r="C753" s="1926" t="n">
        <v>1040</v>
      </c>
      <c r="D753" s="1921">
        <f>B753/B754-1</f>
        <v/>
      </c>
      <c r="E753" s="1921">
        <f>C753/C754-1</f>
        <v/>
      </c>
      <c r="F753" s="1921">
        <f>$L$2/365</f>
        <v/>
      </c>
      <c r="G753" s="1921">
        <f>D753-F753</f>
        <v/>
      </c>
      <c r="H753" s="1921">
        <f>E753-F753</f>
        <v/>
      </c>
    </row>
    <row r="754" ht="14.25" customHeight="1">
      <c r="A754" s="1919" t="inlineStr">
        <is>
          <t>06/21/2023</t>
        </is>
      </c>
      <c r="B754" s="1920" t="n">
        <v>6702.63</v>
      </c>
      <c r="C754" s="1926" t="n">
        <v>1035</v>
      </c>
      <c r="D754" s="1921">
        <f>B754/B755-1</f>
        <v/>
      </c>
      <c r="E754" s="1921">
        <f>C754/C755-1</f>
        <v/>
      </c>
      <c r="F754" s="1921">
        <f>$L$2/365</f>
        <v/>
      </c>
      <c r="G754" s="1921">
        <f>D754-F754</f>
        <v/>
      </c>
      <c r="H754" s="1921">
        <f>E754-F754</f>
        <v/>
      </c>
    </row>
    <row r="755" ht="14.25" customHeight="1">
      <c r="A755" s="1919" t="inlineStr">
        <is>
          <t>06/20/2023</t>
        </is>
      </c>
      <c r="B755" s="1920" t="n">
        <v>6660.46</v>
      </c>
      <c r="C755" s="1926" t="n">
        <v>1025</v>
      </c>
      <c r="D755" s="1921">
        <f>B755/B756-1</f>
        <v/>
      </c>
      <c r="E755" s="1921">
        <f>C755/C756-1</f>
        <v/>
      </c>
      <c r="F755" s="1921">
        <f>$L$2/365</f>
        <v/>
      </c>
      <c r="G755" s="1921">
        <f>D755-F755</f>
        <v/>
      </c>
      <c r="H755" s="1921">
        <f>E755-F755</f>
        <v/>
      </c>
    </row>
    <row r="756" ht="14.25" customHeight="1">
      <c r="A756" s="1919" t="inlineStr">
        <is>
          <t>06/19/2023</t>
        </is>
      </c>
      <c r="B756" s="1920" t="n">
        <v>6686.06</v>
      </c>
      <c r="C756" s="1926" t="n">
        <v>1025</v>
      </c>
      <c r="D756" s="1921">
        <f>B756/B757-1</f>
        <v/>
      </c>
      <c r="E756" s="1921">
        <f>C756/C757-1</f>
        <v/>
      </c>
      <c r="F756" s="1921">
        <f>$L$2/365</f>
        <v/>
      </c>
      <c r="G756" s="1921">
        <f>D756-F756</f>
        <v/>
      </c>
      <c r="H756" s="1921">
        <f>E756-F756</f>
        <v/>
      </c>
    </row>
    <row r="757" ht="14.25" customHeight="1">
      <c r="A757" s="1919" t="inlineStr">
        <is>
          <t>06/16/2023</t>
        </is>
      </c>
      <c r="B757" s="1920" t="n">
        <v>6698.55</v>
      </c>
      <c r="C757" s="1926" t="n">
        <v>1005</v>
      </c>
      <c r="D757" s="1921">
        <f>B757/B758-1</f>
        <v/>
      </c>
      <c r="E757" s="1921">
        <f>C757/C758-1</f>
        <v/>
      </c>
      <c r="F757" s="1921">
        <f>$L$2/365</f>
        <v/>
      </c>
      <c r="G757" s="1921">
        <f>D757-F757</f>
        <v/>
      </c>
      <c r="H757" s="1921">
        <f>E757-F757</f>
        <v/>
      </c>
    </row>
    <row r="758" ht="14.25" customHeight="1">
      <c r="A758" s="1919" t="inlineStr">
        <is>
          <t>06/15/2023</t>
        </is>
      </c>
      <c r="B758" s="1920" t="n">
        <v>6713.79</v>
      </c>
      <c r="C758" s="1926" t="n">
        <v>1030</v>
      </c>
      <c r="D758" s="1921">
        <f>B758/B759-1</f>
        <v/>
      </c>
      <c r="E758" s="1921">
        <f>C758/C759-1</f>
        <v/>
      </c>
      <c r="F758" s="1921">
        <f>$L$2/365</f>
        <v/>
      </c>
      <c r="G758" s="1921">
        <f>D758-F758</f>
        <v/>
      </c>
      <c r="H758" s="1921">
        <f>E758-F758</f>
        <v/>
      </c>
    </row>
    <row r="759" ht="14.25" customHeight="1">
      <c r="A759" s="1919" t="inlineStr">
        <is>
          <t>06/14/2023</t>
        </is>
      </c>
      <c r="B759" s="1920" t="n">
        <v>6699.72</v>
      </c>
      <c r="C759" s="1926" t="n">
        <v>1030</v>
      </c>
      <c r="D759" s="1921">
        <f>B759/B760-1</f>
        <v/>
      </c>
      <c r="E759" s="1921">
        <f>C759/C760-1</f>
        <v/>
      </c>
      <c r="F759" s="1921">
        <f>$L$2/365</f>
        <v/>
      </c>
      <c r="G759" s="1921">
        <f>D759-F759</f>
        <v/>
      </c>
      <c r="H759" s="1921">
        <f>E759-F759</f>
        <v/>
      </c>
    </row>
    <row r="760" ht="14.25" customHeight="1">
      <c r="A760" s="1919" t="inlineStr">
        <is>
          <t>06/13/2023</t>
        </is>
      </c>
      <c r="B760" s="1920" t="n">
        <v>6719.01</v>
      </c>
      <c r="C760" s="1926" t="n">
        <v>1005</v>
      </c>
      <c r="D760" s="1921">
        <f>B760/B761-1</f>
        <v/>
      </c>
      <c r="E760" s="1921">
        <f>C760/C761-1</f>
        <v/>
      </c>
      <c r="F760" s="1921">
        <f>$L$2/365</f>
        <v/>
      </c>
      <c r="G760" s="1921">
        <f>D760-F760</f>
        <v/>
      </c>
      <c r="H760" s="1921">
        <f>E760-F760</f>
        <v/>
      </c>
    </row>
    <row r="761" ht="14.25" customHeight="1">
      <c r="A761" s="1919" t="inlineStr">
        <is>
          <t>06/12/2023</t>
        </is>
      </c>
      <c r="B761" s="1920" t="n">
        <v>6722.37</v>
      </c>
      <c r="C761" s="1926" t="n">
        <v>1010</v>
      </c>
      <c r="D761" s="1921">
        <f>B761/B762-1</f>
        <v/>
      </c>
      <c r="E761" s="1921">
        <f>C761/C762-1</f>
        <v/>
      </c>
      <c r="F761" s="1921">
        <f>$L$2/365</f>
        <v/>
      </c>
      <c r="G761" s="1921">
        <f>D761-F761</f>
        <v/>
      </c>
      <c r="H761" s="1921">
        <f>E761-F761</f>
        <v/>
      </c>
    </row>
    <row r="762" ht="14.25" customHeight="1">
      <c r="A762" s="1919" t="inlineStr">
        <is>
          <t>06/09/2023</t>
        </is>
      </c>
      <c r="B762" s="1920" t="n">
        <v>6694.02</v>
      </c>
      <c r="C762" s="1926" t="n">
        <v>1015</v>
      </c>
      <c r="D762" s="1921">
        <f>B762/B763-1</f>
        <v/>
      </c>
      <c r="E762" s="1921">
        <f>C762/C763-1</f>
        <v/>
      </c>
      <c r="F762" s="1921">
        <f>$L$2/365</f>
        <v/>
      </c>
      <c r="G762" s="1921">
        <f>D762-F762</f>
        <v/>
      </c>
      <c r="H762" s="1921">
        <f>E762-F762</f>
        <v/>
      </c>
    </row>
    <row r="763" ht="14.25" customHeight="1">
      <c r="A763" s="1919" t="inlineStr">
        <is>
          <t>06/08/2023</t>
        </is>
      </c>
      <c r="B763" s="1920" t="n">
        <v>6666.33</v>
      </c>
      <c r="C763" s="1926" t="n">
        <v>1000</v>
      </c>
      <c r="D763" s="1921">
        <f>B763/B764-1</f>
        <v/>
      </c>
      <c r="E763" s="1921">
        <f>C763/C764-1</f>
        <v/>
      </c>
      <c r="F763" s="1921">
        <f>$L$2/365</f>
        <v/>
      </c>
      <c r="G763" s="1921">
        <f>D763-F763</f>
        <v/>
      </c>
      <c r="H763" s="1921">
        <f>E763-F763</f>
        <v/>
      </c>
    </row>
    <row r="764" ht="14.25" customHeight="1">
      <c r="A764" s="1919" t="inlineStr">
        <is>
          <t>06/07/2023</t>
        </is>
      </c>
      <c r="B764" s="1920" t="n">
        <v>6619.75</v>
      </c>
      <c r="C764" s="1926" t="n">
        <v>1000</v>
      </c>
      <c r="D764" s="1921">
        <f>B764/B765-1</f>
        <v/>
      </c>
      <c r="E764" s="1921">
        <f>C764/C765-1</f>
        <v/>
      </c>
      <c r="F764" s="1921">
        <f>$L$2/365</f>
        <v/>
      </c>
      <c r="G764" s="1921">
        <f>D764-F764</f>
        <v/>
      </c>
      <c r="H764" s="1921">
        <f>E764-F764</f>
        <v/>
      </c>
    </row>
    <row r="765" ht="14.25" customHeight="1">
      <c r="A765" s="1919" t="inlineStr">
        <is>
          <t>06/06/2023</t>
        </is>
      </c>
      <c r="B765" s="1920" t="n">
        <v>6618.92</v>
      </c>
      <c r="C765" s="1919" t="inlineStr">
        <is>
          <t>995</t>
        </is>
      </c>
      <c r="D765" s="1921">
        <f>B765/B766-1</f>
        <v/>
      </c>
      <c r="E765" s="1921">
        <f>C765/C766-1</f>
        <v/>
      </c>
      <c r="F765" s="1921">
        <f>$L$2/365</f>
        <v/>
      </c>
      <c r="G765" s="1921">
        <f>D765-F765</f>
        <v/>
      </c>
      <c r="H765" s="1921">
        <f>E765-F765</f>
        <v/>
      </c>
    </row>
    <row r="766" ht="14.25" customHeight="1">
      <c r="A766" s="1919" t="inlineStr">
        <is>
          <t>06/05/2023</t>
        </is>
      </c>
      <c r="B766" s="1920" t="n">
        <v>6633.44</v>
      </c>
      <c r="C766" s="1926" t="n">
        <v>1000</v>
      </c>
      <c r="D766" s="1921">
        <f>B766/B767-1</f>
        <v/>
      </c>
      <c r="E766" s="1921">
        <f>C766/C767-1</f>
        <v/>
      </c>
      <c r="F766" s="1921">
        <f>$L$2/365</f>
        <v/>
      </c>
      <c r="G766" s="1921">
        <f>D766-F766</f>
        <v/>
      </c>
      <c r="H766" s="1921">
        <f>E766-F766</f>
        <v/>
      </c>
    </row>
    <row r="767" ht="14.25" customHeight="1">
      <c r="A767" s="1919" t="inlineStr">
        <is>
          <t>05/31/2023</t>
        </is>
      </c>
      <c r="B767" s="1920" t="n">
        <v>6633.26</v>
      </c>
      <c r="C767" s="1919" t="inlineStr">
        <is>
          <t>990</t>
        </is>
      </c>
      <c r="D767" s="1921">
        <f>B767/B768-1</f>
        <v/>
      </c>
      <c r="E767" s="1921">
        <f>C767/C768-1</f>
        <v/>
      </c>
      <c r="F767" s="1921">
        <f>$L$2/365</f>
        <v/>
      </c>
      <c r="G767" s="1921">
        <f>D767-F767</f>
        <v/>
      </c>
      <c r="H767" s="1921">
        <f>E767-F767</f>
        <v/>
      </c>
    </row>
    <row r="768" ht="14.25" customHeight="1">
      <c r="A768" s="1919" t="inlineStr">
        <is>
          <t>05/30/2023</t>
        </is>
      </c>
      <c r="B768" s="1920" t="n">
        <v>6636.42</v>
      </c>
      <c r="C768" s="1919" t="inlineStr">
        <is>
          <t>995</t>
        </is>
      </c>
      <c r="D768" s="1921">
        <f>B768/B769-1</f>
        <v/>
      </c>
      <c r="E768" s="1921">
        <f>C768/C769-1</f>
        <v/>
      </c>
      <c r="F768" s="1921">
        <f>$L$2/365</f>
        <v/>
      </c>
      <c r="G768" s="1921">
        <f>D768-F768</f>
        <v/>
      </c>
      <c r="H768" s="1921">
        <f>E768-F768</f>
        <v/>
      </c>
    </row>
    <row r="769" ht="14.25" customHeight="1">
      <c r="A769" s="1919" t="inlineStr">
        <is>
          <t>05/29/2023</t>
        </is>
      </c>
      <c r="B769" s="1920" t="n">
        <v>6681.1</v>
      </c>
      <c r="C769" s="1926" t="n">
        <v>1005</v>
      </c>
      <c r="D769" s="1921">
        <f>B769/B770-1</f>
        <v/>
      </c>
      <c r="E769" s="1921">
        <f>C769/C770-1</f>
        <v/>
      </c>
      <c r="F769" s="1921">
        <f>$L$2/365</f>
        <v/>
      </c>
      <c r="G769" s="1921">
        <f>D769-F769</f>
        <v/>
      </c>
      <c r="H769" s="1921">
        <f>E769-F769</f>
        <v/>
      </c>
    </row>
    <row r="770" ht="14.25" customHeight="1">
      <c r="A770" s="1919" t="inlineStr">
        <is>
          <t>05/26/2023</t>
        </is>
      </c>
      <c r="B770" s="1920" t="n">
        <v>6687</v>
      </c>
      <c r="C770" s="1926" t="n">
        <v>1010</v>
      </c>
      <c r="D770" s="1921">
        <f>B770/B771-1</f>
        <v/>
      </c>
      <c r="E770" s="1921">
        <f>C770/C771-1</f>
        <v/>
      </c>
      <c r="F770" s="1921">
        <f>$L$2/365</f>
        <v/>
      </c>
      <c r="G770" s="1921">
        <f>D770-F770</f>
        <v/>
      </c>
      <c r="H770" s="1921">
        <f>E770-F770</f>
        <v/>
      </c>
    </row>
    <row r="771" ht="14.25" customHeight="1">
      <c r="A771" s="1919" t="inlineStr">
        <is>
          <t>05/25/2023</t>
        </is>
      </c>
      <c r="B771" s="1920" t="n">
        <v>6704.23</v>
      </c>
      <c r="C771" s="1926" t="n">
        <v>1020</v>
      </c>
      <c r="D771" s="1921">
        <f>B771/B772-1</f>
        <v/>
      </c>
      <c r="E771" s="1921">
        <f>C771/C772-1</f>
        <v/>
      </c>
      <c r="F771" s="1921">
        <f>$L$2/365</f>
        <v/>
      </c>
      <c r="G771" s="1921">
        <f>D771-F771</f>
        <v/>
      </c>
      <c r="H771" s="1921">
        <f>E771-F771</f>
        <v/>
      </c>
    </row>
    <row r="772" ht="14.25" customHeight="1">
      <c r="A772" s="1919" t="inlineStr">
        <is>
          <t>05/24/2023</t>
        </is>
      </c>
      <c r="B772" s="1920" t="n">
        <v>6745.8</v>
      </c>
      <c r="C772" s="1926" t="n">
        <v>1005</v>
      </c>
      <c r="D772" s="1921">
        <f>B772/B773-1</f>
        <v/>
      </c>
      <c r="E772" s="1921">
        <f>C772/C773-1</f>
        <v/>
      </c>
      <c r="F772" s="1921">
        <f>$L$2/365</f>
        <v/>
      </c>
      <c r="G772" s="1921">
        <f>D772-F772</f>
        <v/>
      </c>
      <c r="H772" s="1921">
        <f>E772-F772</f>
        <v/>
      </c>
    </row>
    <row r="773" ht="14.25" customHeight="1">
      <c r="A773" s="1919" t="inlineStr">
        <is>
          <t>05/23/2023</t>
        </is>
      </c>
      <c r="B773" s="1920" t="n">
        <v>6736.68</v>
      </c>
      <c r="C773" s="1926" t="n">
        <v>1010</v>
      </c>
      <c r="D773" s="1921">
        <f>B773/B774-1</f>
        <v/>
      </c>
      <c r="E773" s="1921">
        <f>C773/C774-1</f>
        <v/>
      </c>
      <c r="F773" s="1921">
        <f>$L$2/365</f>
        <v/>
      </c>
      <c r="G773" s="1921">
        <f>D773-F773</f>
        <v/>
      </c>
      <c r="H773" s="1921">
        <f>E773-F773</f>
        <v/>
      </c>
    </row>
    <row r="774" ht="14.25" customHeight="1">
      <c r="A774" s="1919" t="inlineStr">
        <is>
          <t>05/22/2023</t>
        </is>
      </c>
      <c r="B774" s="1920" t="n">
        <v>6729.65</v>
      </c>
      <c r="C774" s="1926" t="n">
        <v>1010</v>
      </c>
      <c r="D774" s="1921">
        <f>B774/B775-1</f>
        <v/>
      </c>
      <c r="E774" s="1921">
        <f>C774/C775-1</f>
        <v/>
      </c>
      <c r="F774" s="1921">
        <f>$L$2/365</f>
        <v/>
      </c>
      <c r="G774" s="1921">
        <f>D774-F774</f>
        <v/>
      </c>
      <c r="H774" s="1921">
        <f>E774-F774</f>
        <v/>
      </c>
    </row>
    <row r="775" ht="14.25" customHeight="1">
      <c r="A775" s="1919" t="inlineStr">
        <is>
          <t>05/19/2023</t>
        </is>
      </c>
      <c r="B775" s="1920" t="n">
        <v>6700.56</v>
      </c>
      <c r="C775" s="1926" t="n">
        <v>1035</v>
      </c>
      <c r="D775" s="1921">
        <f>B775/B776-1</f>
        <v/>
      </c>
      <c r="E775" s="1921">
        <f>C775/C776-1</f>
        <v/>
      </c>
      <c r="F775" s="1921">
        <f>$L$2/365</f>
        <v/>
      </c>
      <c r="G775" s="1921">
        <f>D775-F775</f>
        <v/>
      </c>
      <c r="H775" s="1921">
        <f>E775-F775</f>
        <v/>
      </c>
    </row>
    <row r="776" ht="14.25" customHeight="1">
      <c r="A776" s="1919" t="inlineStr">
        <is>
          <t>05/17/2023</t>
        </is>
      </c>
      <c r="B776" s="1920" t="n">
        <v>6663.11</v>
      </c>
      <c r="C776" s="1926" t="n">
        <v>1010</v>
      </c>
      <c r="D776" s="1921">
        <f>B776/B777-1</f>
        <v/>
      </c>
      <c r="E776" s="1921">
        <f>C776/C777-1</f>
        <v/>
      </c>
      <c r="F776" s="1921">
        <f>$L$2/365</f>
        <v/>
      </c>
      <c r="G776" s="1921">
        <f>D776-F776</f>
        <v/>
      </c>
      <c r="H776" s="1921">
        <f>E776-F776</f>
        <v/>
      </c>
    </row>
    <row r="777" ht="14.25" customHeight="1">
      <c r="A777" s="1919" t="inlineStr">
        <is>
          <t>05/16/2023</t>
        </is>
      </c>
      <c r="B777" s="1920" t="n">
        <v>6676.56</v>
      </c>
      <c r="C777" s="1919" t="inlineStr">
        <is>
          <t>960</t>
        </is>
      </c>
      <c r="D777" s="1921">
        <f>B777/B778-1</f>
        <v/>
      </c>
      <c r="E777" s="1921">
        <f>C777/C778-1</f>
        <v/>
      </c>
      <c r="F777" s="1921">
        <f>$L$2/365</f>
        <v/>
      </c>
      <c r="G777" s="1921">
        <f>D777-F777</f>
        <v/>
      </c>
      <c r="H777" s="1921">
        <f>E777-F777</f>
        <v/>
      </c>
    </row>
    <row r="778" ht="14.25" customHeight="1">
      <c r="A778" s="1919" t="inlineStr">
        <is>
          <t>05/15/2023</t>
        </is>
      </c>
      <c r="B778" s="1920" t="n">
        <v>6711.74</v>
      </c>
      <c r="C778" s="1919" t="inlineStr">
        <is>
          <t>995</t>
        </is>
      </c>
      <c r="D778" s="1921">
        <f>B778/B779-1</f>
        <v/>
      </c>
      <c r="E778" s="1921">
        <f>C778/C779-1</f>
        <v/>
      </c>
      <c r="F778" s="1921">
        <f>$L$2/365</f>
        <v/>
      </c>
      <c r="G778" s="1921">
        <f>D778-F778</f>
        <v/>
      </c>
      <c r="H778" s="1921">
        <f>E778-F778</f>
        <v/>
      </c>
    </row>
    <row r="779" ht="14.25" customHeight="1">
      <c r="A779" s="1919" t="inlineStr">
        <is>
          <t>05/12/2023</t>
        </is>
      </c>
      <c r="B779" s="1920" t="n">
        <v>6707.76</v>
      </c>
      <c r="C779" s="1919" t="inlineStr">
        <is>
          <t>980</t>
        </is>
      </c>
      <c r="D779" s="1921">
        <f>B779/B780-1</f>
        <v/>
      </c>
      <c r="E779" s="1921">
        <f>C779/C780-1</f>
        <v/>
      </c>
      <c r="F779" s="1921">
        <f>$L$2/365</f>
        <v/>
      </c>
      <c r="G779" s="1921">
        <f>D779-F779</f>
        <v/>
      </c>
      <c r="H779" s="1921">
        <f>E779-F779</f>
        <v/>
      </c>
    </row>
    <row r="780" ht="14.25" customHeight="1">
      <c r="A780" s="1919" t="inlineStr">
        <is>
          <t>05/11/2023</t>
        </is>
      </c>
      <c r="B780" s="1920" t="n">
        <v>6755.94</v>
      </c>
      <c r="C780" s="1926" t="n">
        <v>1010</v>
      </c>
      <c r="D780" s="1921">
        <f>B780/B781-1</f>
        <v/>
      </c>
      <c r="E780" s="1921">
        <f>C780/C781-1</f>
        <v/>
      </c>
      <c r="F780" s="1921">
        <f>$L$2/365</f>
        <v/>
      </c>
      <c r="G780" s="1921">
        <f>D780-F780</f>
        <v/>
      </c>
      <c r="H780" s="1921">
        <f>E780-F780</f>
        <v/>
      </c>
    </row>
    <row r="781" ht="14.25" customHeight="1">
      <c r="A781" s="1919" t="inlineStr">
        <is>
          <t>05/10/2023</t>
        </is>
      </c>
      <c r="B781" s="1920" t="n">
        <v>6811.9</v>
      </c>
      <c r="C781" s="1926" t="n">
        <v>1025</v>
      </c>
      <c r="D781" s="1921">
        <f>B781/B782-1</f>
        <v/>
      </c>
      <c r="E781" s="1921">
        <f>C781/C782-1</f>
        <v/>
      </c>
      <c r="F781" s="1921">
        <f>$L$2/365</f>
        <v/>
      </c>
      <c r="G781" s="1921">
        <f>D781-F781</f>
        <v/>
      </c>
      <c r="H781" s="1921">
        <f>E781-F781</f>
        <v/>
      </c>
    </row>
    <row r="782" ht="14.25" customHeight="1">
      <c r="A782" s="1919" t="inlineStr">
        <is>
          <t>05/09/2023</t>
        </is>
      </c>
      <c r="B782" s="1920" t="n">
        <v>6779.98</v>
      </c>
      <c r="C782" s="1926" t="n">
        <v>1010</v>
      </c>
      <c r="D782" s="1921">
        <f>B782/B783-1</f>
        <v/>
      </c>
      <c r="E782" s="1921">
        <f>C782/C783-1</f>
        <v/>
      </c>
      <c r="F782" s="1921">
        <f>$L$2/365</f>
        <v/>
      </c>
      <c r="G782" s="1921">
        <f>D782-F782</f>
        <v/>
      </c>
      <c r="H782" s="1921">
        <f>E782-F782</f>
        <v/>
      </c>
    </row>
    <row r="783" ht="14.25" customHeight="1">
      <c r="A783" s="1919" t="inlineStr">
        <is>
          <t>05/08/2023</t>
        </is>
      </c>
      <c r="B783" s="1920" t="n">
        <v>6769.63</v>
      </c>
      <c r="C783" s="1926" t="n">
        <v>1005</v>
      </c>
      <c r="D783" s="1921">
        <f>B783/B784-1</f>
        <v/>
      </c>
      <c r="E783" s="1921">
        <f>C783/C784-1</f>
        <v/>
      </c>
      <c r="F783" s="1921">
        <f>$L$2/365</f>
        <v/>
      </c>
      <c r="G783" s="1921">
        <f>D783-F783</f>
        <v/>
      </c>
      <c r="H783" s="1921">
        <f>E783-F783</f>
        <v/>
      </c>
    </row>
    <row r="784" ht="14.25" customHeight="1">
      <c r="A784" s="1919" t="inlineStr">
        <is>
          <t>05/05/2023</t>
        </is>
      </c>
      <c r="B784" s="1920" t="n">
        <v>6787.63</v>
      </c>
      <c r="C784" s="1926" t="n">
        <v>1010</v>
      </c>
      <c r="D784" s="1921">
        <f>B784/B785-1</f>
        <v/>
      </c>
      <c r="E784" s="1921">
        <f>C784/C785-1</f>
        <v/>
      </c>
      <c r="F784" s="1921">
        <f>$L$2/365</f>
        <v/>
      </c>
      <c r="G784" s="1921">
        <f>D784-F784</f>
        <v/>
      </c>
      <c r="H784" s="1921">
        <f>E784-F784</f>
        <v/>
      </c>
    </row>
    <row r="785" ht="14.25" customHeight="1">
      <c r="A785" s="1919" t="inlineStr">
        <is>
          <t>05/04/2023</t>
        </is>
      </c>
      <c r="B785" s="1920" t="n">
        <v>6844.03</v>
      </c>
      <c r="C785" s="1926" t="n">
        <v>1015</v>
      </c>
      <c r="D785" s="1921">
        <f>B785/B786-1</f>
        <v/>
      </c>
      <c r="E785" s="1921">
        <f>C785/C786-1</f>
        <v/>
      </c>
      <c r="F785" s="1921">
        <f>$L$2/365</f>
        <v/>
      </c>
      <c r="G785" s="1921">
        <f>D785-F785</f>
        <v/>
      </c>
      <c r="H785" s="1921">
        <f>E785-F785</f>
        <v/>
      </c>
    </row>
    <row r="786" ht="14.25" customHeight="1">
      <c r="A786" s="1919" t="inlineStr">
        <is>
          <t>05/03/2023</t>
        </is>
      </c>
      <c r="B786" s="1920" t="n">
        <v>6812.72</v>
      </c>
      <c r="C786" s="1919" t="inlineStr">
        <is>
          <t>980</t>
        </is>
      </c>
      <c r="D786" s="1921">
        <f>B786/B787-1</f>
        <v/>
      </c>
      <c r="E786" s="1921">
        <f>C786/C787-1</f>
        <v/>
      </c>
      <c r="F786" s="1921">
        <f>$L$2/365</f>
        <v/>
      </c>
      <c r="G786" s="1921">
        <f>D786-F786</f>
        <v/>
      </c>
      <c r="H786" s="1921">
        <f>E786-F786</f>
        <v/>
      </c>
    </row>
    <row r="787" ht="14.25" customHeight="1">
      <c r="A787" s="1919" t="inlineStr">
        <is>
          <t>05/02/2023</t>
        </is>
      </c>
      <c r="B787" s="1920" t="n">
        <v>6863.3</v>
      </c>
      <c r="C787" s="1926" t="n">
        <v>1015</v>
      </c>
      <c r="D787" s="1921">
        <f>B787/B788-1</f>
        <v/>
      </c>
      <c r="E787" s="1921">
        <f>C787/C788-1</f>
        <v/>
      </c>
      <c r="F787" s="1921">
        <f>$L$2/365</f>
        <v/>
      </c>
      <c r="G787" s="1921">
        <f>D787-F787</f>
        <v/>
      </c>
      <c r="H787" s="1921">
        <f>E787-F787</f>
        <v/>
      </c>
    </row>
    <row r="788" ht="14.25" customHeight="1">
      <c r="A788" s="1919" t="inlineStr">
        <is>
          <t>04/28/2023</t>
        </is>
      </c>
      <c r="B788" s="1920" t="n">
        <v>6915.72</v>
      </c>
      <c r="C788" s="1926" t="n">
        <v>1025</v>
      </c>
      <c r="D788" s="1921">
        <f>B788/B789-1</f>
        <v/>
      </c>
      <c r="E788" s="1921">
        <f>C788/C789-1</f>
        <v/>
      </c>
      <c r="F788" s="1921">
        <f>$L$2/365</f>
        <v/>
      </c>
      <c r="G788" s="1921">
        <f>D788-F788</f>
        <v/>
      </c>
      <c r="H788" s="1921">
        <f>E788-F788</f>
        <v/>
      </c>
    </row>
    <row r="789" ht="14.25" customHeight="1">
      <c r="A789" s="1919" t="inlineStr">
        <is>
          <t>04/27/2023</t>
        </is>
      </c>
      <c r="B789" s="1920" t="n">
        <v>6945.48</v>
      </c>
      <c r="C789" s="1926" t="n">
        <v>1055</v>
      </c>
      <c r="D789" s="1921">
        <f>B789/B790-1</f>
        <v/>
      </c>
      <c r="E789" s="1921">
        <f>C789/C790-1</f>
        <v/>
      </c>
      <c r="F789" s="1921">
        <f>$L$2/365</f>
        <v/>
      </c>
      <c r="G789" s="1921">
        <f>D789-F789</f>
        <v/>
      </c>
      <c r="H789" s="1921">
        <f>E789-F789</f>
        <v/>
      </c>
    </row>
    <row r="790" ht="14.25" customHeight="1">
      <c r="A790" s="1919" t="inlineStr">
        <is>
          <t>04/26/2023</t>
        </is>
      </c>
      <c r="B790" s="1920" t="n">
        <v>6910.15</v>
      </c>
      <c r="C790" s="1926" t="n">
        <v>1030</v>
      </c>
      <c r="D790" s="1921">
        <f>B790/B791-1</f>
        <v/>
      </c>
      <c r="E790" s="1921">
        <f>C790/C791-1</f>
        <v/>
      </c>
      <c r="F790" s="1921">
        <f>$L$2/365</f>
        <v/>
      </c>
      <c r="G790" s="1921">
        <f>D790-F790</f>
        <v/>
      </c>
      <c r="H790" s="1921">
        <f>E790-F790</f>
        <v/>
      </c>
    </row>
    <row r="791" ht="14.25" customHeight="1">
      <c r="A791" s="1919" t="inlineStr">
        <is>
          <t>04/18/2023</t>
        </is>
      </c>
      <c r="B791" s="1920" t="n">
        <v>6821.81</v>
      </c>
      <c r="C791" s="1919" t="inlineStr">
        <is>
          <t>995</t>
        </is>
      </c>
      <c r="D791" s="1921">
        <f>B791/B792-1</f>
        <v/>
      </c>
      <c r="E791" s="1921">
        <f>C791/C792-1</f>
        <v/>
      </c>
      <c r="F791" s="1921">
        <f>$L$2/365</f>
        <v/>
      </c>
      <c r="G791" s="1921">
        <f>D791-F791</f>
        <v/>
      </c>
      <c r="H791" s="1921">
        <f>E791-F791</f>
        <v/>
      </c>
    </row>
    <row r="792" ht="14.25" customHeight="1">
      <c r="A792" s="1919" t="inlineStr">
        <is>
          <t>04/17/2023</t>
        </is>
      </c>
      <c r="B792" s="1920" t="n">
        <v>6787.58</v>
      </c>
      <c r="C792" s="1919" t="inlineStr">
        <is>
          <t>985</t>
        </is>
      </c>
      <c r="D792" s="1921">
        <f>B792/B793-1</f>
        <v/>
      </c>
      <c r="E792" s="1921">
        <f>C792/C793-1</f>
        <v/>
      </c>
      <c r="F792" s="1921">
        <f>$L$2/365</f>
        <v/>
      </c>
      <c r="G792" s="1921">
        <f>D792-F792</f>
        <v/>
      </c>
      <c r="H792" s="1921">
        <f>E792-F792</f>
        <v/>
      </c>
    </row>
    <row r="793" ht="14.25" customHeight="1">
      <c r="A793" s="1919" t="inlineStr">
        <is>
          <t>04/14/2023</t>
        </is>
      </c>
      <c r="B793" s="1920" t="n">
        <v>6818.57</v>
      </c>
      <c r="C793" s="1919" t="inlineStr">
        <is>
          <t>990</t>
        </is>
      </c>
      <c r="D793" s="1921">
        <f>B793/B794-1</f>
        <v/>
      </c>
      <c r="E793" s="1921">
        <f>C793/C794-1</f>
        <v/>
      </c>
      <c r="F793" s="1921">
        <f>$L$2/365</f>
        <v/>
      </c>
      <c r="G793" s="1921">
        <f>D793-F793</f>
        <v/>
      </c>
      <c r="H793" s="1921">
        <f>E793-F793</f>
        <v/>
      </c>
    </row>
    <row r="794" ht="14.25" customHeight="1">
      <c r="A794" s="1919" t="inlineStr">
        <is>
          <t>04/13/2023</t>
        </is>
      </c>
      <c r="B794" s="1920" t="n">
        <v>6785.6</v>
      </c>
      <c r="C794" s="1919" t="inlineStr">
        <is>
          <t>955</t>
        </is>
      </c>
      <c r="D794" s="1921">
        <f>B794/B795-1</f>
        <v/>
      </c>
      <c r="E794" s="1921">
        <f>C794/C795-1</f>
        <v/>
      </c>
      <c r="F794" s="1921">
        <f>$L$2/365</f>
        <v/>
      </c>
      <c r="G794" s="1921">
        <f>D794-F794</f>
        <v/>
      </c>
      <c r="H794" s="1921">
        <f>E794-F794</f>
        <v/>
      </c>
    </row>
    <row r="795" ht="14.25" customHeight="1">
      <c r="A795" s="1919" t="inlineStr">
        <is>
          <t>04/12/2023</t>
        </is>
      </c>
      <c r="B795" s="1920" t="n">
        <v>6798.96</v>
      </c>
      <c r="C795" s="1919" t="inlineStr">
        <is>
          <t>915</t>
        </is>
      </c>
      <c r="D795" s="1921">
        <f>B795/B796-1</f>
        <v/>
      </c>
      <c r="E795" s="1921">
        <f>C795/C796-1</f>
        <v/>
      </c>
      <c r="F795" s="1921">
        <f>$L$2/365</f>
        <v/>
      </c>
      <c r="G795" s="1921">
        <f>D795-F795</f>
        <v/>
      </c>
      <c r="H795" s="1921">
        <f>E795-F795</f>
        <v/>
      </c>
    </row>
    <row r="796" ht="14.25" customHeight="1">
      <c r="A796" s="1919" t="inlineStr">
        <is>
          <t>04/11/2023</t>
        </is>
      </c>
      <c r="B796" s="1920" t="n">
        <v>6811.31</v>
      </c>
      <c r="C796" s="1919" t="inlineStr">
        <is>
          <t>920</t>
        </is>
      </c>
      <c r="D796" s="1921">
        <f>B796/B797-1</f>
        <v/>
      </c>
      <c r="E796" s="1921">
        <f>C796/C797-1</f>
        <v/>
      </c>
      <c r="F796" s="1921">
        <f>$L$2/365</f>
        <v/>
      </c>
      <c r="G796" s="1921">
        <f>D796-F796</f>
        <v/>
      </c>
      <c r="H796" s="1921">
        <f>E796-F796</f>
        <v/>
      </c>
    </row>
    <row r="797" ht="14.25" customHeight="1">
      <c r="A797" s="1919" t="inlineStr">
        <is>
          <t>04/10/2023</t>
        </is>
      </c>
      <c r="B797" s="1920" t="n">
        <v>6771.23</v>
      </c>
      <c r="C797" s="1919" t="inlineStr">
        <is>
          <t>925</t>
        </is>
      </c>
      <c r="D797" s="1921">
        <f>B797/B798-1</f>
        <v/>
      </c>
      <c r="E797" s="1921">
        <f>C797/C798-1</f>
        <v/>
      </c>
      <c r="F797" s="1921">
        <f>$L$2/365</f>
        <v/>
      </c>
      <c r="G797" s="1921">
        <f>D797-F797</f>
        <v/>
      </c>
      <c r="H797" s="1921">
        <f>E797-F797</f>
        <v/>
      </c>
    </row>
    <row r="798" ht="14.25" customHeight="1">
      <c r="A798" s="1919" t="inlineStr">
        <is>
          <t>04/06/2023</t>
        </is>
      </c>
      <c r="B798" s="1920" t="n">
        <v>6792.77</v>
      </c>
      <c r="C798" s="1919" t="inlineStr">
        <is>
          <t>920</t>
        </is>
      </c>
      <c r="D798" s="1921">
        <f>B798/B799-1</f>
        <v/>
      </c>
      <c r="E798" s="1921">
        <f>C798/C799-1</f>
        <v/>
      </c>
      <c r="F798" s="1921">
        <f>$L$2/365</f>
        <v/>
      </c>
      <c r="G798" s="1921">
        <f>D798-F798</f>
        <v/>
      </c>
      <c r="H798" s="1921">
        <f>E798-F798</f>
        <v/>
      </c>
    </row>
    <row r="799" ht="14.25" customHeight="1">
      <c r="A799" s="1919" t="inlineStr">
        <is>
          <t>04/05/2023</t>
        </is>
      </c>
      <c r="B799" s="1920" t="n">
        <v>6819.67</v>
      </c>
      <c r="C799" s="1919" t="inlineStr">
        <is>
          <t>935</t>
        </is>
      </c>
      <c r="D799" s="1921">
        <f>B799/B800-1</f>
        <v/>
      </c>
      <c r="E799" s="1921">
        <f>C799/C800-1</f>
        <v/>
      </c>
      <c r="F799" s="1921">
        <f>$L$2/365</f>
        <v/>
      </c>
      <c r="G799" s="1921">
        <f>D799-F799</f>
        <v/>
      </c>
      <c r="H799" s="1921">
        <f>E799-F799</f>
        <v/>
      </c>
    </row>
    <row r="800" ht="14.25" customHeight="1">
      <c r="A800" s="1919" t="inlineStr">
        <is>
          <t>04/04/2023</t>
        </is>
      </c>
      <c r="B800" s="1920" t="n">
        <v>6833.18</v>
      </c>
      <c r="C800" s="1919" t="inlineStr">
        <is>
          <t>945</t>
        </is>
      </c>
      <c r="D800" s="1921">
        <f>B800/B801-1</f>
        <v/>
      </c>
      <c r="E800" s="1921">
        <f>C800/C801-1</f>
        <v/>
      </c>
      <c r="F800" s="1921">
        <f>$L$2/365</f>
        <v/>
      </c>
      <c r="G800" s="1921">
        <f>D800-F800</f>
        <v/>
      </c>
      <c r="H800" s="1921">
        <f>E800-F800</f>
        <v/>
      </c>
    </row>
    <row r="801" ht="14.25" customHeight="1">
      <c r="A801" s="1919" t="inlineStr">
        <is>
          <t>04/03/2023</t>
        </is>
      </c>
      <c r="B801" s="1920" t="n">
        <v>6827.17</v>
      </c>
      <c r="C801" s="1919" t="inlineStr">
        <is>
          <t>965</t>
        </is>
      </c>
      <c r="D801" s="1921">
        <f>B801/B802-1</f>
        <v/>
      </c>
      <c r="E801" s="1921">
        <f>C801/C802-1</f>
        <v/>
      </c>
      <c r="F801" s="1921">
        <f>$L$2/365</f>
        <v/>
      </c>
      <c r="G801" s="1921">
        <f>D801-F801</f>
        <v/>
      </c>
      <c r="H801" s="1921">
        <f>E801-F801</f>
        <v/>
      </c>
    </row>
    <row r="802" ht="14.25" customHeight="1">
      <c r="A802" s="1919" t="inlineStr">
        <is>
          <t>03/31/2023</t>
        </is>
      </c>
      <c r="B802" s="1920" t="n">
        <v>6805.28</v>
      </c>
      <c r="C802" s="1919" t="inlineStr">
        <is>
          <t>925</t>
        </is>
      </c>
      <c r="D802" s="1921">
        <f>B802/B803-1</f>
        <v/>
      </c>
      <c r="E802" s="1921">
        <f>C802/C803-1</f>
        <v/>
      </c>
      <c r="F802" s="1921">
        <f>$L$2/365</f>
        <v/>
      </c>
      <c r="G802" s="1921">
        <f>D802-F802</f>
        <v/>
      </c>
      <c r="H802" s="1921">
        <f>E802-F802</f>
        <v/>
      </c>
    </row>
    <row r="803" ht="14.25" customHeight="1">
      <c r="A803" s="1919" t="inlineStr">
        <is>
          <t>03/30/2023</t>
        </is>
      </c>
      <c r="B803" s="1920" t="n">
        <v>6808.95</v>
      </c>
      <c r="C803" s="1919" t="inlineStr">
        <is>
          <t>920</t>
        </is>
      </c>
      <c r="D803" s="1921">
        <f>B803/B804-1</f>
        <v/>
      </c>
      <c r="E803" s="1921">
        <f>C803/C804-1</f>
        <v/>
      </c>
      <c r="F803" s="1921">
        <f>$L$2/365</f>
        <v/>
      </c>
      <c r="G803" s="1921">
        <f>D803-F803</f>
        <v/>
      </c>
      <c r="H803" s="1921">
        <f>E803-F803</f>
        <v/>
      </c>
    </row>
    <row r="804" ht="14.25" customHeight="1">
      <c r="A804" s="1919" t="inlineStr">
        <is>
          <t>03/29/2023</t>
        </is>
      </c>
      <c r="B804" s="1920" t="n">
        <v>6839.44</v>
      </c>
      <c r="C804" s="1919" t="inlineStr">
        <is>
          <t>950</t>
        </is>
      </c>
      <c r="D804" s="1921">
        <f>B804/B805-1</f>
        <v/>
      </c>
      <c r="E804" s="1921">
        <f>C804/C805-1</f>
        <v/>
      </c>
      <c r="F804" s="1921">
        <f>$L$2/365</f>
        <v/>
      </c>
      <c r="G804" s="1921">
        <f>D804-F804</f>
        <v/>
      </c>
      <c r="H804" s="1921">
        <f>E804-F804</f>
        <v/>
      </c>
    </row>
    <row r="805" ht="14.25" customHeight="1">
      <c r="A805" s="1919" t="inlineStr">
        <is>
          <t>03/28/2023</t>
        </is>
      </c>
      <c r="B805" s="1920" t="n">
        <v>6760.33</v>
      </c>
      <c r="C805" s="1919" t="inlineStr">
        <is>
          <t>930</t>
        </is>
      </c>
      <c r="D805" s="1921">
        <f>B805/B806-1</f>
        <v/>
      </c>
      <c r="E805" s="1921">
        <f>C805/C806-1</f>
        <v/>
      </c>
      <c r="F805" s="1921">
        <f>$L$2/365</f>
        <v/>
      </c>
      <c r="G805" s="1921">
        <f>D805-F805</f>
        <v/>
      </c>
      <c r="H805" s="1921">
        <f>E805-F805</f>
        <v/>
      </c>
    </row>
    <row r="806" ht="14.25" customHeight="1">
      <c r="A806" s="1919" t="inlineStr">
        <is>
          <t>03/27/2023</t>
        </is>
      </c>
      <c r="B806" s="1920" t="n">
        <v>6708.93</v>
      </c>
      <c r="C806" s="1919" t="inlineStr">
        <is>
          <t>910</t>
        </is>
      </c>
      <c r="D806" s="1921">
        <f>B806/B807-1</f>
        <v/>
      </c>
      <c r="E806" s="1921">
        <f>C806/C807-1</f>
        <v/>
      </c>
      <c r="F806" s="1921">
        <f>$L$2/365</f>
        <v/>
      </c>
      <c r="G806" s="1921">
        <f>D806-F806</f>
        <v/>
      </c>
      <c r="H806" s="1921">
        <f>E806-F806</f>
        <v/>
      </c>
    </row>
    <row r="807" ht="14.25" customHeight="1">
      <c r="A807" s="1919" t="inlineStr">
        <is>
          <t>03/24/2023</t>
        </is>
      </c>
      <c r="B807" s="1920" t="n">
        <v>6762.25</v>
      </c>
      <c r="C807" s="1919" t="inlineStr">
        <is>
          <t>895</t>
        </is>
      </c>
      <c r="D807" s="1921">
        <f>B807/B808-1</f>
        <v/>
      </c>
      <c r="E807" s="1921">
        <f>C807/C808-1</f>
        <v/>
      </c>
      <c r="F807" s="1921">
        <f>$L$2/365</f>
        <v/>
      </c>
      <c r="G807" s="1921">
        <f>D807-F807</f>
        <v/>
      </c>
      <c r="H807" s="1921">
        <f>E807-F807</f>
        <v/>
      </c>
    </row>
    <row r="808" ht="14.25" customHeight="1">
      <c r="A808" s="1919" t="inlineStr">
        <is>
          <t>03/21/2023</t>
        </is>
      </c>
      <c r="B808" s="1920" t="n">
        <v>6691.61</v>
      </c>
      <c r="C808" s="1919" t="inlineStr">
        <is>
          <t>910</t>
        </is>
      </c>
      <c r="D808" s="1921">
        <f>B808/B809-1</f>
        <v/>
      </c>
      <c r="E808" s="1921">
        <f>C808/C809-1</f>
        <v/>
      </c>
      <c r="F808" s="1921">
        <f>$L$2/365</f>
        <v/>
      </c>
      <c r="G808" s="1921">
        <f>D808-F808</f>
        <v/>
      </c>
      <c r="H808" s="1921">
        <f>E808-F808</f>
        <v/>
      </c>
    </row>
    <row r="809" ht="14.25" customHeight="1">
      <c r="A809" s="1919" t="inlineStr">
        <is>
          <t>03/20/2023</t>
        </is>
      </c>
      <c r="B809" s="1920" t="n">
        <v>6612.49</v>
      </c>
      <c r="C809" s="1919" t="inlineStr">
        <is>
          <t>905</t>
        </is>
      </c>
      <c r="D809" s="1921">
        <f>B809/B810-1</f>
        <v/>
      </c>
      <c r="E809" s="1921">
        <f>C809/C810-1</f>
        <v/>
      </c>
      <c r="F809" s="1921">
        <f>$L$2/365</f>
        <v/>
      </c>
      <c r="G809" s="1921">
        <f>D809-F809</f>
        <v/>
      </c>
      <c r="H809" s="1921">
        <f>E809-F809</f>
        <v/>
      </c>
    </row>
    <row r="810" ht="14.25" customHeight="1">
      <c r="A810" s="1919" t="inlineStr">
        <is>
          <t>03/17/2023</t>
        </is>
      </c>
      <c r="B810" s="1920" t="n">
        <v>6678.24</v>
      </c>
      <c r="C810" s="1919" t="inlineStr">
        <is>
          <t>915</t>
        </is>
      </c>
      <c r="D810" s="1921">
        <f>B810/B811-1</f>
        <v/>
      </c>
      <c r="E810" s="1921">
        <f>C810/C811-1</f>
        <v/>
      </c>
      <c r="F810" s="1921">
        <f>$L$2/365</f>
        <v/>
      </c>
      <c r="G810" s="1921">
        <f>D810-F810</f>
        <v/>
      </c>
      <c r="H810" s="1921">
        <f>E810-F810</f>
        <v/>
      </c>
    </row>
    <row r="811" ht="14.25" customHeight="1">
      <c r="A811" s="1919" t="inlineStr">
        <is>
          <t>03/16/2023</t>
        </is>
      </c>
      <c r="B811" s="1920" t="n">
        <v>6565.73</v>
      </c>
      <c r="C811" s="1919" t="inlineStr">
        <is>
          <t>910</t>
        </is>
      </c>
      <c r="D811" s="1921">
        <f>B811/B812-1</f>
        <v/>
      </c>
      <c r="E811" s="1921">
        <f>C811/C812-1</f>
        <v/>
      </c>
      <c r="F811" s="1921">
        <f>$L$2/365</f>
        <v/>
      </c>
      <c r="G811" s="1921">
        <f>D811-F811</f>
        <v/>
      </c>
      <c r="H811" s="1921">
        <f>E811-F811</f>
        <v/>
      </c>
    </row>
    <row r="812" ht="14.25" customHeight="1">
      <c r="A812" s="1919" t="inlineStr">
        <is>
          <t>03/15/2023</t>
        </is>
      </c>
      <c r="B812" s="1920" t="n">
        <v>6628.14</v>
      </c>
      <c r="C812" s="1919" t="inlineStr">
        <is>
          <t>920</t>
        </is>
      </c>
      <c r="D812" s="1921">
        <f>B812/B813-1</f>
        <v/>
      </c>
      <c r="E812" s="1921">
        <f>C812/C813-1</f>
        <v/>
      </c>
      <c r="F812" s="1921">
        <f>$L$2/365</f>
        <v/>
      </c>
      <c r="G812" s="1921">
        <f>D812-F812</f>
        <v/>
      </c>
      <c r="H812" s="1921">
        <f>E812-F812</f>
        <v/>
      </c>
    </row>
    <row r="813" ht="14.25" customHeight="1">
      <c r="A813" s="1919" t="inlineStr">
        <is>
          <t>03/14/2023</t>
        </is>
      </c>
      <c r="B813" s="1920" t="n">
        <v>6641.81</v>
      </c>
      <c r="C813" s="1919" t="inlineStr">
        <is>
          <t>955</t>
        </is>
      </c>
      <c r="D813" s="1921">
        <f>B813/B814-1</f>
        <v/>
      </c>
      <c r="E813" s="1921">
        <f>C813/C814-1</f>
        <v/>
      </c>
      <c r="F813" s="1921">
        <f>$L$2/365</f>
        <v/>
      </c>
      <c r="G813" s="1921">
        <f>D813-F813</f>
        <v/>
      </c>
      <c r="H813" s="1921">
        <f>E813-F813</f>
        <v/>
      </c>
    </row>
    <row r="814" ht="14.25" customHeight="1">
      <c r="A814" s="1919" t="inlineStr">
        <is>
          <t>03/13/2023</t>
        </is>
      </c>
      <c r="B814" s="1920" t="n">
        <v>6786.96</v>
      </c>
      <c r="C814" s="1919" t="inlineStr">
        <is>
          <t>965</t>
        </is>
      </c>
      <c r="D814" s="1921">
        <f>B814/B815-1</f>
        <v/>
      </c>
      <c r="E814" s="1921">
        <f>C814/C815-1</f>
        <v/>
      </c>
      <c r="F814" s="1921">
        <f>$L$2/365</f>
        <v/>
      </c>
      <c r="G814" s="1921">
        <f>D814-F814</f>
        <v/>
      </c>
      <c r="H814" s="1921">
        <f>E814-F814</f>
        <v/>
      </c>
    </row>
    <row r="815" ht="14.25" customHeight="1">
      <c r="A815" s="1919" t="inlineStr">
        <is>
          <t>03/10/2023</t>
        </is>
      </c>
      <c r="B815" s="1920" t="n">
        <v>6765.3</v>
      </c>
      <c r="C815" s="1919" t="inlineStr">
        <is>
          <t>975</t>
        </is>
      </c>
      <c r="D815" s="1921">
        <f>B815/B816-1</f>
        <v/>
      </c>
      <c r="E815" s="1921">
        <f>C815/C816-1</f>
        <v/>
      </c>
      <c r="F815" s="1921">
        <f>$L$2/365</f>
        <v/>
      </c>
      <c r="G815" s="1921">
        <f>D815-F815</f>
        <v/>
      </c>
      <c r="H815" s="1921">
        <f>E815-F815</f>
        <v/>
      </c>
    </row>
    <row r="816" ht="14.25" customHeight="1">
      <c r="A816" s="1919" t="inlineStr">
        <is>
          <t>03/09/2023</t>
        </is>
      </c>
      <c r="B816" s="1920" t="n">
        <v>6799.79</v>
      </c>
      <c r="C816" s="1919" t="inlineStr">
        <is>
          <t>985</t>
        </is>
      </c>
      <c r="D816" s="1921">
        <f>B816/B817-1</f>
        <v/>
      </c>
      <c r="E816" s="1921">
        <f>C816/C817-1</f>
        <v/>
      </c>
      <c r="F816" s="1921">
        <f>$L$2/365</f>
        <v/>
      </c>
      <c r="G816" s="1921">
        <f>D816-F816</f>
        <v/>
      </c>
      <c r="H816" s="1921">
        <f>E816-F816</f>
        <v/>
      </c>
    </row>
    <row r="817" ht="14.25" customHeight="1">
      <c r="A817" s="1919" t="inlineStr">
        <is>
          <t>03/08/2023</t>
        </is>
      </c>
      <c r="B817" s="1920" t="n">
        <v>6776.37</v>
      </c>
      <c r="C817" s="1919" t="inlineStr">
        <is>
          <t>985</t>
        </is>
      </c>
      <c r="D817" s="1921">
        <f>B817/B818-1</f>
        <v/>
      </c>
      <c r="E817" s="1921">
        <f>C817/C818-1</f>
        <v/>
      </c>
      <c r="F817" s="1921">
        <f>$L$2/365</f>
        <v/>
      </c>
      <c r="G817" s="1921">
        <f>D817-F817</f>
        <v/>
      </c>
      <c r="H817" s="1921">
        <f>E817-F817</f>
        <v/>
      </c>
    </row>
    <row r="818" ht="14.25" customHeight="1">
      <c r="A818" s="1919" t="inlineStr">
        <is>
          <t>03/07/2023</t>
        </is>
      </c>
      <c r="B818" s="1920" t="n">
        <v>6766.76</v>
      </c>
      <c r="C818" s="1919" t="inlineStr">
        <is>
          <t>970</t>
        </is>
      </c>
      <c r="D818" s="1921">
        <f>B818/B819-1</f>
        <v/>
      </c>
      <c r="E818" s="1921">
        <f>C818/C819-1</f>
        <v/>
      </c>
      <c r="F818" s="1921">
        <f>$L$2/365</f>
        <v/>
      </c>
      <c r="G818" s="1921">
        <f>D818-F818</f>
        <v/>
      </c>
      <c r="H818" s="1921">
        <f>E818-F818</f>
        <v/>
      </c>
    </row>
    <row r="819" ht="14.25" customHeight="1">
      <c r="A819" s="1919" t="inlineStr">
        <is>
          <t>03/06/2023</t>
        </is>
      </c>
      <c r="B819" s="1920" t="n">
        <v>6807</v>
      </c>
      <c r="C819" s="1926" t="n">
        <v>1005</v>
      </c>
      <c r="D819" s="1921">
        <f>B819/B820-1</f>
        <v/>
      </c>
      <c r="E819" s="1921">
        <f>C819/C820-1</f>
        <v/>
      </c>
      <c r="F819" s="1921">
        <f>$L$2/365</f>
        <v/>
      </c>
      <c r="G819" s="1921">
        <f>D819-F819</f>
        <v/>
      </c>
      <c r="H819" s="1921">
        <f>E819-F819</f>
        <v/>
      </c>
    </row>
    <row r="820" ht="14.25" customHeight="1">
      <c r="A820" s="1919" t="inlineStr">
        <is>
          <t>03/03/2023</t>
        </is>
      </c>
      <c r="B820" s="1920" t="n">
        <v>6813.64</v>
      </c>
      <c r="C820" s="1926" t="n">
        <v>1005</v>
      </c>
      <c r="D820" s="1921">
        <f>B820/B821-1</f>
        <v/>
      </c>
      <c r="E820" s="1921">
        <f>C820/C821-1</f>
        <v/>
      </c>
      <c r="F820" s="1921">
        <f>$L$2/365</f>
        <v/>
      </c>
      <c r="G820" s="1921">
        <f>D820-F820</f>
        <v/>
      </c>
      <c r="H820" s="1921">
        <f>E820-F820</f>
        <v/>
      </c>
    </row>
    <row r="821" ht="14.25" customHeight="1">
      <c r="A821" s="1919" t="inlineStr">
        <is>
          <t>03/02/2023</t>
        </is>
      </c>
      <c r="B821" s="1920" t="n">
        <v>6857.42</v>
      </c>
      <c r="C821" s="1926" t="n">
        <v>1030</v>
      </c>
      <c r="D821" s="1921">
        <f>B821/B822-1</f>
        <v/>
      </c>
      <c r="E821" s="1921">
        <f>C821/C822-1</f>
        <v/>
      </c>
      <c r="F821" s="1921">
        <f>$L$2/365</f>
        <v/>
      </c>
      <c r="G821" s="1921">
        <f>D821-F821</f>
        <v/>
      </c>
      <c r="H821" s="1921">
        <f>E821-F821</f>
        <v/>
      </c>
    </row>
    <row r="822" ht="14.25" customHeight="1">
      <c r="A822" s="1919" t="inlineStr">
        <is>
          <t>03/01/2023</t>
        </is>
      </c>
      <c r="B822" s="1920" t="n">
        <v>6844.94</v>
      </c>
      <c r="C822" s="1926" t="n">
        <v>1015</v>
      </c>
      <c r="D822" s="1921">
        <f>B822/B823-1</f>
        <v/>
      </c>
      <c r="E822" s="1921">
        <f>C822/C823-1</f>
        <v/>
      </c>
      <c r="F822" s="1921">
        <f>$L$2/365</f>
        <v/>
      </c>
      <c r="G822" s="1921">
        <f>D822-F822</f>
        <v/>
      </c>
      <c r="H822" s="1921">
        <f>E822-F822</f>
        <v/>
      </c>
    </row>
    <row r="823" ht="14.25" customHeight="1">
      <c r="A823" s="1919" t="inlineStr">
        <is>
          <t>02/28/2023</t>
        </is>
      </c>
      <c r="B823" s="1920" t="n">
        <v>6843.24</v>
      </c>
      <c r="C823" s="1926" t="n">
        <v>1050</v>
      </c>
      <c r="D823" s="1921">
        <f>B823/B824-1</f>
        <v/>
      </c>
      <c r="E823" s="1921">
        <f>C823/C824-1</f>
        <v/>
      </c>
      <c r="F823" s="1921">
        <f>$L$2/365</f>
        <v/>
      </c>
      <c r="G823" s="1921">
        <f>D823-F823</f>
        <v/>
      </c>
      <c r="H823" s="1921">
        <f>E823-F823</f>
        <v/>
      </c>
    </row>
    <row r="824" ht="14.25" customHeight="1">
      <c r="A824" s="1919" t="inlineStr">
        <is>
          <t>02/27/2023</t>
        </is>
      </c>
      <c r="B824" s="1920" t="n">
        <v>6854.78</v>
      </c>
      <c r="C824" s="1926" t="n">
        <v>1065</v>
      </c>
      <c r="D824" s="1921">
        <f>B824/B825-1</f>
        <v/>
      </c>
      <c r="E824" s="1921">
        <f>C824/C825-1</f>
        <v/>
      </c>
      <c r="F824" s="1921">
        <f>$L$2/365</f>
        <v/>
      </c>
      <c r="G824" s="1921">
        <f>D824-F824</f>
        <v/>
      </c>
      <c r="H824" s="1921">
        <f>E824-F824</f>
        <v/>
      </c>
    </row>
    <row r="825" ht="14.25" customHeight="1">
      <c r="A825" s="1919" t="inlineStr">
        <is>
          <t>02/24/2023</t>
        </is>
      </c>
      <c r="B825" s="1920" t="n">
        <v>6856.58</v>
      </c>
      <c r="C825" s="1926" t="n">
        <v>1085</v>
      </c>
      <c r="D825" s="1921">
        <f>B825/B826-1</f>
        <v/>
      </c>
      <c r="E825" s="1921">
        <f>C825/C826-1</f>
        <v/>
      </c>
      <c r="F825" s="1921">
        <f>$L$2/365</f>
        <v/>
      </c>
      <c r="G825" s="1921">
        <f>D825-F825</f>
        <v/>
      </c>
      <c r="H825" s="1921">
        <f>E825-F825</f>
        <v/>
      </c>
    </row>
    <row r="826" ht="14.25" customHeight="1">
      <c r="A826" s="1919" t="inlineStr">
        <is>
          <t>02/23/2023</t>
        </is>
      </c>
      <c r="B826" s="1920" t="n">
        <v>6839.45</v>
      </c>
      <c r="C826" s="1926" t="n">
        <v>1080</v>
      </c>
      <c r="D826" s="1921">
        <f>B826/B827-1</f>
        <v/>
      </c>
      <c r="E826" s="1921">
        <f>C826/C827-1</f>
        <v/>
      </c>
      <c r="F826" s="1921">
        <f>$L$2/365</f>
        <v/>
      </c>
      <c r="G826" s="1921">
        <f>D826-F826</f>
        <v/>
      </c>
      <c r="H826" s="1921">
        <f>E826-F826</f>
        <v/>
      </c>
    </row>
    <row r="827" ht="14.25" customHeight="1">
      <c r="A827" s="1919" t="inlineStr">
        <is>
          <t>02/22/2023</t>
        </is>
      </c>
      <c r="B827" s="1920" t="n">
        <v>6809.97</v>
      </c>
      <c r="C827" s="1926" t="n">
        <v>1075</v>
      </c>
      <c r="D827" s="1921">
        <f>B827/B828-1</f>
        <v/>
      </c>
      <c r="E827" s="1921">
        <f>C827/C828-1</f>
        <v/>
      </c>
      <c r="F827" s="1921">
        <f>$L$2/365</f>
        <v/>
      </c>
      <c r="G827" s="1921">
        <f>D827-F827</f>
        <v/>
      </c>
      <c r="H827" s="1921">
        <f>E827-F827</f>
        <v/>
      </c>
    </row>
    <row r="828" ht="14.25" customHeight="1">
      <c r="A828" s="1919" t="inlineStr">
        <is>
          <t>02/21/2023</t>
        </is>
      </c>
      <c r="B828" s="1920" t="n">
        <v>6873.4</v>
      </c>
      <c r="C828" s="1926" t="n">
        <v>1100</v>
      </c>
      <c r="D828" s="1921">
        <f>B828/B829-1</f>
        <v/>
      </c>
      <c r="E828" s="1921">
        <f>C828/C829-1</f>
        <v/>
      </c>
      <c r="F828" s="1921">
        <f>$L$2/365</f>
        <v/>
      </c>
      <c r="G828" s="1921">
        <f>D828-F828</f>
        <v/>
      </c>
      <c r="H828" s="1921">
        <f>E828-F828</f>
        <v/>
      </c>
    </row>
    <row r="829" ht="14.25" customHeight="1">
      <c r="A829" s="1919" t="inlineStr">
        <is>
          <t>02/20/2023</t>
        </is>
      </c>
      <c r="B829" s="1920" t="n">
        <v>6894.72</v>
      </c>
      <c r="C829" s="1926" t="n">
        <v>1100</v>
      </c>
      <c r="D829" s="1921">
        <f>B829/B830-1</f>
        <v/>
      </c>
      <c r="E829" s="1921">
        <f>C829/C830-1</f>
        <v/>
      </c>
      <c r="F829" s="1921">
        <f>$L$2/365</f>
        <v/>
      </c>
      <c r="G829" s="1921">
        <f>D829-F829</f>
        <v/>
      </c>
      <c r="H829" s="1921">
        <f>E829-F829</f>
        <v/>
      </c>
    </row>
    <row r="830" ht="14.25" customHeight="1">
      <c r="A830" s="1919" t="inlineStr">
        <is>
          <t>02/17/2023</t>
        </is>
      </c>
      <c r="B830" s="1920" t="n">
        <v>6895.71</v>
      </c>
      <c r="C830" s="1926" t="n">
        <v>1100</v>
      </c>
      <c r="D830" s="1921">
        <f>B830/B831-1</f>
        <v/>
      </c>
      <c r="E830" s="1921">
        <f>C830/C831-1</f>
        <v/>
      </c>
      <c r="F830" s="1921">
        <f>$L$2/365</f>
        <v/>
      </c>
      <c r="G830" s="1921">
        <f>D830-F830</f>
        <v/>
      </c>
      <c r="H830" s="1921">
        <f>E830-F830</f>
        <v/>
      </c>
    </row>
    <row r="831" ht="14.25" customHeight="1">
      <c r="A831" s="1919" t="inlineStr">
        <is>
          <t>02/16/2023</t>
        </is>
      </c>
      <c r="B831" s="1920" t="n">
        <v>6895.66</v>
      </c>
      <c r="C831" s="1926" t="n">
        <v>1090</v>
      </c>
      <c r="D831" s="1921">
        <f>B831/B832-1</f>
        <v/>
      </c>
      <c r="E831" s="1921">
        <f>C831/C832-1</f>
        <v/>
      </c>
      <c r="F831" s="1921">
        <f>$L$2/365</f>
        <v/>
      </c>
      <c r="G831" s="1921">
        <f>D831-F831</f>
        <v/>
      </c>
      <c r="H831" s="1921">
        <f>E831-F831</f>
        <v/>
      </c>
    </row>
    <row r="832" ht="14.25" customHeight="1">
      <c r="A832" s="1919" t="inlineStr">
        <is>
          <t>02/15/2023</t>
        </is>
      </c>
      <c r="B832" s="1920" t="n">
        <v>6914.54</v>
      </c>
      <c r="C832" s="1926" t="n">
        <v>1085</v>
      </c>
      <c r="D832" s="1921">
        <f>B832/B833-1</f>
        <v/>
      </c>
      <c r="E832" s="1921">
        <f>C832/C833-1</f>
        <v/>
      </c>
      <c r="F832" s="1921">
        <f>$L$2/365</f>
        <v/>
      </c>
      <c r="G832" s="1921">
        <f>D832-F832</f>
        <v/>
      </c>
      <c r="H832" s="1921">
        <f>E832-F832</f>
        <v/>
      </c>
    </row>
    <row r="833" ht="14.25" customHeight="1">
      <c r="A833" s="1919" t="inlineStr">
        <is>
          <t>02/14/2023</t>
        </is>
      </c>
      <c r="B833" s="1920" t="n">
        <v>6941.85</v>
      </c>
      <c r="C833" s="1926" t="n">
        <v>1080</v>
      </c>
      <c r="D833" s="1921">
        <f>B833/B834-1</f>
        <v/>
      </c>
      <c r="E833" s="1921">
        <f>C833/C834-1</f>
        <v/>
      </c>
      <c r="F833" s="1921">
        <f>$L$2/365</f>
        <v/>
      </c>
      <c r="G833" s="1921">
        <f>D833-F833</f>
        <v/>
      </c>
      <c r="H833" s="1921">
        <f>E833-F833</f>
        <v/>
      </c>
    </row>
    <row r="834" ht="14.25" customHeight="1">
      <c r="A834" s="1919" t="inlineStr">
        <is>
          <t>02/13/2023</t>
        </is>
      </c>
      <c r="B834" s="1920" t="n">
        <v>6900.14</v>
      </c>
      <c r="C834" s="1926" t="n">
        <v>1070</v>
      </c>
      <c r="D834" s="1921">
        <f>B834/B835-1</f>
        <v/>
      </c>
      <c r="E834" s="1921">
        <f>C834/C835-1</f>
        <v/>
      </c>
      <c r="F834" s="1921">
        <f>$L$2/365</f>
        <v/>
      </c>
      <c r="G834" s="1921">
        <f>D834-F834</f>
        <v/>
      </c>
      <c r="H834" s="1921">
        <f>E834-F834</f>
        <v/>
      </c>
    </row>
    <row r="835" ht="14.25" customHeight="1">
      <c r="A835" s="1919" t="inlineStr">
        <is>
          <t>02/10/2023</t>
        </is>
      </c>
      <c r="B835" s="1920" t="n">
        <v>6880.33</v>
      </c>
      <c r="C835" s="1926" t="n">
        <v>1110</v>
      </c>
      <c r="D835" s="1921">
        <f>B835/B836-1</f>
        <v/>
      </c>
      <c r="E835" s="1921">
        <f>C835/C836-1</f>
        <v/>
      </c>
      <c r="F835" s="1921">
        <f>$L$2/365</f>
        <v/>
      </c>
      <c r="G835" s="1921">
        <f>D835-F835</f>
        <v/>
      </c>
      <c r="H835" s="1921">
        <f>E835-F835</f>
        <v/>
      </c>
    </row>
    <row r="836" ht="14.25" customHeight="1">
      <c r="A836" s="1919" t="inlineStr">
        <is>
          <t>02/09/2023</t>
        </is>
      </c>
      <c r="B836" s="1920" t="n">
        <v>6897.37</v>
      </c>
      <c r="C836" s="1926" t="n">
        <v>1080</v>
      </c>
      <c r="D836" s="1921">
        <f>B836/B837-1</f>
        <v/>
      </c>
      <c r="E836" s="1921">
        <f>C836/C837-1</f>
        <v/>
      </c>
      <c r="F836" s="1921">
        <f>$L$2/365</f>
        <v/>
      </c>
      <c r="G836" s="1921">
        <f>D836-F836</f>
        <v/>
      </c>
      <c r="H836" s="1921">
        <f>E836-F836</f>
        <v/>
      </c>
    </row>
    <row r="837" ht="14.25" customHeight="1">
      <c r="A837" s="1919" t="inlineStr">
        <is>
          <t>02/08/2023</t>
        </is>
      </c>
      <c r="B837" s="1920" t="n">
        <v>6940.12</v>
      </c>
      <c r="C837" s="1926" t="n">
        <v>1090</v>
      </c>
      <c r="D837" s="1921">
        <f>B837/B838-1</f>
        <v/>
      </c>
      <c r="E837" s="1921">
        <f>C837/C838-1</f>
        <v/>
      </c>
      <c r="F837" s="1921">
        <f>$L$2/365</f>
        <v/>
      </c>
      <c r="G837" s="1921">
        <f>D837-F837</f>
        <v/>
      </c>
      <c r="H837" s="1921">
        <f>E837-F837</f>
        <v/>
      </c>
    </row>
    <row r="838" ht="14.25" customHeight="1">
      <c r="A838" s="1919" t="inlineStr">
        <is>
          <t>02/07/2023</t>
        </is>
      </c>
      <c r="B838" s="1920" t="n">
        <v>6935.3</v>
      </c>
      <c r="C838" s="1926" t="n">
        <v>1110</v>
      </c>
      <c r="D838" s="1921">
        <f>B838/B839-1</f>
        <v/>
      </c>
      <c r="E838" s="1921">
        <f>C838/C839-1</f>
        <v/>
      </c>
      <c r="F838" s="1921">
        <f>$L$2/365</f>
        <v/>
      </c>
      <c r="G838" s="1921">
        <f>D838-F838</f>
        <v/>
      </c>
      <c r="H838" s="1921">
        <f>E838-F838</f>
        <v/>
      </c>
    </row>
    <row r="839" ht="14.25" customHeight="1">
      <c r="A839" s="1919" t="inlineStr">
        <is>
          <t>02/06/2023</t>
        </is>
      </c>
      <c r="B839" s="1920" t="n">
        <v>6873.79</v>
      </c>
      <c r="C839" s="1926" t="n">
        <v>1110</v>
      </c>
      <c r="D839" s="1921">
        <f>B839/B840-1</f>
        <v/>
      </c>
      <c r="E839" s="1921">
        <f>C839/C840-1</f>
        <v/>
      </c>
      <c r="F839" s="1921">
        <f>$L$2/365</f>
        <v/>
      </c>
      <c r="G839" s="1921">
        <f>D839-F839</f>
        <v/>
      </c>
      <c r="H839" s="1921">
        <f>E839-F839</f>
        <v/>
      </c>
    </row>
    <row r="840" ht="14.25" customHeight="1">
      <c r="A840" s="1919" t="inlineStr">
        <is>
          <t>02/03/2023</t>
        </is>
      </c>
      <c r="B840" s="1920" t="n">
        <v>6911.73</v>
      </c>
      <c r="C840" s="1926" t="n">
        <v>1125</v>
      </c>
      <c r="D840" s="1921">
        <f>B840/B841-1</f>
        <v/>
      </c>
      <c r="E840" s="1921">
        <f>C840/C841-1</f>
        <v/>
      </c>
      <c r="F840" s="1921">
        <f>$L$2/365</f>
        <v/>
      </c>
      <c r="G840" s="1921">
        <f>D840-F840</f>
        <v/>
      </c>
      <c r="H840" s="1921">
        <f>E840-F840</f>
        <v/>
      </c>
    </row>
    <row r="841" ht="14.25" customHeight="1">
      <c r="A841" s="1919" t="inlineStr">
        <is>
          <t>02/02/2023</t>
        </is>
      </c>
      <c r="B841" s="1920" t="n">
        <v>6890.57</v>
      </c>
      <c r="C841" s="1926" t="n">
        <v>1125</v>
      </c>
      <c r="D841" s="1921">
        <f>B841/B842-1</f>
        <v/>
      </c>
      <c r="E841" s="1921">
        <f>C841/C842-1</f>
        <v/>
      </c>
      <c r="F841" s="1921">
        <f>$L$2/365</f>
        <v/>
      </c>
      <c r="G841" s="1921">
        <f>D841-F841</f>
        <v/>
      </c>
      <c r="H841" s="1921">
        <f>E841-F841</f>
        <v/>
      </c>
    </row>
    <row r="842" ht="14.25" customHeight="1">
      <c r="A842" s="1919" t="inlineStr">
        <is>
          <t>02/01/2023</t>
        </is>
      </c>
      <c r="B842" s="1920" t="n">
        <v>6862.26</v>
      </c>
      <c r="C842" s="1926" t="n">
        <v>1130</v>
      </c>
      <c r="D842" s="1921">
        <f>B842/B843-1</f>
        <v/>
      </c>
      <c r="E842" s="1921">
        <f>C842/C843-1</f>
        <v/>
      </c>
      <c r="F842" s="1921">
        <f>$L$2/365</f>
        <v/>
      </c>
      <c r="G842" s="1921">
        <f>D842-F842</f>
        <v/>
      </c>
      <c r="H842" s="1921">
        <f>E842-F842</f>
        <v/>
      </c>
    </row>
    <row r="843" ht="14.25" customHeight="1">
      <c r="A843" s="1919" t="inlineStr">
        <is>
          <t>01/31/2023</t>
        </is>
      </c>
      <c r="B843" s="1920" t="n">
        <v>6839.34</v>
      </c>
      <c r="C843" s="1926" t="n">
        <v>1120</v>
      </c>
      <c r="D843" s="1921">
        <f>B843/B844-1</f>
        <v/>
      </c>
      <c r="E843" s="1921">
        <f>C843/C844-1</f>
        <v/>
      </c>
      <c r="F843" s="1921">
        <f>$L$2/365</f>
        <v/>
      </c>
      <c r="G843" s="1921">
        <f>D843-F843</f>
        <v/>
      </c>
      <c r="H843" s="1921">
        <f>E843-F843</f>
        <v/>
      </c>
    </row>
    <row r="844" ht="14.25" customHeight="1">
      <c r="A844" s="1919" t="inlineStr">
        <is>
          <t>01/30/2023</t>
        </is>
      </c>
      <c r="B844" s="1920" t="n">
        <v>6872.48</v>
      </c>
      <c r="C844" s="1926" t="n">
        <v>1125</v>
      </c>
      <c r="D844" s="1921">
        <f>B844/B845-1</f>
        <v/>
      </c>
      <c r="E844" s="1921">
        <f>C844/C845-1</f>
        <v/>
      </c>
      <c r="F844" s="1921">
        <f>$L$2/365</f>
        <v/>
      </c>
      <c r="G844" s="1921">
        <f>D844-F844</f>
        <v/>
      </c>
      <c r="H844" s="1921">
        <f>E844-F844</f>
        <v/>
      </c>
    </row>
    <row r="845" ht="14.25" customHeight="1">
      <c r="A845" s="1919" t="inlineStr">
        <is>
          <t>01/27/2023</t>
        </is>
      </c>
      <c r="B845" s="1920" t="n">
        <v>6898.98</v>
      </c>
      <c r="C845" s="1926" t="n">
        <v>1125</v>
      </c>
      <c r="D845" s="1921">
        <f>B845/B846-1</f>
        <v/>
      </c>
      <c r="E845" s="1921">
        <f>C845/C846-1</f>
        <v/>
      </c>
      <c r="F845" s="1921">
        <f>$L$2/365</f>
        <v/>
      </c>
      <c r="G845" s="1921">
        <f>D845-F845</f>
        <v/>
      </c>
      <c r="H845" s="1921">
        <f>E845-F845</f>
        <v/>
      </c>
    </row>
    <row r="846" ht="14.25" customHeight="1">
      <c r="A846" s="1919" t="inlineStr">
        <is>
          <t>01/26/2023</t>
        </is>
      </c>
      <c r="B846" s="1920" t="n">
        <v>6864.82</v>
      </c>
      <c r="C846" s="1926" t="n">
        <v>1115</v>
      </c>
      <c r="D846" s="1921">
        <f>B846/B847-1</f>
        <v/>
      </c>
      <c r="E846" s="1921">
        <f>C846/C847-1</f>
        <v/>
      </c>
      <c r="F846" s="1921">
        <f>$L$2/365</f>
        <v/>
      </c>
      <c r="G846" s="1921">
        <f>D846-F846</f>
        <v/>
      </c>
      <c r="H846" s="1921">
        <f>E846-F846</f>
        <v/>
      </c>
    </row>
    <row r="847" ht="14.25" customHeight="1">
      <c r="A847" s="1919" t="inlineStr">
        <is>
          <t>01/25/2023</t>
        </is>
      </c>
      <c r="B847" s="1920" t="n">
        <v>6829.93</v>
      </c>
      <c r="C847" s="1926" t="n">
        <v>1115</v>
      </c>
      <c r="D847" s="1921">
        <f>B847/B848-1</f>
        <v/>
      </c>
      <c r="E847" s="1921">
        <f>C847/C848-1</f>
        <v/>
      </c>
      <c r="F847" s="1921">
        <f>$L$2/365</f>
        <v/>
      </c>
      <c r="G847" s="1921">
        <f>D847-F847</f>
        <v/>
      </c>
      <c r="H847" s="1921">
        <f>E847-F847</f>
        <v/>
      </c>
    </row>
    <row r="848" ht="14.25" customHeight="1">
      <c r="A848" s="1919" t="inlineStr">
        <is>
          <t>01/24/2023</t>
        </is>
      </c>
      <c r="B848" s="1920" t="n">
        <v>6860.85</v>
      </c>
      <c r="C848" s="1926" t="n">
        <v>1115</v>
      </c>
      <c r="D848" s="1921">
        <f>B848/B849-1</f>
        <v/>
      </c>
      <c r="E848" s="1921">
        <f>C848/C849-1</f>
        <v/>
      </c>
      <c r="F848" s="1921">
        <f>$L$2/365</f>
        <v/>
      </c>
      <c r="G848" s="1921">
        <f>D848-F848</f>
        <v/>
      </c>
      <c r="H848" s="1921">
        <f>E848-F848</f>
        <v/>
      </c>
    </row>
    <row r="849" ht="14.25" customHeight="1">
      <c r="A849" s="1919" t="inlineStr">
        <is>
          <t>01/20/2023</t>
        </is>
      </c>
      <c r="B849" s="1920" t="n">
        <v>6874.93</v>
      </c>
      <c r="C849" s="1926" t="n">
        <v>1135</v>
      </c>
      <c r="D849" s="1921">
        <f>B849/B850-1</f>
        <v/>
      </c>
      <c r="E849" s="1921">
        <f>C849/C850-1</f>
        <v/>
      </c>
      <c r="F849" s="1921">
        <f>$L$2/365</f>
        <v/>
      </c>
      <c r="G849" s="1921">
        <f>D849-F849</f>
        <v/>
      </c>
      <c r="H849" s="1921">
        <f>E849-F849</f>
        <v/>
      </c>
    </row>
    <row r="850" ht="14.25" customHeight="1">
      <c r="A850" s="1919" t="inlineStr">
        <is>
          <t>01/19/2023</t>
        </is>
      </c>
      <c r="B850" s="1920" t="n">
        <v>6819.91</v>
      </c>
      <c r="C850" s="1926" t="n">
        <v>1160</v>
      </c>
      <c r="D850" s="1921">
        <f>B850/B851-1</f>
        <v/>
      </c>
      <c r="E850" s="1921">
        <f>C850/C851-1</f>
        <v/>
      </c>
      <c r="F850" s="1921">
        <f>$L$2/365</f>
        <v/>
      </c>
      <c r="G850" s="1921">
        <f>D850-F850</f>
        <v/>
      </c>
      <c r="H850" s="1921">
        <f>E850-F850</f>
        <v/>
      </c>
    </row>
    <row r="851" ht="14.25" customHeight="1">
      <c r="A851" s="1919" t="inlineStr">
        <is>
          <t>01/18/2023</t>
        </is>
      </c>
      <c r="B851" s="1920" t="n">
        <v>6765.79</v>
      </c>
      <c r="C851" s="1926" t="n">
        <v>1170</v>
      </c>
      <c r="D851" s="1921">
        <f>B851/B852-1</f>
        <v/>
      </c>
      <c r="E851" s="1921">
        <f>C851/C852-1</f>
        <v/>
      </c>
      <c r="F851" s="1921">
        <f>$L$2/365</f>
        <v/>
      </c>
      <c r="G851" s="1921">
        <f>D851-F851</f>
        <v/>
      </c>
      <c r="H851" s="1921">
        <f>E851-F851</f>
        <v/>
      </c>
    </row>
    <row r="852" ht="14.25" customHeight="1">
      <c r="A852" s="1919" t="inlineStr">
        <is>
          <t>01/17/2023</t>
        </is>
      </c>
      <c r="B852" s="1920" t="n">
        <v>6767.34</v>
      </c>
      <c r="C852" s="1926" t="n">
        <v>1140</v>
      </c>
      <c r="D852" s="1921">
        <f>B852/B853-1</f>
        <v/>
      </c>
      <c r="E852" s="1921">
        <f>C852/C853-1</f>
        <v/>
      </c>
      <c r="F852" s="1921">
        <f>$L$2/365</f>
        <v/>
      </c>
      <c r="G852" s="1921">
        <f>D852-F852</f>
        <v/>
      </c>
      <c r="H852" s="1921">
        <f>E852-F852</f>
        <v/>
      </c>
    </row>
    <row r="853" ht="14.25" customHeight="1">
      <c r="A853" s="1919" t="inlineStr">
        <is>
          <t>01/16/2023</t>
        </is>
      </c>
      <c r="B853" s="1920" t="n">
        <v>6688.06</v>
      </c>
      <c r="C853" s="1926" t="n">
        <v>1150</v>
      </c>
      <c r="D853" s="1921">
        <f>B853/B854-1</f>
        <v/>
      </c>
      <c r="E853" s="1921">
        <f>C853/C854-1</f>
        <v/>
      </c>
      <c r="F853" s="1921">
        <f>$L$2/365</f>
        <v/>
      </c>
      <c r="G853" s="1921">
        <f>D853-F853</f>
        <v/>
      </c>
      <c r="H853" s="1921">
        <f>E853-F853</f>
        <v/>
      </c>
    </row>
    <row r="854" ht="14.25" customHeight="1">
      <c r="A854" s="1919" t="inlineStr">
        <is>
          <t>01/13/2023</t>
        </is>
      </c>
      <c r="B854" s="1920" t="n">
        <v>6641.83</v>
      </c>
      <c r="C854" s="1926" t="n">
        <v>1140</v>
      </c>
      <c r="D854" s="1921">
        <f>B854/B855-1</f>
        <v/>
      </c>
      <c r="E854" s="1921">
        <f>C854/C855-1</f>
        <v/>
      </c>
      <c r="F854" s="1921">
        <f>$L$2/365</f>
        <v/>
      </c>
      <c r="G854" s="1921">
        <f>D854-F854</f>
        <v/>
      </c>
      <c r="H854" s="1921">
        <f>E854-F854</f>
        <v/>
      </c>
    </row>
    <row r="855" ht="14.25" customHeight="1">
      <c r="A855" s="1919" t="inlineStr">
        <is>
          <t>01/12/2023</t>
        </is>
      </c>
      <c r="B855" s="1920" t="n">
        <v>6629.93</v>
      </c>
      <c r="C855" s="1926" t="n">
        <v>1145</v>
      </c>
      <c r="D855" s="1921">
        <f>B855/B856-1</f>
        <v/>
      </c>
      <c r="E855" s="1921">
        <f>C855/C856-1</f>
        <v/>
      </c>
      <c r="F855" s="1921">
        <f>$L$2/365</f>
        <v/>
      </c>
      <c r="G855" s="1921">
        <f>D855-F855</f>
        <v/>
      </c>
      <c r="H855" s="1921">
        <f>E855-F855</f>
        <v/>
      </c>
    </row>
    <row r="856" ht="14.25" customHeight="1">
      <c r="A856" s="1919" t="inlineStr">
        <is>
          <t>01/11/2023</t>
        </is>
      </c>
      <c r="B856" s="1920" t="n">
        <v>6584.45</v>
      </c>
      <c r="C856" s="1926" t="n">
        <v>1145</v>
      </c>
      <c r="D856" s="1921">
        <f>B856/B857-1</f>
        <v/>
      </c>
      <c r="E856" s="1921">
        <f>C856/C857-1</f>
        <v/>
      </c>
      <c r="F856" s="1921">
        <f>$L$2/365</f>
        <v/>
      </c>
      <c r="G856" s="1921">
        <f>D856-F856</f>
        <v/>
      </c>
      <c r="H856" s="1921">
        <f>E856-F856</f>
        <v/>
      </c>
    </row>
    <row r="857" ht="14.25" customHeight="1">
      <c r="A857" s="1919" t="inlineStr">
        <is>
          <t>01/10/2023</t>
        </is>
      </c>
      <c r="B857" s="1920" t="n">
        <v>6622.5</v>
      </c>
      <c r="C857" s="1926" t="n">
        <v>1155</v>
      </c>
      <c r="D857" s="1921">
        <f>B857/B858-1</f>
        <v/>
      </c>
      <c r="E857" s="1921">
        <f>C857/C858-1</f>
        <v/>
      </c>
      <c r="F857" s="1921">
        <f>$L$2/365</f>
        <v/>
      </c>
      <c r="G857" s="1921">
        <f>D857-F857</f>
        <v/>
      </c>
      <c r="H857" s="1921">
        <f>E857-F857</f>
        <v/>
      </c>
    </row>
    <row r="858" ht="14.25" customHeight="1">
      <c r="A858" s="1919" t="inlineStr">
        <is>
          <t>01/09/2023</t>
        </is>
      </c>
      <c r="B858" s="1920" t="n">
        <v>6688.27</v>
      </c>
      <c r="C858" s="1926" t="n">
        <v>1155</v>
      </c>
      <c r="D858" s="1921">
        <f>B858/B859-1</f>
        <v/>
      </c>
      <c r="E858" s="1921">
        <f>C858/C859-1</f>
        <v/>
      </c>
      <c r="F858" s="1921">
        <f>$L$2/365</f>
        <v/>
      </c>
      <c r="G858" s="1921">
        <f>D858-F858</f>
        <v/>
      </c>
      <c r="H858" s="1921">
        <f>E858-F858</f>
        <v/>
      </c>
    </row>
    <row r="859" ht="14.25" customHeight="1">
      <c r="A859" s="1919" t="inlineStr">
        <is>
          <t>01/06/2023</t>
        </is>
      </c>
      <c r="B859" s="1920" t="n">
        <v>6684.56</v>
      </c>
      <c r="C859" s="1926" t="n">
        <v>1155</v>
      </c>
      <c r="D859" s="1921">
        <f>B859/B860-1</f>
        <v/>
      </c>
      <c r="E859" s="1921">
        <f>C859/C860-1</f>
        <v/>
      </c>
      <c r="F859" s="1921">
        <f>$L$2/365</f>
        <v/>
      </c>
      <c r="G859" s="1921">
        <f>D859-F859</f>
        <v/>
      </c>
      <c r="H859" s="1921">
        <f>E859-F859</f>
        <v/>
      </c>
    </row>
    <row r="860" ht="14.25" customHeight="1">
      <c r="A860" s="1919" t="inlineStr">
        <is>
          <t>01/05/2023</t>
        </is>
      </c>
      <c r="B860" s="1920" t="n">
        <v>6653.84</v>
      </c>
      <c r="C860" s="1926" t="n">
        <v>1145</v>
      </c>
      <c r="D860" s="1921">
        <f>B860/B861-1</f>
        <v/>
      </c>
      <c r="E860" s="1921">
        <f>C860/C861-1</f>
        <v/>
      </c>
      <c r="F860" s="1921">
        <f>$L$2/365</f>
        <v/>
      </c>
      <c r="G860" s="1921">
        <f>D860-F860</f>
        <v/>
      </c>
      <c r="H860" s="1921">
        <f>E860-F860</f>
        <v/>
      </c>
    </row>
    <row r="861" ht="14.25" customHeight="1">
      <c r="A861" s="1919" t="inlineStr">
        <is>
          <t>01/04/2023</t>
        </is>
      </c>
      <c r="B861" s="1920" t="n">
        <v>6813.24</v>
      </c>
      <c r="C861" s="1926" t="n">
        <v>1165</v>
      </c>
      <c r="D861" s="1921">
        <f>B861/B862-1</f>
        <v/>
      </c>
      <c r="E861" s="1921">
        <f>C861/C862-1</f>
        <v/>
      </c>
      <c r="F861" s="1921">
        <f>$L$2/365</f>
        <v/>
      </c>
      <c r="G861" s="1921">
        <f>D861-F861</f>
        <v/>
      </c>
      <c r="H861" s="1921">
        <f>E861-F861</f>
        <v/>
      </c>
    </row>
    <row r="862" ht="14.25" customHeight="1">
      <c r="A862" s="1919" t="inlineStr">
        <is>
          <t>01/03/2023</t>
        </is>
      </c>
      <c r="B862" s="1920" t="n">
        <v>6888.76</v>
      </c>
      <c r="C862" s="1926" t="n">
        <v>1175</v>
      </c>
      <c r="D862" s="1921">
        <f>B862/B863-1</f>
        <v/>
      </c>
      <c r="E862" s="1921">
        <f>C862/C863-1</f>
        <v/>
      </c>
      <c r="F862" s="1921">
        <f>$L$2/365</f>
        <v/>
      </c>
      <c r="G862" s="1921">
        <f>D862-F862</f>
        <v/>
      </c>
      <c r="H862" s="1921">
        <f>E862-F862</f>
        <v/>
      </c>
    </row>
    <row r="863" ht="14.25" customHeight="1">
      <c r="A863" s="1919" t="inlineStr">
        <is>
          <t>01/02/2023</t>
        </is>
      </c>
      <c r="B863" s="1920" t="n">
        <v>6850.98</v>
      </c>
      <c r="C863" s="1926" t="n">
        <v>1150</v>
      </c>
      <c r="D863" s="1921">
        <f>B863/B864-1</f>
        <v/>
      </c>
      <c r="E863" s="1921">
        <f>C863/C864-1</f>
        <v/>
      </c>
      <c r="F863" s="1921">
        <f>$L$2/365</f>
        <v/>
      </c>
      <c r="G863" s="1921">
        <f>D863-F863</f>
        <v/>
      </c>
      <c r="H863" s="1921">
        <f>E863-F863</f>
        <v/>
      </c>
    </row>
    <row r="864" ht="14.25" customHeight="1">
      <c r="A864" s="1919" t="inlineStr">
        <is>
          <t>12/30/2022</t>
        </is>
      </c>
      <c r="B864" s="1920" t="n">
        <v>6850.62</v>
      </c>
      <c r="C864" s="1926" t="n">
        <v>1100</v>
      </c>
      <c r="D864" s="1921">
        <f>B864/B865-1</f>
        <v/>
      </c>
      <c r="E864" s="1921">
        <f>C864/C865-1</f>
        <v/>
      </c>
      <c r="F864" s="1921">
        <f>$L$2/365</f>
        <v/>
      </c>
      <c r="G864" s="1921">
        <f>D864-F864</f>
        <v/>
      </c>
      <c r="H864" s="1921">
        <f>E864-F864</f>
        <v/>
      </c>
    </row>
    <row r="865" ht="14.25" customHeight="1">
      <c r="A865" s="1919" t="inlineStr">
        <is>
          <t>12/29/2022</t>
        </is>
      </c>
      <c r="B865" s="1920" t="n">
        <v>6860.08</v>
      </c>
      <c r="C865" s="1926" t="n">
        <v>1095</v>
      </c>
      <c r="D865" s="1921">
        <f>B865/B866-1</f>
        <v/>
      </c>
      <c r="E865" s="1921">
        <f>C865/C866-1</f>
        <v/>
      </c>
      <c r="F865" s="1921">
        <f>$L$2/365</f>
        <v/>
      </c>
      <c r="G865" s="1921">
        <f>D865-F865</f>
        <v/>
      </c>
      <c r="H865" s="1921">
        <f>E865-F865</f>
        <v/>
      </c>
    </row>
    <row r="866" ht="14.25" customHeight="1">
      <c r="A866" s="1919" t="inlineStr">
        <is>
          <t>12/28/2022</t>
        </is>
      </c>
      <c r="B866" s="1920" t="n">
        <v>6850.52</v>
      </c>
      <c r="C866" s="1926" t="n">
        <v>1090</v>
      </c>
      <c r="D866" s="1921">
        <f>B866/B867-1</f>
        <v/>
      </c>
      <c r="E866" s="1921">
        <f>C866/C867-1</f>
        <v/>
      </c>
      <c r="F866" s="1921">
        <f>$L$2/365</f>
        <v/>
      </c>
      <c r="G866" s="1921">
        <f>D866-F866</f>
        <v/>
      </c>
      <c r="H866" s="1921">
        <f>E866-F866</f>
        <v/>
      </c>
    </row>
    <row r="867" ht="14.25" customHeight="1">
      <c r="A867" s="1919" t="inlineStr">
        <is>
          <t>12/27/2022</t>
        </is>
      </c>
      <c r="B867" s="1920" t="n">
        <v>6923.03</v>
      </c>
      <c r="C867" s="1926" t="n">
        <v>1075</v>
      </c>
      <c r="D867" s="1921">
        <f>B867/B868-1</f>
        <v/>
      </c>
      <c r="E867" s="1921">
        <f>C867/C868-1</f>
        <v/>
      </c>
      <c r="F867" s="1921">
        <f>$L$2/365</f>
        <v/>
      </c>
      <c r="G867" s="1921">
        <f>D867-F867</f>
        <v/>
      </c>
      <c r="H867" s="1921">
        <f>E867-F867</f>
        <v/>
      </c>
    </row>
    <row r="868" ht="14.25" customHeight="1">
      <c r="A868" s="1919" t="inlineStr">
        <is>
          <t>12/26/2022</t>
        </is>
      </c>
      <c r="B868" s="1920" t="n">
        <v>6835.81</v>
      </c>
      <c r="C868" s="1926" t="n">
        <v>1075</v>
      </c>
      <c r="D868" s="1921">
        <f>B868/B869-1</f>
        <v/>
      </c>
      <c r="E868" s="1921">
        <f>C868/C869-1</f>
        <v/>
      </c>
      <c r="F868" s="1921">
        <f>$L$2/365</f>
        <v/>
      </c>
      <c r="G868" s="1921">
        <f>D868-F868</f>
        <v/>
      </c>
      <c r="H868" s="1921">
        <f>E868-F868</f>
        <v/>
      </c>
    </row>
    <row r="869" ht="14.25" customHeight="1">
      <c r="A869" s="1919" t="inlineStr">
        <is>
          <t>12/23/2022</t>
        </is>
      </c>
      <c r="B869" s="1920" t="n">
        <v>6800.67</v>
      </c>
      <c r="C869" s="1926" t="n">
        <v>1055</v>
      </c>
      <c r="D869" s="1921">
        <f>B869/B870-1</f>
        <v/>
      </c>
      <c r="E869" s="1921">
        <f>C869/C870-1</f>
        <v/>
      </c>
      <c r="F869" s="1921">
        <f>$L$2/365</f>
        <v/>
      </c>
      <c r="G869" s="1921">
        <f>D869-F869</f>
        <v/>
      </c>
      <c r="H869" s="1921">
        <f>E869-F869</f>
        <v/>
      </c>
    </row>
    <row r="870" ht="14.25" customHeight="1">
      <c r="A870" s="1919" t="inlineStr">
        <is>
          <t>12/22/2022</t>
        </is>
      </c>
      <c r="B870" s="1920" t="n">
        <v>6824.43</v>
      </c>
      <c r="C870" s="1926" t="n">
        <v>1055</v>
      </c>
      <c r="D870" s="1921">
        <f>B870/B871-1</f>
        <v/>
      </c>
      <c r="E870" s="1921">
        <f>C870/C871-1</f>
        <v/>
      </c>
      <c r="F870" s="1921">
        <f>$L$2/365</f>
        <v/>
      </c>
      <c r="G870" s="1921">
        <f>D870-F870</f>
        <v/>
      </c>
      <c r="H870" s="1921">
        <f>E870-F870</f>
        <v/>
      </c>
    </row>
    <row r="871" ht="14.25" customHeight="1">
      <c r="A871" s="1919" t="inlineStr">
        <is>
          <t>12/21/2022</t>
        </is>
      </c>
      <c r="B871" s="1920" t="n">
        <v>6820.66</v>
      </c>
      <c r="C871" s="1926" t="n">
        <v>1070</v>
      </c>
      <c r="D871" s="1921">
        <f>B871/B872-1</f>
        <v/>
      </c>
      <c r="E871" s="1921">
        <f>C871/C872-1</f>
        <v/>
      </c>
      <c r="F871" s="1921">
        <f>$L$2/365</f>
        <v/>
      </c>
      <c r="G871" s="1921">
        <f>D871-F871</f>
        <v/>
      </c>
      <c r="H871" s="1921">
        <f>E871-F871</f>
        <v/>
      </c>
    </row>
    <row r="872" ht="14.25" customHeight="1">
      <c r="A872" s="1919" t="inlineStr">
        <is>
          <t>12/20/2022</t>
        </is>
      </c>
      <c r="B872" s="1920" t="n">
        <v>6768.32</v>
      </c>
      <c r="C872" s="1926" t="n">
        <v>1075</v>
      </c>
      <c r="D872" s="1921">
        <f>B872/B873-1</f>
        <v/>
      </c>
      <c r="E872" s="1921">
        <f>C872/C873-1</f>
        <v/>
      </c>
      <c r="F872" s="1921">
        <f>$L$2/365</f>
        <v/>
      </c>
      <c r="G872" s="1921">
        <f>D872-F872</f>
        <v/>
      </c>
      <c r="H872" s="1921">
        <f>E872-F872</f>
        <v/>
      </c>
    </row>
    <row r="873" ht="14.25" customHeight="1">
      <c r="A873" s="1919" t="inlineStr">
        <is>
          <t>12/19/2022</t>
        </is>
      </c>
      <c r="B873" s="1920" t="n">
        <v>6779.7</v>
      </c>
      <c r="C873" s="1926" t="n">
        <v>1090</v>
      </c>
      <c r="D873" s="1921">
        <f>B873/B874-1</f>
        <v/>
      </c>
      <c r="E873" s="1921">
        <f>C873/C874-1</f>
        <v/>
      </c>
      <c r="F873" s="1921">
        <f>$L$2/365</f>
        <v/>
      </c>
      <c r="G873" s="1921">
        <f>D873-F873</f>
        <v/>
      </c>
      <c r="H873" s="1921">
        <f>E873-F873</f>
        <v/>
      </c>
    </row>
    <row r="874" ht="14.25" customHeight="1">
      <c r="A874" s="1919" t="inlineStr">
        <is>
          <t>12/16/2022</t>
        </is>
      </c>
      <c r="B874" s="1920" t="n">
        <v>6812.19</v>
      </c>
      <c r="C874" s="1926" t="n">
        <v>1080</v>
      </c>
      <c r="D874" s="1921">
        <f>B874/B875-1</f>
        <v/>
      </c>
      <c r="E874" s="1921">
        <f>C874/C875-1</f>
        <v/>
      </c>
      <c r="F874" s="1921">
        <f>$L$2/365</f>
        <v/>
      </c>
      <c r="G874" s="1921">
        <f>D874-F874</f>
        <v/>
      </c>
      <c r="H874" s="1921">
        <f>E874-F874</f>
        <v/>
      </c>
    </row>
    <row r="875" ht="14.25" customHeight="1">
      <c r="A875" s="1919" t="inlineStr">
        <is>
          <t>12/15/2022</t>
        </is>
      </c>
      <c r="B875" s="1920" t="n">
        <v>6751.86</v>
      </c>
      <c r="C875" s="1926" t="n">
        <v>1090</v>
      </c>
      <c r="D875" s="1921">
        <f>B875/B876-1</f>
        <v/>
      </c>
      <c r="E875" s="1921">
        <f>C875/C876-1</f>
        <v/>
      </c>
      <c r="F875" s="1921">
        <f>$L$2/365</f>
        <v/>
      </c>
      <c r="G875" s="1921">
        <f>D875-F875</f>
        <v/>
      </c>
      <c r="H875" s="1921">
        <f>E875-F875</f>
        <v/>
      </c>
    </row>
    <row r="876" ht="14.25" customHeight="1">
      <c r="A876" s="1919" t="inlineStr">
        <is>
          <t>12/14/2022</t>
        </is>
      </c>
      <c r="B876" s="1920" t="n">
        <v>6801.75</v>
      </c>
      <c r="C876" s="1926" t="n">
        <v>1115</v>
      </c>
      <c r="D876" s="1921">
        <f>B876/B877-1</f>
        <v/>
      </c>
      <c r="E876" s="1921">
        <f>C876/C877-1</f>
        <v/>
      </c>
      <c r="F876" s="1921">
        <f>$L$2/365</f>
        <v/>
      </c>
      <c r="G876" s="1921">
        <f>D876-F876</f>
        <v/>
      </c>
      <c r="H876" s="1921">
        <f>E876-F876</f>
        <v/>
      </c>
    </row>
    <row r="877" ht="14.25" customHeight="1">
      <c r="A877" s="1919" t="inlineStr">
        <is>
          <t>12/13/2022</t>
        </is>
      </c>
      <c r="B877" s="1920" t="n">
        <v>6810.32</v>
      </c>
      <c r="C877" s="1926" t="n">
        <v>1100</v>
      </c>
      <c r="D877" s="1921">
        <f>B877/B878-1</f>
        <v/>
      </c>
      <c r="E877" s="1921">
        <f>C877/C878-1</f>
        <v/>
      </c>
      <c r="F877" s="1921">
        <f>$L$2/365</f>
        <v/>
      </c>
      <c r="G877" s="1921">
        <f>D877-F877</f>
        <v/>
      </c>
      <c r="H877" s="1921">
        <f>E877-F877</f>
        <v/>
      </c>
    </row>
    <row r="878" ht="14.25" customHeight="1">
      <c r="A878" s="1919" t="inlineStr">
        <is>
          <t>12/12/2022</t>
        </is>
      </c>
      <c r="B878" s="1920" t="n">
        <v>6734.45</v>
      </c>
      <c r="C878" s="1926" t="n">
        <v>1090</v>
      </c>
      <c r="D878" s="1921">
        <f>B878/B879-1</f>
        <v/>
      </c>
      <c r="E878" s="1921">
        <f>C878/C879-1</f>
        <v/>
      </c>
      <c r="F878" s="1921">
        <f>$L$2/365</f>
        <v/>
      </c>
      <c r="G878" s="1921">
        <f>D878-F878</f>
        <v/>
      </c>
      <c r="H878" s="1921">
        <f>E878-F878</f>
        <v/>
      </c>
    </row>
    <row r="879" ht="14.25" customHeight="1">
      <c r="A879" s="1919" t="inlineStr">
        <is>
          <t>12/09/2022</t>
        </is>
      </c>
      <c r="B879" s="1920" t="n">
        <v>6715.12</v>
      </c>
      <c r="C879" s="1926" t="n">
        <v>1110</v>
      </c>
      <c r="D879" s="1921">
        <f>B879/B880-1</f>
        <v/>
      </c>
      <c r="E879" s="1921">
        <f>C879/C880-1</f>
        <v/>
      </c>
      <c r="F879" s="1921">
        <f>$L$2/365</f>
        <v/>
      </c>
      <c r="G879" s="1921">
        <f>D879-F879</f>
        <v/>
      </c>
      <c r="H879" s="1921">
        <f>E879-F879</f>
        <v/>
      </c>
    </row>
    <row r="880" ht="14.25" customHeight="1">
      <c r="A880" s="1919" t="inlineStr">
        <is>
          <t>12/08/2022</t>
        </is>
      </c>
      <c r="B880" s="1920" t="n">
        <v>6804.23</v>
      </c>
      <c r="C880" s="1926" t="n">
        <v>1115</v>
      </c>
      <c r="D880" s="1921">
        <f>B880/B881-1</f>
        <v/>
      </c>
      <c r="E880" s="1921">
        <f>C880/C881-1</f>
        <v/>
      </c>
      <c r="F880" s="1921">
        <f>$L$2/365</f>
        <v/>
      </c>
      <c r="G880" s="1921">
        <f>D880-F880</f>
        <v/>
      </c>
      <c r="H880" s="1921">
        <f>E880-F880</f>
        <v/>
      </c>
    </row>
    <row r="881" ht="14.25" customHeight="1">
      <c r="A881" s="1919" t="inlineStr">
        <is>
          <t>12/07/2022</t>
        </is>
      </c>
      <c r="B881" s="1920" t="n">
        <v>6818.75</v>
      </c>
      <c r="C881" s="1926" t="n">
        <v>1095</v>
      </c>
      <c r="D881" s="1921">
        <f>B881/B882-1</f>
        <v/>
      </c>
      <c r="E881" s="1921">
        <f>C881/C882-1</f>
        <v/>
      </c>
      <c r="F881" s="1921">
        <f>$L$2/365</f>
        <v/>
      </c>
      <c r="G881" s="1921">
        <f>D881-F881</f>
        <v/>
      </c>
      <c r="H881" s="1921">
        <f>E881-F881</f>
        <v/>
      </c>
    </row>
    <row r="882" ht="14.25" customHeight="1">
      <c r="A882" s="1919" t="inlineStr">
        <is>
          <t>12/06/2022</t>
        </is>
      </c>
      <c r="B882" s="1920" t="n">
        <v>6892.57</v>
      </c>
      <c r="C882" s="1926" t="n">
        <v>1115</v>
      </c>
      <c r="D882" s="1921">
        <f>B882/B883-1</f>
        <v/>
      </c>
      <c r="E882" s="1921">
        <f>C882/C883-1</f>
        <v/>
      </c>
      <c r="F882" s="1921">
        <f>$L$2/365</f>
        <v/>
      </c>
      <c r="G882" s="1921">
        <f>D882-F882</f>
        <v/>
      </c>
      <c r="H882" s="1921">
        <f>E882-F882</f>
        <v/>
      </c>
    </row>
    <row r="883" ht="14.25" customHeight="1">
      <c r="A883" s="1919" t="inlineStr">
        <is>
          <t>12/05/2022</t>
        </is>
      </c>
      <c r="B883" s="1920" t="n">
        <v>6987.33</v>
      </c>
      <c r="C883" s="1926" t="n">
        <v>1145</v>
      </c>
      <c r="D883" s="1921">
        <f>B883/B884-1</f>
        <v/>
      </c>
      <c r="E883" s="1921">
        <f>C883/C884-1</f>
        <v/>
      </c>
      <c r="F883" s="1921">
        <f>$L$2/365</f>
        <v/>
      </c>
      <c r="G883" s="1921">
        <f>D883-F883</f>
        <v/>
      </c>
      <c r="H883" s="1921">
        <f>E883-F883</f>
        <v/>
      </c>
    </row>
    <row r="884" ht="14.25" customHeight="1">
      <c r="A884" s="1919" t="inlineStr">
        <is>
          <t>12/02/2022</t>
        </is>
      </c>
      <c r="B884" s="1920" t="n">
        <v>7019.64</v>
      </c>
      <c r="C884" s="1926" t="n">
        <v>1155</v>
      </c>
      <c r="D884" s="1921">
        <f>B884/B885-1</f>
        <v/>
      </c>
      <c r="E884" s="1921">
        <f>C884/C885-1</f>
        <v/>
      </c>
      <c r="F884" s="1921">
        <f>$L$2/365</f>
        <v/>
      </c>
      <c r="G884" s="1921">
        <f>D884-F884</f>
        <v/>
      </c>
      <c r="H884" s="1921">
        <f>E884-F884</f>
        <v/>
      </c>
    </row>
    <row r="885" ht="14.25" customHeight="1">
      <c r="A885" s="1919" t="inlineStr">
        <is>
          <t>12/01/2022</t>
        </is>
      </c>
      <c r="B885" s="1920" t="n">
        <v>7020.8</v>
      </c>
      <c r="C885" s="1926" t="n">
        <v>1150</v>
      </c>
      <c r="D885" s="1921">
        <f>B885/B886-1</f>
        <v/>
      </c>
      <c r="E885" s="1921">
        <f>C885/C886-1</f>
        <v/>
      </c>
      <c r="F885" s="1921">
        <f>$L$2/365</f>
        <v/>
      </c>
      <c r="G885" s="1921">
        <f>D885-F885</f>
        <v/>
      </c>
      <c r="H885" s="1921">
        <f>E885-F885</f>
        <v/>
      </c>
    </row>
    <row r="886" ht="14.25" customHeight="1">
      <c r="A886" s="1919" t="inlineStr">
        <is>
          <t>11/30/2022</t>
        </is>
      </c>
      <c r="B886" s="1920" t="n">
        <v>7081.31</v>
      </c>
      <c r="C886" s="1926" t="n">
        <v>1130</v>
      </c>
      <c r="D886" s="1921">
        <f>B886/B887-1</f>
        <v/>
      </c>
      <c r="E886" s="1921">
        <f>C886/C887-1</f>
        <v/>
      </c>
      <c r="F886" s="1921">
        <f>$L$2/365</f>
        <v/>
      </c>
      <c r="G886" s="1921">
        <f>D886-F886</f>
        <v/>
      </c>
      <c r="H886" s="1921">
        <f>E886-F886</f>
        <v/>
      </c>
    </row>
    <row r="887" ht="14.25" customHeight="1">
      <c r="A887" s="1919" t="inlineStr">
        <is>
          <t>11/29/2022</t>
        </is>
      </c>
      <c r="B887" s="1920" t="n">
        <v>7012.07</v>
      </c>
      <c r="C887" s="1926" t="n">
        <v>1145</v>
      </c>
      <c r="D887" s="1921">
        <f>B887/B888-1</f>
        <v/>
      </c>
      <c r="E887" s="1921">
        <f>C887/C888-1</f>
        <v/>
      </c>
      <c r="F887" s="1921">
        <f>$L$2/365</f>
        <v/>
      </c>
      <c r="G887" s="1921">
        <f>D887-F887</f>
        <v/>
      </c>
      <c r="H887" s="1921">
        <f>E887-F887</f>
        <v/>
      </c>
    </row>
    <row r="888" ht="14.25" customHeight="1">
      <c r="A888" s="1919" t="inlineStr">
        <is>
          <t>11/28/2022</t>
        </is>
      </c>
      <c r="B888" s="1920" t="n">
        <v>7017.36</v>
      </c>
      <c r="C888" s="1926" t="n">
        <v>1145</v>
      </c>
      <c r="D888" s="1921">
        <f>B888/B889-1</f>
        <v/>
      </c>
      <c r="E888" s="1921">
        <f>C888/C889-1</f>
        <v/>
      </c>
      <c r="F888" s="1921">
        <f>$L$2/365</f>
        <v/>
      </c>
      <c r="G888" s="1921">
        <f>D888-F888</f>
        <v/>
      </c>
      <c r="H888" s="1921">
        <f>E888-F888</f>
        <v/>
      </c>
    </row>
    <row r="889" ht="14.25" customHeight="1">
      <c r="A889" s="1919" t="inlineStr">
        <is>
          <t>11/25/2022</t>
        </is>
      </c>
      <c r="B889" s="1920" t="n">
        <v>7053.15</v>
      </c>
      <c r="C889" s="1926" t="n">
        <v>1145</v>
      </c>
      <c r="D889" s="1921">
        <f>B889/B890-1</f>
        <v/>
      </c>
      <c r="E889" s="1921">
        <f>C889/C890-1</f>
        <v/>
      </c>
      <c r="F889" s="1921">
        <f>$L$2/365</f>
        <v/>
      </c>
      <c r="G889" s="1921">
        <f>D889-F889</f>
        <v/>
      </c>
      <c r="H889" s="1921">
        <f>E889-F889</f>
        <v/>
      </c>
    </row>
    <row r="890" ht="14.25" customHeight="1">
      <c r="A890" s="1919" t="inlineStr">
        <is>
          <t>11/24/2022</t>
        </is>
      </c>
      <c r="B890" s="1920" t="n">
        <v>7080.52</v>
      </c>
      <c r="C890" s="1926" t="n">
        <v>1140</v>
      </c>
      <c r="D890" s="1921">
        <f>B890/B891-1</f>
        <v/>
      </c>
      <c r="E890" s="1921">
        <f>C890/C891-1</f>
        <v/>
      </c>
      <c r="F890" s="1921">
        <f>$L$2/365</f>
        <v/>
      </c>
      <c r="G890" s="1921">
        <f>D890-F890</f>
        <v/>
      </c>
      <c r="H890" s="1921">
        <f>E890-F890</f>
        <v/>
      </c>
    </row>
    <row r="891" ht="14.25" customHeight="1">
      <c r="A891" s="1919" t="inlineStr">
        <is>
          <t>11/23/2022</t>
        </is>
      </c>
      <c r="B891" s="1920" t="n">
        <v>7054.12</v>
      </c>
      <c r="C891" s="1926" t="n">
        <v>1130</v>
      </c>
      <c r="D891" s="1921">
        <f>B891/B892-1</f>
        <v/>
      </c>
      <c r="E891" s="1921">
        <f>C891/C892-1</f>
        <v/>
      </c>
      <c r="F891" s="1921">
        <f>$L$2/365</f>
        <v/>
      </c>
      <c r="G891" s="1921">
        <f>D891-F891</f>
        <v/>
      </c>
      <c r="H891" s="1921">
        <f>E891-F891</f>
        <v/>
      </c>
    </row>
    <row r="892" ht="14.25" customHeight="1">
      <c r="A892" s="1919" t="inlineStr">
        <is>
          <t>11/22/2022</t>
        </is>
      </c>
      <c r="B892" s="1920" t="n">
        <v>7030.59</v>
      </c>
      <c r="C892" s="1926" t="n">
        <v>1135</v>
      </c>
      <c r="D892" s="1921">
        <f>B892/B893-1</f>
        <v/>
      </c>
      <c r="E892" s="1921">
        <f>C892/C893-1</f>
        <v/>
      </c>
      <c r="F892" s="1921">
        <f>$L$2/365</f>
        <v/>
      </c>
      <c r="G892" s="1921">
        <f>D892-F892</f>
        <v/>
      </c>
      <c r="H892" s="1921">
        <f>E892-F892</f>
        <v/>
      </c>
    </row>
    <row r="893" ht="14.25" customHeight="1">
      <c r="A893" s="1919" t="inlineStr">
        <is>
          <t>11/21/2022</t>
        </is>
      </c>
      <c r="B893" s="1920" t="n">
        <v>7063.25</v>
      </c>
      <c r="C893" s="1926" t="n">
        <v>1140</v>
      </c>
      <c r="D893" s="1921">
        <f>B893/B894-1</f>
        <v/>
      </c>
      <c r="E893" s="1921">
        <f>C893/C894-1</f>
        <v/>
      </c>
      <c r="F893" s="1921">
        <f>$L$2/365</f>
        <v/>
      </c>
      <c r="G893" s="1921">
        <f>D893-F893</f>
        <v/>
      </c>
      <c r="H893" s="1921">
        <f>E893-F893</f>
        <v/>
      </c>
    </row>
    <row r="894" ht="14.25" customHeight="1">
      <c r="A894" s="1919" t="inlineStr">
        <is>
          <t>11/18/2022</t>
        </is>
      </c>
      <c r="B894" s="1920" t="n">
        <v>7082.18</v>
      </c>
      <c r="C894" s="1926" t="n">
        <v>1150</v>
      </c>
      <c r="D894" s="1921">
        <f>B894/B895-1</f>
        <v/>
      </c>
      <c r="E894" s="1921">
        <f>C894/C895-1</f>
        <v/>
      </c>
      <c r="F894" s="1921">
        <f>$L$2/365</f>
        <v/>
      </c>
      <c r="G894" s="1921">
        <f>D894-F894</f>
        <v/>
      </c>
      <c r="H894" s="1921">
        <f>E894-F894</f>
        <v/>
      </c>
    </row>
    <row r="895" ht="14.25" customHeight="1">
      <c r="A895" s="1919" t="inlineStr">
        <is>
          <t>11/17/2022</t>
        </is>
      </c>
      <c r="B895" s="1920" t="n">
        <v>7044.99</v>
      </c>
      <c r="C895" s="1926" t="n">
        <v>1125</v>
      </c>
      <c r="D895" s="1921">
        <f>B895/B896-1</f>
        <v/>
      </c>
      <c r="E895" s="1921">
        <f>C895/C896-1</f>
        <v/>
      </c>
      <c r="F895" s="1921">
        <f>$L$2/365</f>
        <v/>
      </c>
      <c r="G895" s="1921">
        <f>D895-F895</f>
        <v/>
      </c>
      <c r="H895" s="1921">
        <f>E895-F895</f>
        <v/>
      </c>
    </row>
    <row r="896" ht="14.25" customHeight="1">
      <c r="A896" s="1919" t="inlineStr">
        <is>
          <t>11/16/2022</t>
        </is>
      </c>
      <c r="B896" s="1920" t="n">
        <v>7014.38</v>
      </c>
      <c r="C896" s="1926" t="n">
        <v>1150</v>
      </c>
      <c r="D896" s="1921">
        <f>B896/B897-1</f>
        <v/>
      </c>
      <c r="E896" s="1921">
        <f>C896/C897-1</f>
        <v/>
      </c>
      <c r="F896" s="1921">
        <f>$L$2/365</f>
        <v/>
      </c>
      <c r="G896" s="1921">
        <f>D896-F896</f>
        <v/>
      </c>
      <c r="H896" s="1921">
        <f>E896-F896</f>
        <v/>
      </c>
    </row>
    <row r="897" ht="14.25" customHeight="1">
      <c r="A897" s="1919" t="inlineStr">
        <is>
          <t>11/15/2022</t>
        </is>
      </c>
      <c r="B897" s="1920" t="n">
        <v>7035.5</v>
      </c>
      <c r="C897" s="1926" t="n">
        <v>1150</v>
      </c>
      <c r="D897" s="1921">
        <f>B897/B898-1</f>
        <v/>
      </c>
      <c r="E897" s="1921">
        <f>C897/C898-1</f>
        <v/>
      </c>
      <c r="F897" s="1921">
        <f>$L$2/365</f>
        <v/>
      </c>
      <c r="G897" s="1921">
        <f>D897-F897</f>
        <v/>
      </c>
      <c r="H897" s="1921">
        <f>E897-F897</f>
        <v/>
      </c>
    </row>
    <row r="898" ht="14.25" customHeight="1">
      <c r="A898" s="1919" t="inlineStr">
        <is>
          <t>11/14/2022</t>
        </is>
      </c>
      <c r="B898" s="1920" t="n">
        <v>7019.39</v>
      </c>
      <c r="C898" s="1926" t="n">
        <v>1130</v>
      </c>
      <c r="D898" s="1921">
        <f>B898/B899-1</f>
        <v/>
      </c>
      <c r="E898" s="1921">
        <f>C898/C899-1</f>
        <v/>
      </c>
      <c r="F898" s="1921">
        <f>$L$2/365</f>
        <v/>
      </c>
      <c r="G898" s="1921">
        <f>D898-F898</f>
        <v/>
      </c>
      <c r="H898" s="1921">
        <f>E898-F898</f>
        <v/>
      </c>
    </row>
    <row r="899" ht="14.25" customHeight="1">
      <c r="A899" s="1919" t="inlineStr">
        <is>
          <t>11/11/2022</t>
        </is>
      </c>
      <c r="B899" s="1920" t="n">
        <v>7089.21</v>
      </c>
      <c r="C899" s="1926" t="n">
        <v>1150</v>
      </c>
      <c r="D899" s="1921">
        <f>B899/B900-1</f>
        <v/>
      </c>
      <c r="E899" s="1921">
        <f>C899/C900-1</f>
        <v/>
      </c>
      <c r="F899" s="1921">
        <f>$L$2/365</f>
        <v/>
      </c>
      <c r="G899" s="1921">
        <f>D899-F899</f>
        <v/>
      </c>
      <c r="H899" s="1921">
        <f>E899-F899</f>
        <v/>
      </c>
    </row>
    <row r="900" ht="14.25" customHeight="1">
      <c r="A900" s="1919" t="inlineStr">
        <is>
          <t>11/10/2022</t>
        </is>
      </c>
      <c r="B900" s="1920" t="n">
        <v>6966.84</v>
      </c>
      <c r="C900" s="1926" t="n">
        <v>1130</v>
      </c>
      <c r="D900" s="1921">
        <f>B900/B901-1</f>
        <v/>
      </c>
      <c r="E900" s="1921">
        <f>C900/C901-1</f>
        <v/>
      </c>
      <c r="F900" s="1921">
        <f>$L$2/365</f>
        <v/>
      </c>
      <c r="G900" s="1921">
        <f>D900-F900</f>
        <v/>
      </c>
      <c r="H900" s="1921">
        <f>E900-F900</f>
        <v/>
      </c>
    </row>
    <row r="901" ht="14.25" customHeight="1">
      <c r="A901" s="1919" t="inlineStr">
        <is>
          <t>11/09/2022</t>
        </is>
      </c>
      <c r="B901" s="1920" t="n">
        <v>7070.08</v>
      </c>
      <c r="C901" s="1926" t="n">
        <v>1140</v>
      </c>
      <c r="D901" s="1921">
        <f>B901/B902-1</f>
        <v/>
      </c>
      <c r="E901" s="1921">
        <f>C901/C902-1</f>
        <v/>
      </c>
      <c r="F901" s="1921">
        <f>$L$2/365</f>
        <v/>
      </c>
      <c r="G901" s="1921">
        <f>D901-F901</f>
        <v/>
      </c>
      <c r="H901" s="1921">
        <f>E901-F901</f>
        <v/>
      </c>
    </row>
    <row r="902" ht="14.25" customHeight="1">
      <c r="A902" s="1919" t="inlineStr">
        <is>
          <t>11/08/2022</t>
        </is>
      </c>
      <c r="B902" s="1920" t="n">
        <v>7050.13</v>
      </c>
      <c r="C902" s="1926" t="n">
        <v>1145</v>
      </c>
      <c r="D902" s="1921">
        <f>B902/B903-1</f>
        <v/>
      </c>
      <c r="E902" s="1921">
        <f>C902/C903-1</f>
        <v/>
      </c>
      <c r="F902" s="1921">
        <f>$L$2/365</f>
        <v/>
      </c>
      <c r="G902" s="1921">
        <f>D902-F902</f>
        <v/>
      </c>
      <c r="H902" s="1921">
        <f>E902-F902</f>
        <v/>
      </c>
    </row>
    <row r="903" ht="14.25" customHeight="1">
      <c r="A903" s="1919" t="inlineStr">
        <is>
          <t>11/07/2022</t>
        </is>
      </c>
      <c r="B903" s="1920" t="n">
        <v>7102.4</v>
      </c>
      <c r="C903" s="1926" t="n">
        <v>1180</v>
      </c>
      <c r="D903" s="1921">
        <f>B903/B904-1</f>
        <v/>
      </c>
      <c r="E903" s="1921">
        <f>C903/C904-1</f>
        <v/>
      </c>
      <c r="F903" s="1921">
        <f>$L$2/365</f>
        <v/>
      </c>
      <c r="G903" s="1921">
        <f>D903-F903</f>
        <v/>
      </c>
      <c r="H903" s="1921">
        <f>E903-F903</f>
        <v/>
      </c>
    </row>
    <row r="904" ht="14.25" customHeight="1">
      <c r="A904" s="1919" t="inlineStr">
        <is>
          <t>11/04/2022</t>
        </is>
      </c>
      <c r="B904" s="1920" t="n">
        <v>7045.53</v>
      </c>
      <c r="C904" s="1926" t="n">
        <v>1160</v>
      </c>
      <c r="D904" s="1921">
        <f>B904/B905-1</f>
        <v/>
      </c>
      <c r="E904" s="1921">
        <f>C904/C905-1</f>
        <v/>
      </c>
      <c r="F904" s="1921">
        <f>$L$2/365</f>
        <v/>
      </c>
      <c r="G904" s="1921">
        <f>D904-F904</f>
        <v/>
      </c>
      <c r="H904" s="1921">
        <f>E904-F904</f>
        <v/>
      </c>
    </row>
    <row r="905" ht="14.25" customHeight="1">
      <c r="A905" s="1919" t="inlineStr">
        <is>
          <t>11/03/2022</t>
        </is>
      </c>
      <c r="B905" s="1920" t="n">
        <v>7034.57</v>
      </c>
      <c r="C905" s="1926" t="n">
        <v>1155</v>
      </c>
      <c r="D905" s="1921">
        <f>B905/B906-1</f>
        <v/>
      </c>
      <c r="E905" s="1921">
        <f>C905/C906-1</f>
        <v/>
      </c>
      <c r="F905" s="1921">
        <f>$L$2/365</f>
        <v/>
      </c>
      <c r="G905" s="1921">
        <f>D905-F905</f>
        <v/>
      </c>
      <c r="H905" s="1921">
        <f>E905-F905</f>
        <v/>
      </c>
    </row>
    <row r="906" ht="14.25" customHeight="1">
      <c r="A906" s="1919" t="inlineStr">
        <is>
          <t>11/02/2022</t>
        </is>
      </c>
      <c r="B906" s="1920" t="n">
        <v>7015.69</v>
      </c>
      <c r="C906" s="1926" t="n">
        <v>1155</v>
      </c>
      <c r="D906" s="1921">
        <f>B906/B907-1</f>
        <v/>
      </c>
      <c r="E906" s="1921">
        <f>C906/C907-1</f>
        <v/>
      </c>
      <c r="F906" s="1921">
        <f>$L$2/365</f>
        <v/>
      </c>
      <c r="G906" s="1921">
        <f>D906-F906</f>
        <v/>
      </c>
      <c r="H906" s="1921">
        <f>E906-F906</f>
        <v/>
      </c>
    </row>
    <row r="907" ht="14.25" customHeight="1">
      <c r="A907" s="1919" t="inlineStr">
        <is>
          <t>11/01/2022</t>
        </is>
      </c>
      <c r="B907" s="1920" t="n">
        <v>7052.3</v>
      </c>
      <c r="C907" s="1926" t="n">
        <v>1145</v>
      </c>
      <c r="D907" s="1921">
        <f>B907/B908-1</f>
        <v/>
      </c>
      <c r="E907" s="1921">
        <f>C907/C908-1</f>
        <v/>
      </c>
      <c r="F907" s="1921">
        <f>$L$2/365</f>
        <v/>
      </c>
      <c r="G907" s="1921">
        <f>D907-F907</f>
        <v/>
      </c>
      <c r="H907" s="1921">
        <f>E907-F907</f>
        <v/>
      </c>
    </row>
    <row r="908" ht="14.25" customHeight="1">
      <c r="A908" s="1919" t="inlineStr">
        <is>
          <t>10/31/2022</t>
        </is>
      </c>
      <c r="B908" s="1920" t="n">
        <v>7098.89</v>
      </c>
      <c r="C908" s="1926" t="n">
        <v>1155</v>
      </c>
      <c r="D908" s="1921">
        <f>B908/B909-1</f>
        <v/>
      </c>
      <c r="E908" s="1921">
        <f>C908/C909-1</f>
        <v/>
      </c>
      <c r="F908" s="1921">
        <f>$L$2/365</f>
        <v/>
      </c>
      <c r="G908" s="1921">
        <f>D908-F908</f>
        <v/>
      </c>
      <c r="H908" s="1921">
        <f>E908-F908</f>
        <v/>
      </c>
    </row>
    <row r="909" ht="14.25" customHeight="1">
      <c r="A909" s="1919" t="inlineStr">
        <is>
          <t>10/28/2022</t>
        </is>
      </c>
      <c r="B909" s="1920" t="n">
        <v>7056.04</v>
      </c>
      <c r="C909" s="1926" t="n">
        <v>1145</v>
      </c>
      <c r="D909" s="1921">
        <f>B909/B910-1</f>
        <v/>
      </c>
      <c r="E909" s="1921">
        <f>C909/C910-1</f>
        <v/>
      </c>
      <c r="F909" s="1921">
        <f>$L$2/365</f>
        <v/>
      </c>
      <c r="G909" s="1921">
        <f>D909-F909</f>
        <v/>
      </c>
      <c r="H909" s="1921">
        <f>E909-F909</f>
        <v/>
      </c>
    </row>
    <row r="910" ht="14.25" customHeight="1">
      <c r="A910" s="1919" t="inlineStr">
        <is>
          <t>10/27/2022</t>
        </is>
      </c>
      <c r="B910" s="1920" t="n">
        <v>7091.76</v>
      </c>
      <c r="C910" s="1926" t="n">
        <v>1125</v>
      </c>
      <c r="D910" s="1921">
        <f>B910/B911-1</f>
        <v/>
      </c>
      <c r="E910" s="1921">
        <f>C910/C911-1</f>
        <v/>
      </c>
      <c r="F910" s="1921">
        <f>$L$2/365</f>
        <v/>
      </c>
      <c r="G910" s="1921">
        <f>D910-F910</f>
        <v/>
      </c>
      <c r="H910" s="1921">
        <f>E910-F910</f>
        <v/>
      </c>
    </row>
    <row r="911" ht="14.25" customHeight="1">
      <c r="A911" s="1919" t="inlineStr">
        <is>
          <t>10/26/2022</t>
        </is>
      </c>
      <c r="B911" s="1920" t="n">
        <v>7043.94</v>
      </c>
      <c r="C911" s="1926" t="n">
        <v>1145</v>
      </c>
      <c r="D911" s="1921">
        <f>B911/B912-1</f>
        <v/>
      </c>
      <c r="E911" s="1921">
        <f>C911/C912-1</f>
        <v/>
      </c>
      <c r="F911" s="1921">
        <f>$L$2/365</f>
        <v/>
      </c>
      <c r="G911" s="1921">
        <f>D911-F911</f>
        <v/>
      </c>
      <c r="H911" s="1921">
        <f>E911-F911</f>
        <v/>
      </c>
    </row>
    <row r="912" ht="14.25" customHeight="1">
      <c r="A912" s="1919" t="inlineStr">
        <is>
          <t>10/25/2022</t>
        </is>
      </c>
      <c r="B912" s="1920" t="n">
        <v>7048.38</v>
      </c>
      <c r="C912" s="1926" t="n">
        <v>1170</v>
      </c>
      <c r="D912" s="1921">
        <f>B912/B913-1</f>
        <v/>
      </c>
      <c r="E912" s="1921">
        <f>C912/C913-1</f>
        <v/>
      </c>
      <c r="F912" s="1921">
        <f>$L$2/365</f>
        <v/>
      </c>
      <c r="G912" s="1921">
        <f>D912-F912</f>
        <v/>
      </c>
      <c r="H912" s="1921">
        <f>E912-F912</f>
        <v/>
      </c>
    </row>
    <row r="913" ht="14.25" customHeight="1">
      <c r="A913" s="1919" t="inlineStr">
        <is>
          <t>10/24/2022</t>
        </is>
      </c>
      <c r="B913" s="1920" t="n">
        <v>7053.04</v>
      </c>
      <c r="C913" s="1926" t="n">
        <v>1160</v>
      </c>
      <c r="D913" s="1921">
        <f>B913/B914-1</f>
        <v/>
      </c>
      <c r="E913" s="1921">
        <f>C913/C914-1</f>
        <v/>
      </c>
      <c r="F913" s="1921">
        <f>$L$2/365</f>
        <v/>
      </c>
      <c r="G913" s="1921">
        <f>D913-F913</f>
        <v/>
      </c>
      <c r="H913" s="1921">
        <f>E913-F913</f>
        <v/>
      </c>
    </row>
    <row r="914" ht="14.25" customHeight="1">
      <c r="A914" s="1919" t="inlineStr">
        <is>
          <t>10/21/2022</t>
        </is>
      </c>
      <c r="B914" s="1920" t="n">
        <v>7017.77</v>
      </c>
      <c r="C914" s="1926" t="n">
        <v>1140</v>
      </c>
      <c r="D914" s="1921">
        <f>B914/B915-1</f>
        <v/>
      </c>
      <c r="E914" s="1921">
        <f>C914/C915-1</f>
        <v/>
      </c>
      <c r="F914" s="1921">
        <f>$L$2/365</f>
        <v/>
      </c>
      <c r="G914" s="1921">
        <f>D914-F914</f>
        <v/>
      </c>
      <c r="H914" s="1921">
        <f>E914-F914</f>
        <v/>
      </c>
    </row>
    <row r="915" ht="14.25" customHeight="1">
      <c r="A915" s="1919" t="inlineStr">
        <is>
          <t>10/20/2022</t>
        </is>
      </c>
      <c r="B915" s="1920" t="n">
        <v>6980.65</v>
      </c>
      <c r="C915" s="1926" t="n">
        <v>1105</v>
      </c>
      <c r="D915" s="1921">
        <f>B915/B916-1</f>
        <v/>
      </c>
      <c r="E915" s="1921">
        <f>C915/C916-1</f>
        <v/>
      </c>
      <c r="F915" s="1921">
        <f>$L$2/365</f>
        <v/>
      </c>
      <c r="G915" s="1921">
        <f>D915-F915</f>
        <v/>
      </c>
      <c r="H915" s="1921">
        <f>E915-F915</f>
        <v/>
      </c>
    </row>
    <row r="916" ht="14.25" customHeight="1">
      <c r="A916" s="1919" t="inlineStr">
        <is>
          <t>10/19/2022</t>
        </is>
      </c>
      <c r="B916" s="1920" t="n">
        <v>6860.42</v>
      </c>
      <c r="C916" s="1926" t="n">
        <v>1120</v>
      </c>
      <c r="D916" s="1921">
        <f>B916/B917-1</f>
        <v/>
      </c>
      <c r="E916" s="1921">
        <f>C916/C917-1</f>
        <v/>
      </c>
      <c r="F916" s="1921">
        <f>$L$2/365</f>
        <v/>
      </c>
      <c r="G916" s="1921">
        <f>D916-F916</f>
        <v/>
      </c>
      <c r="H916" s="1921">
        <f>E916-F916</f>
        <v/>
      </c>
    </row>
    <row r="917" ht="14.25" customHeight="1">
      <c r="A917" s="1919" t="inlineStr">
        <is>
          <t>10/18/2022</t>
        </is>
      </c>
      <c r="B917" s="1920" t="n">
        <v>6834.49</v>
      </c>
      <c r="C917" s="1926" t="n">
        <v>1120</v>
      </c>
      <c r="D917" s="1921">
        <f>B917/B918-1</f>
        <v/>
      </c>
      <c r="E917" s="1921">
        <f>C917/C918-1</f>
        <v/>
      </c>
      <c r="F917" s="1921">
        <f>$L$2/365</f>
        <v/>
      </c>
      <c r="G917" s="1921">
        <f>D917-F917</f>
        <v/>
      </c>
      <c r="H917" s="1921">
        <f>E917-F917</f>
        <v/>
      </c>
    </row>
    <row r="918" ht="14.25" customHeight="1">
      <c r="A918" s="1919" t="inlineStr">
        <is>
          <t>10/17/2022</t>
        </is>
      </c>
      <c r="B918" s="1920" t="n">
        <v>6831.12</v>
      </c>
      <c r="C918" s="1926" t="n">
        <v>1160</v>
      </c>
      <c r="D918" s="1921">
        <f>B918/B919-1</f>
        <v/>
      </c>
      <c r="E918" s="1921">
        <f>C918/C919-1</f>
        <v/>
      </c>
      <c r="F918" s="1921">
        <f>$L$2/365</f>
        <v/>
      </c>
      <c r="G918" s="1921">
        <f>D918-F918</f>
        <v/>
      </c>
      <c r="H918" s="1921">
        <f>E918-F918</f>
        <v/>
      </c>
    </row>
    <row r="919" ht="14.25" customHeight="1">
      <c r="A919" s="1919" t="inlineStr">
        <is>
          <t>10/14/2022</t>
        </is>
      </c>
      <c r="B919" s="1920" t="n">
        <v>6814.53</v>
      </c>
      <c r="C919" s="1926" t="n">
        <v>1175</v>
      </c>
      <c r="D919" s="1921">
        <f>B919/B920-1</f>
        <v/>
      </c>
      <c r="E919" s="1921">
        <f>C919/C920-1</f>
        <v/>
      </c>
      <c r="F919" s="1921">
        <f>$L$2/365</f>
        <v/>
      </c>
      <c r="G919" s="1921">
        <f>D919-F919</f>
        <v/>
      </c>
      <c r="H919" s="1921">
        <f>E919-F919</f>
        <v/>
      </c>
    </row>
    <row r="920" ht="14.25" customHeight="1">
      <c r="A920" s="1919" t="inlineStr">
        <is>
          <t>10/13/2022</t>
        </is>
      </c>
      <c r="B920" s="1920" t="n">
        <v>6880.63</v>
      </c>
      <c r="C920" s="1926" t="n">
        <v>1200</v>
      </c>
      <c r="D920" s="1921">
        <f>B920/B921-1</f>
        <v/>
      </c>
      <c r="E920" s="1921">
        <f>C920/C921-1</f>
        <v/>
      </c>
      <c r="F920" s="1921">
        <f>$L$2/365</f>
        <v/>
      </c>
      <c r="G920" s="1921">
        <f>D920-F920</f>
        <v/>
      </c>
      <c r="H920" s="1921">
        <f>E920-F920</f>
        <v/>
      </c>
    </row>
    <row r="921" ht="14.25" customHeight="1">
      <c r="A921" s="1919" t="inlineStr">
        <is>
          <t>10/12/2022</t>
        </is>
      </c>
      <c r="B921" s="1920" t="n">
        <v>6909.21</v>
      </c>
      <c r="C921" s="1926" t="n">
        <v>1200</v>
      </c>
      <c r="D921" s="1921">
        <f>B921/B922-1</f>
        <v/>
      </c>
      <c r="E921" s="1921">
        <f>C921/C922-1</f>
        <v/>
      </c>
      <c r="F921" s="1921">
        <f>$L$2/365</f>
        <v/>
      </c>
      <c r="G921" s="1921">
        <f>D921-F921</f>
        <v/>
      </c>
      <c r="H921" s="1921">
        <f>E921-F921</f>
        <v/>
      </c>
    </row>
    <row r="922" ht="14.25" customHeight="1">
      <c r="A922" s="1919" t="inlineStr">
        <is>
          <t>10/11/2022</t>
        </is>
      </c>
      <c r="B922" s="1920" t="n">
        <v>6939.15</v>
      </c>
      <c r="C922" s="1926" t="n">
        <v>1220</v>
      </c>
      <c r="D922" s="1921">
        <f>B922/B923-1</f>
        <v/>
      </c>
      <c r="E922" s="1921">
        <f>C922/C923-1</f>
        <v/>
      </c>
      <c r="F922" s="1921">
        <f>$L$2/365</f>
        <v/>
      </c>
      <c r="G922" s="1921">
        <f>D922-F922</f>
        <v/>
      </c>
      <c r="H922" s="1921">
        <f>E922-F922</f>
        <v/>
      </c>
    </row>
    <row r="923" ht="14.25" customHeight="1">
      <c r="A923" s="1919" t="inlineStr">
        <is>
          <t>10/10/2022</t>
        </is>
      </c>
      <c r="B923" s="1920" t="n">
        <v>6994.4</v>
      </c>
      <c r="C923" s="1926" t="n">
        <v>1235</v>
      </c>
      <c r="D923" s="1921">
        <f>B923/B924-1</f>
        <v/>
      </c>
      <c r="E923" s="1921">
        <f>C923/C924-1</f>
        <v/>
      </c>
      <c r="F923" s="1921">
        <f>$L$2/365</f>
        <v/>
      </c>
      <c r="G923" s="1921">
        <f>D923-F923</f>
        <v/>
      </c>
      <c r="H923" s="1921">
        <f>E923-F923</f>
        <v/>
      </c>
    </row>
    <row r="924" ht="14.25" customHeight="1">
      <c r="A924" s="1919" t="inlineStr">
        <is>
          <t>10/07/2022</t>
        </is>
      </c>
      <c r="B924" s="1920" t="n">
        <v>7026.78</v>
      </c>
      <c r="C924" s="1926" t="n">
        <v>1200</v>
      </c>
      <c r="D924" s="1921">
        <f>B924/B925-1</f>
        <v/>
      </c>
      <c r="E924" s="1921">
        <f>C924/C925-1</f>
        <v/>
      </c>
      <c r="F924" s="1921">
        <f>$L$2/365</f>
        <v/>
      </c>
      <c r="G924" s="1921">
        <f>D924-F924</f>
        <v/>
      </c>
      <c r="H924" s="1921">
        <f>E924-F924</f>
        <v/>
      </c>
    </row>
    <row r="925" ht="14.25" customHeight="1">
      <c r="A925" s="1919" t="inlineStr">
        <is>
          <t>10/06/2022</t>
        </is>
      </c>
      <c r="B925" s="1920" t="n">
        <v>7076.62</v>
      </c>
      <c r="C925" s="1926" t="n">
        <v>1210</v>
      </c>
      <c r="D925" s="1921">
        <f>B925/B926-1</f>
        <v/>
      </c>
      <c r="E925" s="1921">
        <f>C925/C926-1</f>
        <v/>
      </c>
      <c r="F925" s="1921">
        <f>$L$2/365</f>
        <v/>
      </c>
      <c r="G925" s="1921">
        <f>D925-F925</f>
        <v/>
      </c>
      <c r="H925" s="1921">
        <f>E925-F925</f>
        <v/>
      </c>
    </row>
    <row r="926" ht="14.25" customHeight="1">
      <c r="A926" s="1919" t="inlineStr">
        <is>
          <t>10/05/2022</t>
        </is>
      </c>
      <c r="B926" s="1920" t="n">
        <v>7075.38</v>
      </c>
      <c r="C926" s="1926" t="n">
        <v>1210</v>
      </c>
      <c r="D926" s="1921">
        <f>B926/B927-1</f>
        <v/>
      </c>
      <c r="E926" s="1921">
        <f>C926/C927-1</f>
        <v/>
      </c>
      <c r="F926" s="1921">
        <f>$L$2/365</f>
        <v/>
      </c>
      <c r="G926" s="1921">
        <f>D926-F926</f>
        <v/>
      </c>
      <c r="H926" s="1921">
        <f>E926-F926</f>
        <v/>
      </c>
    </row>
    <row r="927" ht="14.25" customHeight="1">
      <c r="A927" s="1919" t="inlineStr">
        <is>
          <t>10/04/2022</t>
        </is>
      </c>
      <c r="B927" s="1920" t="n">
        <v>7072.26</v>
      </c>
      <c r="C927" s="1926" t="n">
        <v>1220</v>
      </c>
      <c r="D927" s="1921">
        <f>B927/B928-1</f>
        <v/>
      </c>
      <c r="E927" s="1921">
        <f>C927/C928-1</f>
        <v/>
      </c>
      <c r="F927" s="1921">
        <f>$L$2/365</f>
        <v/>
      </c>
      <c r="G927" s="1921">
        <f>D927-F927</f>
        <v/>
      </c>
      <c r="H927" s="1921">
        <f>E927-F927</f>
        <v/>
      </c>
    </row>
    <row r="928" ht="14.25" customHeight="1">
      <c r="A928" s="1919" t="inlineStr">
        <is>
          <t>10/03/2022</t>
        </is>
      </c>
      <c r="B928" s="1920" t="n">
        <v>7009.72</v>
      </c>
      <c r="C928" s="1926" t="n">
        <v>1235</v>
      </c>
      <c r="D928" s="1921">
        <f>B928/B929-1</f>
        <v/>
      </c>
      <c r="E928" s="1921">
        <f>C928/C929-1</f>
        <v/>
      </c>
      <c r="F928" s="1921">
        <f>$L$2/365</f>
        <v/>
      </c>
      <c r="G928" s="1921">
        <f>D928-F928</f>
        <v/>
      </c>
      <c r="H928" s="1921">
        <f>E928-F928</f>
        <v/>
      </c>
    </row>
    <row r="929" ht="14.25" customHeight="1">
      <c r="A929" s="1919" t="inlineStr">
        <is>
          <t>09/30/2022</t>
        </is>
      </c>
      <c r="B929" s="1920" t="n">
        <v>7040.8</v>
      </c>
      <c r="C929" s="1926" t="n">
        <v>1235</v>
      </c>
      <c r="D929" s="1921">
        <f>B929/B930-1</f>
        <v/>
      </c>
      <c r="E929" s="1921">
        <f>C929/C930-1</f>
        <v/>
      </c>
      <c r="F929" s="1921">
        <f>$L$2/365</f>
        <v/>
      </c>
      <c r="G929" s="1921">
        <f>D929-F929</f>
        <v/>
      </c>
      <c r="H929" s="1921">
        <f>E929-F929</f>
        <v/>
      </c>
    </row>
    <row r="930" ht="14.25" customHeight="1">
      <c r="A930" s="1919" t="inlineStr">
        <is>
          <t>09/29/2022</t>
        </is>
      </c>
      <c r="B930" s="1920" t="n">
        <v>7036.2</v>
      </c>
      <c r="C930" s="1926" t="n">
        <v>1250</v>
      </c>
      <c r="D930" s="1921">
        <f>B930/B931-1</f>
        <v/>
      </c>
      <c r="E930" s="1921">
        <f>C930/C931-1</f>
        <v/>
      </c>
      <c r="F930" s="1921">
        <f>$L$2/365</f>
        <v/>
      </c>
      <c r="G930" s="1921">
        <f>D930-F930</f>
        <v/>
      </c>
      <c r="H930" s="1921">
        <f>E930-F930</f>
        <v/>
      </c>
    </row>
    <row r="931" ht="14.25" customHeight="1">
      <c r="A931" s="1919" t="inlineStr">
        <is>
          <t>09/28/2022</t>
        </is>
      </c>
      <c r="B931" s="1920" t="n">
        <v>7077.03</v>
      </c>
      <c r="C931" s="1926" t="n">
        <v>1230</v>
      </c>
      <c r="D931" s="1921">
        <f>B931/B932-1</f>
        <v/>
      </c>
      <c r="E931" s="1921">
        <f>C931/C932-1</f>
        <v/>
      </c>
      <c r="F931" s="1921">
        <f>$L$2/365</f>
        <v/>
      </c>
      <c r="G931" s="1921">
        <f>D931-F931</f>
        <v/>
      </c>
      <c r="H931" s="1921">
        <f>E931-F931</f>
        <v/>
      </c>
    </row>
    <row r="932" ht="14.25" customHeight="1">
      <c r="A932" s="1919" t="inlineStr">
        <is>
          <t>09/27/2022</t>
        </is>
      </c>
      <c r="B932" s="1920" t="n">
        <v>7112.45</v>
      </c>
      <c r="C932" s="1926" t="n">
        <v>1205</v>
      </c>
      <c r="D932" s="1921">
        <f>B932/B933-1</f>
        <v/>
      </c>
      <c r="E932" s="1921">
        <f>C932/C933-1</f>
        <v/>
      </c>
      <c r="F932" s="1921">
        <f>$L$2/365</f>
        <v/>
      </c>
      <c r="G932" s="1921">
        <f>D932-F932</f>
        <v/>
      </c>
      <c r="H932" s="1921">
        <f>E932-F932</f>
        <v/>
      </c>
    </row>
    <row r="933" ht="14.25" customHeight="1">
      <c r="A933" s="1919" t="inlineStr">
        <is>
          <t>09/26/2022</t>
        </is>
      </c>
      <c r="B933" s="1920" t="n">
        <v>7127.5</v>
      </c>
      <c r="C933" s="1926" t="n">
        <v>1200</v>
      </c>
      <c r="D933" s="1921">
        <f>B933/B934-1</f>
        <v/>
      </c>
      <c r="E933" s="1921">
        <f>C933/C934-1</f>
        <v/>
      </c>
      <c r="F933" s="1921">
        <f>$L$2/365</f>
        <v/>
      </c>
      <c r="G933" s="1921">
        <f>D933-F933</f>
        <v/>
      </c>
      <c r="H933" s="1921">
        <f>E933-F933</f>
        <v/>
      </c>
    </row>
    <row r="934" ht="14.25" customHeight="1">
      <c r="A934" s="1919" t="inlineStr">
        <is>
          <t>09/23/2022</t>
        </is>
      </c>
      <c r="B934" s="1920" t="n">
        <v>7178.58</v>
      </c>
      <c r="C934" s="1926" t="n">
        <v>1200</v>
      </c>
      <c r="D934" s="1921">
        <f>B934/B935-1</f>
        <v/>
      </c>
      <c r="E934" s="1921">
        <f>C934/C935-1</f>
        <v/>
      </c>
      <c r="F934" s="1921">
        <f>$L$2/365</f>
        <v/>
      </c>
      <c r="G934" s="1921">
        <f>D934-F934</f>
        <v/>
      </c>
      <c r="H934" s="1921">
        <f>E934-F934</f>
        <v/>
      </c>
    </row>
    <row r="935" ht="14.25" customHeight="1">
      <c r="A935" s="1919" t="inlineStr">
        <is>
          <t>09/22/2022</t>
        </is>
      </c>
      <c r="B935" s="1920" t="n">
        <v>7218.91</v>
      </c>
      <c r="C935" s="1926" t="n">
        <v>1215</v>
      </c>
      <c r="D935" s="1921">
        <f>B935/B936-1</f>
        <v/>
      </c>
      <c r="E935" s="1921">
        <f>C935/C936-1</f>
        <v/>
      </c>
      <c r="F935" s="1921">
        <f>$L$2/365</f>
        <v/>
      </c>
      <c r="G935" s="1921">
        <f>D935-F935</f>
        <v/>
      </c>
      <c r="H935" s="1921">
        <f>E935-F935</f>
        <v/>
      </c>
    </row>
    <row r="936" ht="14.25" customHeight="1">
      <c r="A936" s="1919" t="inlineStr">
        <is>
          <t>09/21/2022</t>
        </is>
      </c>
      <c r="B936" s="1920" t="n">
        <v>7188.31</v>
      </c>
      <c r="C936" s="1926" t="n">
        <v>1190</v>
      </c>
      <c r="D936" s="1921">
        <f>B936/B937-1</f>
        <v/>
      </c>
      <c r="E936" s="1921">
        <f>C936/C937-1</f>
        <v/>
      </c>
      <c r="F936" s="1921">
        <f>$L$2/365</f>
        <v/>
      </c>
      <c r="G936" s="1921">
        <f>D936-F936</f>
        <v/>
      </c>
      <c r="H936" s="1921">
        <f>E936-F936</f>
        <v/>
      </c>
    </row>
    <row r="937" ht="14.25" customHeight="1">
      <c r="A937" s="1919" t="inlineStr">
        <is>
          <t>09/20/2022</t>
        </is>
      </c>
      <c r="B937" s="1920" t="n">
        <v>7196.95</v>
      </c>
      <c r="C937" s="1926" t="n">
        <v>1210</v>
      </c>
      <c r="D937" s="1921">
        <f>B937/B938-1</f>
        <v/>
      </c>
      <c r="E937" s="1921">
        <f>C937/C938-1</f>
        <v/>
      </c>
      <c r="F937" s="1921">
        <f>$L$2/365</f>
        <v/>
      </c>
      <c r="G937" s="1921">
        <f>D937-F937</f>
        <v/>
      </c>
      <c r="H937" s="1921">
        <f>E937-F937</f>
        <v/>
      </c>
    </row>
    <row r="938" ht="14.25" customHeight="1">
      <c r="A938" s="1919" t="inlineStr">
        <is>
          <t>09/19/2022</t>
        </is>
      </c>
      <c r="B938" s="1920" t="n">
        <v>7195.49</v>
      </c>
      <c r="C938" s="1926" t="n">
        <v>1195</v>
      </c>
      <c r="D938" s="1921">
        <f>B938/B939-1</f>
        <v/>
      </c>
      <c r="E938" s="1921">
        <f>C938/C939-1</f>
        <v/>
      </c>
      <c r="F938" s="1921">
        <f>$L$2/365</f>
        <v/>
      </c>
      <c r="G938" s="1921">
        <f>D938-F938</f>
        <v/>
      </c>
      <c r="H938" s="1921">
        <f>E938-F938</f>
        <v/>
      </c>
    </row>
    <row r="939" ht="14.25" customHeight="1">
      <c r="A939" s="1919" t="inlineStr">
        <is>
          <t>09/16/2022</t>
        </is>
      </c>
      <c r="B939" s="1920" t="n">
        <v>7168.87</v>
      </c>
      <c r="C939" s="1926" t="n">
        <v>1190</v>
      </c>
      <c r="D939" s="1921">
        <f>B939/B940-1</f>
        <v/>
      </c>
      <c r="E939" s="1921">
        <f>C939/C940-1</f>
        <v/>
      </c>
      <c r="F939" s="1921">
        <f>$L$2/365</f>
        <v/>
      </c>
      <c r="G939" s="1921">
        <f>D939-F939</f>
        <v/>
      </c>
      <c r="H939" s="1921">
        <f>E939-F939</f>
        <v/>
      </c>
    </row>
    <row r="940" ht="14.25" customHeight="1">
      <c r="A940" s="1919" t="inlineStr">
        <is>
          <t>09/15/2022</t>
        </is>
      </c>
      <c r="B940" s="1920" t="n">
        <v>7305.6</v>
      </c>
      <c r="C940" s="1926" t="n">
        <v>1190</v>
      </c>
      <c r="D940" s="1921">
        <f>B940/B941-1</f>
        <v/>
      </c>
      <c r="E940" s="1921">
        <f>C940/C941-1</f>
        <v/>
      </c>
      <c r="F940" s="1921">
        <f>$L$2/365</f>
        <v/>
      </c>
      <c r="G940" s="1921">
        <f>D940-F940</f>
        <v/>
      </c>
      <c r="H940" s="1921">
        <f>E940-F940</f>
        <v/>
      </c>
    </row>
    <row r="941" ht="14.25" customHeight="1">
      <c r="A941" s="1919" t="inlineStr">
        <is>
          <t>09/14/2022</t>
        </is>
      </c>
      <c r="B941" s="1920" t="n">
        <v>7278.08</v>
      </c>
      <c r="C941" s="1926" t="n">
        <v>1195</v>
      </c>
      <c r="D941" s="1921">
        <f>B941/B942-1</f>
        <v/>
      </c>
      <c r="E941" s="1921">
        <f>C941/C942-1</f>
        <v/>
      </c>
      <c r="F941" s="1921">
        <f>$L$2/365</f>
        <v/>
      </c>
      <c r="G941" s="1921">
        <f>D941-F941</f>
        <v/>
      </c>
      <c r="H941" s="1921">
        <f>E941-F941</f>
        <v/>
      </c>
    </row>
    <row r="942" ht="14.25" customHeight="1">
      <c r="A942" s="1919" t="inlineStr">
        <is>
          <t>09/13/2022</t>
        </is>
      </c>
      <c r="B942" s="1920" t="n">
        <v>7318.02</v>
      </c>
      <c r="C942" s="1926" t="n">
        <v>1195</v>
      </c>
      <c r="D942" s="1921">
        <f>B942/B943-1</f>
        <v/>
      </c>
      <c r="E942" s="1921">
        <f>C942/C943-1</f>
        <v/>
      </c>
      <c r="F942" s="1921">
        <f>$L$2/365</f>
        <v/>
      </c>
      <c r="G942" s="1921">
        <f>D942-F942</f>
        <v/>
      </c>
      <c r="H942" s="1921">
        <f>E942-F942</f>
        <v/>
      </c>
    </row>
    <row r="943" ht="14.25" customHeight="1">
      <c r="A943" s="1919" t="inlineStr">
        <is>
          <t>09/12/2022</t>
        </is>
      </c>
      <c r="B943" s="1920" t="n">
        <v>7254.46</v>
      </c>
      <c r="C943" s="1926" t="n">
        <v>1210</v>
      </c>
      <c r="D943" s="1921">
        <f>B943/B944-1</f>
        <v/>
      </c>
      <c r="E943" s="1921">
        <f>C943/C944-1</f>
        <v/>
      </c>
      <c r="F943" s="1921">
        <f>$L$2/365</f>
        <v/>
      </c>
      <c r="G943" s="1921">
        <f>D943-F943</f>
        <v/>
      </c>
      <c r="H943" s="1921">
        <f>E943-F943</f>
        <v/>
      </c>
    </row>
    <row r="944" ht="14.25" customHeight="1">
      <c r="A944" s="1919" t="inlineStr">
        <is>
          <t>09/09/2022</t>
        </is>
      </c>
      <c r="B944" s="1920" t="n">
        <v>7242.66</v>
      </c>
      <c r="C944" s="1926" t="n">
        <v>1245</v>
      </c>
      <c r="D944" s="1921">
        <f>B944/B945-1</f>
        <v/>
      </c>
      <c r="E944" s="1921">
        <f>C944/C945-1</f>
        <v/>
      </c>
      <c r="F944" s="1921">
        <f>$L$2/365</f>
        <v/>
      </c>
      <c r="G944" s="1921">
        <f>D944-F944</f>
        <v/>
      </c>
      <c r="H944" s="1921">
        <f>E944-F944</f>
        <v/>
      </c>
    </row>
    <row r="945" ht="14.25" customHeight="1">
      <c r="A945" s="1919" t="inlineStr">
        <is>
          <t>09/08/2022</t>
        </is>
      </c>
      <c r="B945" s="1920" t="n">
        <v>7232.02</v>
      </c>
      <c r="C945" s="1926" t="n">
        <v>1240</v>
      </c>
      <c r="D945" s="1921">
        <f>B945/B946-1</f>
        <v/>
      </c>
      <c r="E945" s="1921">
        <f>C945/C946-1</f>
        <v/>
      </c>
      <c r="F945" s="1921">
        <f>$L$2/365</f>
        <v/>
      </c>
      <c r="G945" s="1921">
        <f>D945-F945</f>
        <v/>
      </c>
      <c r="H945" s="1921">
        <f>E945-F945</f>
        <v/>
      </c>
    </row>
    <row r="946" ht="14.25" customHeight="1">
      <c r="A946" s="1919" t="inlineStr">
        <is>
          <t>09/07/2022</t>
        </is>
      </c>
      <c r="B946" s="1920" t="n">
        <v>7186.76</v>
      </c>
      <c r="C946" s="1926" t="n">
        <v>1240</v>
      </c>
      <c r="D946" s="1921">
        <f>B946/B947-1</f>
        <v/>
      </c>
      <c r="E946" s="1921">
        <f>C946/C947-1</f>
        <v/>
      </c>
      <c r="F946" s="1921">
        <f>$L$2/365</f>
        <v/>
      </c>
      <c r="G946" s="1921">
        <f>D946-F946</f>
        <v/>
      </c>
      <c r="H946" s="1921">
        <f>E946-F946</f>
        <v/>
      </c>
    </row>
    <row r="947" ht="14.25" customHeight="1">
      <c r="A947" s="1919" t="inlineStr">
        <is>
          <t>09/06/2022</t>
        </is>
      </c>
      <c r="B947" s="1920" t="n">
        <v>7233.15</v>
      </c>
      <c r="C947" s="1926" t="n">
        <v>1285</v>
      </c>
      <c r="D947" s="1921">
        <f>B947/B948-1</f>
        <v/>
      </c>
      <c r="E947" s="1921">
        <f>C947/C948-1</f>
        <v/>
      </c>
      <c r="F947" s="1921">
        <f>$L$2/365</f>
        <v/>
      </c>
      <c r="G947" s="1921">
        <f>D947-F947</f>
        <v/>
      </c>
      <c r="H947" s="1921">
        <f>E947-F947</f>
        <v/>
      </c>
    </row>
    <row r="948" ht="14.25" customHeight="1">
      <c r="A948" s="1919" t="inlineStr">
        <is>
          <t>09/05/2022</t>
        </is>
      </c>
      <c r="B948" s="1920" t="n">
        <v>7231.88</v>
      </c>
      <c r="C948" s="1926" t="n">
        <v>1275</v>
      </c>
      <c r="D948" s="1921">
        <f>B948/B949-1</f>
        <v/>
      </c>
      <c r="E948" s="1921">
        <f>C948/C949-1</f>
        <v/>
      </c>
      <c r="F948" s="1921">
        <f>$L$2/365</f>
        <v/>
      </c>
      <c r="G948" s="1921">
        <f>D948-F948</f>
        <v/>
      </c>
      <c r="H948" s="1921">
        <f>E948-F948</f>
        <v/>
      </c>
    </row>
    <row r="949" ht="14.25" customHeight="1">
      <c r="A949" s="1919" t="inlineStr">
        <is>
          <t>09/02/2022</t>
        </is>
      </c>
      <c r="B949" s="1920" t="n">
        <v>7177.18</v>
      </c>
      <c r="C949" s="1926" t="n">
        <v>1250</v>
      </c>
      <c r="D949" s="1921">
        <f>B949/B950-1</f>
        <v/>
      </c>
      <c r="E949" s="1921">
        <f>C949/C950-1</f>
        <v/>
      </c>
      <c r="F949" s="1921">
        <f>$L$2/365</f>
        <v/>
      </c>
      <c r="G949" s="1921">
        <f>D949-F949</f>
        <v/>
      </c>
      <c r="H949" s="1921">
        <f>E949-F949</f>
        <v/>
      </c>
    </row>
    <row r="950" ht="14.25" customHeight="1">
      <c r="A950" s="1919" t="inlineStr">
        <is>
          <t>09/01/2022</t>
        </is>
      </c>
      <c r="B950" s="1920" t="n">
        <v>7153.1</v>
      </c>
      <c r="C950" s="1926" t="n">
        <v>1250</v>
      </c>
      <c r="D950" s="1921">
        <f>B950/B951-1</f>
        <v/>
      </c>
      <c r="E950" s="1921">
        <f>C950/C951-1</f>
        <v/>
      </c>
      <c r="F950" s="1921">
        <f>$L$2/365</f>
        <v/>
      </c>
      <c r="G950" s="1921">
        <f>D950-F950</f>
        <v/>
      </c>
      <c r="H950" s="1921">
        <f>E950-F950</f>
        <v/>
      </c>
    </row>
    <row r="951" ht="14.25" customHeight="1">
      <c r="A951" s="1919" t="inlineStr">
        <is>
          <t>08/31/2022</t>
        </is>
      </c>
      <c r="B951" s="1920" t="n">
        <v>7178.59</v>
      </c>
      <c r="C951" s="1926" t="n">
        <v>1240</v>
      </c>
      <c r="D951" s="1921">
        <f>B951/B952-1</f>
        <v/>
      </c>
      <c r="E951" s="1921">
        <f>C951/C952-1</f>
        <v/>
      </c>
      <c r="F951" s="1921">
        <f>$L$2/365</f>
        <v/>
      </c>
      <c r="G951" s="1921">
        <f>D951-F951</f>
        <v/>
      </c>
      <c r="H951" s="1921">
        <f>E951-F951</f>
        <v/>
      </c>
    </row>
    <row r="952" ht="14.25" customHeight="1">
      <c r="A952" s="1919" t="inlineStr">
        <is>
          <t>08/30/2022</t>
        </is>
      </c>
      <c r="B952" s="1920" t="n">
        <v>7159.47</v>
      </c>
      <c r="C952" s="1926" t="n">
        <v>1220</v>
      </c>
      <c r="D952" s="1921">
        <f>B952/B953-1</f>
        <v/>
      </c>
      <c r="E952" s="1921">
        <f>C952/C953-1</f>
        <v/>
      </c>
      <c r="F952" s="1921">
        <f>$L$2/365</f>
        <v/>
      </c>
      <c r="G952" s="1921">
        <f>D952-F952</f>
        <v/>
      </c>
      <c r="H952" s="1921">
        <f>E952-F952</f>
        <v/>
      </c>
    </row>
    <row r="953" ht="14.25" customHeight="1">
      <c r="A953" s="1919" t="inlineStr">
        <is>
          <t>08/29/2022</t>
        </is>
      </c>
      <c r="B953" s="1920" t="n">
        <v>7132.04</v>
      </c>
      <c r="C953" s="1926" t="n">
        <v>1230</v>
      </c>
      <c r="D953" s="1921">
        <f>B953/B954-1</f>
        <v/>
      </c>
      <c r="E953" s="1921">
        <f>C953/C954-1</f>
        <v/>
      </c>
      <c r="F953" s="1921">
        <f>$L$2/365</f>
        <v/>
      </c>
      <c r="G953" s="1921">
        <f>D953-F953</f>
        <v/>
      </c>
      <c r="H953" s="1921">
        <f>E953-F953</f>
        <v/>
      </c>
    </row>
    <row r="954" ht="14.25" customHeight="1">
      <c r="A954" s="1919" t="inlineStr">
        <is>
          <t>08/26/2022</t>
        </is>
      </c>
      <c r="B954" s="1920" t="n">
        <v>7135.25</v>
      </c>
      <c r="C954" s="1926" t="n">
        <v>1235</v>
      </c>
      <c r="D954" s="1921">
        <f>B954/B955-1</f>
        <v/>
      </c>
      <c r="E954" s="1921">
        <f>C954/C955-1</f>
        <v/>
      </c>
      <c r="F954" s="1921">
        <f>$L$2/365</f>
        <v/>
      </c>
      <c r="G954" s="1921">
        <f>D954-F954</f>
        <v/>
      </c>
      <c r="H954" s="1921">
        <f>E954-F954</f>
        <v/>
      </c>
    </row>
    <row r="955" ht="14.25" customHeight="1">
      <c r="A955" s="1919" t="inlineStr">
        <is>
          <t>08/25/2022</t>
        </is>
      </c>
      <c r="B955" s="1920" t="n">
        <v>7174.21</v>
      </c>
      <c r="C955" s="1926" t="n">
        <v>1230</v>
      </c>
      <c r="D955" s="1921">
        <f>B955/B956-1</f>
        <v/>
      </c>
      <c r="E955" s="1921">
        <f>C955/C956-1</f>
        <v/>
      </c>
      <c r="F955" s="1921">
        <f>$L$2/365</f>
        <v/>
      </c>
      <c r="G955" s="1921">
        <f>D955-F955</f>
        <v/>
      </c>
      <c r="H955" s="1921">
        <f>E955-F955</f>
        <v/>
      </c>
    </row>
    <row r="956" ht="14.25" customHeight="1">
      <c r="A956" s="1919" t="inlineStr">
        <is>
          <t>08/24/2022</t>
        </is>
      </c>
      <c r="B956" s="1920" t="n">
        <v>7194.71</v>
      </c>
      <c r="C956" s="1926" t="n">
        <v>1230</v>
      </c>
      <c r="D956" s="1921">
        <f>B956/B957-1</f>
        <v/>
      </c>
      <c r="E956" s="1921">
        <f>C956/C957-1</f>
        <v/>
      </c>
      <c r="F956" s="1921">
        <f>$L$2/365</f>
        <v/>
      </c>
      <c r="G956" s="1921">
        <f>D956-F956</f>
        <v/>
      </c>
      <c r="H956" s="1921">
        <f>E956-F956</f>
        <v/>
      </c>
    </row>
    <row r="957" ht="14.25" customHeight="1">
      <c r="A957" s="1919" t="inlineStr">
        <is>
          <t>08/23/2022</t>
        </is>
      </c>
      <c r="B957" s="1920" t="n">
        <v>7163.27</v>
      </c>
      <c r="C957" s="1926" t="n">
        <v>1240</v>
      </c>
      <c r="D957" s="1921">
        <f>B957/B958-1</f>
        <v/>
      </c>
      <c r="E957" s="1921">
        <f>C957/C958-1</f>
        <v/>
      </c>
      <c r="F957" s="1921">
        <f>$L$2/365</f>
        <v/>
      </c>
      <c r="G957" s="1921">
        <f>D957-F957</f>
        <v/>
      </c>
      <c r="H957" s="1921">
        <f>E957-F957</f>
        <v/>
      </c>
    </row>
    <row r="958" ht="14.25" customHeight="1">
      <c r="A958" s="1919" t="inlineStr">
        <is>
          <t>08/22/2022</t>
        </is>
      </c>
      <c r="B958" s="1920" t="n">
        <v>7107.98</v>
      </c>
      <c r="C958" s="1926" t="n">
        <v>1235</v>
      </c>
      <c r="D958" s="1921">
        <f>B958/B959-1</f>
        <v/>
      </c>
      <c r="E958" s="1921">
        <f>C958/C959-1</f>
        <v/>
      </c>
      <c r="F958" s="1921">
        <f>$L$2/365</f>
        <v/>
      </c>
      <c r="G958" s="1921">
        <f>D958-F958</f>
        <v/>
      </c>
      <c r="H958" s="1921">
        <f>E958-F958</f>
        <v/>
      </c>
    </row>
    <row r="959" ht="14.25" customHeight="1">
      <c r="A959" s="1919" t="inlineStr">
        <is>
          <t>08/19/2022</t>
        </is>
      </c>
      <c r="B959" s="1920" t="n">
        <v>7172.43</v>
      </c>
      <c r="C959" s="1926" t="n">
        <v>1195</v>
      </c>
      <c r="D959" s="1921">
        <f>B959/B960-1</f>
        <v/>
      </c>
      <c r="E959" s="1921">
        <f>C959/C960-1</f>
        <v/>
      </c>
      <c r="F959" s="1921">
        <f>$L$2/365</f>
        <v/>
      </c>
      <c r="G959" s="1921">
        <f>D959-F959</f>
        <v/>
      </c>
      <c r="H959" s="1921">
        <f>E959-F959</f>
        <v/>
      </c>
    </row>
    <row r="960" ht="14.25" customHeight="1">
      <c r="A960" s="1919" t="inlineStr">
        <is>
          <t>08/18/2022</t>
        </is>
      </c>
      <c r="B960" s="1920" t="n">
        <v>7186.56</v>
      </c>
      <c r="C960" s="1926" t="n">
        <v>1225</v>
      </c>
      <c r="D960" s="1921">
        <f>B960/B961-1</f>
        <v/>
      </c>
      <c r="E960" s="1921">
        <f>C960/C961-1</f>
        <v/>
      </c>
      <c r="F960" s="1921">
        <f>$L$2/365</f>
        <v/>
      </c>
      <c r="G960" s="1921">
        <f>D960-F960</f>
        <v/>
      </c>
      <c r="H960" s="1921">
        <f>E960-F960</f>
        <v/>
      </c>
    </row>
    <row r="961" ht="14.25" customHeight="1">
      <c r="A961" s="1919" t="inlineStr">
        <is>
          <t>08/16/2022</t>
        </is>
      </c>
      <c r="B961" s="1920" t="n">
        <v>7133.45</v>
      </c>
      <c r="C961" s="1926" t="n">
        <v>1250</v>
      </c>
      <c r="D961" s="1921">
        <f>B961/B962-1</f>
        <v/>
      </c>
      <c r="E961" s="1921">
        <f>C961/C962-1</f>
        <v/>
      </c>
      <c r="F961" s="1921">
        <f>$L$2/365</f>
        <v/>
      </c>
      <c r="G961" s="1921">
        <f>D961-F961</f>
        <v/>
      </c>
      <c r="H961" s="1921">
        <f>E961-F961</f>
        <v/>
      </c>
    </row>
    <row r="962" ht="14.25" customHeight="1">
      <c r="A962" s="1919" t="inlineStr">
        <is>
          <t>08/15/2022</t>
        </is>
      </c>
      <c r="B962" s="1920" t="n">
        <v>7093.28</v>
      </c>
      <c r="C962" s="1926" t="n">
        <v>1250</v>
      </c>
      <c r="D962" s="1921">
        <f>B962/B963-1</f>
        <v/>
      </c>
      <c r="E962" s="1921">
        <f>C962/C963-1</f>
        <v/>
      </c>
      <c r="F962" s="1921">
        <f>$L$2/365</f>
        <v/>
      </c>
      <c r="G962" s="1921">
        <f>D962-F962</f>
        <v/>
      </c>
      <c r="H962" s="1921">
        <f>E962-F962</f>
        <v/>
      </c>
    </row>
    <row r="963" ht="14.25" customHeight="1">
      <c r="A963" s="1919" t="inlineStr">
        <is>
          <t>08/12/2022</t>
        </is>
      </c>
      <c r="B963" s="1920" t="n">
        <v>7129.28</v>
      </c>
      <c r="C963" s="1926" t="n">
        <v>1240</v>
      </c>
      <c r="D963" s="1921">
        <f>B963/B964-1</f>
        <v/>
      </c>
      <c r="E963" s="1921">
        <f>C963/C964-1</f>
        <v/>
      </c>
      <c r="F963" s="1921">
        <f>$L$2/365</f>
        <v/>
      </c>
      <c r="G963" s="1921">
        <f>D963-F963</f>
        <v/>
      </c>
      <c r="H963" s="1921">
        <f>E963-F963</f>
        <v/>
      </c>
    </row>
    <row r="964" ht="14.25" customHeight="1">
      <c r="A964" s="1919" t="inlineStr">
        <is>
          <t>08/11/2022</t>
        </is>
      </c>
      <c r="B964" s="1920" t="n">
        <v>7160.38</v>
      </c>
      <c r="C964" s="1926" t="n">
        <v>1265</v>
      </c>
      <c r="D964" s="1921">
        <f>B964/B965-1</f>
        <v/>
      </c>
      <c r="E964" s="1921">
        <f>C964/C965-1</f>
        <v/>
      </c>
      <c r="F964" s="1921">
        <f>$L$2/365</f>
        <v/>
      </c>
      <c r="G964" s="1921">
        <f>D964-F964</f>
        <v/>
      </c>
      <c r="H964" s="1921">
        <f>E964-F964</f>
        <v/>
      </c>
    </row>
    <row r="965" ht="14.25" customHeight="1">
      <c r="A965" s="1919" t="inlineStr">
        <is>
          <t>08/10/2022</t>
        </is>
      </c>
      <c r="B965" s="1920" t="n">
        <v>7086.24</v>
      </c>
      <c r="C965" s="1926" t="n">
        <v>1260</v>
      </c>
      <c r="D965" s="1921">
        <f>B965/B966-1</f>
        <v/>
      </c>
      <c r="E965" s="1921">
        <f>C965/C966-1</f>
        <v/>
      </c>
      <c r="F965" s="1921">
        <f>$L$2/365</f>
        <v/>
      </c>
      <c r="G965" s="1921">
        <f>D965-F965</f>
        <v/>
      </c>
      <c r="H965" s="1921">
        <f>E965-F965</f>
        <v/>
      </c>
    </row>
    <row r="966" ht="14.25" customHeight="1">
      <c r="A966" s="1919" t="inlineStr">
        <is>
          <t>08/09/2022</t>
        </is>
      </c>
      <c r="B966" s="1920" t="n">
        <v>7102.88</v>
      </c>
      <c r="C966" s="1926" t="n">
        <v>1260</v>
      </c>
      <c r="D966" s="1921">
        <f>B966/B967-1</f>
        <v/>
      </c>
      <c r="E966" s="1921">
        <f>C966/C967-1</f>
        <v/>
      </c>
      <c r="F966" s="1921">
        <f>$L$2/365</f>
        <v/>
      </c>
      <c r="G966" s="1921">
        <f>D966-F966</f>
        <v/>
      </c>
      <c r="H966" s="1921">
        <f>E966-F966</f>
        <v/>
      </c>
    </row>
    <row r="967" ht="14.25" customHeight="1">
      <c r="A967" s="1919" t="inlineStr">
        <is>
          <t>08/08/2022</t>
        </is>
      </c>
      <c r="B967" s="1920" t="n">
        <v>7086.85</v>
      </c>
      <c r="C967" s="1926" t="n">
        <v>1255</v>
      </c>
      <c r="D967" s="1921">
        <f>B967/B968-1</f>
        <v/>
      </c>
      <c r="E967" s="1921">
        <f>C967/C968-1</f>
        <v/>
      </c>
      <c r="F967" s="1921">
        <f>$L$2/365</f>
        <v/>
      </c>
      <c r="G967" s="1921">
        <f>D967-F967</f>
        <v/>
      </c>
      <c r="H967" s="1921">
        <f>E967-F967</f>
        <v/>
      </c>
    </row>
    <row r="968" ht="14.25" customHeight="1">
      <c r="A968" s="1919" t="inlineStr">
        <is>
          <t>08/05/2022</t>
        </is>
      </c>
      <c r="B968" s="1920" t="n">
        <v>7084.65</v>
      </c>
      <c r="C968" s="1926" t="n">
        <v>1260</v>
      </c>
      <c r="D968" s="1921">
        <f>B968/B969-1</f>
        <v/>
      </c>
      <c r="E968" s="1921">
        <f>C968/C969-1</f>
        <v/>
      </c>
      <c r="F968" s="1921">
        <f>$L$2/365</f>
        <v/>
      </c>
      <c r="G968" s="1921">
        <f>D968-F968</f>
        <v/>
      </c>
      <c r="H968" s="1921">
        <f>E968-F968</f>
        <v/>
      </c>
    </row>
    <row r="969" ht="14.25" customHeight="1">
      <c r="A969" s="1919" t="inlineStr">
        <is>
          <t>08/04/2022</t>
        </is>
      </c>
      <c r="B969" s="1920" t="n">
        <v>7057.35</v>
      </c>
      <c r="C969" s="1926" t="n">
        <v>1255</v>
      </c>
      <c r="D969" s="1921">
        <f>B969/B970-1</f>
        <v/>
      </c>
      <c r="E969" s="1921">
        <f>C969/C970-1</f>
        <v/>
      </c>
      <c r="F969" s="1921">
        <f>$L$2/365</f>
        <v/>
      </c>
      <c r="G969" s="1921">
        <f>D969-F969</f>
        <v/>
      </c>
      <c r="H969" s="1921">
        <f>E969-F969</f>
        <v/>
      </c>
    </row>
    <row r="970" ht="14.25" customHeight="1">
      <c r="A970" s="1919" t="inlineStr">
        <is>
          <t>08/03/2022</t>
        </is>
      </c>
      <c r="B970" s="1920" t="n">
        <v>7046.63</v>
      </c>
      <c r="C970" s="1926" t="n">
        <v>1210</v>
      </c>
      <c r="D970" s="1921">
        <f>B970/B971-1</f>
        <v/>
      </c>
      <c r="E970" s="1921">
        <f>C970/C971-1</f>
        <v/>
      </c>
      <c r="F970" s="1921">
        <f>$L$2/365</f>
        <v/>
      </c>
      <c r="G970" s="1921">
        <f>D970-F970</f>
        <v/>
      </c>
      <c r="H970" s="1921">
        <f>E970-F970</f>
        <v/>
      </c>
    </row>
    <row r="971" ht="14.25" customHeight="1">
      <c r="A971" s="1919" t="inlineStr">
        <is>
          <t>08/02/2022</t>
        </is>
      </c>
      <c r="B971" s="1920" t="n">
        <v>6988.16</v>
      </c>
      <c r="C971" s="1926" t="n">
        <v>1185</v>
      </c>
      <c r="D971" s="1921">
        <f>B971/B972-1</f>
        <v/>
      </c>
      <c r="E971" s="1921">
        <f>C971/C972-1</f>
        <v/>
      </c>
      <c r="F971" s="1921">
        <f>$L$2/365</f>
        <v/>
      </c>
      <c r="G971" s="1921">
        <f>D971-F971</f>
        <v/>
      </c>
      <c r="H971" s="1921">
        <f>E971-F971</f>
        <v/>
      </c>
    </row>
    <row r="972" ht="14.25" customHeight="1">
      <c r="A972" s="1919" t="inlineStr">
        <is>
          <t>08/01/2022</t>
        </is>
      </c>
      <c r="B972" s="1920" t="n">
        <v>6968.78</v>
      </c>
      <c r="C972" s="1926" t="n">
        <v>1190</v>
      </c>
      <c r="D972" s="1921">
        <f>B972/B973-1</f>
        <v/>
      </c>
      <c r="E972" s="1921">
        <f>C972/C973-1</f>
        <v/>
      </c>
      <c r="F972" s="1921">
        <f>$L$2/365</f>
        <v/>
      </c>
      <c r="G972" s="1921">
        <f>D972-F972</f>
        <v/>
      </c>
      <c r="H972" s="1921">
        <f>E972-F972</f>
        <v/>
      </c>
    </row>
    <row r="973" ht="14.25" customHeight="1">
      <c r="A973" s="1919" t="inlineStr">
        <is>
          <t>07/29/2022</t>
        </is>
      </c>
      <c r="B973" s="1920" t="n">
        <v>6951.12</v>
      </c>
      <c r="C973" s="1926" t="n">
        <v>1175</v>
      </c>
      <c r="D973" s="1921">
        <f>B973/B974-1</f>
        <v/>
      </c>
      <c r="E973" s="1921">
        <f>C973/C974-1</f>
        <v/>
      </c>
      <c r="F973" s="1921">
        <f>$L$2/365</f>
        <v/>
      </c>
      <c r="G973" s="1921">
        <f>D973-F973</f>
        <v/>
      </c>
      <c r="H973" s="1921">
        <f>E973-F973</f>
        <v/>
      </c>
    </row>
    <row r="974" ht="14.25" customHeight="1">
      <c r="A974" s="1919" t="inlineStr">
        <is>
          <t>07/28/2022</t>
        </is>
      </c>
      <c r="B974" s="1920" t="n">
        <v>6956.82</v>
      </c>
      <c r="C974" s="1926" t="n">
        <v>1190</v>
      </c>
      <c r="D974" s="1921">
        <f>B974/B975-1</f>
        <v/>
      </c>
      <c r="E974" s="1921">
        <f>C974/C975-1</f>
        <v/>
      </c>
      <c r="F974" s="1921">
        <f>$L$2/365</f>
        <v/>
      </c>
      <c r="G974" s="1921">
        <f>D974-F974</f>
        <v/>
      </c>
      <c r="H974" s="1921">
        <f>E974-F974</f>
        <v/>
      </c>
    </row>
    <row r="975" ht="14.25" customHeight="1">
      <c r="A975" s="1919" t="inlineStr">
        <is>
          <t>07/27/2022</t>
        </is>
      </c>
      <c r="B975" s="1920" t="n">
        <v>6898.22</v>
      </c>
      <c r="C975" s="1926" t="n">
        <v>1200</v>
      </c>
      <c r="D975" s="1921">
        <f>B975/B976-1</f>
        <v/>
      </c>
      <c r="E975" s="1921">
        <f>C975/C976-1</f>
        <v/>
      </c>
      <c r="F975" s="1921">
        <f>$L$2/365</f>
        <v/>
      </c>
      <c r="G975" s="1921">
        <f>D975-F975</f>
        <v/>
      </c>
      <c r="H975" s="1921">
        <f>E975-F975</f>
        <v/>
      </c>
    </row>
    <row r="976" ht="14.25" customHeight="1">
      <c r="A976" s="1919" t="inlineStr">
        <is>
          <t>07/26/2022</t>
        </is>
      </c>
      <c r="B976" s="1920" t="n">
        <v>6871.54</v>
      </c>
      <c r="C976" s="1926" t="n">
        <v>1165</v>
      </c>
      <c r="D976" s="1921">
        <f>B976/B977-1</f>
        <v/>
      </c>
      <c r="E976" s="1921">
        <f>C976/C977-1</f>
        <v/>
      </c>
      <c r="F976" s="1921">
        <f>$L$2/365</f>
        <v/>
      </c>
      <c r="G976" s="1921">
        <f>D976-F976</f>
        <v/>
      </c>
      <c r="H976" s="1921">
        <f>E976-F976</f>
        <v/>
      </c>
    </row>
    <row r="977" ht="14.25" customHeight="1">
      <c r="A977" s="1919" t="inlineStr">
        <is>
          <t>07/25/2022</t>
        </is>
      </c>
      <c r="B977" s="1920" t="n">
        <v>6858.41</v>
      </c>
      <c r="C977" s="1926" t="n">
        <v>1165</v>
      </c>
      <c r="D977" s="1921">
        <f>B977/B978-1</f>
        <v/>
      </c>
      <c r="E977" s="1921">
        <f>C977/C978-1</f>
        <v/>
      </c>
      <c r="F977" s="1921">
        <f>$L$2/365</f>
        <v/>
      </c>
      <c r="G977" s="1921">
        <f>D977-F977</f>
        <v/>
      </c>
      <c r="H977" s="1921">
        <f>E977-F977</f>
        <v/>
      </c>
    </row>
    <row r="978" ht="14.25" customHeight="1">
      <c r="A978" s="1919" t="inlineStr">
        <is>
          <t>07/22/2022</t>
        </is>
      </c>
      <c r="B978" s="1920" t="n">
        <v>6886.96</v>
      </c>
      <c r="C978" s="1926" t="n">
        <v>1145</v>
      </c>
      <c r="D978" s="1921">
        <f>B978/B979-1</f>
        <v/>
      </c>
      <c r="E978" s="1921">
        <f>C978/C979-1</f>
        <v/>
      </c>
      <c r="F978" s="1921">
        <f>$L$2/365</f>
        <v/>
      </c>
      <c r="G978" s="1921">
        <f>D978-F978</f>
        <v/>
      </c>
      <c r="H978" s="1921">
        <f>E978-F978</f>
        <v/>
      </c>
    </row>
    <row r="979" ht="14.25" customHeight="1">
      <c r="A979" s="1919" t="inlineStr">
        <is>
          <t>07/21/2022</t>
        </is>
      </c>
      <c r="B979" s="1920" t="n">
        <v>6864.13</v>
      </c>
      <c r="C979" s="1926" t="n">
        <v>1145</v>
      </c>
      <c r="D979" s="1921">
        <f>B979/B980-1</f>
        <v/>
      </c>
      <c r="E979" s="1921">
        <f>C979/C980-1</f>
        <v/>
      </c>
      <c r="F979" s="1921">
        <f>$L$2/365</f>
        <v/>
      </c>
      <c r="G979" s="1921">
        <f>D979-F979</f>
        <v/>
      </c>
      <c r="H979" s="1921">
        <f>E979-F979</f>
        <v/>
      </c>
    </row>
    <row r="980" ht="14.25" customHeight="1">
      <c r="A980" s="1919" t="inlineStr">
        <is>
          <t>07/20/2022</t>
        </is>
      </c>
      <c r="B980" s="1920" t="n">
        <v>6874.74</v>
      </c>
      <c r="C980" s="1926" t="n">
        <v>1140</v>
      </c>
      <c r="D980" s="1921">
        <f>B980/B981-1</f>
        <v/>
      </c>
      <c r="E980" s="1921">
        <f>C980/C981-1</f>
        <v/>
      </c>
      <c r="F980" s="1921">
        <f>$L$2/365</f>
        <v/>
      </c>
      <c r="G980" s="1921">
        <f>D980-F980</f>
        <v/>
      </c>
      <c r="H980" s="1921">
        <f>E980-F980</f>
        <v/>
      </c>
    </row>
    <row r="981" ht="14.25" customHeight="1">
      <c r="A981" s="1919" t="inlineStr">
        <is>
          <t>07/19/2022</t>
        </is>
      </c>
      <c r="B981" s="1920" t="n">
        <v>6736.09</v>
      </c>
      <c r="C981" s="1926" t="n">
        <v>1150</v>
      </c>
      <c r="D981" s="1921">
        <f>B981/B982-1</f>
        <v/>
      </c>
      <c r="E981" s="1921">
        <f>C981/C982-1</f>
        <v/>
      </c>
      <c r="F981" s="1921">
        <f>$L$2/365</f>
        <v/>
      </c>
      <c r="G981" s="1921">
        <f>D981-F981</f>
        <v/>
      </c>
      <c r="H981" s="1921">
        <f>E981-F981</f>
        <v/>
      </c>
    </row>
    <row r="982" ht="14.25" customHeight="1">
      <c r="A982" s="1919" t="inlineStr">
        <is>
          <t>07/18/2022</t>
        </is>
      </c>
      <c r="B982" s="1920" t="n">
        <v>6659.25</v>
      </c>
      <c r="C982" s="1926" t="n">
        <v>1150</v>
      </c>
      <c r="D982" s="1921">
        <f>B982/B983-1</f>
        <v/>
      </c>
      <c r="E982" s="1921">
        <f>C982/C983-1</f>
        <v/>
      </c>
      <c r="F982" s="1921">
        <f>$L$2/365</f>
        <v/>
      </c>
      <c r="G982" s="1921">
        <f>D982-F982</f>
        <v/>
      </c>
      <c r="H982" s="1921">
        <f>E982-F982</f>
        <v/>
      </c>
    </row>
    <row r="983" ht="14.25" customHeight="1">
      <c r="A983" s="1919" t="inlineStr">
        <is>
          <t>07/15/2022</t>
        </is>
      </c>
      <c r="B983" s="1920" t="n">
        <v>6651.9</v>
      </c>
      <c r="C983" s="1926" t="n">
        <v>1140</v>
      </c>
      <c r="D983" s="1921">
        <f>B983/B984-1</f>
        <v/>
      </c>
      <c r="E983" s="1921">
        <f>C983/C984-1</f>
        <v/>
      </c>
      <c r="F983" s="1921">
        <f>$L$2/365</f>
        <v/>
      </c>
      <c r="G983" s="1921">
        <f>D983-F983</f>
        <v/>
      </c>
      <c r="H983" s="1921">
        <f>E983-F983</f>
        <v/>
      </c>
    </row>
    <row r="984" ht="14.25" customHeight="1">
      <c r="A984" s="1919" t="inlineStr">
        <is>
          <t>07/14/2022</t>
        </is>
      </c>
      <c r="B984" s="1920" t="n">
        <v>6690.09</v>
      </c>
      <c r="C984" s="1926" t="n">
        <v>1145</v>
      </c>
      <c r="D984" s="1921">
        <f>B984/B985-1</f>
        <v/>
      </c>
      <c r="E984" s="1921">
        <f>C984/C985-1</f>
        <v/>
      </c>
      <c r="F984" s="1921">
        <f>$L$2/365</f>
        <v/>
      </c>
      <c r="G984" s="1921">
        <f>D984-F984</f>
        <v/>
      </c>
      <c r="H984" s="1921">
        <f>E984-F984</f>
        <v/>
      </c>
    </row>
    <row r="985" ht="14.25" customHeight="1">
      <c r="A985" s="1919" t="inlineStr">
        <is>
          <t>07/13/2022</t>
        </is>
      </c>
      <c r="B985" s="1920" t="n">
        <v>6640.99</v>
      </c>
      <c r="C985" s="1926" t="n">
        <v>1150</v>
      </c>
      <c r="D985" s="1921">
        <f>B985/B986-1</f>
        <v/>
      </c>
      <c r="E985" s="1921">
        <f>C985/C986-1</f>
        <v/>
      </c>
      <c r="F985" s="1921">
        <f>$L$2/365</f>
        <v/>
      </c>
      <c r="G985" s="1921">
        <f>D985-F985</f>
        <v/>
      </c>
      <c r="H985" s="1921">
        <f>E985-F985</f>
        <v/>
      </c>
    </row>
    <row r="986" ht="14.25" customHeight="1">
      <c r="A986" s="1919" t="inlineStr">
        <is>
          <t>07/12/2022</t>
        </is>
      </c>
      <c r="B986" s="1920" t="n">
        <v>6718.29</v>
      </c>
      <c r="C986" s="1926" t="n">
        <v>1145</v>
      </c>
      <c r="D986" s="1921">
        <f>B986/B987-1</f>
        <v/>
      </c>
      <c r="E986" s="1921">
        <f>C986/C987-1</f>
        <v/>
      </c>
      <c r="F986" s="1921">
        <f>$L$2/365</f>
        <v/>
      </c>
      <c r="G986" s="1921">
        <f>D986-F986</f>
        <v/>
      </c>
      <c r="H986" s="1921">
        <f>E986-F986</f>
        <v/>
      </c>
    </row>
    <row r="987" ht="14.25" customHeight="1">
      <c r="A987" s="1919" t="inlineStr">
        <is>
          <t>07/11/2022</t>
        </is>
      </c>
      <c r="B987" s="1920" t="n">
        <v>6722.15</v>
      </c>
      <c r="C987" s="1926" t="n">
        <v>1165</v>
      </c>
      <c r="D987" s="1921">
        <f>B987/B988-1</f>
        <v/>
      </c>
      <c r="E987" s="1921">
        <f>C987/C988-1</f>
        <v/>
      </c>
      <c r="F987" s="1921">
        <f>$L$2/365</f>
        <v/>
      </c>
      <c r="G987" s="1921">
        <f>D987-F987</f>
        <v/>
      </c>
      <c r="H987" s="1921">
        <f>E987-F987</f>
        <v/>
      </c>
    </row>
    <row r="988" ht="14.25" customHeight="1">
      <c r="A988" s="1919" t="inlineStr">
        <is>
          <t>07/08/2022</t>
        </is>
      </c>
      <c r="B988" s="1920" t="n">
        <v>6740.22</v>
      </c>
      <c r="C988" s="1926" t="n">
        <v>1180</v>
      </c>
      <c r="D988" s="1921">
        <f>B988/B989-1</f>
        <v/>
      </c>
      <c r="E988" s="1921">
        <f>C988/C989-1</f>
        <v/>
      </c>
      <c r="F988" s="1921">
        <f>$L$2/365</f>
        <v/>
      </c>
      <c r="G988" s="1921">
        <f>D988-F988</f>
        <v/>
      </c>
      <c r="H988" s="1921">
        <f>E988-F988</f>
        <v/>
      </c>
    </row>
    <row r="989" ht="14.25" customHeight="1">
      <c r="A989" s="1919" t="inlineStr">
        <is>
          <t>07/07/2022</t>
        </is>
      </c>
      <c r="B989" s="1920" t="n">
        <v>6652.59</v>
      </c>
      <c r="C989" s="1926" t="n">
        <v>1135</v>
      </c>
      <c r="D989" s="1921">
        <f>B989/B990-1</f>
        <v/>
      </c>
      <c r="E989" s="1921">
        <f>C989/C990-1</f>
        <v/>
      </c>
      <c r="F989" s="1921">
        <f>$L$2/365</f>
        <v/>
      </c>
      <c r="G989" s="1921">
        <f>D989-F989</f>
        <v/>
      </c>
      <c r="H989" s="1921">
        <f>E989-F989</f>
        <v/>
      </c>
    </row>
    <row r="990" ht="14.25" customHeight="1">
      <c r="A990" s="1919" t="inlineStr">
        <is>
          <t>07/06/2022</t>
        </is>
      </c>
      <c r="B990" s="1920" t="n">
        <v>6646.41</v>
      </c>
      <c r="C990" s="1926" t="n">
        <v>1130</v>
      </c>
      <c r="D990" s="1921">
        <f>B990/B991-1</f>
        <v/>
      </c>
      <c r="E990" s="1921">
        <f>C990/C991-1</f>
        <v/>
      </c>
      <c r="F990" s="1921">
        <f>$L$2/365</f>
        <v/>
      </c>
      <c r="G990" s="1921">
        <f>D990-F990</f>
        <v/>
      </c>
      <c r="H990" s="1921">
        <f>E990-F990</f>
        <v/>
      </c>
    </row>
    <row r="991" ht="14.25" customHeight="1">
      <c r="A991" s="1919" t="inlineStr">
        <is>
          <t>07/05/2022</t>
        </is>
      </c>
      <c r="B991" s="1920" t="n">
        <v>6703.27</v>
      </c>
      <c r="C991" s="1926" t="n">
        <v>1120</v>
      </c>
      <c r="D991" s="1921">
        <f>B991/B992-1</f>
        <v/>
      </c>
      <c r="E991" s="1921">
        <f>C991/C992-1</f>
        <v/>
      </c>
      <c r="F991" s="1921">
        <f>$L$2/365</f>
        <v/>
      </c>
      <c r="G991" s="1921">
        <f>D991-F991</f>
        <v/>
      </c>
      <c r="H991" s="1921">
        <f>E991-F991</f>
        <v/>
      </c>
    </row>
    <row r="992" ht="14.25" customHeight="1">
      <c r="A992" s="1919" t="inlineStr">
        <is>
          <t>07/04/2022</t>
        </is>
      </c>
      <c r="B992" s="1920" t="n">
        <v>6639.17</v>
      </c>
      <c r="C992" s="1926" t="n">
        <v>1075</v>
      </c>
      <c r="D992" s="1921">
        <f>B992/B993-1</f>
        <v/>
      </c>
      <c r="E992" s="1921">
        <f>C992/C993-1</f>
        <v/>
      </c>
      <c r="F992" s="1921">
        <f>$L$2/365</f>
        <v/>
      </c>
      <c r="G992" s="1921">
        <f>D992-F992</f>
        <v/>
      </c>
      <c r="H992" s="1921">
        <f>E992-F992</f>
        <v/>
      </c>
    </row>
    <row r="993" ht="14.25" customHeight="1">
      <c r="A993" s="1919" t="inlineStr">
        <is>
          <t>07/01/2022</t>
        </is>
      </c>
      <c r="B993" s="1920" t="n">
        <v>6794.33</v>
      </c>
      <c r="C993" s="1926" t="n">
        <v>1095</v>
      </c>
      <c r="D993" s="1921">
        <f>B993/B994-1</f>
        <v/>
      </c>
      <c r="E993" s="1921">
        <f>C993/C994-1</f>
        <v/>
      </c>
      <c r="F993" s="1921">
        <f>$L$2/365</f>
        <v/>
      </c>
      <c r="G993" s="1921">
        <f>D993-F993</f>
        <v/>
      </c>
      <c r="H993" s="1921">
        <f>E993-F993</f>
        <v/>
      </c>
    </row>
    <row r="994" ht="14.25" customHeight="1">
      <c r="A994" s="1919" t="inlineStr">
        <is>
          <t>06/30/2022</t>
        </is>
      </c>
      <c r="B994" s="1920" t="n">
        <v>6911.58</v>
      </c>
      <c r="C994" s="1926" t="n">
        <v>1100</v>
      </c>
      <c r="D994" s="1921">
        <f>B994/B995-1</f>
        <v/>
      </c>
      <c r="E994" s="1921">
        <f>C994/C995-1</f>
        <v/>
      </c>
      <c r="F994" s="1921">
        <f>$L$2/365</f>
        <v/>
      </c>
      <c r="G994" s="1921">
        <f>D994-F994</f>
        <v/>
      </c>
      <c r="H994" s="1921">
        <f>E994-F994</f>
        <v/>
      </c>
    </row>
    <row r="995" ht="14.25" customHeight="1">
      <c r="A995" s="1919" t="inlineStr">
        <is>
          <t>06/29/2022</t>
        </is>
      </c>
      <c r="B995" s="1920" t="n">
        <v>6942.35</v>
      </c>
      <c r="C995" s="1926" t="n">
        <v>1040</v>
      </c>
      <c r="D995" s="1921">
        <f>B995/B996-1</f>
        <v/>
      </c>
      <c r="E995" s="1921">
        <f>C995/C996-1</f>
        <v/>
      </c>
      <c r="F995" s="1921">
        <f>$L$2/365</f>
        <v/>
      </c>
      <c r="G995" s="1921">
        <f>D995-F995</f>
        <v/>
      </c>
      <c r="H995" s="1921">
        <f>E995-F995</f>
        <v/>
      </c>
    </row>
    <row r="996" ht="14.25" customHeight="1">
      <c r="A996" s="1919" t="inlineStr">
        <is>
          <t>06/28/2022</t>
        </is>
      </c>
      <c r="B996" s="1920" t="n">
        <v>6996.46</v>
      </c>
      <c r="C996" s="1926" t="n">
        <v>1050</v>
      </c>
      <c r="D996" s="1921">
        <f>B996/B997-1</f>
        <v/>
      </c>
      <c r="E996" s="1921">
        <f>C996/C997-1</f>
        <v/>
      </c>
      <c r="F996" s="1921">
        <f>$L$2/365</f>
        <v/>
      </c>
      <c r="G996" s="1921">
        <f>D996-F996</f>
        <v/>
      </c>
      <c r="H996" s="1921">
        <f>E996-F996</f>
        <v/>
      </c>
    </row>
    <row r="997" ht="14.25" customHeight="1">
      <c r="A997" s="1919" t="inlineStr">
        <is>
          <t>06/27/2022</t>
        </is>
      </c>
      <c r="B997" s="1920" t="n">
        <v>7016.06</v>
      </c>
      <c r="C997" s="1926" t="n">
        <v>1025</v>
      </c>
      <c r="D997" s="1921">
        <f>B997/B998-1</f>
        <v/>
      </c>
      <c r="E997" s="1921">
        <f>C997/C998-1</f>
        <v/>
      </c>
      <c r="F997" s="1921">
        <f>$L$2/365</f>
        <v/>
      </c>
      <c r="G997" s="1921">
        <f>D997-F997</f>
        <v/>
      </c>
      <c r="H997" s="1921">
        <f>E997-F997</f>
        <v/>
      </c>
    </row>
    <row r="998" ht="14.25" customHeight="1">
      <c r="A998" s="1919" t="inlineStr">
        <is>
          <t>06/24/2022</t>
        </is>
      </c>
      <c r="B998" s="1920" t="n">
        <v>7042.94</v>
      </c>
      <c r="C998" s="1919" t="inlineStr">
        <is>
          <t>990</t>
        </is>
      </c>
      <c r="D998" s="1921">
        <f>B998/B999-1</f>
        <v/>
      </c>
      <c r="E998" s="1921">
        <f>C998/C999-1</f>
        <v/>
      </c>
      <c r="F998" s="1921">
        <f>$L$2/365</f>
        <v/>
      </c>
      <c r="G998" s="1921">
        <f>D998-F998</f>
        <v/>
      </c>
      <c r="H998" s="1921">
        <f>E998-F998</f>
        <v/>
      </c>
    </row>
    <row r="999" ht="14.25" customHeight="1">
      <c r="A999" s="1919" t="inlineStr">
        <is>
          <t>06/23/2022</t>
        </is>
      </c>
      <c r="B999" s="1920" t="n">
        <v>6998.27</v>
      </c>
      <c r="C999" s="1919" t="inlineStr">
        <is>
          <t>950</t>
        </is>
      </c>
      <c r="D999" s="1921">
        <f>B999/B1000-1</f>
        <v/>
      </c>
      <c r="E999" s="1921">
        <f>C999/C1000-1</f>
        <v/>
      </c>
      <c r="F999" s="1921">
        <f>$L$2/365</f>
        <v/>
      </c>
      <c r="G999" s="1921">
        <f>D999-F999</f>
        <v/>
      </c>
      <c r="H999" s="1921">
        <f>E999-F999</f>
        <v/>
      </c>
    </row>
    <row r="1000" ht="14.25" customHeight="1">
      <c r="A1000" s="1919" t="inlineStr">
        <is>
          <t>06/22/2022</t>
        </is>
      </c>
      <c r="B1000" s="1920" t="n">
        <v>6984.31</v>
      </c>
      <c r="C1000" s="1919" t="inlineStr">
        <is>
          <t>960</t>
        </is>
      </c>
      <c r="D1000" s="1921">
        <f>B1000/B1001-1</f>
        <v/>
      </c>
      <c r="E1000" s="1921">
        <f>C1000/C1001-1</f>
        <v/>
      </c>
      <c r="F1000" s="1921">
        <f>$L$2/365</f>
        <v/>
      </c>
      <c r="G1000" s="1921">
        <f>D1000-F1000</f>
        <v/>
      </c>
      <c r="H1000" s="1921">
        <f>E1000-F1000</f>
        <v/>
      </c>
    </row>
    <row r="1001" ht="14.25" customHeight="1">
      <c r="A1001" s="1919" t="inlineStr">
        <is>
          <t>06/21/2022</t>
        </is>
      </c>
      <c r="B1001" s="1920" t="n">
        <v>7044.07</v>
      </c>
      <c r="C1001" s="1919" t="inlineStr">
        <is>
          <t>950</t>
        </is>
      </c>
      <c r="D1001" s="1921">
        <f>B1001/B1002-1</f>
        <v/>
      </c>
      <c r="E1001" s="1921">
        <f>C1001/C1002-1</f>
        <v/>
      </c>
      <c r="F1001" s="1921">
        <f>$L$2/365</f>
        <v/>
      </c>
      <c r="G1001" s="1921">
        <f>D1001-F1001</f>
        <v/>
      </c>
      <c r="H1001" s="1921">
        <f>E1001-F1001</f>
        <v/>
      </c>
    </row>
    <row r="1002" ht="14.25" customHeight="1">
      <c r="A1002" s="1919" t="inlineStr">
        <is>
          <t>06/20/2022</t>
        </is>
      </c>
      <c r="B1002" s="1920" t="n">
        <v>6976.38</v>
      </c>
      <c r="C1002" s="1919" t="inlineStr">
        <is>
          <t>940</t>
        </is>
      </c>
      <c r="D1002" s="1921">
        <f>B1002/B1003-1</f>
        <v/>
      </c>
      <c r="E1002" s="1921">
        <f>C1002/C1003-1</f>
        <v/>
      </c>
      <c r="F1002" s="1921">
        <f>$L$2/365</f>
        <v/>
      </c>
      <c r="G1002" s="1921">
        <f>D1002-F1002</f>
        <v/>
      </c>
      <c r="H1002" s="1921">
        <f>E1002-F1002</f>
        <v/>
      </c>
    </row>
    <row r="1003" ht="14.25" customHeight="1">
      <c r="A1003" s="1919" t="inlineStr">
        <is>
          <t>06/17/2022</t>
        </is>
      </c>
      <c r="B1003" s="1920" t="n">
        <v>6936.97</v>
      </c>
      <c r="C1003" s="1919" t="inlineStr">
        <is>
          <t>915</t>
        </is>
      </c>
      <c r="D1003" s="1921">
        <f>B1003/B1004-1</f>
        <v/>
      </c>
      <c r="E1003" s="1921">
        <f>C1003/C1004-1</f>
        <v/>
      </c>
      <c r="F1003" s="1921">
        <f>$L$2/365</f>
        <v/>
      </c>
      <c r="G1003" s="1921">
        <f>D1003-F1003</f>
        <v/>
      </c>
      <c r="H1003" s="1921">
        <f>E1003-F1003</f>
        <v/>
      </c>
    </row>
    <row r="1004" ht="14.25" customHeight="1">
      <c r="A1004" s="1919" t="inlineStr">
        <is>
          <t>06/16/2022</t>
        </is>
      </c>
      <c r="B1004" s="1920" t="n">
        <v>7050.33</v>
      </c>
      <c r="C1004" s="1919" t="inlineStr">
        <is>
          <t>915</t>
        </is>
      </c>
      <c r="D1004" s="1921">
        <f>B1004/B1005-1</f>
        <v/>
      </c>
      <c r="E1004" s="1921">
        <f>C1004/C1005-1</f>
        <v/>
      </c>
      <c r="F1004" s="1921">
        <f>$L$2/365</f>
        <v/>
      </c>
      <c r="G1004" s="1921">
        <f>D1004-F1004</f>
        <v/>
      </c>
      <c r="H1004" s="1921">
        <f>E1004-F1004</f>
        <v/>
      </c>
    </row>
    <row r="1005" ht="14.25" customHeight="1">
      <c r="A1005" s="1919" t="inlineStr">
        <is>
          <t>06/15/2022</t>
        </is>
      </c>
      <c r="B1005" s="1920" t="n">
        <v>7007.05</v>
      </c>
      <c r="C1005" s="1919" t="inlineStr">
        <is>
          <t>880</t>
        </is>
      </c>
      <c r="D1005" s="1921">
        <f>B1005/B1006-1</f>
        <v/>
      </c>
      <c r="E1005" s="1921">
        <f>C1005/C1006-1</f>
        <v/>
      </c>
      <c r="F1005" s="1921">
        <f>$L$2/365</f>
        <v/>
      </c>
      <c r="G1005" s="1921">
        <f>D1005-F1005</f>
        <v/>
      </c>
      <c r="H1005" s="1921">
        <f>E1005-F1005</f>
        <v/>
      </c>
    </row>
    <row r="1006" ht="14.25" customHeight="1">
      <c r="A1006" s="1919" t="inlineStr">
        <is>
          <t>06/14/2022</t>
        </is>
      </c>
      <c r="B1006" s="1920" t="n">
        <v>7049.88</v>
      </c>
      <c r="C1006" s="1919" t="inlineStr">
        <is>
          <t>890</t>
        </is>
      </c>
      <c r="D1006" s="1921">
        <f>B1006/B1007-1</f>
        <v/>
      </c>
      <c r="E1006" s="1921">
        <f>C1006/C1007-1</f>
        <v/>
      </c>
      <c r="F1006" s="1921">
        <f>$L$2/365</f>
        <v/>
      </c>
      <c r="G1006" s="1921">
        <f>D1006-F1006</f>
        <v/>
      </c>
      <c r="H1006" s="1921">
        <f>E1006-F1006</f>
        <v/>
      </c>
    </row>
    <row r="1007" ht="14.25" customHeight="1">
      <c r="A1007" s="1919" t="inlineStr">
        <is>
          <t>06/13/2022</t>
        </is>
      </c>
      <c r="B1007" s="1920" t="n">
        <v>6995.44</v>
      </c>
      <c r="C1007" s="1919" t="inlineStr">
        <is>
          <t>895</t>
        </is>
      </c>
      <c r="D1007" s="1921">
        <f>B1007/B1008-1</f>
        <v/>
      </c>
      <c r="E1007" s="1921">
        <f>C1007/C1008-1</f>
        <v/>
      </c>
      <c r="F1007" s="1921">
        <f>$L$2/365</f>
        <v/>
      </c>
      <c r="G1007" s="1921">
        <f>D1007-F1007</f>
        <v/>
      </c>
      <c r="H1007" s="1921">
        <f>E1007-F1007</f>
        <v/>
      </c>
    </row>
    <row r="1008" ht="14.25" customHeight="1">
      <c r="A1008" s="1919" t="inlineStr">
        <is>
          <t>06/10/2022</t>
        </is>
      </c>
      <c r="B1008" s="1920" t="n">
        <v>7086.65</v>
      </c>
      <c r="C1008" s="1919" t="inlineStr">
        <is>
          <t>920</t>
        </is>
      </c>
      <c r="D1008" s="1921">
        <f>B1008/B1009-1</f>
        <v/>
      </c>
      <c r="E1008" s="1921">
        <f>C1008/C1009-1</f>
        <v/>
      </c>
      <c r="F1008" s="1921">
        <f>$L$2/365</f>
        <v/>
      </c>
      <c r="G1008" s="1921">
        <f>D1008-F1008</f>
        <v/>
      </c>
      <c r="H1008" s="1921">
        <f>E1008-F1008</f>
        <v/>
      </c>
    </row>
    <row r="1009" ht="14.25" customHeight="1">
      <c r="A1009" s="1919" t="inlineStr">
        <is>
          <t>06/09/2022</t>
        </is>
      </c>
      <c r="B1009" s="1920" t="n">
        <v>7182.83</v>
      </c>
      <c r="C1009" s="1919" t="inlineStr">
        <is>
          <t>940</t>
        </is>
      </c>
      <c r="D1009" s="1921">
        <f>B1009/B1010-1</f>
        <v/>
      </c>
      <c r="E1009" s="1921">
        <f>C1009/C1010-1</f>
        <v/>
      </c>
      <c r="F1009" s="1921">
        <f>$L$2/365</f>
        <v/>
      </c>
      <c r="G1009" s="1921">
        <f>D1009-F1009</f>
        <v/>
      </c>
      <c r="H1009" s="1921">
        <f>E1009-F1009</f>
        <v/>
      </c>
    </row>
    <row r="1010" ht="14.25" customHeight="1">
      <c r="A1010" s="1919" t="inlineStr">
        <is>
          <t>06/08/2022</t>
        </is>
      </c>
      <c r="B1010" s="1920" t="n">
        <v>7193.31</v>
      </c>
      <c r="C1010" s="1919" t="inlineStr">
        <is>
          <t>965</t>
        </is>
      </c>
      <c r="D1010" s="1921">
        <f>B1010/B1011-1</f>
        <v/>
      </c>
      <c r="E1010" s="1921">
        <f>C1010/C1011-1</f>
        <v/>
      </c>
      <c r="F1010" s="1921">
        <f>$L$2/365</f>
        <v/>
      </c>
      <c r="G1010" s="1921">
        <f>D1010-F1010</f>
        <v/>
      </c>
      <c r="H1010" s="1921">
        <f>E1010-F1010</f>
        <v/>
      </c>
    </row>
    <row r="1011" ht="14.25" customHeight="1">
      <c r="A1011" s="1919" t="inlineStr">
        <is>
          <t>06/07/2022</t>
        </is>
      </c>
      <c r="B1011" s="1920" t="n">
        <v>7141.04</v>
      </c>
      <c r="C1011" s="1919" t="inlineStr">
        <is>
          <t>975</t>
        </is>
      </c>
      <c r="D1011" s="1921">
        <f>B1011/B1012-1</f>
        <v/>
      </c>
      <c r="E1011" s="1921">
        <f>C1011/C1012-1</f>
        <v/>
      </c>
      <c r="F1011" s="1921">
        <f>$L$2/365</f>
        <v/>
      </c>
      <c r="G1011" s="1921">
        <f>D1011-F1011</f>
        <v/>
      </c>
      <c r="H1011" s="1921">
        <f>E1011-F1011</f>
        <v/>
      </c>
    </row>
    <row r="1012" ht="14.25" customHeight="1">
      <c r="A1012" s="1919" t="inlineStr">
        <is>
          <t>06/06/2022</t>
        </is>
      </c>
      <c r="B1012" s="1920" t="n">
        <v>7096.58</v>
      </c>
      <c r="C1012" s="1919" t="inlineStr">
        <is>
          <t>985</t>
        </is>
      </c>
      <c r="D1012" s="1921">
        <f>B1012/B1013-1</f>
        <v/>
      </c>
      <c r="E1012" s="1921">
        <f>C1012/C1013-1</f>
        <v/>
      </c>
      <c r="F1012" s="1921">
        <f>$L$2/365</f>
        <v/>
      </c>
      <c r="G1012" s="1921">
        <f>D1012-F1012</f>
        <v/>
      </c>
      <c r="H1012" s="1921">
        <f>E1012-F1012</f>
        <v/>
      </c>
    </row>
    <row r="1013" ht="14.25" customHeight="1">
      <c r="A1013" s="1919" t="inlineStr">
        <is>
          <t>06/03/2022</t>
        </is>
      </c>
      <c r="B1013" s="1920" t="n">
        <v>7182.96</v>
      </c>
      <c r="C1013" s="1919" t="inlineStr">
        <is>
          <t>975</t>
        </is>
      </c>
      <c r="D1013" s="1921">
        <f>B1013/B1014-1</f>
        <v/>
      </c>
      <c r="E1013" s="1921">
        <f>C1013/C1014-1</f>
        <v/>
      </c>
      <c r="F1013" s="1921">
        <f>$L$2/365</f>
        <v/>
      </c>
      <c r="G1013" s="1921">
        <f>D1013-F1013</f>
        <v/>
      </c>
      <c r="H1013" s="1921">
        <f>E1013-F1013</f>
        <v/>
      </c>
    </row>
    <row r="1014" ht="14.25" customHeight="1">
      <c r="A1014" s="1919" t="inlineStr">
        <is>
          <t>06/02/2022</t>
        </is>
      </c>
      <c r="B1014" s="1920" t="n">
        <v>7148.72</v>
      </c>
      <c r="C1014" s="1919" t="inlineStr">
        <is>
          <t>980</t>
        </is>
      </c>
      <c r="D1014" s="1921">
        <f>B1014/B1015-1</f>
        <v/>
      </c>
      <c r="E1014" s="1921">
        <f>C1014/C1015-1</f>
        <v/>
      </c>
      <c r="F1014" s="1921">
        <f>$L$2/365</f>
        <v/>
      </c>
      <c r="G1014" s="1921">
        <f>D1014-F1014</f>
        <v/>
      </c>
      <c r="H1014" s="1921">
        <f>E1014-F1014</f>
        <v/>
      </c>
    </row>
    <row r="1015" ht="14.25" customHeight="1">
      <c r="A1015" s="1919" t="inlineStr">
        <is>
          <t>05/31/2022</t>
        </is>
      </c>
      <c r="B1015" s="1920" t="n">
        <v>7148.97</v>
      </c>
      <c r="C1015" s="1926" t="n">
        <v>1000</v>
      </c>
      <c r="D1015" s="1921">
        <f>B1015/B1016-1</f>
        <v/>
      </c>
      <c r="E1015" s="1921">
        <f>C1015/C1016-1</f>
        <v/>
      </c>
      <c r="F1015" s="1921">
        <f>$L$2/365</f>
        <v/>
      </c>
      <c r="G1015" s="1921">
        <f>D1015-F1015</f>
        <v/>
      </c>
      <c r="H1015" s="1921">
        <f>E1015-F1015</f>
        <v/>
      </c>
    </row>
    <row r="1016" ht="14.25" customHeight="1">
      <c r="A1016" s="1919" t="inlineStr">
        <is>
          <t>05/30/2022</t>
        </is>
      </c>
      <c r="B1016" s="1920" t="n">
        <v>7037.56</v>
      </c>
      <c r="C1016" s="1919" t="inlineStr">
        <is>
          <t>965</t>
        </is>
      </c>
      <c r="D1016" s="1921">
        <f>B1016/B1017-1</f>
        <v/>
      </c>
      <c r="E1016" s="1921">
        <f>C1016/C1017-1</f>
        <v/>
      </c>
      <c r="F1016" s="1921">
        <f>$L$2/365</f>
        <v/>
      </c>
      <c r="G1016" s="1921">
        <f>D1016-F1016</f>
        <v/>
      </c>
      <c r="H1016" s="1921">
        <f>E1016-F1016</f>
        <v/>
      </c>
    </row>
    <row r="1017" ht="14.25" customHeight="1">
      <c r="A1017" s="1919" t="inlineStr">
        <is>
          <t>05/27/2022</t>
        </is>
      </c>
      <c r="B1017" s="1920" t="n">
        <v>7026.26</v>
      </c>
      <c r="C1017" s="1919" t="inlineStr">
        <is>
          <t>965</t>
        </is>
      </c>
      <c r="D1017" s="1921">
        <f>B1017/B1018-1</f>
        <v/>
      </c>
      <c r="E1017" s="1921">
        <f>C1017/C1018-1</f>
        <v/>
      </c>
      <c r="F1017" s="1921">
        <f>$L$2/365</f>
        <v/>
      </c>
      <c r="G1017" s="1921">
        <f>D1017-F1017</f>
        <v/>
      </c>
      <c r="H1017" s="1921">
        <f>E1017-F1017</f>
        <v/>
      </c>
    </row>
    <row r="1018" ht="14.25" customHeight="1">
      <c r="A1018" s="1919" t="inlineStr">
        <is>
          <t>05/25/2022</t>
        </is>
      </c>
      <c r="B1018" s="1920" t="n">
        <v>6883.5</v>
      </c>
      <c r="C1018" s="1919" t="inlineStr">
        <is>
          <t>935</t>
        </is>
      </c>
      <c r="D1018" s="1921">
        <f>B1018/B1019-1</f>
        <v/>
      </c>
      <c r="E1018" s="1921">
        <f>C1018/C1019-1</f>
        <v/>
      </c>
      <c r="F1018" s="1921">
        <f>$L$2/365</f>
        <v/>
      </c>
      <c r="G1018" s="1921">
        <f>D1018-F1018</f>
        <v/>
      </c>
      <c r="H1018" s="1921">
        <f>E1018-F1018</f>
        <v/>
      </c>
    </row>
    <row r="1019" ht="14.25" customHeight="1">
      <c r="A1019" s="1919" t="inlineStr">
        <is>
          <t>05/24/2022</t>
        </is>
      </c>
      <c r="B1019" s="1920" t="n">
        <v>6914.14</v>
      </c>
      <c r="C1019" s="1919" t="inlineStr">
        <is>
          <t>945</t>
        </is>
      </c>
      <c r="D1019" s="1921">
        <f>B1019/B1020-1</f>
        <v/>
      </c>
      <c r="E1019" s="1921">
        <f>C1019/C1020-1</f>
        <v/>
      </c>
      <c r="F1019" s="1921">
        <f>$L$2/365</f>
        <v/>
      </c>
      <c r="G1019" s="1921">
        <f>D1019-F1019</f>
        <v/>
      </c>
      <c r="H1019" s="1921">
        <f>E1019-F1019</f>
        <v/>
      </c>
    </row>
    <row r="1020" ht="14.25" customHeight="1">
      <c r="A1020" s="1919" t="inlineStr">
        <is>
          <t>05/23/2022</t>
        </is>
      </c>
      <c r="B1020" s="1920" t="n">
        <v>6840.77</v>
      </c>
      <c r="C1020" s="1919" t="inlineStr">
        <is>
          <t>950</t>
        </is>
      </c>
      <c r="D1020" s="1921">
        <f>B1020/B1021-1</f>
        <v/>
      </c>
      <c r="E1020" s="1921">
        <f>C1020/C1021-1</f>
        <v/>
      </c>
      <c r="F1020" s="1921">
        <f>$L$2/365</f>
        <v/>
      </c>
      <c r="G1020" s="1921">
        <f>D1020-F1020</f>
        <v/>
      </c>
      <c r="H1020" s="1921">
        <f>E1020-F1020</f>
        <v/>
      </c>
    </row>
    <row r="1021" ht="14.25" customHeight="1">
      <c r="A1021" s="1919" t="inlineStr">
        <is>
          <t>05/20/2022</t>
        </is>
      </c>
      <c r="B1021" s="1920" t="n">
        <v>6918.14</v>
      </c>
      <c r="C1021" s="1919" t="inlineStr">
        <is>
          <t>960</t>
        </is>
      </c>
      <c r="D1021" s="1921">
        <f>B1021/B1022-1</f>
        <v/>
      </c>
      <c r="E1021" s="1921">
        <f>C1021/C1022-1</f>
        <v/>
      </c>
      <c r="F1021" s="1921">
        <f>$L$2/365</f>
        <v/>
      </c>
      <c r="G1021" s="1921">
        <f>D1021-F1021</f>
        <v/>
      </c>
      <c r="H1021" s="1921">
        <f>E1021-F1021</f>
        <v/>
      </c>
    </row>
    <row r="1022" ht="14.25" customHeight="1">
      <c r="A1022" s="1919" t="inlineStr">
        <is>
          <t>05/19/2022</t>
        </is>
      </c>
      <c r="B1022" s="1920" t="n">
        <v>6823.33</v>
      </c>
      <c r="C1022" s="1919" t="inlineStr">
        <is>
          <t>960</t>
        </is>
      </c>
      <c r="D1022" s="1921">
        <f>B1022/B1023-1</f>
        <v/>
      </c>
      <c r="E1022" s="1921">
        <f>C1022/C1023-1</f>
        <v/>
      </c>
      <c r="F1022" s="1921">
        <f>$L$2/365</f>
        <v/>
      </c>
      <c r="G1022" s="1921">
        <f>D1022-F1022</f>
        <v/>
      </c>
      <c r="H1022" s="1921">
        <f>E1022-F1022</f>
        <v/>
      </c>
    </row>
    <row r="1023" ht="14.25" customHeight="1">
      <c r="A1023" s="1919" t="inlineStr">
        <is>
          <t>05/18/2022</t>
        </is>
      </c>
      <c r="B1023" s="1920" t="n">
        <v>6793.41</v>
      </c>
      <c r="C1023" s="1919" t="inlineStr">
        <is>
          <t>985</t>
        </is>
      </c>
      <c r="D1023" s="1921">
        <f>B1023/B1024-1</f>
        <v/>
      </c>
      <c r="E1023" s="1921">
        <f>C1023/C1024-1</f>
        <v/>
      </c>
      <c r="F1023" s="1921">
        <f>$L$2/365</f>
        <v/>
      </c>
      <c r="G1023" s="1921">
        <f>D1023-F1023</f>
        <v/>
      </c>
      <c r="H1023" s="1921">
        <f>E1023-F1023</f>
        <v/>
      </c>
    </row>
    <row r="1024" ht="14.25" customHeight="1">
      <c r="A1024" s="1919" t="inlineStr">
        <is>
          <t>05/17/2022</t>
        </is>
      </c>
      <c r="B1024" s="1920" t="n">
        <v>6644.47</v>
      </c>
      <c r="C1024" s="1919" t="inlineStr">
        <is>
          <t>975</t>
        </is>
      </c>
      <c r="D1024" s="1921">
        <f>B1024/B1025-1</f>
        <v/>
      </c>
      <c r="E1024" s="1921">
        <f>C1024/C1025-1</f>
        <v/>
      </c>
      <c r="F1024" s="1921">
        <f>$L$2/365</f>
        <v/>
      </c>
      <c r="G1024" s="1921">
        <f>D1024-F1024</f>
        <v/>
      </c>
      <c r="H1024" s="1921">
        <f>E1024-F1024</f>
        <v/>
      </c>
    </row>
    <row r="1025" ht="14.25" customHeight="1">
      <c r="A1025" s="1919" t="inlineStr">
        <is>
          <t>05/13/2022</t>
        </is>
      </c>
      <c r="B1025" s="1920" t="n">
        <v>6597.99</v>
      </c>
      <c r="C1025" s="1919" t="inlineStr">
        <is>
          <t>995</t>
        </is>
      </c>
      <c r="D1025" s="1921">
        <f>B1025/B1026-1</f>
        <v/>
      </c>
      <c r="E1025" s="1921">
        <f>C1025/C1026-1</f>
        <v/>
      </c>
      <c r="F1025" s="1921">
        <f>$L$2/365</f>
        <v/>
      </c>
      <c r="G1025" s="1921">
        <f>D1025-F1025</f>
        <v/>
      </c>
      <c r="H1025" s="1921">
        <f>E1025-F1025</f>
        <v/>
      </c>
    </row>
    <row r="1026" ht="14.25" customHeight="1">
      <c r="A1026" s="1919" t="inlineStr">
        <is>
          <t>05/12/2022</t>
        </is>
      </c>
      <c r="B1026" s="1920" t="n">
        <v>6599.84</v>
      </c>
      <c r="C1026" s="1919" t="inlineStr">
        <is>
          <t>975</t>
        </is>
      </c>
      <c r="D1026" s="1921">
        <f>B1026/B1027-1</f>
        <v/>
      </c>
      <c r="E1026" s="1921">
        <f>C1026/C1027-1</f>
        <v/>
      </c>
      <c r="F1026" s="1921">
        <f>$L$2/365</f>
        <v/>
      </c>
      <c r="G1026" s="1921">
        <f>D1026-F1026</f>
        <v/>
      </c>
      <c r="H1026" s="1921">
        <f>E1026-F1026</f>
        <v/>
      </c>
    </row>
    <row r="1027" ht="14.25" customHeight="1">
      <c r="A1027" s="1919" t="inlineStr">
        <is>
          <t>05/11/2022</t>
        </is>
      </c>
      <c r="B1027" s="1920" t="n">
        <v>6816.2</v>
      </c>
      <c r="C1027" s="1926" t="n">
        <v>1015</v>
      </c>
      <c r="D1027" s="1921">
        <f>B1027/B1028-1</f>
        <v/>
      </c>
      <c r="E1027" s="1921">
        <f>C1027/C1028-1</f>
        <v/>
      </c>
      <c r="F1027" s="1921">
        <f>$L$2/365</f>
        <v/>
      </c>
      <c r="G1027" s="1921">
        <f>D1027-F1027</f>
        <v/>
      </c>
      <c r="H1027" s="1921">
        <f>E1027-F1027</f>
        <v/>
      </c>
    </row>
    <row r="1028" ht="14.25" customHeight="1">
      <c r="A1028" s="1919" t="inlineStr">
        <is>
          <t>05/10/2022</t>
        </is>
      </c>
      <c r="B1028" s="1920" t="n">
        <v>6819.79</v>
      </c>
      <c r="C1028" s="1919" t="inlineStr">
        <is>
          <t>965</t>
        </is>
      </c>
      <c r="D1028" s="1921">
        <f>B1028/B1029-1</f>
        <v/>
      </c>
      <c r="E1028" s="1921">
        <f>C1028/C1029-1</f>
        <v/>
      </c>
      <c r="F1028" s="1921">
        <f>$L$2/365</f>
        <v/>
      </c>
      <c r="G1028" s="1921">
        <f>D1028-F1028</f>
        <v/>
      </c>
      <c r="H1028" s="1921">
        <f>E1028-F1028</f>
        <v/>
      </c>
    </row>
    <row r="1029" ht="14.25" customHeight="1">
      <c r="A1029" s="1919" t="inlineStr">
        <is>
          <t>05/09/2022</t>
        </is>
      </c>
      <c r="B1029" s="1920" t="n">
        <v>6909.75</v>
      </c>
      <c r="C1029" s="1919" t="inlineStr">
        <is>
          <t>970</t>
        </is>
      </c>
      <c r="D1029" s="1921">
        <f>B1029/B1030-1</f>
        <v/>
      </c>
      <c r="E1029" s="1921">
        <f>C1029/C1030-1</f>
        <v/>
      </c>
      <c r="F1029" s="1921">
        <f>$L$2/365</f>
        <v/>
      </c>
      <c r="G1029" s="1921">
        <f>D1029-F1029</f>
        <v/>
      </c>
      <c r="H1029" s="1921">
        <f>E1029-F1029</f>
        <v/>
      </c>
    </row>
    <row r="1030" ht="14.25" customHeight="1">
      <c r="A1030" s="1919" t="inlineStr">
        <is>
          <t>04/28/2022</t>
        </is>
      </c>
      <c r="B1030" s="1920" t="n">
        <v>7228.91</v>
      </c>
      <c r="C1030" s="1926" t="n">
        <v>1010</v>
      </c>
      <c r="D1030" s="1921">
        <f>B1030/B1031-1</f>
        <v/>
      </c>
      <c r="E1030" s="1921">
        <f>C1030/C1031-1</f>
        <v/>
      </c>
      <c r="F1030" s="1921">
        <f>$L$2/365</f>
        <v/>
      </c>
      <c r="G1030" s="1921">
        <f>D1030-F1030</f>
        <v/>
      </c>
      <c r="H1030" s="1921">
        <f>E1030-F1030</f>
        <v/>
      </c>
    </row>
    <row r="1031" ht="14.25" customHeight="1">
      <c r="A1031" s="1919" t="inlineStr">
        <is>
          <t>04/27/2022</t>
        </is>
      </c>
      <c r="B1031" s="1920" t="n">
        <v>7196.76</v>
      </c>
      <c r="C1031" s="1926" t="n">
        <v>1015</v>
      </c>
      <c r="D1031" s="1921">
        <f>B1031/B1032-1</f>
        <v/>
      </c>
      <c r="E1031" s="1921">
        <f>C1031/C1032-1</f>
        <v/>
      </c>
      <c r="F1031" s="1921">
        <f>$L$2/365</f>
        <v/>
      </c>
      <c r="G1031" s="1921">
        <f>D1031-F1031</f>
        <v/>
      </c>
      <c r="H1031" s="1921">
        <f>E1031-F1031</f>
        <v/>
      </c>
    </row>
    <row r="1032" ht="14.25" customHeight="1">
      <c r="A1032" s="1919" t="inlineStr">
        <is>
          <t>04/26/2022</t>
        </is>
      </c>
      <c r="B1032" s="1920" t="n">
        <v>7232.15</v>
      </c>
      <c r="C1032" s="1926" t="n">
        <v>1030</v>
      </c>
      <c r="D1032" s="1921">
        <f>B1032/B1033-1</f>
        <v/>
      </c>
      <c r="E1032" s="1921">
        <f>C1032/C1033-1</f>
        <v/>
      </c>
      <c r="F1032" s="1921">
        <f>$L$2/365</f>
        <v/>
      </c>
      <c r="G1032" s="1921">
        <f>D1032-F1032</f>
        <v/>
      </c>
      <c r="H1032" s="1921">
        <f>E1032-F1032</f>
        <v/>
      </c>
    </row>
    <row r="1033" ht="14.25" customHeight="1">
      <c r="A1033" s="1919" t="inlineStr">
        <is>
          <t>04/25/2022</t>
        </is>
      </c>
      <c r="B1033" s="1920" t="n">
        <v>7215.98</v>
      </c>
      <c r="C1033" s="1926" t="n">
        <v>1030</v>
      </c>
      <c r="D1033" s="1921">
        <f>B1033/B1034-1</f>
        <v/>
      </c>
      <c r="E1033" s="1921">
        <f>C1033/C1034-1</f>
        <v/>
      </c>
      <c r="F1033" s="1921">
        <f>$L$2/365</f>
        <v/>
      </c>
      <c r="G1033" s="1921">
        <f>D1033-F1033</f>
        <v/>
      </c>
      <c r="H1033" s="1921">
        <f>E1033-F1033</f>
        <v/>
      </c>
    </row>
    <row r="1034" ht="14.25" customHeight="1">
      <c r="A1034" s="1919" t="inlineStr">
        <is>
          <t>04/22/2022</t>
        </is>
      </c>
      <c r="B1034" s="1920" t="n">
        <v>7225.61</v>
      </c>
      <c r="C1034" s="1926" t="n">
        <v>1030</v>
      </c>
      <c r="D1034" s="1921">
        <f>B1034/B1035-1</f>
        <v/>
      </c>
      <c r="E1034" s="1921">
        <f>C1034/C1035-1</f>
        <v/>
      </c>
      <c r="F1034" s="1921">
        <f>$L$2/365</f>
        <v/>
      </c>
      <c r="G1034" s="1921">
        <f>D1034-F1034</f>
        <v/>
      </c>
      <c r="H1034" s="1921">
        <f>E1034-F1034</f>
        <v/>
      </c>
    </row>
    <row r="1035" ht="14.25" customHeight="1">
      <c r="A1035" s="1919" t="inlineStr">
        <is>
          <t>04/21/2022</t>
        </is>
      </c>
      <c r="B1035" s="1920" t="n">
        <v>7276.19</v>
      </c>
      <c r="C1035" s="1926" t="n">
        <v>1050</v>
      </c>
      <c r="D1035" s="1921">
        <f>B1035/B1036-1</f>
        <v/>
      </c>
      <c r="E1035" s="1921">
        <f>C1035/C1036-1</f>
        <v/>
      </c>
      <c r="F1035" s="1921">
        <f>$L$2/365</f>
        <v/>
      </c>
      <c r="G1035" s="1921">
        <f>D1035-F1035</f>
        <v/>
      </c>
      <c r="H1035" s="1921">
        <f>E1035-F1035</f>
        <v/>
      </c>
    </row>
    <row r="1036" ht="14.25" customHeight="1">
      <c r="A1036" s="1919" t="inlineStr">
        <is>
          <t>04/20/2022</t>
        </is>
      </c>
      <c r="B1036" s="1920" t="n">
        <v>7227.36</v>
      </c>
      <c r="C1036" s="1926" t="n">
        <v>1045</v>
      </c>
      <c r="D1036" s="1921">
        <f>B1036/B1037-1</f>
        <v/>
      </c>
      <c r="E1036" s="1921">
        <f>C1036/C1037-1</f>
        <v/>
      </c>
      <c r="F1036" s="1921">
        <f>$L$2/365</f>
        <v/>
      </c>
      <c r="G1036" s="1921">
        <f>D1036-F1036</f>
        <v/>
      </c>
      <c r="H1036" s="1921">
        <f>E1036-F1036</f>
        <v/>
      </c>
    </row>
    <row r="1037" ht="14.25" customHeight="1">
      <c r="A1037" s="1919" t="inlineStr">
        <is>
          <t>04/19/2022</t>
        </is>
      </c>
      <c r="B1037" s="1920" t="n">
        <v>7199.23</v>
      </c>
      <c r="C1037" s="1926" t="n">
        <v>1015</v>
      </c>
      <c r="D1037" s="1921">
        <f>B1037/B1038-1</f>
        <v/>
      </c>
      <c r="E1037" s="1921">
        <f>C1037/C1038-1</f>
        <v/>
      </c>
      <c r="F1037" s="1921">
        <f>$L$2/365</f>
        <v/>
      </c>
      <c r="G1037" s="1921">
        <f>D1037-F1037</f>
        <v/>
      </c>
      <c r="H1037" s="1921">
        <f>E1037-F1037</f>
        <v/>
      </c>
    </row>
    <row r="1038" ht="14.25" customHeight="1">
      <c r="A1038" s="1919" t="inlineStr">
        <is>
          <t>04/18/2022</t>
        </is>
      </c>
      <c r="B1038" s="1920" t="n">
        <v>7275.29</v>
      </c>
      <c r="C1038" s="1926" t="n">
        <v>1010</v>
      </c>
      <c r="D1038" s="1921">
        <f>B1038/B1039-1</f>
        <v/>
      </c>
      <c r="E1038" s="1921">
        <f>C1038/C1039-1</f>
        <v/>
      </c>
      <c r="F1038" s="1921">
        <f>$L$2/365</f>
        <v/>
      </c>
      <c r="G1038" s="1921">
        <f>D1038-F1038</f>
        <v/>
      </c>
      <c r="H1038" s="1921">
        <f>E1038-F1038</f>
        <v/>
      </c>
    </row>
    <row r="1039" ht="14.25" customHeight="1">
      <c r="A1039" s="1919" t="inlineStr">
        <is>
          <t>04/14/2022</t>
        </is>
      </c>
      <c r="B1039" s="1920" t="n">
        <v>7235.53</v>
      </c>
      <c r="C1039" s="1926" t="n">
        <v>1010</v>
      </c>
      <c r="D1039" s="1921">
        <f>B1039/B1040-1</f>
        <v/>
      </c>
      <c r="E1039" s="1921">
        <f>C1039/C1040-1</f>
        <v/>
      </c>
      <c r="F1039" s="1921">
        <f>$L$2/365</f>
        <v/>
      </c>
      <c r="G1039" s="1921">
        <f>D1039-F1039</f>
        <v/>
      </c>
      <c r="H1039" s="1921">
        <f>E1039-F1039</f>
        <v/>
      </c>
    </row>
    <row r="1040" ht="14.25" customHeight="1">
      <c r="A1040" s="1919" t="inlineStr">
        <is>
          <t>04/13/2022</t>
        </is>
      </c>
      <c r="B1040" s="1920" t="n">
        <v>7262.78</v>
      </c>
      <c r="C1040" s="1926" t="n">
        <v>1035</v>
      </c>
      <c r="D1040" s="1921">
        <f>B1040/B1041-1</f>
        <v/>
      </c>
      <c r="E1040" s="1921">
        <f>C1040/C1041-1</f>
        <v/>
      </c>
      <c r="F1040" s="1921">
        <f>$L$2/365</f>
        <v/>
      </c>
      <c r="G1040" s="1921">
        <f>D1040-F1040</f>
        <v/>
      </c>
      <c r="H1040" s="1921">
        <f>E1040-F1040</f>
        <v/>
      </c>
    </row>
    <row r="1041" ht="14.25" customHeight="1">
      <c r="A1041" s="1919" t="inlineStr">
        <is>
          <t>04/12/2022</t>
        </is>
      </c>
      <c r="B1041" s="1920" t="n">
        <v>7214.78</v>
      </c>
      <c r="C1041" s="1926" t="n">
        <v>1010</v>
      </c>
      <c r="D1041" s="1921">
        <f>B1041/B1042-1</f>
        <v/>
      </c>
      <c r="E1041" s="1921">
        <f>C1041/C1042-1</f>
        <v/>
      </c>
      <c r="F1041" s="1921">
        <f>$L$2/365</f>
        <v/>
      </c>
      <c r="G1041" s="1921">
        <f>D1041-F1041</f>
        <v/>
      </c>
      <c r="H1041" s="1921">
        <f>E1041-F1041</f>
        <v/>
      </c>
    </row>
    <row r="1042" ht="14.25" customHeight="1">
      <c r="A1042" s="1919" t="inlineStr">
        <is>
          <t>04/11/2022</t>
        </is>
      </c>
      <c r="B1042" s="1920" t="n">
        <v>7203.79</v>
      </c>
      <c r="C1042" s="1926" t="n">
        <v>1010</v>
      </c>
      <c r="D1042" s="1921">
        <f>B1042/B1043-1</f>
        <v/>
      </c>
      <c r="E1042" s="1921">
        <f>C1042/C1043-1</f>
        <v/>
      </c>
      <c r="F1042" s="1921">
        <f>$L$2/365</f>
        <v/>
      </c>
      <c r="G1042" s="1921">
        <f>D1042-F1042</f>
        <v/>
      </c>
      <c r="H1042" s="1921">
        <f>E1042-F1042</f>
        <v/>
      </c>
    </row>
    <row r="1043" ht="14.25" customHeight="1">
      <c r="A1043" s="1919" t="inlineStr">
        <is>
          <t>04/08/2022</t>
        </is>
      </c>
      <c r="B1043" s="1920" t="n">
        <v>7210.83</v>
      </c>
      <c r="C1043" s="1926" t="n">
        <v>1040</v>
      </c>
      <c r="D1043" s="1921">
        <f>B1043/B1044-1</f>
        <v/>
      </c>
      <c r="E1043" s="1921">
        <f>C1043/C1044-1</f>
        <v/>
      </c>
      <c r="F1043" s="1921">
        <f>$L$2/365</f>
        <v/>
      </c>
      <c r="G1043" s="1921">
        <f>D1043-F1043</f>
        <v/>
      </c>
      <c r="H1043" s="1921">
        <f>E1043-F1043</f>
        <v/>
      </c>
    </row>
    <row r="1044" ht="14.25" customHeight="1">
      <c r="A1044" s="1919" t="inlineStr">
        <is>
          <t>04/07/2022</t>
        </is>
      </c>
      <c r="B1044" s="1920" t="n">
        <v>7127.37</v>
      </c>
      <c r="C1044" s="1926" t="n">
        <v>1030</v>
      </c>
      <c r="D1044" s="1921">
        <f>B1044/B1045-1</f>
        <v/>
      </c>
      <c r="E1044" s="1921">
        <f>C1044/C1045-1</f>
        <v/>
      </c>
      <c r="F1044" s="1921">
        <f>$L$2/365</f>
        <v/>
      </c>
      <c r="G1044" s="1921">
        <f>D1044-F1044</f>
        <v/>
      </c>
      <c r="H1044" s="1921">
        <f>E1044-F1044</f>
        <v/>
      </c>
    </row>
    <row r="1045" ht="14.25" customHeight="1">
      <c r="A1045" s="1919" t="inlineStr">
        <is>
          <t>04/06/2022</t>
        </is>
      </c>
      <c r="B1045" s="1920" t="n">
        <v>7104.22</v>
      </c>
      <c r="C1045" s="1926" t="n">
        <v>1020</v>
      </c>
      <c r="D1045" s="1921">
        <f>B1045/B1046-1</f>
        <v/>
      </c>
      <c r="E1045" s="1921">
        <f>C1045/C1046-1</f>
        <v/>
      </c>
      <c r="F1045" s="1921">
        <f>$L$2/365</f>
        <v/>
      </c>
      <c r="G1045" s="1921">
        <f>D1045-F1045</f>
        <v/>
      </c>
      <c r="H1045" s="1921">
        <f>E1045-F1045</f>
        <v/>
      </c>
    </row>
    <row r="1046" ht="14.25" customHeight="1">
      <c r="A1046" s="1919" t="inlineStr">
        <is>
          <t>04/05/2022</t>
        </is>
      </c>
      <c r="B1046" s="1920" t="n">
        <v>7148.3</v>
      </c>
      <c r="C1046" s="1926" t="n">
        <v>1045</v>
      </c>
      <c r="D1046" s="1921">
        <f>B1046/B1047-1</f>
        <v/>
      </c>
      <c r="E1046" s="1921">
        <f>C1046/C1047-1</f>
        <v/>
      </c>
      <c r="F1046" s="1921">
        <f>$L$2/365</f>
        <v/>
      </c>
      <c r="G1046" s="1921">
        <f>D1046-F1046</f>
        <v/>
      </c>
      <c r="H1046" s="1921">
        <f>E1046-F1046</f>
        <v/>
      </c>
    </row>
    <row r="1047" ht="14.25" customHeight="1">
      <c r="A1047" s="1919" t="inlineStr">
        <is>
          <t>04/04/2022</t>
        </is>
      </c>
      <c r="B1047" s="1920" t="n">
        <v>7116.22</v>
      </c>
      <c r="C1047" s="1926" t="n">
        <v>1050</v>
      </c>
      <c r="D1047" s="1921">
        <f>B1047/B1048-1</f>
        <v/>
      </c>
      <c r="E1047" s="1921">
        <f>C1047/C1048-1</f>
        <v/>
      </c>
      <c r="F1047" s="1921">
        <f>$L$2/365</f>
        <v/>
      </c>
      <c r="G1047" s="1921">
        <f>D1047-F1047</f>
        <v/>
      </c>
      <c r="H1047" s="1921">
        <f>E1047-F1047</f>
        <v/>
      </c>
    </row>
    <row r="1048" ht="14.25" customHeight="1">
      <c r="A1048" s="1919" t="inlineStr">
        <is>
          <t>04/01/2022</t>
        </is>
      </c>
      <c r="B1048" s="1920" t="n">
        <v>7078.76</v>
      </c>
      <c r="C1048" s="1926" t="n">
        <v>1040</v>
      </c>
      <c r="D1048" s="1921">
        <f>B1048/B1049-1</f>
        <v/>
      </c>
      <c r="E1048" s="1921">
        <f>C1048/C1049-1</f>
        <v/>
      </c>
      <c r="F1048" s="1921">
        <f>$L$2/365</f>
        <v/>
      </c>
      <c r="G1048" s="1921">
        <f>D1048-F1048</f>
        <v/>
      </c>
      <c r="H1048" s="1921">
        <f>E1048-F1048</f>
        <v/>
      </c>
    </row>
    <row r="1049" ht="14.25" customHeight="1">
      <c r="A1049" s="1919" t="inlineStr">
        <is>
          <t>03/31/2022</t>
        </is>
      </c>
      <c r="B1049" s="1920" t="n">
        <v>7071.44</v>
      </c>
      <c r="C1049" s="1926" t="n">
        <v>1070</v>
      </c>
      <c r="D1049" s="1921">
        <f>B1049/B1050-1</f>
        <v/>
      </c>
      <c r="E1049" s="1921">
        <f>C1049/C1050-1</f>
        <v/>
      </c>
      <c r="F1049" s="1921">
        <f>$L$2/365</f>
        <v/>
      </c>
      <c r="G1049" s="1921">
        <f>D1049-F1049</f>
        <v/>
      </c>
      <c r="H1049" s="1921">
        <f>E1049-F1049</f>
        <v/>
      </c>
    </row>
    <row r="1050" ht="14.25" customHeight="1">
      <c r="A1050" s="1919" t="inlineStr">
        <is>
          <t>03/30/2022</t>
        </is>
      </c>
      <c r="B1050" s="1920" t="n">
        <v>7053.19</v>
      </c>
      <c r="C1050" s="1926" t="n">
        <v>1065</v>
      </c>
      <c r="D1050" s="1921">
        <f>B1050/B1051-1</f>
        <v/>
      </c>
      <c r="E1050" s="1921">
        <f>C1050/C1051-1</f>
        <v/>
      </c>
      <c r="F1050" s="1921">
        <f>$L$2/365</f>
        <v/>
      </c>
      <c r="G1050" s="1921">
        <f>D1050-F1050</f>
        <v/>
      </c>
      <c r="H1050" s="1921">
        <f>E1050-F1050</f>
        <v/>
      </c>
    </row>
    <row r="1051" ht="14.25" customHeight="1">
      <c r="A1051" s="1919" t="inlineStr">
        <is>
          <t>03/29/2022</t>
        </is>
      </c>
      <c r="B1051" s="1920" t="n">
        <v>7011.69</v>
      </c>
      <c r="C1051" s="1926" t="n">
        <v>1065</v>
      </c>
      <c r="D1051" s="1921">
        <f>B1051/B1052-1</f>
        <v/>
      </c>
      <c r="E1051" s="1921">
        <f>C1051/C1052-1</f>
        <v/>
      </c>
      <c r="F1051" s="1921">
        <f>$L$2/365</f>
        <v/>
      </c>
      <c r="G1051" s="1921">
        <f>D1051-F1051</f>
        <v/>
      </c>
      <c r="H1051" s="1921">
        <f>E1051-F1051</f>
        <v/>
      </c>
    </row>
    <row r="1052" ht="14.25" customHeight="1">
      <c r="A1052" s="1919" t="inlineStr">
        <is>
          <t>03/28/2022</t>
        </is>
      </c>
      <c r="B1052" s="1920" t="n">
        <v>7049.6</v>
      </c>
      <c r="C1052" s="1926" t="n">
        <v>1065</v>
      </c>
      <c r="D1052" s="1921">
        <f>B1052/B1053-1</f>
        <v/>
      </c>
      <c r="E1052" s="1921">
        <f>C1052/C1053-1</f>
        <v/>
      </c>
      <c r="F1052" s="1921">
        <f>$L$2/365</f>
        <v/>
      </c>
      <c r="G1052" s="1921">
        <f>D1052-F1052</f>
        <v/>
      </c>
      <c r="H1052" s="1921">
        <f>E1052-F1052</f>
        <v/>
      </c>
    </row>
    <row r="1053" ht="14.25" customHeight="1">
      <c r="A1053" s="1919" t="inlineStr">
        <is>
          <t>03/25/2022</t>
        </is>
      </c>
      <c r="B1053" s="1920" t="n">
        <v>7002.53</v>
      </c>
      <c r="C1053" s="1926" t="n">
        <v>1075</v>
      </c>
      <c r="D1053" s="1921">
        <f>B1053/B1054-1</f>
        <v/>
      </c>
      <c r="E1053" s="1921">
        <f>C1053/C1054-1</f>
        <v/>
      </c>
      <c r="F1053" s="1921">
        <f>$L$2/365</f>
        <v/>
      </c>
      <c r="G1053" s="1921">
        <f>D1053-F1053</f>
        <v/>
      </c>
      <c r="H1053" s="1921">
        <f>E1053-F1053</f>
        <v/>
      </c>
    </row>
    <row r="1054" ht="14.25" customHeight="1">
      <c r="A1054" s="1919" t="inlineStr">
        <is>
          <t>03/24/2022</t>
        </is>
      </c>
      <c r="B1054" s="1920" t="n">
        <v>7049.69</v>
      </c>
      <c r="C1054" s="1926" t="n">
        <v>1075</v>
      </c>
      <c r="D1054" s="1921">
        <f>B1054/B1055-1</f>
        <v/>
      </c>
      <c r="E1054" s="1921">
        <f>C1054/C1055-1</f>
        <v/>
      </c>
      <c r="F1054" s="1921">
        <f>$L$2/365</f>
        <v/>
      </c>
      <c r="G1054" s="1921">
        <f>D1054-F1054</f>
        <v/>
      </c>
      <c r="H1054" s="1921">
        <f>E1054-F1054</f>
        <v/>
      </c>
    </row>
    <row r="1055" ht="14.25" customHeight="1">
      <c r="A1055" s="1919" t="inlineStr">
        <is>
          <t>03/23/2022</t>
        </is>
      </c>
      <c r="B1055" s="1920" t="n">
        <v>6996.12</v>
      </c>
      <c r="C1055" s="1926" t="n">
        <v>1035</v>
      </c>
      <c r="D1055" s="1921">
        <f>B1055/B1056-1</f>
        <v/>
      </c>
      <c r="E1055" s="1921">
        <f>C1055/C1056-1</f>
        <v/>
      </c>
      <c r="F1055" s="1921">
        <f>$L$2/365</f>
        <v/>
      </c>
      <c r="G1055" s="1921">
        <f>D1055-F1055</f>
        <v/>
      </c>
      <c r="H1055" s="1921">
        <f>E1055-F1055</f>
        <v/>
      </c>
    </row>
    <row r="1056" ht="14.25" customHeight="1">
      <c r="A1056" s="1919" t="inlineStr">
        <is>
          <t>03/22/2022</t>
        </is>
      </c>
      <c r="B1056" s="1920" t="n">
        <v>7000.82</v>
      </c>
      <c r="C1056" s="1926" t="n">
        <v>1035</v>
      </c>
      <c r="D1056" s="1921">
        <f>B1056/B1057-1</f>
        <v/>
      </c>
      <c r="E1056" s="1921">
        <f>C1056/C1057-1</f>
        <v/>
      </c>
      <c r="F1056" s="1921">
        <f>$L$2/365</f>
        <v/>
      </c>
      <c r="G1056" s="1921">
        <f>D1056-F1056</f>
        <v/>
      </c>
      <c r="H1056" s="1921">
        <f>E1056-F1056</f>
        <v/>
      </c>
    </row>
    <row r="1057" ht="14.25" customHeight="1">
      <c r="A1057" s="1919" t="inlineStr">
        <is>
          <t>03/21/2022</t>
        </is>
      </c>
      <c r="B1057" s="1920" t="n">
        <v>6955.18</v>
      </c>
      <c r="C1057" s="1926" t="n">
        <v>1030</v>
      </c>
      <c r="D1057" s="1921">
        <f>B1057/B1058-1</f>
        <v/>
      </c>
      <c r="E1057" s="1921">
        <f>C1057/C1058-1</f>
        <v/>
      </c>
      <c r="F1057" s="1921">
        <f>$L$2/365</f>
        <v/>
      </c>
      <c r="G1057" s="1921">
        <f>D1057-F1057</f>
        <v/>
      </c>
      <c r="H1057" s="1921">
        <f>E1057-F1057</f>
        <v/>
      </c>
    </row>
    <row r="1058" ht="14.25" customHeight="1">
      <c r="A1058" s="1919" t="inlineStr">
        <is>
          <t>03/18/2022</t>
        </is>
      </c>
      <c r="B1058" s="1920" t="n">
        <v>6954.96</v>
      </c>
      <c r="C1058" s="1926" t="n">
        <v>1025</v>
      </c>
      <c r="D1058" s="1921">
        <f>B1058/B1059-1</f>
        <v/>
      </c>
      <c r="E1058" s="1921">
        <f>C1058/C1059-1</f>
        <v/>
      </c>
      <c r="F1058" s="1921">
        <f>$L$2/365</f>
        <v/>
      </c>
      <c r="G1058" s="1921">
        <f>D1058-F1058</f>
        <v/>
      </c>
      <c r="H1058" s="1921">
        <f>E1058-F1058</f>
        <v/>
      </c>
    </row>
    <row r="1059" ht="14.25" customHeight="1">
      <c r="A1059" s="1919" t="inlineStr">
        <is>
          <t>03/17/2022</t>
        </is>
      </c>
      <c r="B1059" s="1920" t="n">
        <v>6964.38</v>
      </c>
      <c r="C1059" s="1926" t="n">
        <v>1045</v>
      </c>
      <c r="D1059" s="1921">
        <f>B1059/B1060-1</f>
        <v/>
      </c>
      <c r="E1059" s="1921">
        <f>C1059/C1060-1</f>
        <v/>
      </c>
      <c r="F1059" s="1921">
        <f>$L$2/365</f>
        <v/>
      </c>
      <c r="G1059" s="1921">
        <f>D1059-F1059</f>
        <v/>
      </c>
      <c r="H1059" s="1921">
        <f>E1059-F1059</f>
        <v/>
      </c>
    </row>
    <row r="1060" ht="14.25" customHeight="1">
      <c r="A1060" s="1919" t="inlineStr">
        <is>
          <t>03/16/2022</t>
        </is>
      </c>
      <c r="B1060" s="1920" t="n">
        <v>6992.4</v>
      </c>
      <c r="C1060" s="1926" t="n">
        <v>1025</v>
      </c>
      <c r="D1060" s="1921">
        <f>B1060/B1061-1</f>
        <v/>
      </c>
      <c r="E1060" s="1921">
        <f>C1060/C1061-1</f>
        <v/>
      </c>
      <c r="F1060" s="1921">
        <f>$L$2/365</f>
        <v/>
      </c>
      <c r="G1060" s="1921">
        <f>D1060-F1060</f>
        <v/>
      </c>
      <c r="H1060" s="1921">
        <f>E1060-F1060</f>
        <v/>
      </c>
    </row>
    <row r="1061" ht="14.25" customHeight="1">
      <c r="A1061" s="1919" t="inlineStr">
        <is>
          <t>03/15/2022</t>
        </is>
      </c>
      <c r="B1061" s="1920" t="n">
        <v>6918.19</v>
      </c>
      <c r="C1061" s="1926" t="n">
        <v>1005</v>
      </c>
      <c r="D1061" s="1921">
        <f>B1061/B1062-1</f>
        <v/>
      </c>
      <c r="E1061" s="1921">
        <f>C1061/C1062-1</f>
        <v/>
      </c>
      <c r="F1061" s="1921">
        <f>$L$2/365</f>
        <v/>
      </c>
      <c r="G1061" s="1921">
        <f>D1061-F1061</f>
        <v/>
      </c>
      <c r="H1061" s="1921">
        <f>E1061-F1061</f>
        <v/>
      </c>
    </row>
    <row r="1062" ht="14.25" customHeight="1">
      <c r="A1062" s="1919" t="inlineStr">
        <is>
          <t>03/14/2022</t>
        </is>
      </c>
      <c r="B1062" s="1920" t="n">
        <v>6952.2</v>
      </c>
      <c r="C1062" s="1926" t="n">
        <v>1045</v>
      </c>
      <c r="D1062" s="1921">
        <f>B1062/B1063-1</f>
        <v/>
      </c>
      <c r="E1062" s="1921">
        <f>C1062/C1063-1</f>
        <v/>
      </c>
      <c r="F1062" s="1921">
        <f>$L$2/365</f>
        <v/>
      </c>
      <c r="G1062" s="1921">
        <f>D1062-F1062</f>
        <v/>
      </c>
      <c r="H1062" s="1921">
        <f>E1062-F1062</f>
        <v/>
      </c>
    </row>
    <row r="1063" ht="14.25" customHeight="1">
      <c r="A1063" s="1919" t="inlineStr">
        <is>
          <t>03/11/2022</t>
        </is>
      </c>
      <c r="B1063" s="1920" t="n">
        <v>6922.6</v>
      </c>
      <c r="C1063" s="1926" t="n">
        <v>1040</v>
      </c>
      <c r="D1063" s="1921">
        <f>B1063/B1064-1</f>
        <v/>
      </c>
      <c r="E1063" s="1921">
        <f>C1063/C1064-1</f>
        <v/>
      </c>
      <c r="F1063" s="1921">
        <f>$L$2/365</f>
        <v/>
      </c>
      <c r="G1063" s="1921">
        <f>D1063-F1063</f>
        <v/>
      </c>
      <c r="H1063" s="1921">
        <f>E1063-F1063</f>
        <v/>
      </c>
    </row>
    <row r="1064" ht="14.25" customHeight="1">
      <c r="A1064" s="1919" t="inlineStr">
        <is>
          <t>03/10/2022</t>
        </is>
      </c>
      <c r="B1064" s="1920" t="n">
        <v>6924.01</v>
      </c>
      <c r="C1064" s="1926" t="n">
        <v>1045</v>
      </c>
      <c r="D1064" s="1921">
        <f>B1064/B1065-1</f>
        <v/>
      </c>
      <c r="E1064" s="1921">
        <f>C1064/C1065-1</f>
        <v/>
      </c>
      <c r="F1064" s="1921">
        <f>$L$2/365</f>
        <v/>
      </c>
      <c r="G1064" s="1921">
        <f>D1064-F1064</f>
        <v/>
      </c>
      <c r="H1064" s="1921">
        <f>E1064-F1064</f>
        <v/>
      </c>
    </row>
    <row r="1065" ht="14.25" customHeight="1">
      <c r="A1065" s="1919" t="inlineStr">
        <is>
          <t>03/09/2022</t>
        </is>
      </c>
      <c r="B1065" s="1920" t="n">
        <v>6864.44</v>
      </c>
      <c r="C1065" s="1926" t="n">
        <v>1030</v>
      </c>
      <c r="D1065" s="1921">
        <f>B1065/B1066-1</f>
        <v/>
      </c>
      <c r="E1065" s="1921">
        <f>C1065/C1066-1</f>
        <v/>
      </c>
      <c r="F1065" s="1921">
        <f>$L$2/365</f>
        <v/>
      </c>
      <c r="G1065" s="1921">
        <f>D1065-F1065</f>
        <v/>
      </c>
      <c r="H1065" s="1921">
        <f>E1065-F1065</f>
        <v/>
      </c>
    </row>
    <row r="1066" ht="14.25" customHeight="1">
      <c r="A1066" s="1919" t="inlineStr">
        <is>
          <t>03/08/2022</t>
        </is>
      </c>
      <c r="B1066" s="1920" t="n">
        <v>6814.18</v>
      </c>
      <c r="C1066" s="1926" t="n">
        <v>1025</v>
      </c>
      <c r="D1066" s="1921">
        <f>B1066/B1067-1</f>
        <v/>
      </c>
      <c r="E1066" s="1921">
        <f>C1066/C1067-1</f>
        <v/>
      </c>
      <c r="F1066" s="1921">
        <f>$L$2/365</f>
        <v/>
      </c>
      <c r="G1066" s="1921">
        <f>D1066-F1066</f>
        <v/>
      </c>
      <c r="H1066" s="1921">
        <f>E1066-F1066</f>
        <v/>
      </c>
    </row>
    <row r="1067" ht="14.25" customHeight="1">
      <c r="A1067" s="1919" t="inlineStr">
        <is>
          <t>03/07/2022</t>
        </is>
      </c>
      <c r="B1067" s="1920" t="n">
        <v>6869.07</v>
      </c>
      <c r="C1067" s="1926" t="n">
        <v>1025</v>
      </c>
      <c r="D1067" s="1921">
        <f>B1067/B1068-1</f>
        <v/>
      </c>
      <c r="E1067" s="1921">
        <f>C1067/C1068-1</f>
        <v/>
      </c>
      <c r="F1067" s="1921">
        <f>$L$2/365</f>
        <v/>
      </c>
      <c r="G1067" s="1921">
        <f>D1067-F1067</f>
        <v/>
      </c>
      <c r="H1067" s="1921">
        <f>E1067-F1067</f>
        <v/>
      </c>
    </row>
    <row r="1068" ht="14.25" customHeight="1">
      <c r="A1068" s="1919" t="inlineStr">
        <is>
          <t>03/04/2022</t>
        </is>
      </c>
      <c r="B1068" s="1920" t="n">
        <v>6928.33</v>
      </c>
      <c r="C1068" s="1926" t="n">
        <v>1020</v>
      </c>
      <c r="D1068" s="1921">
        <f>B1068/B1069-1</f>
        <v/>
      </c>
      <c r="E1068" s="1921">
        <f>C1068/C1069-1</f>
        <v/>
      </c>
      <c r="F1068" s="1921">
        <f>$L$2/365</f>
        <v/>
      </c>
      <c r="G1068" s="1921">
        <f>D1068-F1068</f>
        <v/>
      </c>
      <c r="H1068" s="1921">
        <f>E1068-F1068</f>
        <v/>
      </c>
    </row>
    <row r="1069" ht="14.25" customHeight="1">
      <c r="A1069" s="1919" t="inlineStr">
        <is>
          <t>03/02/2022</t>
        </is>
      </c>
      <c r="B1069" s="1920" t="n">
        <v>6868.4</v>
      </c>
      <c r="C1069" s="1926" t="n">
        <v>1015</v>
      </c>
      <c r="D1069" s="1921">
        <f>B1069/B1070-1</f>
        <v/>
      </c>
      <c r="E1069" s="1921">
        <f>C1069/C1070-1</f>
        <v/>
      </c>
      <c r="F1069" s="1921">
        <f>$L$2/365</f>
        <v/>
      </c>
      <c r="G1069" s="1921">
        <f>D1069-F1069</f>
        <v/>
      </c>
      <c r="H1069" s="1921">
        <f>E1069-F1069</f>
        <v/>
      </c>
    </row>
    <row r="1070" ht="14.25" customHeight="1">
      <c r="A1070" s="1919" t="inlineStr">
        <is>
          <t>03/01/2022</t>
        </is>
      </c>
      <c r="B1070" s="1920" t="n">
        <v>6921.44</v>
      </c>
      <c r="C1070" s="1926" t="n">
        <v>1020</v>
      </c>
      <c r="D1070" s="1921">
        <f>B1070/B1071-1</f>
        <v/>
      </c>
      <c r="E1070" s="1921">
        <f>C1070/C1071-1</f>
        <v/>
      </c>
      <c r="F1070" s="1921">
        <f>$L$2/365</f>
        <v/>
      </c>
      <c r="G1070" s="1921">
        <f>D1070-F1070</f>
        <v/>
      </c>
      <c r="H1070" s="1921">
        <f>E1070-F1070</f>
        <v/>
      </c>
    </row>
    <row r="1071" ht="14.25" customHeight="1">
      <c r="A1071" s="1919" t="inlineStr">
        <is>
          <t>02/25/2022</t>
        </is>
      </c>
      <c r="B1071" s="1920" t="n">
        <v>6888.17</v>
      </c>
      <c r="C1071" s="1926" t="n">
        <v>1035</v>
      </c>
      <c r="D1071" s="1921">
        <f>B1071/B1072-1</f>
        <v/>
      </c>
      <c r="E1071" s="1921">
        <f>C1071/C1072-1</f>
        <v/>
      </c>
      <c r="F1071" s="1921">
        <f>$L$2/365</f>
        <v/>
      </c>
      <c r="G1071" s="1921">
        <f>D1071-F1071</f>
        <v/>
      </c>
      <c r="H1071" s="1921">
        <f>E1071-F1071</f>
        <v/>
      </c>
    </row>
    <row r="1072" ht="14.25" customHeight="1">
      <c r="A1072" s="1919" t="inlineStr">
        <is>
          <t>02/24/2022</t>
        </is>
      </c>
      <c r="B1072" s="1920" t="n">
        <v>6817.82</v>
      </c>
      <c r="C1072" s="1926" t="n">
        <v>1015</v>
      </c>
      <c r="D1072" s="1921">
        <f>B1072/B1073-1</f>
        <v/>
      </c>
      <c r="E1072" s="1921">
        <f>C1072/C1073-1</f>
        <v/>
      </c>
      <c r="F1072" s="1921">
        <f>$L$2/365</f>
        <v/>
      </c>
      <c r="G1072" s="1921">
        <f>D1072-F1072</f>
        <v/>
      </c>
      <c r="H1072" s="1921">
        <f>E1072-F1072</f>
        <v/>
      </c>
    </row>
    <row r="1073" ht="14.25" customHeight="1">
      <c r="A1073" s="1919" t="inlineStr">
        <is>
          <t>02/23/2022</t>
        </is>
      </c>
      <c r="B1073" s="1920" t="n">
        <v>6920.06</v>
      </c>
      <c r="C1073" s="1926" t="n">
        <v>1035</v>
      </c>
      <c r="D1073" s="1921">
        <f>B1073/B1074-1</f>
        <v/>
      </c>
      <c r="E1073" s="1921">
        <f>C1073/C1074-1</f>
        <v/>
      </c>
      <c r="F1073" s="1921">
        <f>$L$2/365</f>
        <v/>
      </c>
      <c r="G1073" s="1921">
        <f>D1073-F1073</f>
        <v/>
      </c>
      <c r="H1073" s="1921">
        <f>E1073-F1073</f>
        <v/>
      </c>
    </row>
    <row r="1074" ht="14.25" customHeight="1">
      <c r="A1074" s="1919" t="inlineStr">
        <is>
          <t>02/22/2022</t>
        </is>
      </c>
      <c r="B1074" s="1920" t="n">
        <v>6861.99</v>
      </c>
      <c r="C1074" s="1926" t="n">
        <v>1030</v>
      </c>
      <c r="D1074" s="1921">
        <f>B1074/B1075-1</f>
        <v/>
      </c>
      <c r="E1074" s="1921">
        <f>C1074/C1075-1</f>
        <v/>
      </c>
      <c r="F1074" s="1921">
        <f>$L$2/365</f>
        <v/>
      </c>
      <c r="G1074" s="1921">
        <f>D1074-F1074</f>
        <v/>
      </c>
      <c r="H1074" s="1921">
        <f>E1074-F1074</f>
        <v/>
      </c>
    </row>
    <row r="1075" ht="14.25" customHeight="1">
      <c r="A1075" s="1919" t="inlineStr">
        <is>
          <t>02/21/2022</t>
        </is>
      </c>
      <c r="B1075" s="1920" t="n">
        <v>6902.96</v>
      </c>
      <c r="C1075" s="1926" t="n">
        <v>1045</v>
      </c>
      <c r="D1075" s="1921">
        <f>B1075/B1076-1</f>
        <v/>
      </c>
      <c r="E1075" s="1921">
        <f>C1075/C1076-1</f>
        <v/>
      </c>
      <c r="F1075" s="1921">
        <f>$L$2/365</f>
        <v/>
      </c>
      <c r="G1075" s="1921">
        <f>D1075-F1075</f>
        <v/>
      </c>
      <c r="H1075" s="1921">
        <f>E1075-F1075</f>
        <v/>
      </c>
    </row>
    <row r="1076" ht="14.25" customHeight="1">
      <c r="A1076" s="1919" t="inlineStr">
        <is>
          <t>02/18/2022</t>
        </is>
      </c>
      <c r="B1076" s="1920" t="n">
        <v>6892.82</v>
      </c>
      <c r="C1076" s="1926" t="n">
        <v>1055</v>
      </c>
      <c r="D1076" s="1921">
        <f>B1076/B1077-1</f>
        <v/>
      </c>
      <c r="E1076" s="1921">
        <f>C1076/C1077-1</f>
        <v/>
      </c>
      <c r="F1076" s="1921">
        <f>$L$2/365</f>
        <v/>
      </c>
      <c r="G1076" s="1921">
        <f>D1076-F1076</f>
        <v/>
      </c>
      <c r="H1076" s="1921">
        <f>E1076-F1076</f>
        <v/>
      </c>
    </row>
    <row r="1077" ht="14.25" customHeight="1">
      <c r="A1077" s="1919" t="inlineStr">
        <is>
          <t>02/17/2022</t>
        </is>
      </c>
      <c r="B1077" s="1920" t="n">
        <v>6835.12</v>
      </c>
      <c r="C1077" s="1926" t="n">
        <v>1030</v>
      </c>
      <c r="D1077" s="1921">
        <f>B1077/B1078-1</f>
        <v/>
      </c>
      <c r="E1077" s="1921">
        <f>C1077/C1078-1</f>
        <v/>
      </c>
      <c r="F1077" s="1921">
        <f>$L$2/365</f>
        <v/>
      </c>
      <c r="G1077" s="1921">
        <f>D1077-F1077</f>
        <v/>
      </c>
      <c r="H1077" s="1921">
        <f>E1077-F1077</f>
        <v/>
      </c>
    </row>
    <row r="1078" ht="14.25" customHeight="1">
      <c r="A1078" s="1919" t="inlineStr">
        <is>
          <t>02/16/2022</t>
        </is>
      </c>
      <c r="B1078" s="1920" t="n">
        <v>6850.2</v>
      </c>
      <c r="C1078" s="1926" t="n">
        <v>1040</v>
      </c>
      <c r="D1078" s="1921">
        <f>B1078/B1079-1</f>
        <v/>
      </c>
      <c r="E1078" s="1921">
        <f>C1078/C1079-1</f>
        <v/>
      </c>
      <c r="F1078" s="1921">
        <f>$L$2/365</f>
        <v/>
      </c>
      <c r="G1078" s="1921">
        <f>D1078-F1078</f>
        <v/>
      </c>
      <c r="H1078" s="1921">
        <f>E1078-F1078</f>
        <v/>
      </c>
    </row>
    <row r="1079" ht="14.25" customHeight="1">
      <c r="A1079" s="1919" t="inlineStr">
        <is>
          <t>02/15/2022</t>
        </is>
      </c>
      <c r="B1079" s="1920" t="n">
        <v>6807.5</v>
      </c>
      <c r="C1079" s="1926" t="n">
        <v>1045</v>
      </c>
      <c r="D1079" s="1921">
        <f>B1079/B1080-1</f>
        <v/>
      </c>
      <c r="E1079" s="1921">
        <f>C1079/C1080-1</f>
        <v/>
      </c>
      <c r="F1079" s="1921">
        <f>$L$2/365</f>
        <v/>
      </c>
      <c r="G1079" s="1921">
        <f>D1079-F1079</f>
        <v/>
      </c>
      <c r="H1079" s="1921">
        <f>E1079-F1079</f>
        <v/>
      </c>
    </row>
    <row r="1080" ht="14.25" customHeight="1">
      <c r="A1080" s="1919" t="inlineStr">
        <is>
          <t>02/14/2022</t>
        </is>
      </c>
      <c r="B1080" s="1920" t="n">
        <v>6734.49</v>
      </c>
      <c r="C1080" s="1926" t="n">
        <v>1035</v>
      </c>
      <c r="D1080" s="1921">
        <f>B1080/B1081-1</f>
        <v/>
      </c>
      <c r="E1080" s="1921">
        <f>C1080/C1081-1</f>
        <v/>
      </c>
      <c r="F1080" s="1921">
        <f>$L$2/365</f>
        <v/>
      </c>
      <c r="G1080" s="1921">
        <f>D1080-F1080</f>
        <v/>
      </c>
      <c r="H1080" s="1921">
        <f>E1080-F1080</f>
        <v/>
      </c>
    </row>
    <row r="1081" ht="14.25" customHeight="1">
      <c r="A1081" s="1919" t="inlineStr">
        <is>
          <t>02/11/2022</t>
        </is>
      </c>
      <c r="B1081" s="1920" t="n">
        <v>6815.61</v>
      </c>
      <c r="C1081" s="1926" t="n">
        <v>1055</v>
      </c>
      <c r="D1081" s="1921">
        <f>B1081/B1082-1</f>
        <v/>
      </c>
      <c r="E1081" s="1921">
        <f>C1081/C1082-1</f>
        <v/>
      </c>
      <c r="F1081" s="1921">
        <f>$L$2/365</f>
        <v/>
      </c>
      <c r="G1081" s="1921">
        <f>D1081-F1081</f>
        <v/>
      </c>
      <c r="H1081" s="1921">
        <f>E1081-F1081</f>
        <v/>
      </c>
    </row>
    <row r="1082" ht="14.25" customHeight="1">
      <c r="A1082" s="1919" t="inlineStr">
        <is>
          <t>02/10/2022</t>
        </is>
      </c>
      <c r="B1082" s="1920" t="n">
        <v>6823.64</v>
      </c>
      <c r="C1082" s="1926" t="n">
        <v>1050</v>
      </c>
      <c r="D1082" s="1921">
        <f>B1082/B1083-1</f>
        <v/>
      </c>
      <c r="E1082" s="1921">
        <f>C1082/C1083-1</f>
        <v/>
      </c>
      <c r="F1082" s="1921">
        <f>$L$2/365</f>
        <v/>
      </c>
      <c r="G1082" s="1921">
        <f>D1082-F1082</f>
        <v/>
      </c>
      <c r="H1082" s="1921">
        <f>E1082-F1082</f>
        <v/>
      </c>
    </row>
    <row r="1083" ht="14.25" customHeight="1">
      <c r="A1083" s="1919" t="inlineStr">
        <is>
          <t>02/09/2022</t>
        </is>
      </c>
      <c r="B1083" s="1920" t="n">
        <v>6834.61</v>
      </c>
      <c r="C1083" s="1926" t="n">
        <v>1020</v>
      </c>
      <c r="D1083" s="1921">
        <f>B1083/B1084-1</f>
        <v/>
      </c>
      <c r="E1083" s="1921">
        <f>C1083/C1084-1</f>
        <v/>
      </c>
      <c r="F1083" s="1921">
        <f>$L$2/365</f>
        <v/>
      </c>
      <c r="G1083" s="1921">
        <f>D1083-F1083</f>
        <v/>
      </c>
      <c r="H1083" s="1921">
        <f>E1083-F1083</f>
        <v/>
      </c>
    </row>
    <row r="1084" ht="14.25" customHeight="1">
      <c r="A1084" s="1919" t="inlineStr">
        <is>
          <t>02/08/2022</t>
        </is>
      </c>
      <c r="B1084" s="1920" t="n">
        <v>6789.52</v>
      </c>
      <c r="C1084" s="1926" t="n">
        <v>1020</v>
      </c>
      <c r="D1084" s="1921">
        <f>B1084/B1085-1</f>
        <v/>
      </c>
      <c r="E1084" s="1921">
        <f>C1084/C1085-1</f>
        <v/>
      </c>
      <c r="F1084" s="1921">
        <f>$L$2/365</f>
        <v/>
      </c>
      <c r="G1084" s="1921">
        <f>D1084-F1084</f>
        <v/>
      </c>
      <c r="H1084" s="1921">
        <f>E1084-F1084</f>
        <v/>
      </c>
    </row>
    <row r="1085" ht="14.25" customHeight="1">
      <c r="A1085" s="1919" t="inlineStr">
        <is>
          <t>02/07/2022</t>
        </is>
      </c>
      <c r="B1085" s="1920" t="n">
        <v>6804.94</v>
      </c>
      <c r="C1085" s="1926" t="n">
        <v>1030</v>
      </c>
      <c r="D1085" s="1921">
        <f>B1085/B1086-1</f>
        <v/>
      </c>
      <c r="E1085" s="1921">
        <f>C1085/C1086-1</f>
        <v/>
      </c>
      <c r="F1085" s="1921">
        <f>$L$2/365</f>
        <v/>
      </c>
      <c r="G1085" s="1921">
        <f>D1085-F1085</f>
        <v/>
      </c>
      <c r="H1085" s="1921">
        <f>E1085-F1085</f>
        <v/>
      </c>
    </row>
    <row r="1086" ht="14.25" customHeight="1">
      <c r="A1086" s="1919" t="inlineStr">
        <is>
          <t>02/04/2022</t>
        </is>
      </c>
      <c r="B1086" s="1920" t="n">
        <v>6731.39</v>
      </c>
      <c r="C1086" s="1926" t="n">
        <v>1040</v>
      </c>
      <c r="D1086" s="1921">
        <f>B1086/B1087-1</f>
        <v/>
      </c>
      <c r="E1086" s="1921">
        <f>C1086/C1087-1</f>
        <v/>
      </c>
      <c r="F1086" s="1921">
        <f>$L$2/365</f>
        <v/>
      </c>
      <c r="G1086" s="1921">
        <f>D1086-F1086</f>
        <v/>
      </c>
      <c r="H1086" s="1921">
        <f>E1086-F1086</f>
        <v/>
      </c>
    </row>
    <row r="1087" ht="14.25" customHeight="1">
      <c r="A1087" s="1919" t="inlineStr">
        <is>
          <t>02/03/2022</t>
        </is>
      </c>
      <c r="B1087" s="1920" t="n">
        <v>6683.85</v>
      </c>
      <c r="C1087" s="1926" t="n">
        <v>1005</v>
      </c>
      <c r="D1087" s="1921">
        <f>B1087/B1088-1</f>
        <v/>
      </c>
      <c r="E1087" s="1921">
        <f>C1087/C1088-1</f>
        <v/>
      </c>
      <c r="F1087" s="1921">
        <f>$L$2/365</f>
        <v/>
      </c>
      <c r="G1087" s="1921">
        <f>D1087-F1087</f>
        <v/>
      </c>
      <c r="H1087" s="1921">
        <f>E1087-F1087</f>
        <v/>
      </c>
    </row>
    <row r="1088" ht="14.25" customHeight="1">
      <c r="A1088" s="1919" t="inlineStr">
        <is>
          <t>02/02/2022</t>
        </is>
      </c>
      <c r="B1088" s="1920" t="n">
        <v>6707.65</v>
      </c>
      <c r="C1088" s="1926" t="n">
        <v>1015</v>
      </c>
      <c r="D1088" s="1921">
        <f>B1088/B1089-1</f>
        <v/>
      </c>
      <c r="E1088" s="1921">
        <f>C1088/C1089-1</f>
        <v/>
      </c>
      <c r="F1088" s="1921">
        <f>$L$2/365</f>
        <v/>
      </c>
      <c r="G1088" s="1921">
        <f>D1088-F1088</f>
        <v/>
      </c>
      <c r="H1088" s="1921">
        <f>E1088-F1088</f>
        <v/>
      </c>
    </row>
    <row r="1089" ht="14.25" customHeight="1">
      <c r="A1089" s="1919" t="inlineStr">
        <is>
          <t>01/31/2022</t>
        </is>
      </c>
      <c r="B1089" s="1920" t="n">
        <v>6631.15</v>
      </c>
      <c r="C1089" s="1926" t="n">
        <v>1025</v>
      </c>
      <c r="D1089" s="1921">
        <f>B1089/B1090-1</f>
        <v/>
      </c>
      <c r="E1089" s="1921">
        <f>C1089/C1090-1</f>
        <v/>
      </c>
      <c r="F1089" s="1921">
        <f>$L$2/365</f>
        <v/>
      </c>
      <c r="G1089" s="1921">
        <f>D1089-F1089</f>
        <v/>
      </c>
      <c r="H1089" s="1921">
        <f>E1089-F1089</f>
        <v/>
      </c>
    </row>
    <row r="1090" ht="14.25" customHeight="1">
      <c r="A1090" s="1919" t="inlineStr">
        <is>
          <t>01/28/2022</t>
        </is>
      </c>
      <c r="B1090" s="1920" t="n">
        <v>6645.51</v>
      </c>
      <c r="C1090" s="1926" t="n">
        <v>1030</v>
      </c>
      <c r="D1090" s="1921">
        <f>B1090/B1091-1</f>
        <v/>
      </c>
      <c r="E1090" s="1921">
        <f>C1090/C1091-1</f>
        <v/>
      </c>
      <c r="F1090" s="1921">
        <f>$L$2/365</f>
        <v/>
      </c>
      <c r="G1090" s="1921">
        <f>D1090-F1090</f>
        <v/>
      </c>
      <c r="H1090" s="1921">
        <f>E1090-F1090</f>
        <v/>
      </c>
    </row>
    <row r="1091" ht="14.25" customHeight="1">
      <c r="A1091" s="1919" t="inlineStr">
        <is>
          <t>01/27/2022</t>
        </is>
      </c>
      <c r="B1091" s="1920" t="n">
        <v>6611.16</v>
      </c>
      <c r="C1091" s="1926" t="n">
        <v>1025</v>
      </c>
      <c r="D1091" s="1921">
        <f>B1091/B1092-1</f>
        <v/>
      </c>
      <c r="E1091" s="1921">
        <f>C1091/C1092-1</f>
        <v/>
      </c>
      <c r="F1091" s="1921">
        <f>$L$2/365</f>
        <v/>
      </c>
      <c r="G1091" s="1921">
        <f>D1091-F1091</f>
        <v/>
      </c>
      <c r="H1091" s="1921">
        <f>E1091-F1091</f>
        <v/>
      </c>
    </row>
    <row r="1092" ht="14.25" customHeight="1">
      <c r="A1092" s="1919" t="inlineStr">
        <is>
          <t>01/26/2022</t>
        </is>
      </c>
      <c r="B1092" s="1920" t="n">
        <v>6600.82</v>
      </c>
      <c r="C1092" s="1926" t="n">
        <v>1040</v>
      </c>
      <c r="D1092" s="1921">
        <f>B1092/B1093-1</f>
        <v/>
      </c>
      <c r="E1092" s="1921">
        <f>C1092/C1093-1</f>
        <v/>
      </c>
      <c r="F1092" s="1921">
        <f>$L$2/365</f>
        <v/>
      </c>
      <c r="G1092" s="1921">
        <f>D1092-F1092</f>
        <v/>
      </c>
      <c r="H1092" s="1921">
        <f>E1092-F1092</f>
        <v/>
      </c>
    </row>
    <row r="1093" ht="14.25" customHeight="1">
      <c r="A1093" s="1919" t="inlineStr">
        <is>
          <t>01/25/2022</t>
        </is>
      </c>
      <c r="B1093" s="1920" t="n">
        <v>6568.17</v>
      </c>
      <c r="C1093" s="1926" t="n">
        <v>1045</v>
      </c>
      <c r="D1093" s="1921">
        <f>B1093/B1094-1</f>
        <v/>
      </c>
      <c r="E1093" s="1921">
        <f>C1093/C1094-1</f>
        <v/>
      </c>
      <c r="F1093" s="1921">
        <f>$L$2/365</f>
        <v/>
      </c>
      <c r="G1093" s="1921">
        <f>D1093-F1093</f>
        <v/>
      </c>
      <c r="H1093" s="1921">
        <f>E1093-F1093</f>
        <v/>
      </c>
    </row>
    <row r="1094" ht="14.25" customHeight="1">
      <c r="A1094" s="1919" t="inlineStr">
        <is>
          <t>01/24/2022</t>
        </is>
      </c>
      <c r="B1094" s="1920" t="n">
        <v>6655.17</v>
      </c>
      <c r="C1094" s="1926" t="n">
        <v>1070</v>
      </c>
      <c r="D1094" s="1921">
        <f>B1094/B1095-1</f>
        <v/>
      </c>
      <c r="E1094" s="1921">
        <f>C1094/C1095-1</f>
        <v/>
      </c>
      <c r="F1094" s="1921">
        <f>$L$2/365</f>
        <v/>
      </c>
      <c r="G1094" s="1921">
        <f>D1094-F1094</f>
        <v/>
      </c>
      <c r="H1094" s="1921">
        <f>E1094-F1094</f>
        <v/>
      </c>
    </row>
    <row r="1095" ht="14.25" customHeight="1">
      <c r="A1095" s="1919" t="inlineStr">
        <is>
          <t>01/21/2022</t>
        </is>
      </c>
      <c r="B1095" s="1920" t="n">
        <v>6726.37</v>
      </c>
      <c r="C1095" s="1926" t="n">
        <v>1075</v>
      </c>
      <c r="D1095" s="1921">
        <f>B1095/B1096-1</f>
        <v/>
      </c>
      <c r="E1095" s="1921">
        <f>C1095/C1096-1</f>
        <v/>
      </c>
      <c r="F1095" s="1921">
        <f>$L$2/365</f>
        <v/>
      </c>
      <c r="G1095" s="1921">
        <f>D1095-F1095</f>
        <v/>
      </c>
      <c r="H1095" s="1921">
        <f>E1095-F1095</f>
        <v/>
      </c>
    </row>
    <row r="1096" ht="14.25" customHeight="1">
      <c r="A1096" s="1919" t="inlineStr">
        <is>
          <t>01/20/2022</t>
        </is>
      </c>
      <c r="B1096" s="1920" t="n">
        <v>6626.87</v>
      </c>
      <c r="C1096" s="1926" t="n">
        <v>1035</v>
      </c>
      <c r="D1096" s="1921">
        <f>B1096/B1097-1</f>
        <v/>
      </c>
      <c r="E1096" s="1921">
        <f>C1096/C1097-1</f>
        <v/>
      </c>
      <c r="F1096" s="1921">
        <f>$L$2/365</f>
        <v/>
      </c>
      <c r="G1096" s="1921">
        <f>D1096-F1096</f>
        <v/>
      </c>
      <c r="H1096" s="1921">
        <f>E1096-F1096</f>
        <v/>
      </c>
    </row>
    <row r="1097" ht="14.25" customHeight="1">
      <c r="A1097" s="1919" t="inlineStr">
        <is>
          <t>01/19/2022</t>
        </is>
      </c>
      <c r="B1097" s="1920" t="n">
        <v>6591.98</v>
      </c>
      <c r="C1097" s="1926" t="n">
        <v>1030</v>
      </c>
      <c r="D1097" s="1921">
        <f>B1097/B1098-1</f>
        <v/>
      </c>
      <c r="E1097" s="1921">
        <f>C1097/C1098-1</f>
        <v/>
      </c>
      <c r="F1097" s="1921">
        <f>$L$2/365</f>
        <v/>
      </c>
      <c r="G1097" s="1921">
        <f>D1097-F1097</f>
        <v/>
      </c>
      <c r="H1097" s="1921">
        <f>E1097-F1097</f>
        <v/>
      </c>
    </row>
    <row r="1098" ht="14.25" customHeight="1">
      <c r="A1098" s="1919" t="inlineStr">
        <is>
          <t>01/18/2022</t>
        </is>
      </c>
      <c r="B1098" s="1920" t="n">
        <v>6614.06</v>
      </c>
      <c r="C1098" s="1926" t="n">
        <v>1045</v>
      </c>
      <c r="D1098" s="1921">
        <f>B1098/B1099-1</f>
        <v/>
      </c>
      <c r="E1098" s="1921">
        <f>C1098/C1099-1</f>
        <v/>
      </c>
      <c r="F1098" s="1921">
        <f>$L$2/365</f>
        <v/>
      </c>
      <c r="G1098" s="1921">
        <f>D1098-F1098</f>
        <v/>
      </c>
      <c r="H1098" s="1921">
        <f>E1098-F1098</f>
        <v/>
      </c>
    </row>
    <row r="1099" ht="14.25" customHeight="1">
      <c r="A1099" s="1919" t="inlineStr">
        <is>
          <t>01/17/2022</t>
        </is>
      </c>
      <c r="B1099" s="1920" t="n">
        <v>6645.05</v>
      </c>
      <c r="C1099" s="1926" t="n">
        <v>1050</v>
      </c>
      <c r="D1099" s="1921">
        <f>B1099/B1100-1</f>
        <v/>
      </c>
      <c r="E1099" s="1921">
        <f>C1099/C1100-1</f>
        <v/>
      </c>
      <c r="F1099" s="1921">
        <f>$L$2/365</f>
        <v/>
      </c>
      <c r="G1099" s="1921">
        <f>D1099-F1099</f>
        <v/>
      </c>
      <c r="H1099" s="1921">
        <f>E1099-F1099</f>
        <v/>
      </c>
    </row>
    <row r="1100" ht="14.25" customHeight="1">
      <c r="A1100" s="1919" t="inlineStr">
        <is>
          <t>01/14/2022</t>
        </is>
      </c>
      <c r="B1100" s="1920" t="n">
        <v>6693.4</v>
      </c>
      <c r="C1100" s="1926" t="n">
        <v>1045</v>
      </c>
      <c r="D1100" s="1921">
        <f>B1100/B1101-1</f>
        <v/>
      </c>
      <c r="E1100" s="1921">
        <f>C1100/C1101-1</f>
        <v/>
      </c>
      <c r="F1100" s="1921">
        <f>$L$2/365</f>
        <v/>
      </c>
      <c r="G1100" s="1921">
        <f>D1100-F1100</f>
        <v/>
      </c>
      <c r="H1100" s="1921">
        <f>E1100-F1100</f>
        <v/>
      </c>
    </row>
    <row r="1101" ht="14.25" customHeight="1">
      <c r="A1101" s="1919" t="inlineStr">
        <is>
          <t>01/13/2022</t>
        </is>
      </c>
      <c r="B1101" s="1920" t="n">
        <v>6658.36</v>
      </c>
      <c r="C1101" s="1926" t="n">
        <v>1060</v>
      </c>
      <c r="D1101" s="1921">
        <f>B1101/B1102-1</f>
        <v/>
      </c>
      <c r="E1101" s="1921">
        <f>C1101/C1102-1</f>
        <v/>
      </c>
      <c r="F1101" s="1921">
        <f>$L$2/365</f>
        <v/>
      </c>
      <c r="G1101" s="1921">
        <f>D1101-F1101</f>
        <v/>
      </c>
      <c r="H1101" s="1921">
        <f>E1101-F1101</f>
        <v/>
      </c>
    </row>
    <row r="1102" ht="14.25" customHeight="1">
      <c r="A1102" s="1919" t="inlineStr">
        <is>
          <t>01/12/2022</t>
        </is>
      </c>
      <c r="B1102" s="1920" t="n">
        <v>6647.06</v>
      </c>
      <c r="C1102" s="1926" t="n">
        <v>1050</v>
      </c>
      <c r="D1102" s="1921">
        <f>B1102/B1103-1</f>
        <v/>
      </c>
      <c r="E1102" s="1921">
        <f>C1102/C1103-1</f>
        <v/>
      </c>
      <c r="F1102" s="1921">
        <f>$L$2/365</f>
        <v/>
      </c>
      <c r="G1102" s="1921">
        <f>D1102-F1102</f>
        <v/>
      </c>
      <c r="H1102" s="1921">
        <f>E1102-F1102</f>
        <v/>
      </c>
    </row>
    <row r="1103" ht="14.25" customHeight="1">
      <c r="A1103" s="1919" t="inlineStr">
        <is>
          <t>01/11/2022</t>
        </is>
      </c>
      <c r="B1103" s="1920" t="n">
        <v>6647.97</v>
      </c>
      <c r="C1103" s="1926" t="n">
        <v>1050</v>
      </c>
      <c r="D1103" s="1921">
        <f>B1103/B1104-1</f>
        <v/>
      </c>
      <c r="E1103" s="1921">
        <f>C1103/C1104-1</f>
        <v/>
      </c>
      <c r="F1103" s="1921">
        <f>$L$2/365</f>
        <v/>
      </c>
      <c r="G1103" s="1921">
        <f>D1103-F1103</f>
        <v/>
      </c>
      <c r="H1103" s="1921">
        <f>E1103-F1103</f>
        <v/>
      </c>
    </row>
    <row r="1104" ht="14.25" customHeight="1">
      <c r="A1104" s="1919" t="inlineStr">
        <is>
          <t>01/10/2022</t>
        </is>
      </c>
      <c r="B1104" s="1920" t="n">
        <v>6691.12</v>
      </c>
      <c r="C1104" s="1926" t="n">
        <v>1060</v>
      </c>
      <c r="D1104" s="1921">
        <f>B1104/B1105-1</f>
        <v/>
      </c>
      <c r="E1104" s="1921">
        <f>C1104/C1105-1</f>
        <v/>
      </c>
      <c r="F1104" s="1921">
        <f>$L$2/365</f>
        <v/>
      </c>
      <c r="G1104" s="1921">
        <f>D1104-F1104</f>
        <v/>
      </c>
      <c r="H1104" s="1921">
        <f>E1104-F1104</f>
        <v/>
      </c>
    </row>
    <row r="1105" ht="14.25" customHeight="1">
      <c r="A1105" s="1919" t="inlineStr">
        <is>
          <t>01/07/2022</t>
        </is>
      </c>
      <c r="B1105" s="1920" t="n">
        <v>6701.32</v>
      </c>
      <c r="C1105" s="1926" t="n">
        <v>1070</v>
      </c>
      <c r="D1105" s="1921">
        <f>B1105/B1106-1</f>
        <v/>
      </c>
      <c r="E1105" s="1921">
        <f>C1105/C1106-1</f>
        <v/>
      </c>
      <c r="F1105" s="1921">
        <f>$L$2/365</f>
        <v/>
      </c>
      <c r="G1105" s="1921">
        <f>D1105-F1105</f>
        <v/>
      </c>
      <c r="H1105" s="1921">
        <f>E1105-F1105</f>
        <v/>
      </c>
    </row>
    <row r="1106" ht="14.25" customHeight="1">
      <c r="A1106" s="1919" t="inlineStr">
        <is>
          <t>01/06/2022</t>
        </is>
      </c>
      <c r="B1106" s="1920" t="n">
        <v>6653.35</v>
      </c>
      <c r="C1106" s="1926" t="n">
        <v>1120</v>
      </c>
      <c r="D1106" s="1921">
        <f>B1106/B1107-1</f>
        <v/>
      </c>
      <c r="E1106" s="1921">
        <f>C1106/C1107-1</f>
        <v/>
      </c>
      <c r="F1106" s="1921">
        <f>$L$2/365</f>
        <v/>
      </c>
      <c r="G1106" s="1921">
        <f>D1106-F1106</f>
        <v/>
      </c>
      <c r="H1106" s="1921">
        <f>E1106-F1106</f>
        <v/>
      </c>
    </row>
    <row r="1107" ht="14.25" customHeight="1">
      <c r="A1107" s="1919" t="inlineStr">
        <is>
          <t>01/05/2022</t>
        </is>
      </c>
      <c r="B1107" s="1920" t="n">
        <v>6662.3</v>
      </c>
      <c r="C1107" s="1926" t="n">
        <v>1125</v>
      </c>
      <c r="D1107" s="1921">
        <f>B1107/B1108-1</f>
        <v/>
      </c>
      <c r="E1107" s="1921">
        <f>C1107/C1108-1</f>
        <v/>
      </c>
      <c r="F1107" s="1921">
        <f>$L$2/365</f>
        <v/>
      </c>
      <c r="G1107" s="1921">
        <f>D1107-F1107</f>
        <v/>
      </c>
      <c r="H1107" s="1921">
        <f>E1107-F1107</f>
        <v/>
      </c>
    </row>
    <row r="1108" ht="14.25" customHeight="1">
      <c r="A1108" s="1919" t="inlineStr">
        <is>
          <t>01/04/2022</t>
        </is>
      </c>
      <c r="B1108" s="1920" t="n">
        <v>6695.37</v>
      </c>
      <c r="C1108" s="1926" t="n">
        <v>1130</v>
      </c>
      <c r="D1108" s="1921">
        <f>B1108/B1109-1</f>
        <v/>
      </c>
      <c r="E1108" s="1921">
        <f>C1108/C1109-1</f>
        <v/>
      </c>
      <c r="F1108" s="1921">
        <f>$L$2/365</f>
        <v/>
      </c>
      <c r="G1108" s="1921">
        <f>D1108-F1108</f>
        <v/>
      </c>
      <c r="H1108" s="1921">
        <f>E1108-F1108</f>
        <v/>
      </c>
    </row>
    <row r="1109" ht="14.25" customHeight="1">
      <c r="A1109" s="1919" t="inlineStr">
        <is>
          <t>01/03/2022</t>
        </is>
      </c>
      <c r="B1109" s="1920" t="n">
        <v>6665.31</v>
      </c>
      <c r="C1109" s="1926" t="n">
        <v>1135</v>
      </c>
      <c r="D1109" s="1921">
        <f>B1109/B1110-1</f>
        <v/>
      </c>
      <c r="E1109" s="1921">
        <f>C1109/C1110-1</f>
        <v/>
      </c>
      <c r="F1109" s="1921">
        <f>$L$2/365</f>
        <v/>
      </c>
      <c r="G1109" s="1921">
        <f>D1109-F1109</f>
        <v/>
      </c>
      <c r="H1109" s="1921">
        <f>E1109-F1109</f>
        <v/>
      </c>
    </row>
    <row r="1110" ht="14.25" customHeight="1">
      <c r="A1110" s="1919" t="inlineStr">
        <is>
          <t>12/30/2021</t>
        </is>
      </c>
      <c r="B1110" s="1920" t="n">
        <v>6581.48</v>
      </c>
      <c r="C1110" s="1926" t="n">
        <v>1125</v>
      </c>
      <c r="D1110" s="1921">
        <f>B1110/B1111-1</f>
        <v/>
      </c>
      <c r="E1110" s="1921">
        <f>C1110/C1111-1</f>
        <v/>
      </c>
      <c r="F1110" s="1921">
        <f>$L$2/365</f>
        <v/>
      </c>
      <c r="G1110" s="1921">
        <f>D1110-F1110</f>
        <v/>
      </c>
      <c r="H1110" s="1921">
        <f>E1110-F1110</f>
        <v/>
      </c>
    </row>
    <row r="1111" ht="14.25" customHeight="1">
      <c r="A1111" s="1919" t="inlineStr">
        <is>
          <t>12/29/2021</t>
        </is>
      </c>
      <c r="B1111" s="1920" t="n">
        <v>6600.68</v>
      </c>
      <c r="C1111" s="1926" t="n">
        <v>1145</v>
      </c>
      <c r="D1111" s="1921">
        <f>B1111/B1112-1</f>
        <v/>
      </c>
      <c r="E1111" s="1921">
        <f>C1111/C1112-1</f>
        <v/>
      </c>
      <c r="F1111" s="1921">
        <f>$L$2/365</f>
        <v/>
      </c>
      <c r="G1111" s="1921">
        <f>D1111-F1111</f>
        <v/>
      </c>
      <c r="H1111" s="1921">
        <f>E1111-F1111</f>
        <v/>
      </c>
    </row>
    <row r="1112" ht="14.25" customHeight="1">
      <c r="A1112" s="1919" t="inlineStr">
        <is>
          <t>12/28/2021</t>
        </is>
      </c>
      <c r="B1112" s="1920" t="n">
        <v>6598.34</v>
      </c>
      <c r="C1112" s="1926" t="n">
        <v>1140</v>
      </c>
      <c r="D1112" s="1921">
        <f>B1112/B1113-1</f>
        <v/>
      </c>
      <c r="E1112" s="1921">
        <f>C1112/C1113-1</f>
        <v/>
      </c>
      <c r="F1112" s="1921">
        <f>$L$2/365</f>
        <v/>
      </c>
      <c r="G1112" s="1921">
        <f>D1112-F1112</f>
        <v/>
      </c>
      <c r="H1112" s="1921">
        <f>E1112-F1112</f>
        <v/>
      </c>
    </row>
    <row r="1113" ht="14.25" customHeight="1">
      <c r="A1113" s="1919" t="inlineStr">
        <is>
          <t>12/27/2021</t>
        </is>
      </c>
      <c r="B1113" s="1920" t="n">
        <v>6575.44</v>
      </c>
      <c r="C1113" s="1926" t="n">
        <v>1160</v>
      </c>
      <c r="D1113" s="1921">
        <f>B1113/B1114-1</f>
        <v/>
      </c>
      <c r="E1113" s="1921">
        <f>C1113/C1114-1</f>
        <v/>
      </c>
      <c r="F1113" s="1921">
        <f>$L$2/365</f>
        <v/>
      </c>
      <c r="G1113" s="1921">
        <f>D1113-F1113</f>
        <v/>
      </c>
      <c r="H1113" s="1921">
        <f>E1113-F1113</f>
        <v/>
      </c>
    </row>
    <row r="1114" ht="14.25" customHeight="1">
      <c r="A1114" s="1919" t="inlineStr">
        <is>
          <t>12/24/2021</t>
        </is>
      </c>
      <c r="B1114" s="1920" t="n">
        <v>6562.9</v>
      </c>
      <c r="C1114" s="1926" t="n">
        <v>1150</v>
      </c>
      <c r="D1114" s="1921">
        <f>B1114/B1115-1</f>
        <v/>
      </c>
      <c r="E1114" s="1921">
        <f>C1114/C1115-1</f>
        <v/>
      </c>
      <c r="F1114" s="1921">
        <f>$L$2/365</f>
        <v/>
      </c>
      <c r="G1114" s="1921">
        <f>D1114-F1114</f>
        <v/>
      </c>
      <c r="H1114" s="1921">
        <f>E1114-F1114</f>
        <v/>
      </c>
    </row>
    <row r="1115" ht="14.25" customHeight="1">
      <c r="A1115" s="1919" t="inlineStr">
        <is>
          <t>12/23/2021</t>
        </is>
      </c>
      <c r="B1115" s="1920" t="n">
        <v>6555.55</v>
      </c>
      <c r="C1115" s="1926" t="n">
        <v>1125</v>
      </c>
      <c r="D1115" s="1921">
        <f>B1115/B1116-1</f>
        <v/>
      </c>
      <c r="E1115" s="1921">
        <f>C1115/C1116-1</f>
        <v/>
      </c>
      <c r="F1115" s="1921">
        <f>$L$2/365</f>
        <v/>
      </c>
      <c r="G1115" s="1921">
        <f>D1115-F1115</f>
        <v/>
      </c>
      <c r="H1115" s="1921">
        <f>E1115-F1115</f>
        <v/>
      </c>
    </row>
    <row r="1116" ht="14.25" customHeight="1">
      <c r="A1116" s="1919" t="inlineStr">
        <is>
          <t>12/22/2021</t>
        </is>
      </c>
      <c r="B1116" s="1920" t="n">
        <v>6529.59</v>
      </c>
      <c r="C1116" s="1926" t="n">
        <v>1115</v>
      </c>
      <c r="D1116" s="1921">
        <f>B1116/B1117-1</f>
        <v/>
      </c>
      <c r="E1116" s="1921">
        <f>C1116/C1117-1</f>
        <v/>
      </c>
      <c r="F1116" s="1921">
        <f>$L$2/365</f>
        <v/>
      </c>
      <c r="G1116" s="1921">
        <f>D1116-F1116</f>
        <v/>
      </c>
      <c r="H1116" s="1921">
        <f>E1116-F1116</f>
        <v/>
      </c>
    </row>
    <row r="1117" ht="14.25" customHeight="1">
      <c r="A1117" s="1919" t="inlineStr">
        <is>
          <t>12/21/2021</t>
        </is>
      </c>
      <c r="B1117" s="1920" t="n">
        <v>6554.31</v>
      </c>
      <c r="C1117" s="1926" t="n">
        <v>1140</v>
      </c>
      <c r="D1117" s="1921">
        <f>B1117/B1118-1</f>
        <v/>
      </c>
      <c r="E1117" s="1921">
        <f>C1117/C1118-1</f>
        <v/>
      </c>
      <c r="F1117" s="1921">
        <f>$L$2/365</f>
        <v/>
      </c>
      <c r="G1117" s="1921">
        <f>D1117-F1117</f>
        <v/>
      </c>
      <c r="H1117" s="1921">
        <f>E1117-F1117</f>
        <v/>
      </c>
    </row>
    <row r="1118" ht="14.25" customHeight="1">
      <c r="A1118" s="1919" t="inlineStr">
        <is>
          <t>12/20/2021</t>
        </is>
      </c>
      <c r="B1118" s="1920" t="n">
        <v>6547.11</v>
      </c>
      <c r="C1118" s="1926" t="n">
        <v>1140</v>
      </c>
      <c r="D1118" s="1921">
        <f>B1118/B1119-1</f>
        <v/>
      </c>
      <c r="E1118" s="1921">
        <f>C1118/C1119-1</f>
        <v/>
      </c>
      <c r="F1118" s="1921">
        <f>$L$2/365</f>
        <v/>
      </c>
      <c r="G1118" s="1921">
        <f>D1118-F1118</f>
        <v/>
      </c>
      <c r="H1118" s="1921">
        <f>E1118-F1118</f>
        <v/>
      </c>
    </row>
    <row r="1119" ht="14.25" customHeight="1">
      <c r="A1119" s="1919" t="inlineStr">
        <is>
          <t>12/17/2021</t>
        </is>
      </c>
      <c r="B1119" s="1920" t="n">
        <v>6601.93</v>
      </c>
      <c r="C1119" s="1926" t="n">
        <v>1115</v>
      </c>
      <c r="D1119" s="1921">
        <f>B1119/B1120-1</f>
        <v/>
      </c>
      <c r="E1119" s="1921">
        <f>C1119/C1120-1</f>
        <v/>
      </c>
      <c r="F1119" s="1921">
        <f>$L$2/365</f>
        <v/>
      </c>
      <c r="G1119" s="1921">
        <f>D1119-F1119</f>
        <v/>
      </c>
      <c r="H1119" s="1921">
        <f>E1119-F1119</f>
        <v/>
      </c>
    </row>
    <row r="1120" ht="14.25" customHeight="1">
      <c r="A1120" s="1919" t="inlineStr">
        <is>
          <t>12/16/2021</t>
        </is>
      </c>
      <c r="B1120" s="1920" t="n">
        <v>6594.8</v>
      </c>
      <c r="C1120" s="1926" t="n">
        <v>1120</v>
      </c>
      <c r="D1120" s="1921">
        <f>B1120/B1121-1</f>
        <v/>
      </c>
      <c r="E1120" s="1921">
        <f>C1120/C1121-1</f>
        <v/>
      </c>
      <c r="F1120" s="1921">
        <f>$L$2/365</f>
        <v/>
      </c>
      <c r="G1120" s="1921">
        <f>D1120-F1120</f>
        <v/>
      </c>
      <c r="H1120" s="1921">
        <f>E1120-F1120</f>
        <v/>
      </c>
    </row>
    <row r="1121" ht="14.25" customHeight="1">
      <c r="A1121" s="1919" t="inlineStr">
        <is>
          <t>12/15/2021</t>
        </is>
      </c>
      <c r="B1121" s="1920" t="n">
        <v>6626.26</v>
      </c>
      <c r="C1121" s="1926" t="n">
        <v>1130</v>
      </c>
      <c r="D1121" s="1921">
        <f>B1121/B1122-1</f>
        <v/>
      </c>
      <c r="E1121" s="1921">
        <f>C1121/C1122-1</f>
        <v/>
      </c>
      <c r="F1121" s="1921">
        <f>$L$2/365</f>
        <v/>
      </c>
      <c r="G1121" s="1921">
        <f>D1121-F1121</f>
        <v/>
      </c>
      <c r="H1121" s="1921">
        <f>E1121-F1121</f>
        <v/>
      </c>
    </row>
    <row r="1122" ht="14.25" customHeight="1">
      <c r="A1122" s="1919" t="inlineStr">
        <is>
          <t>12/14/2021</t>
        </is>
      </c>
      <c r="B1122" s="1920" t="n">
        <v>6615.64</v>
      </c>
      <c r="C1122" s="1926" t="n">
        <v>1125</v>
      </c>
      <c r="D1122" s="1921">
        <f>B1122/B1123-1</f>
        <v/>
      </c>
      <c r="E1122" s="1921">
        <f>C1122/C1123-1</f>
        <v/>
      </c>
      <c r="F1122" s="1921">
        <f>$L$2/365</f>
        <v/>
      </c>
      <c r="G1122" s="1921">
        <f>D1122-F1122</f>
        <v/>
      </c>
      <c r="H1122" s="1921">
        <f>E1122-F1122</f>
        <v/>
      </c>
    </row>
    <row r="1123" ht="14.25" customHeight="1">
      <c r="A1123" s="1919" t="inlineStr">
        <is>
          <t>12/13/2021</t>
        </is>
      </c>
      <c r="B1123" s="1920" t="n">
        <v>6662.87</v>
      </c>
      <c r="C1123" s="1926" t="n">
        <v>1145</v>
      </c>
      <c r="D1123" s="1921">
        <f>B1123/B1124-1</f>
        <v/>
      </c>
      <c r="E1123" s="1921">
        <f>C1123/C1124-1</f>
        <v/>
      </c>
      <c r="F1123" s="1921">
        <f>$L$2/365</f>
        <v/>
      </c>
      <c r="G1123" s="1921">
        <f>D1123-F1123</f>
        <v/>
      </c>
      <c r="H1123" s="1921">
        <f>E1123-F1123</f>
        <v/>
      </c>
    </row>
    <row r="1124" ht="14.25" customHeight="1">
      <c r="A1124" s="1919" t="inlineStr">
        <is>
          <t>12/10/2021</t>
        </is>
      </c>
      <c r="B1124" s="1920" t="n">
        <v>6652.92</v>
      </c>
      <c r="C1124" s="1926" t="n">
        <v>1145</v>
      </c>
      <c r="D1124" s="1921">
        <f>B1124/B1125-1</f>
        <v/>
      </c>
      <c r="E1124" s="1921">
        <f>C1124/C1125-1</f>
        <v/>
      </c>
      <c r="F1124" s="1921">
        <f>$L$2/365</f>
        <v/>
      </c>
      <c r="G1124" s="1921">
        <f>D1124-F1124</f>
        <v/>
      </c>
      <c r="H1124" s="1921">
        <f>E1124-F1124</f>
        <v/>
      </c>
    </row>
    <row r="1125" ht="14.25" customHeight="1">
      <c r="A1125" s="1919" t="inlineStr">
        <is>
          <t>12/09/2021</t>
        </is>
      </c>
      <c r="B1125" s="1920" t="n">
        <v>6643.93</v>
      </c>
      <c r="C1125" s="1926" t="n">
        <v>1135</v>
      </c>
      <c r="D1125" s="1921">
        <f>B1125/B1126-1</f>
        <v/>
      </c>
      <c r="E1125" s="1921">
        <f>C1125/C1126-1</f>
        <v/>
      </c>
      <c r="F1125" s="1921">
        <f>$L$2/365</f>
        <v/>
      </c>
      <c r="G1125" s="1921">
        <f>D1125-F1125</f>
        <v/>
      </c>
      <c r="H1125" s="1921">
        <f>E1125-F1125</f>
        <v/>
      </c>
    </row>
    <row r="1126" ht="14.25" customHeight="1">
      <c r="A1126" s="1919" t="inlineStr">
        <is>
          <t>12/08/2021</t>
        </is>
      </c>
      <c r="B1126" s="1920" t="n">
        <v>6603.8</v>
      </c>
      <c r="C1126" s="1926" t="n">
        <v>1130</v>
      </c>
      <c r="D1126" s="1921">
        <f>B1126/B1127-1</f>
        <v/>
      </c>
      <c r="E1126" s="1921">
        <f>C1126/C1127-1</f>
        <v/>
      </c>
      <c r="F1126" s="1921">
        <f>$L$2/365</f>
        <v/>
      </c>
      <c r="G1126" s="1921">
        <f>D1126-F1126</f>
        <v/>
      </c>
      <c r="H1126" s="1921">
        <f>E1126-F1126</f>
        <v/>
      </c>
    </row>
    <row r="1127" ht="14.25" customHeight="1">
      <c r="A1127" s="1919" t="inlineStr">
        <is>
          <t>12/07/2021</t>
        </is>
      </c>
      <c r="B1127" s="1920" t="n">
        <v>6602.57</v>
      </c>
      <c r="C1127" s="1926" t="n">
        <v>1135</v>
      </c>
      <c r="D1127" s="1921">
        <f>B1127/B1128-1</f>
        <v/>
      </c>
      <c r="E1127" s="1921">
        <f>C1127/C1128-1</f>
        <v/>
      </c>
      <c r="F1127" s="1921">
        <f>$L$2/365</f>
        <v/>
      </c>
      <c r="G1127" s="1921">
        <f>D1127-F1127</f>
        <v/>
      </c>
      <c r="H1127" s="1921">
        <f>E1127-F1127</f>
        <v/>
      </c>
    </row>
    <row r="1128" ht="14.25" customHeight="1">
      <c r="A1128" s="1919" t="inlineStr">
        <is>
          <t>12/06/2021</t>
        </is>
      </c>
      <c r="B1128" s="1920" t="n">
        <v>6547.12</v>
      </c>
      <c r="C1128" s="1926" t="n">
        <v>1160</v>
      </c>
      <c r="D1128" s="1921">
        <f>B1128/B1129-1</f>
        <v/>
      </c>
      <c r="E1128" s="1921">
        <f>C1128/C1129-1</f>
        <v/>
      </c>
      <c r="F1128" s="1921">
        <f>$L$2/365</f>
        <v/>
      </c>
      <c r="G1128" s="1921">
        <f>D1128-F1128</f>
        <v/>
      </c>
      <c r="H1128" s="1921">
        <f>E1128-F1128</f>
        <v/>
      </c>
    </row>
    <row r="1129" ht="14.25" customHeight="1">
      <c r="A1129" s="1919" t="inlineStr">
        <is>
          <t>12/03/2021</t>
        </is>
      </c>
      <c r="B1129" s="1920" t="n">
        <v>6538.51</v>
      </c>
      <c r="C1129" s="1926" t="n">
        <v>1160</v>
      </c>
      <c r="D1129" s="1921">
        <f>B1129/B1130-1</f>
        <v/>
      </c>
      <c r="E1129" s="1921">
        <f>C1129/C1130-1</f>
        <v/>
      </c>
      <c r="F1129" s="1921">
        <f>$L$2/365</f>
        <v/>
      </c>
      <c r="G1129" s="1921">
        <f>D1129-F1129</f>
        <v/>
      </c>
      <c r="H1129" s="1921">
        <f>E1129-F1129</f>
        <v/>
      </c>
    </row>
    <row r="1130" ht="14.25" customHeight="1">
      <c r="A1130" s="1919" t="inlineStr">
        <is>
          <t>12/02/2021</t>
        </is>
      </c>
      <c r="B1130" s="1920" t="n">
        <v>6583.82</v>
      </c>
      <c r="C1130" s="1926" t="n">
        <v>1175</v>
      </c>
      <c r="D1130" s="1921">
        <f>B1130/B1131-1</f>
        <v/>
      </c>
      <c r="E1130" s="1921">
        <f>C1130/C1131-1</f>
        <v/>
      </c>
      <c r="F1130" s="1921">
        <f>$L$2/365</f>
        <v/>
      </c>
      <c r="G1130" s="1921">
        <f>D1130-F1130</f>
        <v/>
      </c>
      <c r="H1130" s="1921">
        <f>E1130-F1130</f>
        <v/>
      </c>
    </row>
    <row r="1131" ht="14.25" customHeight="1">
      <c r="A1131" s="1919" t="inlineStr">
        <is>
          <t>12/01/2021</t>
        </is>
      </c>
      <c r="B1131" s="1920" t="n">
        <v>6507.68</v>
      </c>
      <c r="C1131" s="1926" t="n">
        <v>1180</v>
      </c>
      <c r="D1131" s="1921">
        <f>B1131/B1132-1</f>
        <v/>
      </c>
      <c r="E1131" s="1921">
        <f>C1131/C1132-1</f>
        <v/>
      </c>
      <c r="F1131" s="1921">
        <f>$L$2/365</f>
        <v/>
      </c>
      <c r="G1131" s="1921">
        <f>D1131-F1131</f>
        <v/>
      </c>
      <c r="H1131" s="1921">
        <f>E1131-F1131</f>
        <v/>
      </c>
    </row>
    <row r="1132" ht="14.25" customHeight="1">
      <c r="A1132" s="1919" t="inlineStr">
        <is>
          <t>11/30/2021</t>
        </is>
      </c>
      <c r="B1132" s="1920" t="n">
        <v>6533.93</v>
      </c>
      <c r="C1132" s="1926" t="n">
        <v>1160</v>
      </c>
      <c r="D1132" s="1921">
        <f>B1132/B1133-1</f>
        <v/>
      </c>
      <c r="E1132" s="1921">
        <f>C1132/C1133-1</f>
        <v/>
      </c>
      <c r="F1132" s="1921">
        <f>$L$2/365</f>
        <v/>
      </c>
      <c r="G1132" s="1921">
        <f>D1132-F1132</f>
        <v/>
      </c>
      <c r="H1132" s="1921">
        <f>E1132-F1132</f>
        <v/>
      </c>
    </row>
    <row r="1133" ht="14.25" customHeight="1">
      <c r="A1133" s="1919" t="inlineStr">
        <is>
          <t>11/29/2021</t>
        </is>
      </c>
      <c r="B1133" s="1920" t="n">
        <v>6608.29</v>
      </c>
      <c r="C1133" s="1926" t="n">
        <v>1190</v>
      </c>
      <c r="D1133" s="1921">
        <f>B1133/B1134-1</f>
        <v/>
      </c>
      <c r="E1133" s="1921">
        <f>C1133/C1134-1</f>
        <v/>
      </c>
      <c r="F1133" s="1921">
        <f>$L$2/365</f>
        <v/>
      </c>
      <c r="G1133" s="1921">
        <f>D1133-F1133</f>
        <v/>
      </c>
      <c r="H1133" s="1921">
        <f>E1133-F1133</f>
        <v/>
      </c>
    </row>
    <row r="1134" ht="14.25" customHeight="1">
      <c r="A1134" s="1919" t="inlineStr">
        <is>
          <t>11/26/2021</t>
        </is>
      </c>
      <c r="B1134" s="1920" t="n">
        <v>6561.55</v>
      </c>
      <c r="C1134" s="1926" t="n">
        <v>1165</v>
      </c>
      <c r="D1134" s="1921">
        <f>B1134/B1135-1</f>
        <v/>
      </c>
      <c r="E1134" s="1921">
        <f>C1134/C1135-1</f>
        <v/>
      </c>
      <c r="F1134" s="1921">
        <f>$L$2/365</f>
        <v/>
      </c>
      <c r="G1134" s="1921">
        <f>D1134-F1134</f>
        <v/>
      </c>
      <c r="H1134" s="1921">
        <f>E1134-F1134</f>
        <v/>
      </c>
    </row>
    <row r="1135" ht="14.25" customHeight="1">
      <c r="A1135" s="1919" t="inlineStr">
        <is>
          <t>11/25/2021</t>
        </is>
      </c>
      <c r="B1135" s="1920" t="n">
        <v>6699.35</v>
      </c>
      <c r="C1135" s="1926" t="n">
        <v>1190</v>
      </c>
      <c r="D1135" s="1921">
        <f>B1135/B1136-1</f>
        <v/>
      </c>
      <c r="E1135" s="1921">
        <f>C1135/C1136-1</f>
        <v/>
      </c>
      <c r="F1135" s="1921">
        <f>$L$2/365</f>
        <v/>
      </c>
      <c r="G1135" s="1921">
        <f>D1135-F1135</f>
        <v/>
      </c>
      <c r="H1135" s="1921">
        <f>E1135-F1135</f>
        <v/>
      </c>
    </row>
    <row r="1136" ht="14.25" customHeight="1">
      <c r="A1136" s="1919" t="inlineStr">
        <is>
          <t>11/24/2021</t>
        </is>
      </c>
      <c r="B1136" s="1920" t="n">
        <v>6683.28</v>
      </c>
      <c r="C1136" s="1926" t="n">
        <v>1190</v>
      </c>
      <c r="D1136" s="1921">
        <f>B1136/B1137-1</f>
        <v/>
      </c>
      <c r="E1136" s="1921">
        <f>C1136/C1137-1</f>
        <v/>
      </c>
      <c r="F1136" s="1921">
        <f>$L$2/365</f>
        <v/>
      </c>
      <c r="G1136" s="1921">
        <f>D1136-F1136</f>
        <v/>
      </c>
      <c r="H1136" s="1921">
        <f>E1136-F1136</f>
        <v/>
      </c>
    </row>
    <row r="1137" ht="14.25" customHeight="1">
      <c r="A1137" s="1919" t="inlineStr">
        <is>
          <t>11/23/2021</t>
        </is>
      </c>
      <c r="B1137" s="1920" t="n">
        <v>6677.88</v>
      </c>
      <c r="C1137" s="1926" t="n">
        <v>1195</v>
      </c>
      <c r="D1137" s="1921">
        <f>B1137/B1138-1</f>
        <v/>
      </c>
      <c r="E1137" s="1921">
        <f>C1137/C1138-1</f>
        <v/>
      </c>
      <c r="F1137" s="1921">
        <f>$L$2/365</f>
        <v/>
      </c>
      <c r="G1137" s="1921">
        <f>D1137-F1137</f>
        <v/>
      </c>
      <c r="H1137" s="1921">
        <f>E1137-F1137</f>
        <v/>
      </c>
    </row>
    <row r="1138" ht="14.25" customHeight="1">
      <c r="A1138" s="1919" t="inlineStr">
        <is>
          <t>11/22/2021</t>
        </is>
      </c>
      <c r="B1138" s="1920" t="n">
        <v>6723.39</v>
      </c>
      <c r="C1138" s="1926" t="n">
        <v>1205</v>
      </c>
      <c r="D1138" s="1921">
        <f>B1138/B1139-1</f>
        <v/>
      </c>
      <c r="E1138" s="1921">
        <f>C1138/C1139-1</f>
        <v/>
      </c>
      <c r="F1138" s="1921">
        <f>$L$2/365</f>
        <v/>
      </c>
      <c r="G1138" s="1921">
        <f>D1138-F1138</f>
        <v/>
      </c>
      <c r="H1138" s="1921">
        <f>E1138-F1138</f>
        <v/>
      </c>
    </row>
    <row r="1139" ht="14.25" customHeight="1">
      <c r="A1139" s="1919" t="inlineStr">
        <is>
          <t>11/19/2021</t>
        </is>
      </c>
      <c r="B1139" s="1920" t="n">
        <v>6720.26</v>
      </c>
      <c r="C1139" s="1926" t="n">
        <v>1180</v>
      </c>
      <c r="D1139" s="1921">
        <f>B1139/B1140-1</f>
        <v/>
      </c>
      <c r="E1139" s="1921">
        <f>C1139/C1140-1</f>
        <v/>
      </c>
      <c r="F1139" s="1921">
        <f>$L$2/365</f>
        <v/>
      </c>
      <c r="G1139" s="1921">
        <f>D1139-F1139</f>
        <v/>
      </c>
      <c r="H1139" s="1921">
        <f>E1139-F1139</f>
        <v/>
      </c>
    </row>
    <row r="1140" ht="14.25" customHeight="1">
      <c r="A1140" s="1919" t="inlineStr">
        <is>
          <t>11/18/2021</t>
        </is>
      </c>
      <c r="B1140" s="1920" t="n">
        <v>6636.47</v>
      </c>
      <c r="C1140" s="1926" t="n">
        <v>1175</v>
      </c>
      <c r="D1140" s="1921">
        <f>B1140/B1141-1</f>
        <v/>
      </c>
      <c r="E1140" s="1921">
        <f>C1140/C1141-1</f>
        <v/>
      </c>
      <c r="F1140" s="1921">
        <f>$L$2/365</f>
        <v/>
      </c>
      <c r="G1140" s="1921">
        <f>D1140-F1140</f>
        <v/>
      </c>
      <c r="H1140" s="1921">
        <f>E1140-F1140</f>
        <v/>
      </c>
    </row>
    <row r="1141" ht="14.25" customHeight="1">
      <c r="A1141" s="1919" t="inlineStr">
        <is>
          <t>11/17/2021</t>
        </is>
      </c>
      <c r="B1141" s="1920" t="n">
        <v>6675.8</v>
      </c>
      <c r="C1141" s="1926" t="n">
        <v>1190</v>
      </c>
      <c r="D1141" s="1921">
        <f>B1141/B1142-1</f>
        <v/>
      </c>
      <c r="E1141" s="1921">
        <f>C1141/C1142-1</f>
        <v/>
      </c>
      <c r="F1141" s="1921">
        <f>$L$2/365</f>
        <v/>
      </c>
      <c r="G1141" s="1921">
        <f>D1141-F1141</f>
        <v/>
      </c>
      <c r="H1141" s="1921">
        <f>E1141-F1141</f>
        <v/>
      </c>
    </row>
    <row r="1142" ht="14.25" customHeight="1">
      <c r="A1142" s="1919" t="inlineStr">
        <is>
          <t>11/16/2021</t>
        </is>
      </c>
      <c r="B1142" s="1920" t="n">
        <v>6651.21</v>
      </c>
      <c r="C1142" s="1926" t="n">
        <v>1180</v>
      </c>
      <c r="D1142" s="1921">
        <f>B1142/B1143-1</f>
        <v/>
      </c>
      <c r="E1142" s="1921">
        <f>C1142/C1143-1</f>
        <v/>
      </c>
      <c r="F1142" s="1921">
        <f>$L$2/365</f>
        <v/>
      </c>
      <c r="G1142" s="1921">
        <f>D1142-F1142</f>
        <v/>
      </c>
      <c r="H1142" s="1921">
        <f>E1142-F1142</f>
        <v/>
      </c>
    </row>
    <row r="1143" ht="14.25" customHeight="1">
      <c r="A1143" s="1919" t="inlineStr">
        <is>
          <t>11/15/2021</t>
        </is>
      </c>
      <c r="B1143" s="1920" t="n">
        <v>6616.03</v>
      </c>
      <c r="C1143" s="1926" t="n">
        <v>1150</v>
      </c>
      <c r="D1143" s="1921">
        <f>B1143/B1144-1</f>
        <v/>
      </c>
      <c r="E1143" s="1921">
        <f>C1143/C1144-1</f>
        <v/>
      </c>
      <c r="F1143" s="1921">
        <f>$L$2/365</f>
        <v/>
      </c>
      <c r="G1143" s="1921">
        <f>D1143-F1143</f>
        <v/>
      </c>
      <c r="H1143" s="1921">
        <f>E1143-F1143</f>
        <v/>
      </c>
    </row>
    <row r="1144" ht="14.25" customHeight="1">
      <c r="A1144" s="1919" t="inlineStr">
        <is>
          <t>11/12/2021</t>
        </is>
      </c>
      <c r="B1144" s="1920" t="n">
        <v>6651.05</v>
      </c>
      <c r="C1144" s="1926" t="n">
        <v>1175</v>
      </c>
      <c r="D1144" s="1921">
        <f>B1144/B1145-1</f>
        <v/>
      </c>
      <c r="E1144" s="1921">
        <f>C1144/C1145-1</f>
        <v/>
      </c>
      <c r="F1144" s="1921">
        <f>$L$2/365</f>
        <v/>
      </c>
      <c r="G1144" s="1921">
        <f>D1144-F1144</f>
        <v/>
      </c>
      <c r="H1144" s="1921">
        <f>E1144-F1144</f>
        <v/>
      </c>
    </row>
    <row r="1145" ht="14.25" customHeight="1">
      <c r="A1145" s="1919" t="inlineStr">
        <is>
          <t>11/11/2021</t>
        </is>
      </c>
      <c r="B1145" s="1920" t="n">
        <v>6691.34</v>
      </c>
      <c r="C1145" s="1926" t="n">
        <v>1170</v>
      </c>
      <c r="D1145" s="1921">
        <f>B1145/B1146-1</f>
        <v/>
      </c>
      <c r="E1145" s="1921">
        <f>C1145/C1146-1</f>
        <v/>
      </c>
      <c r="F1145" s="1921">
        <f>$L$2/365</f>
        <v/>
      </c>
      <c r="G1145" s="1921">
        <f>D1145-F1145</f>
        <v/>
      </c>
      <c r="H1145" s="1921">
        <f>E1145-F1145</f>
        <v/>
      </c>
    </row>
    <row r="1146" ht="14.25" customHeight="1">
      <c r="A1146" s="1919" t="inlineStr">
        <is>
          <t>11/10/2021</t>
        </is>
      </c>
      <c r="B1146" s="1920" t="n">
        <v>6683.15</v>
      </c>
      <c r="C1146" s="1926" t="n">
        <v>1180</v>
      </c>
      <c r="D1146" s="1921">
        <f>B1146/B1147-1</f>
        <v/>
      </c>
      <c r="E1146" s="1921">
        <f>C1146/C1147-1</f>
        <v/>
      </c>
      <c r="F1146" s="1921">
        <f>$L$2/365</f>
        <v/>
      </c>
      <c r="G1146" s="1921">
        <f>D1146-F1146</f>
        <v/>
      </c>
      <c r="H1146" s="1921">
        <f>E1146-F1146</f>
        <v/>
      </c>
    </row>
    <row r="1147" ht="14.25" customHeight="1">
      <c r="A1147" s="1919" t="inlineStr">
        <is>
          <t>11/09/2021</t>
        </is>
      </c>
      <c r="B1147" s="1920" t="n">
        <v>6669.93</v>
      </c>
      <c r="C1147" s="1926" t="n">
        <v>1190</v>
      </c>
      <c r="D1147" s="1921">
        <f>B1147/B1148-1</f>
        <v/>
      </c>
      <c r="E1147" s="1921">
        <f>C1147/C1148-1</f>
        <v/>
      </c>
      <c r="F1147" s="1921">
        <f>$L$2/365</f>
        <v/>
      </c>
      <c r="G1147" s="1921">
        <f>D1147-F1147</f>
        <v/>
      </c>
      <c r="H1147" s="1921">
        <f>E1147-F1147</f>
        <v/>
      </c>
    </row>
    <row r="1148" ht="14.25" customHeight="1">
      <c r="A1148" s="1919" t="inlineStr">
        <is>
          <t>11/08/2021</t>
        </is>
      </c>
      <c r="B1148" s="1920" t="n">
        <v>6632.3</v>
      </c>
      <c r="C1148" s="1926" t="n">
        <v>1195</v>
      </c>
      <c r="D1148" s="1921">
        <f>B1148/B1149-1</f>
        <v/>
      </c>
      <c r="E1148" s="1921">
        <f>C1148/C1149-1</f>
        <v/>
      </c>
      <c r="F1148" s="1921">
        <f>$L$2/365</f>
        <v/>
      </c>
      <c r="G1148" s="1921">
        <f>D1148-F1148</f>
        <v/>
      </c>
      <c r="H1148" s="1921">
        <f>E1148-F1148</f>
        <v/>
      </c>
    </row>
    <row r="1149" ht="14.25" customHeight="1">
      <c r="A1149" s="1919" t="inlineStr">
        <is>
          <t>11/05/2021</t>
        </is>
      </c>
      <c r="B1149" s="1920" t="n">
        <v>6581.78</v>
      </c>
      <c r="C1149" s="1926" t="n">
        <v>1200</v>
      </c>
      <c r="D1149" s="1921">
        <f>B1149/B1150-1</f>
        <v/>
      </c>
      <c r="E1149" s="1921">
        <f>C1149/C1150-1</f>
        <v/>
      </c>
      <c r="F1149" s="1921">
        <f>$L$2/365</f>
        <v/>
      </c>
      <c r="G1149" s="1921">
        <f>D1149-F1149</f>
        <v/>
      </c>
      <c r="H1149" s="1921">
        <f>E1149-F1149</f>
        <v/>
      </c>
    </row>
    <row r="1150" ht="14.25" customHeight="1">
      <c r="A1150" s="1919" t="inlineStr">
        <is>
          <t>11/04/2021</t>
        </is>
      </c>
      <c r="B1150" s="1920" t="n">
        <v>6586.44</v>
      </c>
      <c r="C1150" s="1926" t="n">
        <v>1150</v>
      </c>
      <c r="D1150" s="1921">
        <f>B1150/B1151-1</f>
        <v/>
      </c>
      <c r="E1150" s="1921">
        <f>C1150/C1151-1</f>
        <v/>
      </c>
      <c r="F1150" s="1921">
        <f>$L$2/365</f>
        <v/>
      </c>
      <c r="G1150" s="1921">
        <f>D1150-F1150</f>
        <v/>
      </c>
      <c r="H1150" s="1921">
        <f>E1150-F1150</f>
        <v/>
      </c>
    </row>
    <row r="1151" ht="14.25" customHeight="1">
      <c r="A1151" s="1919" t="inlineStr">
        <is>
          <t>11/03/2021</t>
        </is>
      </c>
      <c r="B1151" s="1920" t="n">
        <v>6552.13</v>
      </c>
      <c r="C1151" s="1926" t="n">
        <v>1155</v>
      </c>
      <c r="D1151" s="1921">
        <f>B1151/B1152-1</f>
        <v/>
      </c>
      <c r="E1151" s="1921">
        <f>C1151/C1152-1</f>
        <v/>
      </c>
      <c r="F1151" s="1921">
        <f>$L$2/365</f>
        <v/>
      </c>
      <c r="G1151" s="1921">
        <f>D1151-F1151</f>
        <v/>
      </c>
      <c r="H1151" s="1921">
        <f>E1151-F1151</f>
        <v/>
      </c>
    </row>
    <row r="1152" ht="14.25" customHeight="1">
      <c r="A1152" s="1919" t="inlineStr">
        <is>
          <t>11/02/2021</t>
        </is>
      </c>
      <c r="B1152" s="1920" t="n">
        <v>6493.27</v>
      </c>
      <c r="C1152" s="1926" t="n">
        <v>1145</v>
      </c>
      <c r="D1152" s="1921">
        <f>B1152/B1153-1</f>
        <v/>
      </c>
      <c r="E1152" s="1921">
        <f>C1152/C1153-1</f>
        <v/>
      </c>
      <c r="F1152" s="1921">
        <f>$L$2/365</f>
        <v/>
      </c>
      <c r="G1152" s="1921">
        <f>D1152-F1152</f>
        <v/>
      </c>
      <c r="H1152" s="1921">
        <f>E1152-F1152</f>
        <v/>
      </c>
    </row>
    <row r="1153" ht="14.25" customHeight="1">
      <c r="A1153" s="1919" t="inlineStr">
        <is>
          <t>11/01/2021</t>
        </is>
      </c>
      <c r="B1153" s="1920" t="n">
        <v>6552.89</v>
      </c>
      <c r="C1153" s="1926" t="n">
        <v>1145</v>
      </c>
      <c r="D1153" s="1921">
        <f>B1153/B1154-1</f>
        <v/>
      </c>
      <c r="E1153" s="1921">
        <f>C1153/C1154-1</f>
        <v/>
      </c>
      <c r="F1153" s="1921">
        <f>$L$2/365</f>
        <v/>
      </c>
      <c r="G1153" s="1921">
        <f>D1153-F1153</f>
        <v/>
      </c>
      <c r="H1153" s="1921">
        <f>E1153-F1153</f>
        <v/>
      </c>
    </row>
    <row r="1154" ht="14.25" customHeight="1">
      <c r="A1154" s="1919" t="inlineStr">
        <is>
          <t>10/29/2021</t>
        </is>
      </c>
      <c r="B1154" s="1920" t="n">
        <v>6591.35</v>
      </c>
      <c r="C1154" s="1926" t="n">
        <v>1160</v>
      </c>
      <c r="D1154" s="1921">
        <f>B1154/B1155-1</f>
        <v/>
      </c>
      <c r="E1154" s="1921">
        <f>C1154/C1155-1</f>
        <v/>
      </c>
      <c r="F1154" s="1921">
        <f>$L$2/365</f>
        <v/>
      </c>
      <c r="G1154" s="1921">
        <f>D1154-F1154</f>
        <v/>
      </c>
      <c r="H1154" s="1921">
        <f>E1154-F1154</f>
        <v/>
      </c>
    </row>
    <row r="1155" ht="14.25" customHeight="1">
      <c r="A1155" s="1919" t="inlineStr">
        <is>
          <t>10/28/2021</t>
        </is>
      </c>
      <c r="B1155" s="1920" t="n">
        <v>6524.08</v>
      </c>
      <c r="C1155" s="1926" t="n">
        <v>1145</v>
      </c>
      <c r="D1155" s="1921">
        <f>B1155/B1156-1</f>
        <v/>
      </c>
      <c r="E1155" s="1921">
        <f>C1155/C1156-1</f>
        <v/>
      </c>
      <c r="F1155" s="1921">
        <f>$L$2/365</f>
        <v/>
      </c>
      <c r="G1155" s="1921">
        <f>D1155-F1155</f>
        <v/>
      </c>
      <c r="H1155" s="1921">
        <f>E1155-F1155</f>
        <v/>
      </c>
    </row>
    <row r="1156" ht="14.25" customHeight="1">
      <c r="A1156" s="1919" t="inlineStr">
        <is>
          <t>10/27/2021</t>
        </is>
      </c>
      <c r="B1156" s="1920" t="n">
        <v>6602.21</v>
      </c>
      <c r="C1156" s="1926" t="n">
        <v>1150</v>
      </c>
      <c r="D1156" s="1921">
        <f>B1156/B1157-1</f>
        <v/>
      </c>
      <c r="E1156" s="1921">
        <f>C1156/C1157-1</f>
        <v/>
      </c>
      <c r="F1156" s="1921">
        <f>$L$2/365</f>
        <v/>
      </c>
      <c r="G1156" s="1921">
        <f>D1156-F1156</f>
        <v/>
      </c>
      <c r="H1156" s="1921">
        <f>E1156-F1156</f>
        <v/>
      </c>
    </row>
    <row r="1157" ht="14.25" customHeight="1">
      <c r="A1157" s="1919" t="inlineStr">
        <is>
          <t>10/26/2021</t>
        </is>
      </c>
      <c r="B1157" s="1920" t="n">
        <v>6656.94</v>
      </c>
      <c r="C1157" s="1926" t="n">
        <v>1180</v>
      </c>
      <c r="D1157" s="1921">
        <f>B1157/B1158-1</f>
        <v/>
      </c>
      <c r="E1157" s="1921">
        <f>C1157/C1158-1</f>
        <v/>
      </c>
      <c r="F1157" s="1921">
        <f>$L$2/365</f>
        <v/>
      </c>
      <c r="G1157" s="1921">
        <f>D1157-F1157</f>
        <v/>
      </c>
      <c r="H1157" s="1921">
        <f>E1157-F1157</f>
        <v/>
      </c>
    </row>
    <row r="1158" ht="14.25" customHeight="1">
      <c r="A1158" s="1919" t="inlineStr">
        <is>
          <t>10/25/2021</t>
        </is>
      </c>
      <c r="B1158" s="1920" t="n">
        <v>6625.7</v>
      </c>
      <c r="C1158" s="1926" t="n">
        <v>1185</v>
      </c>
      <c r="D1158" s="1921">
        <f>B1158/B1159-1</f>
        <v/>
      </c>
      <c r="E1158" s="1921">
        <f>C1158/C1159-1</f>
        <v/>
      </c>
      <c r="F1158" s="1921">
        <f>$L$2/365</f>
        <v/>
      </c>
      <c r="G1158" s="1921">
        <f>D1158-F1158</f>
        <v/>
      </c>
      <c r="H1158" s="1921">
        <f>E1158-F1158</f>
        <v/>
      </c>
    </row>
    <row r="1159" ht="14.25" customHeight="1">
      <c r="A1159" s="1919" t="inlineStr">
        <is>
          <t>10/22/2021</t>
        </is>
      </c>
      <c r="B1159" s="1920" t="n">
        <v>6643.74</v>
      </c>
      <c r="C1159" s="1926" t="n">
        <v>1185</v>
      </c>
      <c r="D1159" s="1921">
        <f>B1159/B1160-1</f>
        <v/>
      </c>
      <c r="E1159" s="1921">
        <f>C1159/C1160-1</f>
        <v/>
      </c>
      <c r="F1159" s="1921">
        <f>$L$2/365</f>
        <v/>
      </c>
      <c r="G1159" s="1921">
        <f>D1159-F1159</f>
        <v/>
      </c>
      <c r="H1159" s="1921">
        <f>E1159-F1159</f>
        <v/>
      </c>
    </row>
    <row r="1160" ht="14.25" customHeight="1">
      <c r="A1160" s="1919" t="inlineStr">
        <is>
          <t>10/21/2021</t>
        </is>
      </c>
      <c r="B1160" s="1920" t="n">
        <v>6632.97</v>
      </c>
      <c r="C1160" s="1926" t="n">
        <v>1185</v>
      </c>
      <c r="D1160" s="1921">
        <f>B1160/B1161-1</f>
        <v/>
      </c>
      <c r="E1160" s="1921">
        <f>C1160/C1161-1</f>
        <v/>
      </c>
      <c r="F1160" s="1921">
        <f>$L$2/365</f>
        <v/>
      </c>
      <c r="G1160" s="1921">
        <f>D1160-F1160</f>
        <v/>
      </c>
      <c r="H1160" s="1921">
        <f>E1160-F1160</f>
        <v/>
      </c>
    </row>
    <row r="1161" ht="14.25" customHeight="1">
      <c r="A1161" s="1919" t="inlineStr">
        <is>
          <t>10/19/2021</t>
        </is>
      </c>
      <c r="B1161" s="1920" t="n">
        <v>6656</v>
      </c>
      <c r="C1161" s="1926" t="n">
        <v>1180</v>
      </c>
      <c r="D1161" s="1921">
        <f>B1161/B1162-1</f>
        <v/>
      </c>
      <c r="E1161" s="1921">
        <f>C1161/C1162-1</f>
        <v/>
      </c>
      <c r="F1161" s="1921">
        <f>$L$2/365</f>
        <v/>
      </c>
      <c r="G1161" s="1921">
        <f>D1161-F1161</f>
        <v/>
      </c>
      <c r="H1161" s="1921">
        <f>E1161-F1161</f>
        <v/>
      </c>
    </row>
    <row r="1162" ht="14.25" customHeight="1">
      <c r="A1162" s="1919" t="inlineStr">
        <is>
          <t>10/18/2021</t>
        </is>
      </c>
      <c r="B1162" s="1920" t="n">
        <v>6658.77</v>
      </c>
      <c r="C1162" s="1926" t="n">
        <v>1185</v>
      </c>
      <c r="D1162" s="1921">
        <f>B1162/B1163-1</f>
        <v/>
      </c>
      <c r="E1162" s="1921">
        <f>C1162/C1163-1</f>
        <v/>
      </c>
      <c r="F1162" s="1921">
        <f>$L$2/365</f>
        <v/>
      </c>
      <c r="G1162" s="1921">
        <f>D1162-F1162</f>
        <v/>
      </c>
      <c r="H1162" s="1921">
        <f>E1162-F1162</f>
        <v/>
      </c>
    </row>
    <row r="1163" ht="14.25" customHeight="1">
      <c r="A1163" s="1919" t="inlineStr">
        <is>
          <t>10/15/2021</t>
        </is>
      </c>
      <c r="B1163" s="1920" t="n">
        <v>6633.34</v>
      </c>
      <c r="C1163" s="1926" t="n">
        <v>1205</v>
      </c>
      <c r="D1163" s="1921">
        <f>B1163/B1164-1</f>
        <v/>
      </c>
      <c r="E1163" s="1921">
        <f>C1163/C1164-1</f>
        <v/>
      </c>
      <c r="F1163" s="1921">
        <f>$L$2/365</f>
        <v/>
      </c>
      <c r="G1163" s="1921">
        <f>D1163-F1163</f>
        <v/>
      </c>
      <c r="H1163" s="1921">
        <f>E1163-F1163</f>
        <v/>
      </c>
    </row>
    <row r="1164" ht="14.25" customHeight="1">
      <c r="A1164" s="1919" t="inlineStr">
        <is>
          <t>10/14/2021</t>
        </is>
      </c>
      <c r="B1164" s="1920" t="n">
        <v>6626.11</v>
      </c>
      <c r="C1164" s="1926" t="n">
        <v>1230</v>
      </c>
      <c r="D1164" s="1921">
        <f>B1164/B1165-1</f>
        <v/>
      </c>
      <c r="E1164" s="1921">
        <f>C1164/C1165-1</f>
        <v/>
      </c>
      <c r="F1164" s="1921">
        <f>$L$2/365</f>
        <v/>
      </c>
      <c r="G1164" s="1921">
        <f>D1164-F1164</f>
        <v/>
      </c>
      <c r="H1164" s="1921">
        <f>E1164-F1164</f>
        <v/>
      </c>
    </row>
    <row r="1165" ht="14.25" customHeight="1">
      <c r="A1165" s="1919" t="inlineStr">
        <is>
          <t>10/13/2021</t>
        </is>
      </c>
      <c r="B1165" s="1920" t="n">
        <v>6536.9</v>
      </c>
      <c r="C1165" s="1926" t="n">
        <v>1240</v>
      </c>
      <c r="D1165" s="1921">
        <f>B1165/B1166-1</f>
        <v/>
      </c>
      <c r="E1165" s="1921">
        <f>C1165/C1166-1</f>
        <v/>
      </c>
      <c r="F1165" s="1921">
        <f>$L$2/365</f>
        <v/>
      </c>
      <c r="G1165" s="1921">
        <f>D1165-F1165</f>
        <v/>
      </c>
      <c r="H1165" s="1921">
        <f>E1165-F1165</f>
        <v/>
      </c>
    </row>
    <row r="1166" ht="14.25" customHeight="1">
      <c r="A1166" s="1919" t="inlineStr">
        <is>
          <t>10/12/2021</t>
        </is>
      </c>
      <c r="B1166" s="1920" t="n">
        <v>6486.27</v>
      </c>
      <c r="C1166" s="1926" t="n">
        <v>1240</v>
      </c>
      <c r="D1166" s="1921">
        <f>B1166/B1167-1</f>
        <v/>
      </c>
      <c r="E1166" s="1921">
        <f>C1166/C1167-1</f>
        <v/>
      </c>
      <c r="F1166" s="1921">
        <f>$L$2/365</f>
        <v/>
      </c>
      <c r="G1166" s="1921">
        <f>D1166-F1166</f>
        <v/>
      </c>
      <c r="H1166" s="1921">
        <f>E1166-F1166</f>
        <v/>
      </c>
    </row>
    <row r="1167" ht="14.25" customHeight="1">
      <c r="A1167" s="1919" t="inlineStr">
        <is>
          <t>10/11/2021</t>
        </is>
      </c>
      <c r="B1167" s="1920" t="n">
        <v>6459.7</v>
      </c>
      <c r="C1167" s="1926" t="n">
        <v>1235</v>
      </c>
      <c r="D1167" s="1921">
        <f>B1167/B1168-1</f>
        <v/>
      </c>
      <c r="E1167" s="1921">
        <f>C1167/C1168-1</f>
        <v/>
      </c>
      <c r="F1167" s="1921">
        <f>$L$2/365</f>
        <v/>
      </c>
      <c r="G1167" s="1921">
        <f>D1167-F1167</f>
        <v/>
      </c>
      <c r="H1167" s="1921">
        <f>E1167-F1167</f>
        <v/>
      </c>
    </row>
    <row r="1168" ht="14.25" customHeight="1">
      <c r="A1168" s="1919" t="inlineStr">
        <is>
          <t>10/08/2021</t>
        </is>
      </c>
      <c r="B1168" s="1920" t="n">
        <v>6481.77</v>
      </c>
      <c r="C1168" s="1926" t="n">
        <v>1250</v>
      </c>
      <c r="D1168" s="1921">
        <f>B1168/B1169-1</f>
        <v/>
      </c>
      <c r="E1168" s="1921">
        <f>C1168/C1169-1</f>
        <v/>
      </c>
      <c r="F1168" s="1921">
        <f>$L$2/365</f>
        <v/>
      </c>
      <c r="G1168" s="1921">
        <f>D1168-F1168</f>
        <v/>
      </c>
      <c r="H1168" s="1921">
        <f>E1168-F1168</f>
        <v/>
      </c>
    </row>
    <row r="1169" ht="14.25" customHeight="1">
      <c r="A1169" s="1919" t="inlineStr">
        <is>
          <t>10/07/2021</t>
        </is>
      </c>
      <c r="B1169" s="1920" t="n">
        <v>6416.4</v>
      </c>
      <c r="C1169" s="1926" t="n">
        <v>1235</v>
      </c>
      <c r="D1169" s="1921">
        <f>B1169/B1170-1</f>
        <v/>
      </c>
      <c r="E1169" s="1921">
        <f>C1169/C1170-1</f>
        <v/>
      </c>
      <c r="F1169" s="1921">
        <f>$L$2/365</f>
        <v/>
      </c>
      <c r="G1169" s="1921">
        <f>D1169-F1169</f>
        <v/>
      </c>
      <c r="H1169" s="1921">
        <f>E1169-F1169</f>
        <v/>
      </c>
    </row>
    <row r="1170" ht="14.25" customHeight="1">
      <c r="A1170" s="1919" t="inlineStr">
        <is>
          <t>10/06/2021</t>
        </is>
      </c>
      <c r="B1170" s="1920" t="n">
        <v>6417.32</v>
      </c>
      <c r="C1170" s="1926" t="n">
        <v>1235</v>
      </c>
      <c r="D1170" s="1921">
        <f>B1170/B1171-1</f>
        <v/>
      </c>
      <c r="E1170" s="1921">
        <f>C1170/C1171-1</f>
        <v/>
      </c>
      <c r="F1170" s="1921">
        <f>$L$2/365</f>
        <v/>
      </c>
      <c r="G1170" s="1921">
        <f>D1170-F1170</f>
        <v/>
      </c>
      <c r="H1170" s="1921">
        <f>E1170-F1170</f>
        <v/>
      </c>
    </row>
    <row r="1171" ht="14.25" customHeight="1">
      <c r="A1171" s="1919" t="inlineStr">
        <is>
          <t>10/05/2021</t>
        </is>
      </c>
      <c r="B1171" s="1920" t="n">
        <v>6288.05</v>
      </c>
      <c r="C1171" s="1926" t="n">
        <v>1250</v>
      </c>
      <c r="D1171" s="1921">
        <f>B1171/B1172-1</f>
        <v/>
      </c>
      <c r="E1171" s="1921">
        <f>C1171/C1172-1</f>
        <v/>
      </c>
      <c r="F1171" s="1921">
        <f>$L$2/365</f>
        <v/>
      </c>
      <c r="G1171" s="1921">
        <f>D1171-F1171</f>
        <v/>
      </c>
      <c r="H1171" s="1921">
        <f>E1171-F1171</f>
        <v/>
      </c>
    </row>
    <row r="1172" ht="14.25" customHeight="1">
      <c r="A1172" s="1919" t="inlineStr">
        <is>
          <t>10/04/2021</t>
        </is>
      </c>
      <c r="B1172" s="1920" t="n">
        <v>6342.69</v>
      </c>
      <c r="C1172" s="1926" t="n">
        <v>1305</v>
      </c>
      <c r="D1172" s="1921">
        <f>B1172/B1173-1</f>
        <v/>
      </c>
      <c r="E1172" s="1921">
        <f>C1172/C1173-1</f>
        <v/>
      </c>
      <c r="F1172" s="1921">
        <f>$L$2/365</f>
        <v/>
      </c>
      <c r="G1172" s="1921">
        <f>D1172-F1172</f>
        <v/>
      </c>
      <c r="H1172" s="1921">
        <f>E1172-F1172</f>
        <v/>
      </c>
    </row>
    <row r="1173" ht="14.25" customHeight="1">
      <c r="A1173" s="1919" t="inlineStr">
        <is>
          <t>10/01/2021</t>
        </is>
      </c>
      <c r="B1173" s="1920" t="n">
        <v>6228.85</v>
      </c>
      <c r="C1173" s="1926" t="n">
        <v>1305</v>
      </c>
      <c r="D1173" s="1921">
        <f>B1173/B1174-1</f>
        <v/>
      </c>
      <c r="E1173" s="1921">
        <f>C1173/C1174-1</f>
        <v/>
      </c>
      <c r="F1173" s="1921">
        <f>$L$2/365</f>
        <v/>
      </c>
      <c r="G1173" s="1921">
        <f>D1173-F1173</f>
        <v/>
      </c>
      <c r="H1173" s="1921">
        <f>E1173-F1173</f>
        <v/>
      </c>
    </row>
    <row r="1174" ht="14.25" customHeight="1">
      <c r="A1174" s="1919" t="inlineStr">
        <is>
          <t>09/30/2021</t>
        </is>
      </c>
      <c r="B1174" s="1920" t="n">
        <v>6286.94</v>
      </c>
      <c r="C1174" s="1926" t="n">
        <v>1325</v>
      </c>
      <c r="D1174" s="1921">
        <f>B1174/B1175-1</f>
        <v/>
      </c>
      <c r="E1174" s="1921">
        <f>C1174/C1175-1</f>
        <v/>
      </c>
      <c r="F1174" s="1921">
        <f>$L$2/365</f>
        <v/>
      </c>
      <c r="G1174" s="1921">
        <f>D1174-F1174</f>
        <v/>
      </c>
      <c r="H1174" s="1921">
        <f>E1174-F1174</f>
        <v/>
      </c>
    </row>
    <row r="1175" ht="14.25" customHeight="1">
      <c r="A1175" s="1919" t="inlineStr">
        <is>
          <t>09/29/2021</t>
        </is>
      </c>
      <c r="B1175" s="1920" t="n">
        <v>6162.55</v>
      </c>
      <c r="C1175" s="1926" t="n">
        <v>1325</v>
      </c>
      <c r="D1175" s="1921">
        <f>B1175/B1176-1</f>
        <v/>
      </c>
      <c r="E1175" s="1921">
        <f>C1175/C1176-1</f>
        <v/>
      </c>
      <c r="F1175" s="1921">
        <f>$L$2/365</f>
        <v/>
      </c>
      <c r="G1175" s="1921">
        <f>D1175-F1175</f>
        <v/>
      </c>
      <c r="H1175" s="1921">
        <f>E1175-F1175</f>
        <v/>
      </c>
    </row>
    <row r="1176" ht="14.25" customHeight="1">
      <c r="A1176" s="1919" t="inlineStr">
        <is>
          <t>09/28/2021</t>
        </is>
      </c>
      <c r="B1176" s="1920" t="n">
        <v>6113.11</v>
      </c>
      <c r="C1176" s="1926" t="n">
        <v>1305</v>
      </c>
      <c r="D1176" s="1921">
        <f>B1176/B1177-1</f>
        <v/>
      </c>
      <c r="E1176" s="1921">
        <f>C1176/C1177-1</f>
        <v/>
      </c>
      <c r="F1176" s="1921">
        <f>$L$2/365</f>
        <v/>
      </c>
      <c r="G1176" s="1921">
        <f>D1176-F1176</f>
        <v/>
      </c>
      <c r="H1176" s="1921">
        <f>E1176-F1176</f>
        <v/>
      </c>
    </row>
    <row r="1177" ht="14.25" customHeight="1">
      <c r="A1177" s="1919" t="inlineStr">
        <is>
          <t>09/27/2021</t>
        </is>
      </c>
      <c r="B1177" s="1920" t="n">
        <v>6122.49</v>
      </c>
      <c r="C1177" s="1926" t="n">
        <v>1320</v>
      </c>
      <c r="D1177" s="1921">
        <f>B1177/B1178-1</f>
        <v/>
      </c>
      <c r="E1177" s="1921">
        <f>C1177/C1178-1</f>
        <v/>
      </c>
      <c r="F1177" s="1921">
        <f>$L$2/365</f>
        <v/>
      </c>
      <c r="G1177" s="1921">
        <f>D1177-F1177</f>
        <v/>
      </c>
      <c r="H1177" s="1921">
        <f>E1177-F1177</f>
        <v/>
      </c>
    </row>
    <row r="1178" ht="14.25" customHeight="1">
      <c r="A1178" s="1919" t="inlineStr">
        <is>
          <t>09/24/2021</t>
        </is>
      </c>
      <c r="B1178" s="1920" t="n">
        <v>6144.81</v>
      </c>
      <c r="C1178" s="1926" t="n">
        <v>1310</v>
      </c>
      <c r="D1178" s="1921">
        <f>B1178/B1179-1</f>
        <v/>
      </c>
      <c r="E1178" s="1921">
        <f>C1178/C1179-1</f>
        <v/>
      </c>
      <c r="F1178" s="1921">
        <f>$L$2/365</f>
        <v/>
      </c>
      <c r="G1178" s="1921">
        <f>D1178-F1178</f>
        <v/>
      </c>
      <c r="H1178" s="1921">
        <f>E1178-F1178</f>
        <v/>
      </c>
    </row>
    <row r="1179" ht="14.25" customHeight="1">
      <c r="A1179" s="1919" t="inlineStr">
        <is>
          <t>09/23/2021</t>
        </is>
      </c>
      <c r="B1179" s="1920" t="n">
        <v>6142.71</v>
      </c>
      <c r="C1179" s="1926" t="n">
        <v>1320</v>
      </c>
      <c r="D1179" s="1921">
        <f>B1179/B1180-1</f>
        <v/>
      </c>
      <c r="E1179" s="1921">
        <f>C1179/C1180-1</f>
        <v/>
      </c>
      <c r="F1179" s="1921">
        <f>$L$2/365</f>
        <v/>
      </c>
      <c r="G1179" s="1921">
        <f>D1179-F1179</f>
        <v/>
      </c>
      <c r="H1179" s="1921">
        <f>E1179-F1179</f>
        <v/>
      </c>
    </row>
    <row r="1180" ht="14.25" customHeight="1">
      <c r="A1180" s="1919" t="inlineStr">
        <is>
          <t>09/22/2021</t>
        </is>
      </c>
      <c r="B1180" s="1920" t="n">
        <v>6108.27</v>
      </c>
      <c r="C1180" s="1926" t="n">
        <v>1330</v>
      </c>
      <c r="D1180" s="1921">
        <f>B1180/B1181-1</f>
        <v/>
      </c>
      <c r="E1180" s="1921">
        <f>C1180/C1181-1</f>
        <v/>
      </c>
      <c r="F1180" s="1921">
        <f>$L$2/365</f>
        <v/>
      </c>
      <c r="G1180" s="1921">
        <f>D1180-F1180</f>
        <v/>
      </c>
      <c r="H1180" s="1921">
        <f>E1180-F1180</f>
        <v/>
      </c>
    </row>
    <row r="1181" ht="14.25" customHeight="1">
      <c r="A1181" s="1919" t="inlineStr">
        <is>
          <t>09/21/2021</t>
        </is>
      </c>
      <c r="B1181" s="1920" t="n">
        <v>6060.76</v>
      </c>
      <c r="C1181" s="1926" t="n">
        <v>1320</v>
      </c>
      <c r="D1181" s="1921">
        <f>B1181/B1182-1</f>
        <v/>
      </c>
      <c r="E1181" s="1921">
        <f>C1181/C1182-1</f>
        <v/>
      </c>
      <c r="F1181" s="1921">
        <f>$L$2/365</f>
        <v/>
      </c>
      <c r="G1181" s="1921">
        <f>D1181-F1181</f>
        <v/>
      </c>
      <c r="H1181" s="1921">
        <f>E1181-F1181</f>
        <v/>
      </c>
    </row>
    <row r="1182" ht="14.25" customHeight="1">
      <c r="A1182" s="1919" t="inlineStr">
        <is>
          <t>09/20/2021</t>
        </is>
      </c>
      <c r="B1182" s="1920" t="n">
        <v>6076.31</v>
      </c>
      <c r="C1182" s="1926" t="n">
        <v>1330</v>
      </c>
      <c r="D1182" s="1921">
        <f>B1182/B1183-1</f>
        <v/>
      </c>
      <c r="E1182" s="1921">
        <f>C1182/C1183-1</f>
        <v/>
      </c>
      <c r="F1182" s="1921">
        <f>$L$2/365</f>
        <v/>
      </c>
      <c r="G1182" s="1921">
        <f>D1182-F1182</f>
        <v/>
      </c>
      <c r="H1182" s="1921">
        <f>E1182-F1182</f>
        <v/>
      </c>
    </row>
    <row r="1183" ht="14.25" customHeight="1">
      <c r="A1183" s="1919" t="inlineStr">
        <is>
          <t>09/17/2021</t>
        </is>
      </c>
      <c r="B1183" s="1920" t="n">
        <v>6133.25</v>
      </c>
      <c r="C1183" s="1926" t="n">
        <v>1345</v>
      </c>
      <c r="D1183" s="1921">
        <f>B1183/B1184-1</f>
        <v/>
      </c>
      <c r="E1183" s="1921">
        <f>C1183/C1184-1</f>
        <v/>
      </c>
      <c r="F1183" s="1921">
        <f>$L$2/365</f>
        <v/>
      </c>
      <c r="G1183" s="1921">
        <f>D1183-F1183</f>
        <v/>
      </c>
      <c r="H1183" s="1921">
        <f>E1183-F1183</f>
        <v/>
      </c>
    </row>
    <row r="1184" ht="14.25" customHeight="1">
      <c r="A1184" s="1919" t="inlineStr">
        <is>
          <t>09/16/2021</t>
        </is>
      </c>
      <c r="B1184" s="1920" t="n">
        <v>6109.94</v>
      </c>
      <c r="C1184" s="1926" t="n">
        <v>1345</v>
      </c>
      <c r="D1184" s="1921">
        <f>B1184/B1185-1</f>
        <v/>
      </c>
      <c r="E1184" s="1921">
        <f>C1184/C1185-1</f>
        <v/>
      </c>
      <c r="F1184" s="1921">
        <f>$L$2/365</f>
        <v/>
      </c>
      <c r="G1184" s="1921">
        <f>D1184-F1184</f>
        <v/>
      </c>
      <c r="H1184" s="1921">
        <f>E1184-F1184</f>
        <v/>
      </c>
    </row>
    <row r="1185" ht="14.25" customHeight="1">
      <c r="A1185" s="1919" t="inlineStr">
        <is>
          <t>09/15/2021</t>
        </is>
      </c>
      <c r="B1185" s="1920" t="n">
        <v>6110.23</v>
      </c>
      <c r="C1185" s="1926" t="n">
        <v>1350</v>
      </c>
      <c r="D1185" s="1921">
        <f>B1185/B1186-1</f>
        <v/>
      </c>
      <c r="E1185" s="1921">
        <f>C1185/C1186-1</f>
        <v/>
      </c>
      <c r="F1185" s="1921">
        <f>$L$2/365</f>
        <v/>
      </c>
      <c r="G1185" s="1921">
        <f>D1185-F1185</f>
        <v/>
      </c>
      <c r="H1185" s="1921">
        <f>E1185-F1185</f>
        <v/>
      </c>
    </row>
    <row r="1186" ht="14.25" customHeight="1">
      <c r="A1186" s="1919" t="inlineStr">
        <is>
          <t>09/14/2021</t>
        </is>
      </c>
      <c r="B1186" s="1920" t="n">
        <v>6129.1</v>
      </c>
      <c r="C1186" s="1926" t="n">
        <v>1350</v>
      </c>
      <c r="D1186" s="1921">
        <f>B1186/B1187-1</f>
        <v/>
      </c>
      <c r="E1186" s="1921">
        <f>C1186/C1187-1</f>
        <v/>
      </c>
      <c r="F1186" s="1921">
        <f>$L$2/365</f>
        <v/>
      </c>
      <c r="G1186" s="1921">
        <f>D1186-F1186</f>
        <v/>
      </c>
      <c r="H1186" s="1921">
        <f>E1186-F1186</f>
        <v/>
      </c>
    </row>
    <row r="1187" ht="14.25" customHeight="1">
      <c r="A1187" s="1919" t="inlineStr">
        <is>
          <t>09/13/2021</t>
        </is>
      </c>
      <c r="B1187" s="1920" t="n">
        <v>6088.16</v>
      </c>
      <c r="C1187" s="1926" t="n">
        <v>1365</v>
      </c>
      <c r="D1187" s="1921">
        <f>B1187/B1188-1</f>
        <v/>
      </c>
      <c r="E1187" s="1921">
        <f>C1187/C1188-1</f>
        <v/>
      </c>
      <c r="F1187" s="1921">
        <f>$L$2/365</f>
        <v/>
      </c>
      <c r="G1187" s="1921">
        <f>D1187-F1187</f>
        <v/>
      </c>
      <c r="H1187" s="1921">
        <f>E1187-F1187</f>
        <v/>
      </c>
    </row>
    <row r="1188" ht="14.25" customHeight="1">
      <c r="A1188" s="1919" t="inlineStr">
        <is>
          <t>09/10/2021</t>
        </is>
      </c>
      <c r="B1188" s="1920" t="n">
        <v>6094.87</v>
      </c>
      <c r="C1188" s="1926" t="n">
        <v>1365</v>
      </c>
      <c r="D1188" s="1921">
        <f>B1188/B1189-1</f>
        <v/>
      </c>
      <c r="E1188" s="1921">
        <f>C1188/C1189-1</f>
        <v/>
      </c>
      <c r="F1188" s="1921">
        <f>$L$2/365</f>
        <v/>
      </c>
      <c r="G1188" s="1921">
        <f>D1188-F1188</f>
        <v/>
      </c>
      <c r="H1188" s="1921">
        <f>E1188-F1188</f>
        <v/>
      </c>
    </row>
    <row r="1189" ht="14.25" customHeight="1">
      <c r="A1189" s="1919" t="inlineStr">
        <is>
          <t>09/09/2021</t>
        </is>
      </c>
      <c r="B1189" s="1920" t="n">
        <v>6068.22</v>
      </c>
      <c r="C1189" s="1926" t="n">
        <v>1390</v>
      </c>
      <c r="D1189" s="1921">
        <f>B1189/B1190-1</f>
        <v/>
      </c>
      <c r="E1189" s="1921">
        <f>C1189/C1190-1</f>
        <v/>
      </c>
      <c r="F1189" s="1921">
        <f>$L$2/365</f>
        <v/>
      </c>
      <c r="G1189" s="1921">
        <f>D1189-F1189</f>
        <v/>
      </c>
      <c r="H1189" s="1921">
        <f>E1189-F1189</f>
        <v/>
      </c>
    </row>
    <row r="1190" ht="14.25" customHeight="1">
      <c r="A1190" s="1919" t="inlineStr">
        <is>
          <t>09/08/2021</t>
        </is>
      </c>
      <c r="B1190" s="1920" t="n">
        <v>6026.02</v>
      </c>
      <c r="C1190" s="1926" t="n">
        <v>1320</v>
      </c>
      <c r="D1190" s="1921">
        <f>B1190/B1191-1</f>
        <v/>
      </c>
      <c r="E1190" s="1921">
        <f>C1190/C1191-1</f>
        <v/>
      </c>
      <c r="F1190" s="1921">
        <f>$L$2/365</f>
        <v/>
      </c>
      <c r="G1190" s="1921">
        <f>D1190-F1190</f>
        <v/>
      </c>
      <c r="H1190" s="1921">
        <f>E1190-F1190</f>
        <v/>
      </c>
    </row>
    <row r="1191" ht="14.25" customHeight="1">
      <c r="A1191" s="1919" t="inlineStr">
        <is>
          <t>09/07/2021</t>
        </is>
      </c>
      <c r="B1191" s="1920" t="n">
        <v>6112.4</v>
      </c>
      <c r="C1191" s="1926" t="n">
        <v>1345</v>
      </c>
      <c r="D1191" s="1921">
        <f>B1191/B1192-1</f>
        <v/>
      </c>
      <c r="E1191" s="1921">
        <f>C1191/C1192-1</f>
        <v/>
      </c>
      <c r="F1191" s="1921">
        <f>$L$2/365</f>
        <v/>
      </c>
      <c r="G1191" s="1921">
        <f>D1191-F1191</f>
        <v/>
      </c>
      <c r="H1191" s="1921">
        <f>E1191-F1191</f>
        <v/>
      </c>
    </row>
    <row r="1192" ht="14.25" customHeight="1">
      <c r="A1192" s="1919" t="inlineStr">
        <is>
          <t>09/06/2021</t>
        </is>
      </c>
      <c r="B1192" s="1920" t="n">
        <v>6126.94</v>
      </c>
      <c r="C1192" s="1926" t="n">
        <v>1380</v>
      </c>
      <c r="D1192" s="1921">
        <f>B1192/B1193-1</f>
        <v/>
      </c>
      <c r="E1192" s="1921">
        <f>C1192/C1193-1</f>
        <v/>
      </c>
      <c r="F1192" s="1921">
        <f>$L$2/365</f>
        <v/>
      </c>
      <c r="G1192" s="1921">
        <f>D1192-F1192</f>
        <v/>
      </c>
      <c r="H1192" s="1921">
        <f>E1192-F1192</f>
        <v/>
      </c>
    </row>
    <row r="1193" ht="14.25" customHeight="1">
      <c r="A1193" s="1919" t="inlineStr">
        <is>
          <t>09/03/2021</t>
        </is>
      </c>
      <c r="B1193" s="1920" t="n">
        <v>6126.92</v>
      </c>
      <c r="C1193" s="1926" t="n">
        <v>1390</v>
      </c>
      <c r="D1193" s="1921">
        <f>B1193/B1194-1</f>
        <v/>
      </c>
      <c r="E1193" s="1921">
        <f>C1193/C1194-1</f>
        <v/>
      </c>
      <c r="F1193" s="1921">
        <f>$L$2/365</f>
        <v/>
      </c>
      <c r="G1193" s="1921">
        <f>D1193-F1193</f>
        <v/>
      </c>
      <c r="H1193" s="1921">
        <f>E1193-F1193</f>
        <v/>
      </c>
    </row>
    <row r="1194" ht="14.25" customHeight="1">
      <c r="A1194" s="1919" t="inlineStr">
        <is>
          <t>09/02/2021</t>
        </is>
      </c>
      <c r="B1194" s="1920" t="n">
        <v>6078.23</v>
      </c>
      <c r="C1194" s="1926" t="n">
        <v>1375</v>
      </c>
      <c r="D1194" s="1921">
        <f>B1194/B1195-1</f>
        <v/>
      </c>
      <c r="E1194" s="1921">
        <f>C1194/C1195-1</f>
        <v/>
      </c>
      <c r="F1194" s="1921">
        <f>$L$2/365</f>
        <v/>
      </c>
      <c r="G1194" s="1921">
        <f>D1194-F1194</f>
        <v/>
      </c>
      <c r="H1194" s="1921">
        <f>E1194-F1194</f>
        <v/>
      </c>
    </row>
    <row r="1195" ht="14.25" customHeight="1">
      <c r="A1195" s="1919" t="inlineStr">
        <is>
          <t>09/01/2021</t>
        </is>
      </c>
      <c r="B1195" s="1920" t="n">
        <v>6090.93</v>
      </c>
      <c r="C1195" s="1926" t="n">
        <v>1350</v>
      </c>
      <c r="D1195" s="1921">
        <f>B1195/B1196-1</f>
        <v/>
      </c>
      <c r="E1195" s="1921">
        <f>C1195/C1196-1</f>
        <v/>
      </c>
      <c r="F1195" s="1921">
        <f>$L$2/365</f>
        <v/>
      </c>
      <c r="G1195" s="1921">
        <f>D1195-F1195</f>
        <v/>
      </c>
      <c r="H1195" s="1921">
        <f>E1195-F1195</f>
        <v/>
      </c>
    </row>
    <row r="1196" ht="14.25" customHeight="1">
      <c r="A1196" s="1919" t="inlineStr">
        <is>
          <t>08/31/2021</t>
        </is>
      </c>
      <c r="B1196" s="1920" t="n">
        <v>6150.3</v>
      </c>
      <c r="C1196" s="1926" t="n">
        <v>1340</v>
      </c>
      <c r="D1196" s="1921">
        <f>B1196/B1197-1</f>
        <v/>
      </c>
      <c r="E1196" s="1921">
        <f>C1196/C1197-1</f>
        <v/>
      </c>
      <c r="F1196" s="1921">
        <f>$L$2/365</f>
        <v/>
      </c>
      <c r="G1196" s="1921">
        <f>D1196-F1196</f>
        <v/>
      </c>
      <c r="H1196" s="1921">
        <f>E1196-F1196</f>
        <v/>
      </c>
    </row>
    <row r="1197" ht="14.25" customHeight="1">
      <c r="A1197" s="1919" t="inlineStr">
        <is>
          <t>08/30/2021</t>
        </is>
      </c>
      <c r="B1197" s="1920" t="n">
        <v>6144.9</v>
      </c>
      <c r="C1197" s="1926" t="n">
        <v>1345</v>
      </c>
      <c r="D1197" s="1921">
        <f>B1197/B1198-1</f>
        <v/>
      </c>
      <c r="E1197" s="1921">
        <f>C1197/C1198-1</f>
        <v/>
      </c>
      <c r="F1197" s="1921">
        <f>$L$2/365</f>
        <v/>
      </c>
      <c r="G1197" s="1921">
        <f>D1197-F1197</f>
        <v/>
      </c>
      <c r="H1197" s="1921">
        <f>E1197-F1197</f>
        <v/>
      </c>
    </row>
    <row r="1198" ht="14.25" customHeight="1">
      <c r="A1198" s="1919" t="inlineStr">
        <is>
          <t>08/27/2021</t>
        </is>
      </c>
      <c r="B1198" s="1920" t="n">
        <v>6041.37</v>
      </c>
      <c r="C1198" s="1926" t="n">
        <v>1300</v>
      </c>
      <c r="D1198" s="1921">
        <f>B1198/B1199-1</f>
        <v/>
      </c>
      <c r="E1198" s="1921">
        <f>C1198/C1199-1</f>
        <v/>
      </c>
      <c r="F1198" s="1921">
        <f>$L$2/365</f>
        <v/>
      </c>
      <c r="G1198" s="1921">
        <f>D1198-F1198</f>
        <v/>
      </c>
      <c r="H1198" s="1921">
        <f>E1198-F1198</f>
        <v/>
      </c>
    </row>
    <row r="1199" ht="14.25" customHeight="1">
      <c r="A1199" s="1919" t="inlineStr">
        <is>
          <t>08/26/2021</t>
        </is>
      </c>
      <c r="B1199" s="1920" t="n">
        <v>6058.08</v>
      </c>
      <c r="C1199" s="1926" t="n">
        <v>1300</v>
      </c>
      <c r="D1199" s="1921">
        <f>B1199/B1200-1</f>
        <v/>
      </c>
      <c r="E1199" s="1921">
        <f>C1199/C1200-1</f>
        <v/>
      </c>
      <c r="F1199" s="1921">
        <f>$L$2/365</f>
        <v/>
      </c>
      <c r="G1199" s="1921">
        <f>D1199-F1199</f>
        <v/>
      </c>
      <c r="H1199" s="1921">
        <f>E1199-F1199</f>
        <v/>
      </c>
    </row>
    <row r="1200" ht="14.25" customHeight="1">
      <c r="A1200" s="1919" t="inlineStr">
        <is>
          <t>08/25/2021</t>
        </is>
      </c>
      <c r="B1200" s="1920" t="n">
        <v>6113.24</v>
      </c>
      <c r="C1200" s="1926" t="n">
        <v>1320</v>
      </c>
      <c r="D1200" s="1921">
        <f>B1200/B1201-1</f>
        <v/>
      </c>
      <c r="E1200" s="1921">
        <f>C1200/C1201-1</f>
        <v/>
      </c>
      <c r="F1200" s="1921">
        <f>$L$2/365</f>
        <v/>
      </c>
      <c r="G1200" s="1921">
        <f>D1200-F1200</f>
        <v/>
      </c>
      <c r="H1200" s="1921">
        <f>E1200-F1200</f>
        <v/>
      </c>
    </row>
    <row r="1201" ht="14.25" customHeight="1">
      <c r="A1201" s="1919" t="inlineStr">
        <is>
          <t>08/24/2021</t>
        </is>
      </c>
      <c r="B1201" s="1920" t="n">
        <v>6089.5</v>
      </c>
      <c r="C1201" s="1926" t="n">
        <v>1320</v>
      </c>
      <c r="D1201" s="1921">
        <f>B1201/B1202-1</f>
        <v/>
      </c>
      <c r="E1201" s="1921">
        <f>C1201/C1202-1</f>
        <v/>
      </c>
      <c r="F1201" s="1921">
        <f>$L$2/365</f>
        <v/>
      </c>
      <c r="G1201" s="1921">
        <f>D1201-F1201</f>
        <v/>
      </c>
      <c r="H1201" s="1921">
        <f>E1201-F1201</f>
        <v/>
      </c>
    </row>
    <row r="1202" ht="14.25" customHeight="1">
      <c r="A1202" s="1919" t="inlineStr">
        <is>
          <t>08/23/2021</t>
        </is>
      </c>
      <c r="B1202" s="1920" t="n">
        <v>6109.83</v>
      </c>
      <c r="C1202" s="1926" t="n">
        <v>1345</v>
      </c>
      <c r="D1202" s="802" t="n"/>
      <c r="E1202" s="802" t="n"/>
      <c r="F1202" s="803" t="n"/>
      <c r="G1202" s="803" t="n"/>
      <c r="H1202" s="803" t="n"/>
    </row>
  </sheetData>
  <mergeCells count="4">
    <mergeCell ref="K9:L9"/>
    <mergeCell ref="G2:H2"/>
    <mergeCell ref="B2:C2"/>
    <mergeCell ref="D2:E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6"/>
  <sheetViews>
    <sheetView zoomScaleNormal="100" workbookViewId="0">
      <selection activeCell="A1" sqref="A1"/>
    </sheetView>
  </sheetViews>
  <sheetFormatPr baseColWidth="8" defaultColWidth="8.5703125" defaultRowHeight="14.25"/>
  <cols>
    <col width="85.7109375" customWidth="1" min="1" max="1"/>
    <col width="15.7109375" customWidth="1" min="2" max="7"/>
  </cols>
  <sheetData>
    <row r="1" ht="14.25" customHeight="1">
      <c r="A1" s="1872" t="inlineStr">
        <is>
          <t>Company Fundamentals - Segments</t>
        </is>
      </c>
      <c r="B1" s="1873" t="n"/>
      <c r="C1" s="1873" t="n"/>
      <c r="D1" s="1873" t="n"/>
      <c r="E1" s="1873" t="n"/>
      <c r="F1" s="1873" t="n"/>
      <c r="G1" s="1873" t="n"/>
    </row>
    <row r="2" ht="14.25" customHeight="1">
      <c r="A2" s="934" t="inlineStr">
        <is>
          <t>Company Name</t>
        </is>
      </c>
      <c r="B2" s="931" t="inlineStr">
        <is>
          <t>Solusi Sinergi Digital Tbk PT (WIFI.JK)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46253.39143451389</v>
      </c>
    </row>
    <row r="11" ht="14.25" customHeight="1">
      <c r="A11" s="1875" t="inlineStr">
        <is>
          <t>Statement Data</t>
        </is>
      </c>
      <c r="B11" s="1882" t="n"/>
      <c r="C11" s="1876" t="inlineStr">
        <is>
          <t>2021</t>
        </is>
      </c>
      <c r="D11" s="1876" t="inlineStr">
        <is>
          <t>2022</t>
        </is>
      </c>
      <c r="E11" s="1876" t="inlineStr">
        <is>
          <t>2023</t>
        </is>
      </c>
      <c r="F11" s="1876" t="inlineStr">
        <is>
          <t>2024</t>
        </is>
      </c>
      <c r="G11" s="1876" t="inlineStr">
        <is>
          <t>2025</t>
        </is>
      </c>
    </row>
    <row r="12" ht="14.25" customHeight="1">
      <c r="A12" s="1877" t="inlineStr">
        <is>
          <t>Period End Date</t>
        </is>
      </c>
      <c r="C12" s="1878" t="n">
        <v>44561</v>
      </c>
      <c r="D12" s="1878" t="n">
        <v>44926</v>
      </c>
      <c r="E12" s="1878" t="n">
        <v>45291</v>
      </c>
      <c r="F12" s="1878" t="n">
        <v>45657</v>
      </c>
      <c r="G12" s="1878" t="n">
        <v>46022</v>
      </c>
    </row>
    <row r="13" ht="14.25" customHeight="1">
      <c r="A13" s="1877" t="inlineStr">
        <is>
          <t>Statement Date</t>
        </is>
      </c>
      <c r="C13" s="1878" t="n">
        <v>44561</v>
      </c>
      <c r="D13" s="1878" t="n">
        <v>44926</v>
      </c>
      <c r="E13" s="1878" t="n">
        <v>45291</v>
      </c>
      <c r="F13" s="1878" t="n">
        <v>45657</v>
      </c>
      <c r="G13" s="1878" t="n">
        <v>46022</v>
      </c>
    </row>
    <row r="14" ht="14.25" customHeight="1">
      <c r="A14" s="1877" t="inlineStr">
        <is>
          <t>Complete Statement</t>
        </is>
      </c>
      <c r="C14" s="1880" t="inlineStr">
        <is>
          <t>Complete</t>
        </is>
      </c>
      <c r="D14" s="1880" t="inlineStr">
        <is>
          <t>Complete</t>
        </is>
      </c>
      <c r="E14" s="1880" t="inlineStr">
        <is>
          <t>Complete</t>
        </is>
      </c>
      <c r="F14" s="1880" t="inlineStr">
        <is>
          <t>Complete</t>
        </is>
      </c>
      <c r="G14" s="1880" t="inlineStr">
        <is>
          <t>Complete</t>
        </is>
      </c>
    </row>
    <row r="15" ht="14.25" customHeight="1">
      <c r="A15" s="1877" t="inlineStr">
        <is>
          <t>Consolidated</t>
        </is>
      </c>
      <c r="C15" s="1880" t="inlineStr">
        <is>
          <t>Consolidated</t>
        </is>
      </c>
      <c r="D15" s="1880" t="inlineStr">
        <is>
          <t>Consolidated</t>
        </is>
      </c>
      <c r="E15" s="1880" t="inlineStr">
        <is>
          <t>Consolidated</t>
        </is>
      </c>
      <c r="F15" s="1880" t="inlineStr">
        <is>
          <t>Consolidated</t>
        </is>
      </c>
      <c r="G15" s="1880" t="inlineStr">
        <is>
          <t>Consolidated</t>
        </is>
      </c>
    </row>
    <row r="16" ht="14.25" customHeight="1">
      <c r="A16" s="1877" t="inlineStr">
        <is>
          <t>Accounting Standard</t>
        </is>
      </c>
      <c r="C16" s="1880" t="inlineStr">
        <is>
          <t>Indonesian</t>
        </is>
      </c>
      <c r="D16" s="1880" t="inlineStr">
        <is>
          <t>Indonesian</t>
        </is>
      </c>
      <c r="E16" s="1880" t="inlineStr">
        <is>
          <t>Indonesian</t>
        </is>
      </c>
      <c r="F16" s="1880" t="inlineStr">
        <is>
          <t>Indonesian</t>
        </is>
      </c>
      <c r="G16" s="1880" t="inlineStr">
        <is>
          <t>Indonesian</t>
        </is>
      </c>
    </row>
    <row r="18" ht="14.25" customHeight="1">
      <c r="A18" s="1881" t="inlineStr">
        <is>
          <t>Segments - Business Line By Segment (Currency: Indonesia Rupiah)</t>
        </is>
      </c>
      <c r="B18" s="1882" t="n"/>
      <c r="C18" s="1882" t="n"/>
      <c r="D18" s="1882" t="n"/>
      <c r="E18" s="1882" t="n"/>
      <c r="F18" s="1882" t="n"/>
      <c r="G18" s="1882" t="n"/>
    </row>
    <row r="19" ht="14.25" customHeight="1">
      <c r="A19" s="1881" t="inlineStr">
        <is>
          <t>Field Name</t>
        </is>
      </c>
      <c r="B19" s="1883" t="inlineStr">
        <is>
          <t>TRBC</t>
        </is>
      </c>
      <c r="C19" s="1883" t="inlineStr">
        <is>
          <t>31-12-2021</t>
        </is>
      </c>
      <c r="D19" s="1883" t="inlineStr">
        <is>
          <t>31-12-2022</t>
        </is>
      </c>
      <c r="E19" s="1883" t="inlineStr">
        <is>
          <t>31-12-2023</t>
        </is>
      </c>
      <c r="F19" s="1883" t="inlineStr">
        <is>
          <t>31-12-2024</t>
        </is>
      </c>
      <c r="G19" s="1883" t="inlineStr">
        <is>
          <t>31-12-2025</t>
        </is>
      </c>
    </row>
    <row r="20" ht="14.25" customHeight="1">
      <c r="A20" s="1927" t="inlineStr">
        <is>
          <t>Advertising</t>
        </is>
      </c>
      <c r="B20" s="1928" t="n">
        <v>541810</v>
      </c>
      <c r="C20" s="728" t="n"/>
      <c r="D20" s="728" t="n"/>
      <c r="E20" s="728" t="n"/>
      <c r="F20" s="728" t="n"/>
      <c r="G20" s="728" t="n"/>
    </row>
    <row r="21" ht="14.25" customHeight="1">
      <c r="A21" s="1886" t="inlineStr">
        <is>
          <t>Cost of Revenues - Total</t>
        </is>
      </c>
      <c r="B21" s="730" t="n"/>
      <c r="C21" s="1807" t="n">
        <v>47528702.37</v>
      </c>
      <c r="D21" s="1807" t="n">
        <v>89995932.65000001</v>
      </c>
      <c r="E21" s="1807" t="n">
        <v>140896788.55</v>
      </c>
      <c r="F21" s="1807" t="n">
        <v>166315532.87</v>
      </c>
      <c r="G21" s="1807" t="n">
        <v>294222040.28</v>
      </c>
    </row>
    <row r="22" ht="14.25" customHeight="1">
      <c r="A22" s="1886" t="inlineStr">
        <is>
          <t>Depreciation</t>
        </is>
      </c>
      <c r="B22" s="730" t="n"/>
      <c r="C22" s="1807" t="n">
        <v>27880553.35</v>
      </c>
      <c r="D22" s="1807" t="n">
        <v>23352383.59</v>
      </c>
      <c r="E22" s="1807" t="n">
        <v>42181256.28</v>
      </c>
      <c r="F22" s="1807" t="n">
        <v>66898859.98</v>
      </c>
      <c r="G22" s="1807" t="n">
        <v>81526195.15000001</v>
      </c>
    </row>
    <row r="23" ht="14.25" customHeight="1">
      <c r="A23" s="1886" t="inlineStr">
        <is>
          <t>External Revenue</t>
        </is>
      </c>
      <c r="B23" s="730" t="n"/>
      <c r="C23" s="1807" t="n">
        <v>99684905.15000001</v>
      </c>
      <c r="D23" s="1807" t="n">
        <v>189213101.13</v>
      </c>
      <c r="E23" s="1807" t="n">
        <v>260164112.56</v>
      </c>
      <c r="F23" s="1807" t="n">
        <v>316508228.5</v>
      </c>
      <c r="G23" s="1807" t="n">
        <v>445378468.78</v>
      </c>
    </row>
    <row r="24" ht="14.25" customHeight="1">
      <c r="A24" s="729" t="n"/>
      <c r="B24" s="730" t="n"/>
      <c r="C24" s="731" t="n"/>
      <c r="D24" s="1929">
        <f>D23/C23-1</f>
        <v/>
      </c>
      <c r="E24" s="1929">
        <f>E23/D23-1</f>
        <v/>
      </c>
      <c r="F24" s="1929">
        <f>F23/E23-1</f>
        <v/>
      </c>
      <c r="G24" s="1929">
        <f>G23/F23-1</f>
        <v/>
      </c>
      <c r="I24" s="1477">
        <f>AVERAGE(D24:G24)</f>
        <v/>
      </c>
    </row>
    <row r="25" ht="14.25" customHeight="1">
      <c r="A25" s="1886" t="inlineStr">
        <is>
          <t>Gross Profit</t>
        </is>
      </c>
      <c r="B25" s="730" t="n"/>
      <c r="C25" s="1807" t="n">
        <v>52156202.77</v>
      </c>
      <c r="D25" s="1807" t="n">
        <v>99217168.48</v>
      </c>
      <c r="E25" s="1807" t="n">
        <v>119267324.01</v>
      </c>
      <c r="F25" s="1807" t="n">
        <v>150192695.63</v>
      </c>
      <c r="G25" s="1807" t="n">
        <v>151156428.5</v>
      </c>
    </row>
    <row r="26" ht="14.25" customHeight="1">
      <c r="A26" s="1886" t="inlineStr">
        <is>
          <t>Operating Expenses - Total</t>
        </is>
      </c>
      <c r="B26" s="730" t="n"/>
      <c r="C26" s="1807" t="n">
        <v>22416664.6</v>
      </c>
      <c r="D26" s="1807" t="n">
        <v>5779493.33</v>
      </c>
      <c r="E26" s="1807" t="n">
        <v>30664806.89</v>
      </c>
      <c r="F26" s="1807" t="n">
        <v>29113844.32</v>
      </c>
      <c r="G26" s="1807" t="n">
        <v>14890103.31</v>
      </c>
    </row>
    <row r="27" ht="14.25" customHeight="1">
      <c r="A27" s="1886" t="inlineStr">
        <is>
          <t>Operating Income/Loss</t>
        </is>
      </c>
      <c r="B27" s="730" t="n"/>
      <c r="C27" s="1807" t="n">
        <v>29739538.17</v>
      </c>
      <c r="D27" s="1807" t="n">
        <v>93437675.14</v>
      </c>
      <c r="E27" s="1807" t="n">
        <v>88602517.12</v>
      </c>
      <c r="F27" s="1807" t="n">
        <v>121078851.31</v>
      </c>
      <c r="G27" s="1807" t="n">
        <v>136266325.19</v>
      </c>
    </row>
    <row r="28" ht="14.25" customHeight="1">
      <c r="A28" s="1886" t="inlineStr">
        <is>
          <t>Total Assets</t>
        </is>
      </c>
      <c r="B28" s="730" t="n"/>
      <c r="C28" s="1807" t="n">
        <v>466440219.65</v>
      </c>
      <c r="D28" s="1807" t="n">
        <v>540804997.87</v>
      </c>
      <c r="E28" s="1807" t="n">
        <v>681920848.41</v>
      </c>
      <c r="F28" s="1807" t="n">
        <v>676271356.53</v>
      </c>
      <c r="G28" s="1807" t="n">
        <v>1485960969.77</v>
      </c>
    </row>
    <row r="29" ht="14.25" customHeight="1">
      <c r="A29" s="1886" t="inlineStr">
        <is>
          <t>Total Liabilities including Debt - Short-Term &amp; Long-Term</t>
        </is>
      </c>
      <c r="B29" s="730" t="n"/>
      <c r="C29" s="1807" t="n">
        <v>77324775.88</v>
      </c>
      <c r="D29" s="1807" t="n">
        <v>87067686.98</v>
      </c>
      <c r="E29" s="1807" t="n">
        <v>106885493.71</v>
      </c>
      <c r="F29" s="1807" t="n">
        <v>1360778694.55</v>
      </c>
      <c r="G29" s="1807" t="n">
        <v>628385978.8200001</v>
      </c>
    </row>
    <row r="30" ht="26.25" customHeight="1">
      <c r="A30" s="1927" t="inlineStr">
        <is>
          <t>Telecommunication</t>
        </is>
      </c>
      <c r="B30" s="1930" t="inlineStr">
        <is>
          <t>517810, 513210, 517111, 541511</t>
        </is>
      </c>
      <c r="C30" s="728" t="n"/>
      <c r="D30" s="728" t="n"/>
      <c r="E30" s="728" t="n"/>
      <c r="F30" s="728" t="n"/>
      <c r="G30" s="728" t="n"/>
    </row>
    <row r="31" ht="14.25" customHeight="1">
      <c r="A31" s="1886" t="inlineStr">
        <is>
          <t>Cost of Revenues - Total</t>
        </is>
      </c>
      <c r="B31" s="730" t="n"/>
      <c r="C31" s="1807" t="n">
        <v>5456158.99</v>
      </c>
      <c r="D31" s="1807" t="n">
        <v>29290882.6</v>
      </c>
      <c r="E31" s="1807" t="n">
        <v>55367849.18</v>
      </c>
      <c r="F31" s="1807" t="n">
        <v>90765154.52</v>
      </c>
      <c r="G31" s="1807" t="n">
        <v>238539064.83</v>
      </c>
    </row>
    <row r="32" ht="14.25" customHeight="1">
      <c r="A32" s="1886" t="inlineStr">
        <is>
          <t>Depreciation</t>
        </is>
      </c>
      <c r="B32" s="730" t="n"/>
      <c r="C32" s="1807" t="n">
        <v>5218406.93</v>
      </c>
      <c r="D32" s="1807" t="n">
        <v>26739747.29</v>
      </c>
      <c r="E32" s="1807" t="n">
        <v>5024163.28</v>
      </c>
      <c r="F32" s="1807" t="n">
        <v>61547198.27</v>
      </c>
      <c r="G32" s="1807" t="n">
        <v>114476020.52</v>
      </c>
    </row>
    <row r="33" ht="14.25" customHeight="1">
      <c r="A33" s="1886" t="inlineStr">
        <is>
          <t>External Revenue</t>
        </is>
      </c>
      <c r="B33" s="730" t="n"/>
      <c r="C33" s="1807" t="n">
        <v>1075200</v>
      </c>
      <c r="D33" s="1807" t="n">
        <v>37573231.22</v>
      </c>
      <c r="E33" s="1807" t="n">
        <v>121702169.86</v>
      </c>
      <c r="F33" s="1807" t="n">
        <v>355345772.78</v>
      </c>
      <c r="G33" s="1807" t="n">
        <v>1214017601.08</v>
      </c>
    </row>
    <row r="34" ht="14.25" customHeight="1">
      <c r="A34" s="1886" t="inlineStr">
        <is>
          <t>Gross Profit</t>
        </is>
      </c>
      <c r="B34" s="730" t="n"/>
      <c r="C34" s="1807" t="n">
        <v>-4380958.99</v>
      </c>
      <c r="D34" s="1807" t="n">
        <v>8282348.62</v>
      </c>
      <c r="E34" s="1807" t="n">
        <v>50616296.53</v>
      </c>
      <c r="F34" s="1807" t="n">
        <v>264580618.26</v>
      </c>
      <c r="G34" s="1807" t="n">
        <v>975478536.26</v>
      </c>
    </row>
    <row r="35" ht="14.25" customHeight="1">
      <c r="A35" s="1886" t="inlineStr">
        <is>
          <t>Operating Expenses - Total</t>
        </is>
      </c>
      <c r="B35" s="730" t="n"/>
      <c r="C35" s="1807" t="n">
        <v>2952162.54</v>
      </c>
      <c r="D35" s="1807" t="n">
        <v>5617843.89</v>
      </c>
      <c r="E35" s="1807" t="n">
        <v>13518284.31</v>
      </c>
      <c r="F35" s="1807" t="n">
        <v>40768213.52</v>
      </c>
      <c r="G35" s="1807" t="n">
        <v>156106630.86</v>
      </c>
    </row>
    <row r="36" ht="14.25" customHeight="1">
      <c r="A36" s="1886" t="inlineStr">
        <is>
          <t>Operating Income/Loss</t>
        </is>
      </c>
      <c r="B36" s="730" t="n"/>
      <c r="C36" s="1807" t="n">
        <v>-7333121.52</v>
      </c>
      <c r="D36" s="1807" t="n">
        <v>2664504.73</v>
      </c>
      <c r="E36" s="1807" t="n">
        <v>37098012.22</v>
      </c>
      <c r="F36" s="1807" t="n">
        <v>223812404.74</v>
      </c>
      <c r="G36" s="1807" t="n">
        <v>819371905.39</v>
      </c>
    </row>
    <row r="37" ht="14.25" customHeight="1">
      <c r="A37" s="1886" t="inlineStr">
        <is>
          <t>Total Assets</t>
        </is>
      </c>
      <c r="B37" s="730" t="n"/>
      <c r="C37" s="1807" t="n">
        <v>409261005.71</v>
      </c>
      <c r="D37" s="1807" t="n">
        <v>835810014.71</v>
      </c>
      <c r="E37" s="1807" t="n">
        <v>46498751.43</v>
      </c>
      <c r="F37" s="1807" t="n">
        <v>2231144375.84</v>
      </c>
      <c r="G37" s="1807" t="n">
        <v>13683701256.4</v>
      </c>
    </row>
    <row r="38" ht="14.25" customHeight="1">
      <c r="A38" s="1886" t="inlineStr">
        <is>
          <t>Total Liabilities including Debt - Short-Term &amp; Long-Term</t>
        </is>
      </c>
      <c r="B38" s="730" t="n"/>
      <c r="C38" s="1807" t="n">
        <v>282687667.1</v>
      </c>
      <c r="D38" s="1807" t="n">
        <v>677434644.88</v>
      </c>
      <c r="E38" s="1807" t="n">
        <v>37263501.71</v>
      </c>
      <c r="F38" s="1807" t="n">
        <v>576793708.64</v>
      </c>
      <c r="G38" s="1807" t="n">
        <v>6023331394.34</v>
      </c>
    </row>
    <row r="39" ht="14.25" customHeight="1">
      <c r="A39" s="1927" t="inlineStr">
        <is>
          <t>Digital product</t>
        </is>
      </c>
      <c r="B39" s="1930" t="inlineStr">
        <is>
          <t>513210, 541511</t>
        </is>
      </c>
      <c r="C39" s="728" t="n"/>
      <c r="D39" s="728" t="n"/>
      <c r="E39" s="728" t="n"/>
      <c r="F39" s="728" t="n"/>
      <c r="G39" s="728" t="n"/>
    </row>
    <row r="40" ht="14.25" customHeight="1">
      <c r="A40" s="1886" t="inlineStr">
        <is>
          <t>Cost of Revenues - Total</t>
        </is>
      </c>
      <c r="B40" s="730" t="n"/>
      <c r="C40" s="1807" t="n">
        <v>286293021.03</v>
      </c>
      <c r="D40" s="1807" t="n">
        <v>233202004.88</v>
      </c>
      <c r="E40" s="1807" t="n">
        <v>71085873.33</v>
      </c>
      <c r="F40" s="1807" t="n">
        <v>0</v>
      </c>
      <c r="G40" s="731" t="n"/>
    </row>
    <row r="41" ht="14.25" customHeight="1">
      <c r="A41" s="1886" t="inlineStr">
        <is>
          <t>Depreciation</t>
        </is>
      </c>
      <c r="B41" s="730" t="n"/>
      <c r="C41" s="1807" t="n">
        <v>378645.16</v>
      </c>
      <c r="D41" s="1807" t="n">
        <v>9692813.6</v>
      </c>
      <c r="E41" s="1807" t="n">
        <v>56949538.83</v>
      </c>
      <c r="F41" s="1807" t="n">
        <v>0</v>
      </c>
      <c r="G41" s="731" t="n"/>
    </row>
    <row r="42" ht="14.25" customHeight="1">
      <c r="A42" s="1886" t="inlineStr">
        <is>
          <t>External Revenue</t>
        </is>
      </c>
      <c r="B42" s="730" t="n"/>
      <c r="C42" s="1807" t="n">
        <v>290197011.74</v>
      </c>
      <c r="D42" s="1807" t="n">
        <v>234466345.64</v>
      </c>
      <c r="E42" s="1807" t="n">
        <v>57460084.82</v>
      </c>
      <c r="F42" s="1807" t="n">
        <v>0</v>
      </c>
      <c r="G42" s="731" t="n"/>
    </row>
    <row r="43" ht="14.25" customHeight="1">
      <c r="A43" s="1886" t="inlineStr">
        <is>
          <t>Gross Profit</t>
        </is>
      </c>
      <c r="B43" s="730" t="n"/>
      <c r="C43" s="1807" t="n">
        <v>3903990.71</v>
      </c>
      <c r="D43" s="1807" t="n">
        <v>1264340.76</v>
      </c>
      <c r="E43" s="1807" t="n">
        <v>2092235.64</v>
      </c>
      <c r="F43" s="1807" t="n">
        <v>0</v>
      </c>
      <c r="G43" s="731" t="n"/>
    </row>
    <row r="44" ht="14.25" customHeight="1">
      <c r="A44" s="1886" t="inlineStr">
        <is>
          <t>Operating Expenses - Total</t>
        </is>
      </c>
      <c r="B44" s="730" t="n"/>
      <c r="C44" s="1807" t="n">
        <v>5274287.43</v>
      </c>
      <c r="D44" s="1807" t="n">
        <v>4612807.57</v>
      </c>
      <c r="E44" s="1807" t="n">
        <v>2491093.65</v>
      </c>
      <c r="F44" s="1807" t="n">
        <v>0</v>
      </c>
      <c r="G44" s="731" t="n"/>
    </row>
    <row r="45" ht="14.25" customHeight="1">
      <c r="A45" s="1886" t="inlineStr">
        <is>
          <t>Operating Income/Loss</t>
        </is>
      </c>
      <c r="B45" s="730" t="n"/>
      <c r="C45" s="1807" t="n">
        <v>-1370296.72</v>
      </c>
      <c r="D45" s="1807" t="n">
        <v>-3348466.81</v>
      </c>
      <c r="E45" s="1807" t="n">
        <v>-398858</v>
      </c>
      <c r="F45" s="1807" t="n">
        <v>0</v>
      </c>
      <c r="G45" s="731" t="n"/>
    </row>
    <row r="46" ht="14.25" customHeight="1">
      <c r="A46" s="1886" t="inlineStr">
        <is>
          <t>Total Assets</t>
        </is>
      </c>
      <c r="B46" s="730" t="n"/>
      <c r="C46" s="1807" t="n">
        <v>20608225.51</v>
      </c>
      <c r="D46" s="1807" t="n">
        <v>31120478.15</v>
      </c>
      <c r="E46" s="1807" t="n">
        <v>835810014.71</v>
      </c>
      <c r="F46" s="1807" t="n">
        <v>0</v>
      </c>
      <c r="G46" s="731" t="n"/>
    </row>
    <row r="47" ht="14.25" customHeight="1">
      <c r="A47" s="1886" t="inlineStr">
        <is>
          <t>Total Liabilities including Debt - Short-Term &amp; Long-Term</t>
        </is>
      </c>
      <c r="B47" s="730" t="n"/>
      <c r="C47" s="1807" t="n">
        <v>20341608.99</v>
      </c>
      <c r="D47" s="1807" t="n">
        <v>30505063.85</v>
      </c>
      <c r="E47" s="1807" t="n">
        <v>677434644.88</v>
      </c>
      <c r="F47" s="1807" t="n">
        <v>0</v>
      </c>
      <c r="G47" s="731" t="n"/>
    </row>
    <row r="48" ht="14.25" customHeight="1">
      <c r="A48" s="1927" t="inlineStr">
        <is>
          <t>Total</t>
        </is>
      </c>
      <c r="B48" s="727" t="n"/>
      <c r="C48" s="728" t="n"/>
      <c r="D48" s="728" t="n"/>
      <c r="E48" s="728" t="n"/>
      <c r="F48" s="728" t="n"/>
      <c r="G48" s="728" t="n"/>
    </row>
    <row r="49" ht="14.25" customHeight="1">
      <c r="A49" s="1886" t="inlineStr">
        <is>
          <t>Cost of Revenues - Total</t>
        </is>
      </c>
      <c r="B49" s="730" t="n"/>
      <c r="C49" s="1807" t="n">
        <v>339277882.39</v>
      </c>
      <c r="D49" s="1807" t="n">
        <v>352488820.13</v>
      </c>
      <c r="E49" s="1807" t="n">
        <v>267350511.06</v>
      </c>
      <c r="F49" s="1807" t="n">
        <v>257080687.38</v>
      </c>
      <c r="G49" s="1807" t="n">
        <v>532761105.11</v>
      </c>
    </row>
    <row r="50" ht="14.25" customHeight="1">
      <c r="A50" s="1886" t="inlineStr">
        <is>
          <t>Depreciation</t>
        </is>
      </c>
      <c r="B50" s="730" t="n"/>
      <c r="C50" s="1807" t="n">
        <v>33477605.44</v>
      </c>
      <c r="D50" s="1807" t="n">
        <v>59784944.48</v>
      </c>
      <c r="E50" s="1807" t="n">
        <v>104154958.39</v>
      </c>
      <c r="F50" s="1807" t="n">
        <v>128446058.25</v>
      </c>
      <c r="G50" s="1807" t="n">
        <v>196002215.67</v>
      </c>
    </row>
    <row r="51" ht="14.25" customHeight="1">
      <c r="A51" s="1886" t="inlineStr">
        <is>
          <t>External Revenue</t>
        </is>
      </c>
      <c r="B51" s="730" t="n"/>
      <c r="C51" s="1807" t="n">
        <v>390957116.89</v>
      </c>
      <c r="D51" s="1807" t="n">
        <v>461252677.98</v>
      </c>
      <c r="E51" s="1807" t="n">
        <v>439326367.24</v>
      </c>
      <c r="F51" s="1807" t="n">
        <v>671854001.27</v>
      </c>
      <c r="G51" s="1807" t="n">
        <v>1659396069.86</v>
      </c>
    </row>
    <row r="52" ht="14.25" customHeight="1">
      <c r="A52" s="1886" t="inlineStr">
        <is>
          <t>Gross Profit</t>
        </is>
      </c>
      <c r="B52" s="730" t="n"/>
      <c r="C52" s="1807" t="n">
        <v>51679234.5</v>
      </c>
      <c r="D52" s="1807" t="n">
        <v>108763857.85</v>
      </c>
      <c r="E52" s="1807" t="n">
        <v>171975856.18</v>
      </c>
      <c r="F52" s="1807" t="n">
        <v>414773313.89</v>
      </c>
      <c r="G52" s="1807" t="n">
        <v>1126634964.75</v>
      </c>
    </row>
    <row r="53" ht="14.25" customHeight="1">
      <c r="A53" s="1886" t="inlineStr">
        <is>
          <t>Operating Expenses - Total</t>
        </is>
      </c>
      <c r="B53" s="730" t="n"/>
      <c r="C53" s="1807" t="n">
        <v>30643114.56</v>
      </c>
      <c r="D53" s="1807" t="n">
        <v>16010144.79</v>
      </c>
      <c r="E53" s="1807" t="n">
        <v>46674184.85</v>
      </c>
      <c r="F53" s="1807" t="n">
        <v>69882057.84</v>
      </c>
      <c r="G53" s="1807" t="n">
        <v>170996734.17</v>
      </c>
    </row>
    <row r="54" ht="14.25" customHeight="1">
      <c r="A54" s="1886" t="inlineStr">
        <is>
          <t>Operating Income/Loss</t>
        </is>
      </c>
      <c r="B54" s="730" t="n"/>
      <c r="C54" s="1807" t="n">
        <v>21036119.93</v>
      </c>
      <c r="D54" s="1807" t="n">
        <v>92753713.06999999</v>
      </c>
      <c r="E54" s="1807" t="n">
        <v>125301671.33</v>
      </c>
      <c r="F54" s="1807" t="n">
        <v>344891256.05</v>
      </c>
      <c r="G54" s="1807" t="n">
        <v>955638230.58</v>
      </c>
    </row>
    <row r="55" ht="14.25" customHeight="1">
      <c r="A55" s="1886" t="inlineStr">
        <is>
          <t>Total Assets</t>
        </is>
      </c>
      <c r="B55" s="730" t="n"/>
      <c r="C55" s="1807" t="n">
        <v>896309450.88</v>
      </c>
      <c r="D55" s="1807" t="n">
        <v>1407735490.73</v>
      </c>
      <c r="E55" s="1807" t="n">
        <v>1564229614.55</v>
      </c>
      <c r="F55" s="1807" t="n">
        <v>2907415732.37</v>
      </c>
      <c r="G55" s="1807" t="n">
        <v>15169662226.17</v>
      </c>
    </row>
    <row r="56" ht="14.25" customHeight="1">
      <c r="A56" s="1886" t="inlineStr">
        <is>
          <t>Total Liabilities including Debt - Short-Term &amp; Long-Term</t>
        </is>
      </c>
      <c r="B56" s="730" t="n"/>
      <c r="C56" s="1807" t="n">
        <v>380354051.97</v>
      </c>
      <c r="D56" s="1807" t="n">
        <v>795007395.71</v>
      </c>
      <c r="E56" s="1807" t="n">
        <v>821583640.3</v>
      </c>
      <c r="F56" s="1807" t="n">
        <v>1937572403.18</v>
      </c>
      <c r="G56" s="1807" t="n">
        <v>6651717373.16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374"/>
  <sheetViews>
    <sheetView zoomScaleNormal="100" workbookViewId="0">
      <selection activeCell="A1" sqref="A1"/>
    </sheetView>
  </sheetViews>
  <sheetFormatPr baseColWidth="8" defaultColWidth="8.7109375" defaultRowHeight="14.25" outlineLevelRow="1"/>
  <cols>
    <col width="85.7109375" customWidth="1" min="1" max="1"/>
    <col width="15.7109375" customWidth="1" min="2" max="6"/>
  </cols>
  <sheetData>
    <row r="1" ht="15" customHeight="1">
      <c r="A1" s="1872" t="inlineStr">
        <is>
          <t>Company Fundamentals - Income Statement</t>
        </is>
      </c>
      <c r="B1" s="1873" t="n"/>
      <c r="C1" s="1873" t="n"/>
      <c r="D1" s="1873" t="n"/>
      <c r="E1" s="1873" t="n"/>
      <c r="F1" s="1873" t="n"/>
    </row>
    <row r="2" ht="15" customHeight="1">
      <c r="A2" s="934" t="inlineStr">
        <is>
          <t>Company Name</t>
        </is>
      </c>
      <c r="B2" s="931" t="inlineStr">
        <is>
          <t>Solusi Sinergi Digital Tbk PT (WIFI.JK)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46253.39143454861</v>
      </c>
    </row>
    <row r="11" ht="14.25" customHeight="1">
      <c r="A11" s="1875" t="inlineStr">
        <is>
          <t>Statement Data</t>
        </is>
      </c>
      <c r="B11" s="1876" t="inlineStr">
        <is>
          <t>2021</t>
        </is>
      </c>
      <c r="C11" s="1876" t="inlineStr">
        <is>
          <t>2022</t>
        </is>
      </c>
      <c r="D11" s="1876" t="inlineStr">
        <is>
          <t>2023</t>
        </is>
      </c>
      <c r="E11" s="1876" t="inlineStr">
        <is>
          <t>2024</t>
        </is>
      </c>
      <c r="F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B12" s="1878" t="n">
        <v>44561</v>
      </c>
      <c r="C12" s="1878" t="n">
        <v>44926</v>
      </c>
      <c r="D12" s="1878" t="n">
        <v>45291</v>
      </c>
      <c r="E12" s="1878" t="n">
        <v>45657</v>
      </c>
      <c r="F12" s="1878" t="n">
        <v>46022</v>
      </c>
    </row>
    <row r="13" outlineLevel="1" ht="15" customHeight="1">
      <c r="A13" s="1877" t="inlineStr">
        <is>
          <t>Standardized Currency</t>
        </is>
      </c>
      <c r="B13" s="1879" t="inlineStr">
        <is>
          <t>IDR</t>
        </is>
      </c>
      <c r="C13" s="1879" t="inlineStr">
        <is>
          <t>IDR</t>
        </is>
      </c>
      <c r="D13" s="1879" t="inlineStr">
        <is>
          <t>IDR</t>
        </is>
      </c>
      <c r="E13" s="1879" t="inlineStr">
        <is>
          <t>IDR</t>
        </is>
      </c>
      <c r="F13" s="1879" t="inlineStr">
        <is>
          <t>IDR</t>
        </is>
      </c>
    </row>
    <row r="14" outlineLevel="1" ht="15" customHeight="1">
      <c r="A14" s="1877" t="inlineStr">
        <is>
          <t>Statement Date</t>
        </is>
      </c>
      <c r="B14" s="1878" t="n">
        <v>44561</v>
      </c>
      <c r="C14" s="1878" t="n">
        <v>44926</v>
      </c>
      <c r="D14" s="1878" t="n">
        <v>45291</v>
      </c>
      <c r="E14" s="1878" t="n">
        <v>45657</v>
      </c>
      <c r="F14" s="1878" t="n">
        <v>46022</v>
      </c>
    </row>
    <row r="15" outlineLevel="1" ht="15" customHeight="1">
      <c r="A15" s="1877" t="inlineStr">
        <is>
          <t>Complete Statement</t>
        </is>
      </c>
      <c r="B15" s="1880" t="inlineStr">
        <is>
          <t>Complete</t>
        </is>
      </c>
      <c r="C15" s="1880" t="inlineStr">
        <is>
          <t>Complete</t>
        </is>
      </c>
      <c r="D15" s="1880" t="inlineStr">
        <is>
          <t>Complete</t>
        </is>
      </c>
      <c r="E15" s="1880" t="inlineStr">
        <is>
          <t>Complete</t>
        </is>
      </c>
      <c r="F15" s="1880" t="inlineStr">
        <is>
          <t>Complete</t>
        </is>
      </c>
    </row>
    <row r="16" outlineLevel="1" ht="15" customHeight="1">
      <c r="A16" s="1877" t="inlineStr">
        <is>
          <t>Consolidated</t>
        </is>
      </c>
      <c r="B16" s="1880" t="inlineStr">
        <is>
          <t>Consolidated</t>
        </is>
      </c>
      <c r="C16" s="1880" t="inlineStr">
        <is>
          <t>Consolidated</t>
        </is>
      </c>
      <c r="D16" s="1880" t="inlineStr">
        <is>
          <t>Consolidated</t>
        </is>
      </c>
      <c r="E16" s="1880" t="inlineStr">
        <is>
          <t>Consolidated</t>
        </is>
      </c>
      <c r="F16" s="1880" t="inlineStr">
        <is>
          <t>Consolidated</t>
        </is>
      </c>
    </row>
    <row r="17" outlineLevel="1" ht="15" customHeight="1">
      <c r="A17" s="1877" t="inlineStr">
        <is>
          <t>Accounting Standard</t>
        </is>
      </c>
      <c r="B17" s="1880" t="inlineStr">
        <is>
          <t>Indonesian</t>
        </is>
      </c>
      <c r="C17" s="1880" t="inlineStr">
        <is>
          <t>Indonesian</t>
        </is>
      </c>
      <c r="D17" s="1880" t="inlineStr">
        <is>
          <t>Indonesian</t>
        </is>
      </c>
      <c r="E17" s="1880" t="inlineStr">
        <is>
          <t>Indonesian</t>
        </is>
      </c>
      <c r="F17" s="1880" t="inlineStr">
        <is>
          <t>Indonesian</t>
        </is>
      </c>
    </row>
    <row r="18" ht="14.25" customHeight="1">
      <c r="A18" s="1881" t="inlineStr">
        <is>
          <t>Income Statement - Standardized (Currency: Indonesia Rupiah)</t>
        </is>
      </c>
      <c r="B18" s="1882" t="n"/>
      <c r="C18" s="1882" t="n"/>
      <c r="D18" s="1882" t="n"/>
      <c r="E18" s="1882" t="n"/>
      <c r="F18" s="1882" t="n"/>
    </row>
    <row r="19" ht="14.25" customHeight="1">
      <c r="A19" s="1881" t="inlineStr">
        <is>
          <t>Field Name</t>
        </is>
      </c>
      <c r="B19" s="1883" t="inlineStr">
        <is>
          <t>31-12-2021</t>
        </is>
      </c>
      <c r="C19" s="1883" t="inlineStr">
        <is>
          <t>31-12-2022</t>
        </is>
      </c>
      <c r="D19" s="1883" t="inlineStr">
        <is>
          <t>31-12-2023</t>
        </is>
      </c>
      <c r="E19" s="1883" t="inlineStr">
        <is>
          <t>31-12-2024</t>
        </is>
      </c>
      <c r="F19" s="1883" t="inlineStr">
        <is>
          <t>31-12-2025</t>
        </is>
      </c>
    </row>
    <row r="20" ht="15" customHeight="1">
      <c r="A20" s="1884" t="inlineStr">
        <is>
          <t>Revenues</t>
        </is>
      </c>
      <c r="B20" s="734" t="n"/>
      <c r="C20" s="734" t="n"/>
      <c r="D20" s="734" t="n"/>
      <c r="E20" s="734" t="n"/>
      <c r="F20" s="734" t="n"/>
    </row>
    <row r="21" ht="15" customHeight="1">
      <c r="A21" s="1885" t="inlineStr">
        <is>
          <t>Revenue from Goods &amp; Services</t>
        </is>
      </c>
      <c r="B21" s="1807" t="n">
        <v>390957116.89</v>
      </c>
      <c r="C21" s="1807" t="n">
        <v>461252677.98</v>
      </c>
      <c r="D21" s="1807" t="n">
        <v>439326367.24</v>
      </c>
      <c r="E21" s="1807" t="n">
        <v>671854001.27</v>
      </c>
      <c r="F21" s="1807" t="n">
        <v>1659396069.86</v>
      </c>
    </row>
    <row r="22" ht="15" customHeight="1">
      <c r="A22" s="1886" t="inlineStr">
        <is>
          <t>Sales of Goods &amp; Services - Net - Unclassified</t>
        </is>
      </c>
      <c r="B22" s="1807" t="n">
        <v>390957116.89</v>
      </c>
      <c r="C22" s="1807" t="n">
        <v>461252677.98</v>
      </c>
      <c r="D22" s="1807" t="n">
        <v>439326367.24</v>
      </c>
      <c r="E22" s="1807" t="n">
        <v>671854001.27</v>
      </c>
      <c r="F22" s="1807" t="n">
        <v>1659396069.86</v>
      </c>
    </row>
    <row r="23" ht="15" customHeight="1">
      <c r="A23" s="1886" t="inlineStr">
        <is>
          <t>Hotel Revenue</t>
        </is>
      </c>
      <c r="B23" s="731" t="n"/>
      <c r="C23" s="731" t="n"/>
      <c r="D23" s="731" t="n"/>
      <c r="E23" s="731" t="n"/>
      <c r="F23" s="731" t="n"/>
    </row>
    <row r="24" ht="15" customHeight="1">
      <c r="A24" s="1887" t="inlineStr">
        <is>
          <t>Hotel Revenue - Rooms</t>
        </is>
      </c>
      <c r="B24" s="731" t="n"/>
      <c r="C24" s="731" t="n"/>
      <c r="D24" s="731" t="n"/>
      <c r="E24" s="731" t="n"/>
      <c r="F24" s="731" t="n"/>
    </row>
    <row r="25" ht="15" customHeight="1">
      <c r="A25" s="1887" t="inlineStr">
        <is>
          <t>Hotel Revenue - Hotel Lease Income</t>
        </is>
      </c>
      <c r="B25" s="731" t="n"/>
      <c r="C25" s="731" t="n"/>
      <c r="D25" s="731" t="n"/>
      <c r="E25" s="731" t="n"/>
      <c r="F25" s="731" t="n"/>
    </row>
    <row r="26" ht="15" customHeight="1">
      <c r="A26" s="1887" t="inlineStr">
        <is>
          <t>Hotel Revenue - Food &amp; Beverages</t>
        </is>
      </c>
      <c r="B26" s="731" t="n"/>
      <c r="C26" s="731" t="n"/>
      <c r="D26" s="731" t="n"/>
      <c r="E26" s="731" t="n"/>
      <c r="F26" s="731" t="n"/>
    </row>
    <row r="27" ht="15" customHeight="1">
      <c r="A27" s="1887" t="inlineStr">
        <is>
          <t>Hotel Revenue - Other</t>
        </is>
      </c>
      <c r="B27" s="731" t="n"/>
      <c r="C27" s="731" t="n"/>
      <c r="D27" s="731" t="n"/>
      <c r="E27" s="731" t="n"/>
      <c r="F27" s="731" t="n"/>
    </row>
    <row r="28" ht="15" customHeight="1">
      <c r="A28" s="1886" t="inlineStr">
        <is>
          <t>Utility Revenue - Total</t>
        </is>
      </c>
      <c r="B28" s="731" t="n"/>
      <c r="C28" s="731" t="n"/>
      <c r="D28" s="731" t="n"/>
      <c r="E28" s="731" t="n"/>
      <c r="F28" s="731" t="n"/>
    </row>
    <row r="29" ht="15" customHeight="1">
      <c r="A29" s="1887" t="inlineStr">
        <is>
          <t>Utility Revenue - Other Utility Operations</t>
        </is>
      </c>
      <c r="B29" s="731" t="n"/>
      <c r="C29" s="731" t="n"/>
      <c r="D29" s="731" t="n"/>
      <c r="E29" s="731" t="n"/>
      <c r="F29" s="731" t="n"/>
    </row>
    <row r="30" ht="15" customHeight="1">
      <c r="A30" s="1887" t="inlineStr">
        <is>
          <t>Utility Revenue - Steam Operations</t>
        </is>
      </c>
      <c r="B30" s="731" t="n"/>
      <c r="C30" s="731" t="n"/>
      <c r="D30" s="731" t="n"/>
      <c r="E30" s="731" t="n"/>
      <c r="F30" s="731" t="n"/>
    </row>
    <row r="31" ht="15" customHeight="1">
      <c r="A31" s="1887" t="inlineStr">
        <is>
          <t>Utility Revenue - Water Operations</t>
        </is>
      </c>
      <c r="B31" s="731" t="n"/>
      <c r="C31" s="731" t="n"/>
      <c r="D31" s="731" t="n"/>
      <c r="E31" s="731" t="n"/>
      <c r="F31" s="731" t="n"/>
    </row>
    <row r="32" ht="15" customHeight="1">
      <c r="A32" s="1887" t="inlineStr">
        <is>
          <t>Utility Revenue - Gas Operations</t>
        </is>
      </c>
      <c r="B32" s="731" t="n"/>
      <c r="C32" s="731" t="n"/>
      <c r="D32" s="731" t="n"/>
      <c r="E32" s="731" t="n"/>
      <c r="F32" s="731" t="n"/>
    </row>
    <row r="33" ht="15" customHeight="1">
      <c r="A33" s="1887" t="inlineStr">
        <is>
          <t>Utility Revenue - Electric Operations</t>
        </is>
      </c>
      <c r="B33" s="731" t="n"/>
      <c r="C33" s="731" t="n"/>
      <c r="D33" s="731" t="n"/>
      <c r="E33" s="731" t="n"/>
      <c r="F33" s="731" t="n"/>
    </row>
    <row r="34" ht="15" customHeight="1">
      <c r="A34" s="1887" t="inlineStr">
        <is>
          <t>Utility Revenue - Non-Utility Operations</t>
        </is>
      </c>
      <c r="B34" s="731" t="n"/>
      <c r="C34" s="731" t="n"/>
      <c r="D34" s="731" t="n"/>
      <c r="E34" s="731" t="n"/>
      <c r="F34" s="731" t="n"/>
    </row>
    <row r="35" ht="15" customHeight="1">
      <c r="A35" s="1886" t="inlineStr">
        <is>
          <t>Sales Returns, Allowances &amp; Other Revenue Adjustments</t>
        </is>
      </c>
      <c r="B35" s="731" t="n"/>
      <c r="C35" s="731" t="n"/>
      <c r="D35" s="731" t="n"/>
      <c r="E35" s="731" t="n"/>
      <c r="F35" s="731" t="n"/>
    </row>
    <row r="36" ht="15" customHeight="1">
      <c r="A36" s="1886" t="inlineStr">
        <is>
          <t>Revenue Taxes</t>
        </is>
      </c>
      <c r="B36" s="731" t="n"/>
      <c r="C36" s="731" t="n"/>
      <c r="D36" s="731" t="n"/>
      <c r="E36" s="731" t="n"/>
      <c r="F36" s="731" t="n"/>
    </row>
    <row r="37" ht="15" customHeight="1">
      <c r="A37" s="1886" t="inlineStr">
        <is>
          <t>Gross Revenue from Business Activities - Total</t>
        </is>
      </c>
      <c r="B37" s="731" t="n"/>
      <c r="C37" s="731" t="n"/>
      <c r="D37" s="731" t="n"/>
      <c r="E37" s="731" t="n"/>
      <c r="F37" s="731" t="n"/>
    </row>
    <row r="38" ht="15" customHeight="1">
      <c r="A38" s="1886" t="inlineStr">
        <is>
          <t>Rental &amp; Property-Related Operating Revenue</t>
        </is>
      </c>
      <c r="B38" s="731" t="n"/>
      <c r="C38" s="731" t="n"/>
      <c r="D38" s="731" t="n"/>
      <c r="E38" s="731" t="n"/>
      <c r="F38" s="731" t="n"/>
    </row>
    <row r="39" ht="15" customHeight="1">
      <c r="A39" s="1885" t="inlineStr">
        <is>
          <t>Revenue from Financing-Related Operations</t>
        </is>
      </c>
      <c r="B39" s="731" t="n"/>
      <c r="C39" s="731" t="n"/>
      <c r="D39" s="731" t="n"/>
      <c r="E39" s="731" t="n"/>
      <c r="F39" s="731" t="n"/>
    </row>
    <row r="40" ht="15" customHeight="1">
      <c r="A40" s="1886" t="inlineStr">
        <is>
          <t>Business-Related Financing Revenue - Other</t>
        </is>
      </c>
      <c r="B40" s="731" t="n"/>
      <c r="C40" s="731" t="n"/>
      <c r="D40" s="731" t="n"/>
      <c r="E40" s="731" t="n"/>
      <c r="F40" s="731" t="n"/>
    </row>
    <row r="41" ht="15" customHeight="1">
      <c r="A41" s="1885" t="inlineStr">
        <is>
          <t>Revenue from Business-Related Activities - Other - Total</t>
        </is>
      </c>
      <c r="B41" s="731" t="n"/>
      <c r="C41" s="731" t="n"/>
      <c r="D41" s="731" t="n"/>
      <c r="E41" s="731" t="n"/>
      <c r="F41" s="731" t="n"/>
    </row>
    <row r="42" ht="15" customHeight="1">
      <c r="A42" s="1886" t="inlineStr">
        <is>
          <t>Royalty Income - Business</t>
        </is>
      </c>
      <c r="B42" s="731" t="n"/>
      <c r="C42" s="731" t="n"/>
      <c r="D42" s="731" t="n"/>
      <c r="E42" s="731" t="n"/>
      <c r="F42" s="731" t="n"/>
    </row>
    <row r="43" ht="15" customHeight="1">
      <c r="A43" s="1888" t="inlineStr">
        <is>
          <t>Revenue from Business Activities - Total</t>
        </is>
      </c>
      <c r="B43" s="1889" t="n">
        <v>390957116.89</v>
      </c>
      <c r="C43" s="1889" t="n">
        <v>461252677.98</v>
      </c>
      <c r="D43" s="1889" t="n">
        <v>439326367.24</v>
      </c>
      <c r="E43" s="1889" t="n">
        <v>671854001.27</v>
      </c>
      <c r="F43" s="1889" t="n">
        <v>1659396069.86</v>
      </c>
    </row>
    <row r="44" ht="15" customHeight="1">
      <c r="A44" s="1884" t="inlineStr">
        <is>
          <t>Operating Expenses</t>
        </is>
      </c>
      <c r="B44" s="734" t="n"/>
      <c r="C44" s="734" t="n"/>
      <c r="D44" s="734" t="n"/>
      <c r="E44" s="734" t="n"/>
      <c r="F44" s="734" t="n"/>
    </row>
    <row r="45" ht="15" customHeight="1">
      <c r="A45" s="1885" t="inlineStr">
        <is>
          <t>Cost of Operating Revenue</t>
        </is>
      </c>
      <c r="B45" s="1807" t="n">
        <v>339277882.39</v>
      </c>
      <c r="C45" s="1807" t="n">
        <v>352488820.13</v>
      </c>
      <c r="D45" s="1807" t="n">
        <v>267350511.06</v>
      </c>
      <c r="E45" s="1807" t="n">
        <v>257080687.38</v>
      </c>
      <c r="F45" s="1807" t="n">
        <v>532761105.11</v>
      </c>
    </row>
    <row r="46" ht="15" customHeight="1">
      <c r="A46" s="1886" t="inlineStr">
        <is>
          <t>Cost of Financing-Related Operations</t>
        </is>
      </c>
      <c r="B46" s="731" t="n"/>
      <c r="C46" s="731" t="n"/>
      <c r="D46" s="731" t="n"/>
      <c r="E46" s="731" t="n"/>
      <c r="F46" s="731" t="n"/>
    </row>
    <row r="47" ht="15" customHeight="1">
      <c r="A47" s="1886" t="inlineStr">
        <is>
          <t>Cost of Revenues - Total</t>
        </is>
      </c>
      <c r="B47" s="1807" t="n">
        <v>339277882.39</v>
      </c>
      <c r="C47" s="1807" t="n">
        <v>352488820.13</v>
      </c>
      <c r="D47" s="1807" t="n">
        <v>267350511.06</v>
      </c>
      <c r="E47" s="1807" t="n">
        <v>257080687.38</v>
      </c>
      <c r="F47" s="1807" t="n">
        <v>532761105.11</v>
      </c>
    </row>
    <row r="48" ht="15" customHeight="1">
      <c r="A48" s="1887" t="inlineStr">
        <is>
          <t>Cost of Revenues - Unclassified</t>
        </is>
      </c>
      <c r="B48" s="1807" t="n">
        <v>315116080.56</v>
      </c>
      <c r="C48" s="1807" t="n">
        <v>302948150.01</v>
      </c>
      <c r="D48" s="1807" t="n">
        <v>173172504.97</v>
      </c>
      <c r="E48" s="1807" t="n">
        <v>128634629.14</v>
      </c>
      <c r="F48" s="1807" t="n">
        <v>349470384.7</v>
      </c>
    </row>
    <row r="49" ht="15" customHeight="1">
      <c r="A49" s="1887" t="inlineStr">
        <is>
          <t>Production Taxes &amp; Royalty Expenses</t>
        </is>
      </c>
      <c r="B49" s="731" t="n"/>
      <c r="C49" s="731" t="n"/>
      <c r="D49" s="731" t="n"/>
      <c r="E49" s="731" t="n"/>
      <c r="F49" s="731" t="n"/>
    </row>
    <row r="50" ht="15" customHeight="1">
      <c r="A50" s="1887" t="inlineStr">
        <is>
          <t>Amortization in Cost of Revenues</t>
        </is>
      </c>
      <c r="B50" s="731" t="n"/>
      <c r="C50" s="731" t="n"/>
      <c r="D50" s="731" t="n"/>
      <c r="E50" s="1807" t="n">
        <v>1276825.04</v>
      </c>
      <c r="F50" s="1807" t="n">
        <v>3832095.13</v>
      </c>
    </row>
    <row r="51" ht="15" customHeight="1">
      <c r="A51" s="1887" t="inlineStr">
        <is>
          <t>Depreciation in Cost of Revenues</t>
        </is>
      </c>
      <c r="B51" s="1807" t="n">
        <v>24161801.83</v>
      </c>
      <c r="C51" s="1807" t="n">
        <v>49540670.12</v>
      </c>
      <c r="D51" s="1807" t="n">
        <v>94178006.09</v>
      </c>
      <c r="E51" s="1807" t="n">
        <v>127169233.21</v>
      </c>
      <c r="F51" s="1807" t="n">
        <v>179458625.28</v>
      </c>
    </row>
    <row r="52" ht="15" customHeight="1">
      <c r="A52" s="1887" t="inlineStr">
        <is>
          <t>Labor &amp; Related Expenses including Stock-Based Compensation in Cost of Revenues</t>
        </is>
      </c>
      <c r="B52" s="731" t="n"/>
      <c r="C52" s="731" t="n"/>
      <c r="D52" s="731" t="n"/>
      <c r="E52" s="731" t="n"/>
      <c r="F52" s="731" t="n"/>
    </row>
    <row r="53" ht="15" customHeight="1">
      <c r="A53" s="1887" t="inlineStr">
        <is>
          <t>Material Expenses</t>
        </is>
      </c>
      <c r="B53" s="731" t="n"/>
      <c r="C53" s="731" t="n"/>
      <c r="D53" s="731" t="n"/>
      <c r="E53" s="731" t="n"/>
      <c r="F53" s="731" t="n"/>
    </row>
    <row r="54" ht="15" customHeight="1">
      <c r="A54" s="1890" t="inlineStr">
        <is>
          <t>Material Expenses - Materials, Inventory, Own Work &amp; Utility - Unclassified</t>
        </is>
      </c>
      <c r="B54" s="731" t="n"/>
      <c r="C54" s="731" t="n"/>
      <c r="D54" s="731" t="n"/>
      <c r="E54" s="731" t="n"/>
      <c r="F54" s="731" t="n"/>
    </row>
    <row r="55" ht="15" customHeight="1">
      <c r="A55" s="1890" t="inlineStr">
        <is>
          <t>Utility Cost of Revenue - Fuel Expense</t>
        </is>
      </c>
      <c r="B55" s="731" t="n"/>
      <c r="C55" s="731" t="n"/>
      <c r="D55" s="731" t="n"/>
      <c r="E55" s="731" t="n"/>
      <c r="F55" s="731" t="n"/>
    </row>
    <row r="56" ht="15" customHeight="1">
      <c r="A56" s="1890" t="inlineStr">
        <is>
          <t>Utility Cost of Revenue - Fuel Purchased for Resale</t>
        </is>
      </c>
      <c r="B56" s="731" t="n"/>
      <c r="C56" s="731" t="n"/>
      <c r="D56" s="731" t="n"/>
      <c r="E56" s="731" t="n"/>
      <c r="F56" s="731" t="n"/>
    </row>
    <row r="57" ht="15" customHeight="1">
      <c r="A57" s="1890" t="inlineStr">
        <is>
          <t>Utility Cost of Revenue - Purchased Power</t>
        </is>
      </c>
      <c r="B57" s="731" t="n"/>
      <c r="C57" s="731" t="n"/>
      <c r="D57" s="731" t="n"/>
      <c r="E57" s="731" t="n"/>
      <c r="F57" s="731" t="n"/>
    </row>
    <row r="58" ht="15" customHeight="1">
      <c r="A58" s="1890" t="inlineStr">
        <is>
          <t>Own Work Capitalized</t>
        </is>
      </c>
      <c r="B58" s="731" t="n"/>
      <c r="C58" s="731" t="n"/>
      <c r="D58" s="731" t="n"/>
      <c r="E58" s="731" t="n"/>
      <c r="F58" s="731" t="n"/>
    </row>
    <row r="59" ht="15" customHeight="1">
      <c r="A59" s="1890" t="inlineStr">
        <is>
          <t>Changes in Inventory</t>
        </is>
      </c>
      <c r="B59" s="731" t="n"/>
      <c r="C59" s="731" t="n"/>
      <c r="D59" s="731" t="n"/>
      <c r="E59" s="731" t="n"/>
      <c r="F59" s="731" t="n"/>
    </row>
    <row r="60" ht="15" customHeight="1">
      <c r="A60" s="1890" t="inlineStr">
        <is>
          <t>Materials Purchased</t>
        </is>
      </c>
      <c r="B60" s="731" t="n"/>
      <c r="C60" s="731" t="n"/>
      <c r="D60" s="731" t="n"/>
      <c r="E60" s="731" t="n"/>
      <c r="F60" s="731" t="n"/>
    </row>
    <row r="61" ht="15" customHeight="1">
      <c r="A61" s="1890" t="inlineStr">
        <is>
          <t>Ground leases/Rental Expenses in Cost of Revenues</t>
        </is>
      </c>
      <c r="B61" s="731" t="n"/>
      <c r="C61" s="731" t="n"/>
      <c r="D61" s="731" t="n"/>
      <c r="E61" s="731" t="n"/>
      <c r="F61" s="731" t="n"/>
    </row>
    <row r="62" ht="15" customHeight="1">
      <c r="A62" s="1887" t="inlineStr">
        <is>
          <t>Property Operating Expenses - Hotel</t>
        </is>
      </c>
      <c r="B62" s="731" t="n"/>
      <c r="C62" s="731" t="n"/>
      <c r="D62" s="731" t="n"/>
      <c r="E62" s="731" t="n"/>
      <c r="F62" s="731" t="n"/>
    </row>
    <row r="63" ht="15" customHeight="1">
      <c r="A63" s="1887" t="inlineStr">
        <is>
          <t>Cost of Revenues - Other - Total</t>
        </is>
      </c>
      <c r="B63" s="731" t="n"/>
      <c r="C63" s="731" t="n"/>
      <c r="D63" s="731" t="n"/>
      <c r="E63" s="731" t="n"/>
      <c r="F63" s="731" t="n"/>
    </row>
    <row r="64" ht="15" customHeight="1">
      <c r="A64" s="1888" t="inlineStr">
        <is>
          <t>Gross Profit - Industrials/Property - Total</t>
        </is>
      </c>
      <c r="B64" s="1889" t="n">
        <v>51679234.5</v>
      </c>
      <c r="C64" s="1889" t="n">
        <v>108763857.85</v>
      </c>
      <c r="D64" s="1889" t="n">
        <v>171975856.18</v>
      </c>
      <c r="E64" s="1889" t="n">
        <v>414773313.89</v>
      </c>
      <c r="F64" s="1889" t="n">
        <v>1126634964.75</v>
      </c>
    </row>
    <row r="65" ht="15" customHeight="1">
      <c r="A65" s="1885" t="inlineStr">
        <is>
          <t>Selling, General &amp; Administrative Expenses - Total</t>
        </is>
      </c>
      <c r="B65" s="1807" t="n">
        <v>32902071.44</v>
      </c>
      <c r="C65" s="1807" t="n">
        <v>50030030.9</v>
      </c>
      <c r="D65" s="1807" t="n">
        <v>49010542</v>
      </c>
      <c r="E65" s="1807" t="n">
        <v>69761527.76000001</v>
      </c>
      <c r="F65" s="1807" t="n">
        <v>211937417.3</v>
      </c>
    </row>
    <row r="66" ht="15" customHeight="1">
      <c r="A66" s="1886" t="inlineStr">
        <is>
          <t>Selling, General &amp; Administrative Expenses - Unclassified</t>
        </is>
      </c>
      <c r="B66" s="1807" t="n">
        <v>4807928.3</v>
      </c>
      <c r="C66" s="1807" t="n">
        <v>14643989.61</v>
      </c>
      <c r="D66" s="1807" t="n">
        <v>13446127.84</v>
      </c>
      <c r="E66" s="1807" t="n">
        <v>24460501</v>
      </c>
      <c r="F66" s="1807" t="n">
        <v>55684482.87</v>
      </c>
    </row>
    <row r="67" ht="15" customHeight="1">
      <c r="A67" s="1886" t="inlineStr">
        <is>
          <t>Labor &amp; Related Expenses including Stock-Based Compensation in Selling, General &amp; Administrative Expenses</t>
        </is>
      </c>
      <c r="B67" s="1807" t="n">
        <v>14879734.91</v>
      </c>
      <c r="C67" s="1807" t="n">
        <v>21875369.43</v>
      </c>
      <c r="D67" s="1807" t="n">
        <v>19148593.25</v>
      </c>
      <c r="E67" s="1807" t="n">
        <v>21417934.52</v>
      </c>
      <c r="F67" s="1807" t="n">
        <v>87128963.83</v>
      </c>
    </row>
    <row r="68" ht="15" customHeight="1">
      <c r="A68" s="1886" t="inlineStr">
        <is>
          <t>Research &amp; Development Expense</t>
        </is>
      </c>
      <c r="B68" s="731" t="n"/>
      <c r="C68" s="731" t="n"/>
      <c r="D68" s="731" t="n"/>
      <c r="E68" s="731" t="n"/>
      <c r="F68" s="731" t="n"/>
    </row>
    <row r="69" ht="15" customHeight="1">
      <c r="A69" s="1886" t="inlineStr">
        <is>
          <t>Exploration/Dry Hole Expenses (including Write-Off)</t>
        </is>
      </c>
      <c r="B69" s="731" t="n"/>
      <c r="C69" s="731" t="n"/>
      <c r="D69" s="731" t="n"/>
      <c r="E69" s="731" t="n"/>
      <c r="F69" s="731" t="n"/>
    </row>
    <row r="70" ht="15" customHeight="1">
      <c r="A70" s="1886" t="inlineStr">
        <is>
          <t>Depreciation in Selling, General &amp; Administrative Expenses</t>
        </is>
      </c>
      <c r="B70" s="1807" t="n">
        <v>9315803.609999999</v>
      </c>
      <c r="C70" s="1807" t="n">
        <v>9994274.369999999</v>
      </c>
      <c r="D70" s="1807" t="n">
        <v>9726952.300000001</v>
      </c>
      <c r="E70" s="1807" t="n">
        <v>18460627.79</v>
      </c>
      <c r="F70" s="1807" t="n">
        <v>12798054.57</v>
      </c>
    </row>
    <row r="71" ht="15" customHeight="1">
      <c r="A71" s="1886" t="inlineStr">
        <is>
          <t>Amortization of Intangibles in Selling, General &amp; Administrative Expenses</t>
        </is>
      </c>
      <c r="B71" s="731" t="n"/>
      <c r="C71" s="731" t="n"/>
      <c r="D71" s="731" t="n"/>
      <c r="E71" s="731" t="n"/>
      <c r="F71" s="731" t="n"/>
    </row>
    <row r="72" ht="15" customHeight="1">
      <c r="A72" s="1886" t="inlineStr">
        <is>
          <t>Operations &amp; Maintenance (Utility)</t>
        </is>
      </c>
      <c r="B72" s="731" t="n"/>
      <c r="C72" s="731" t="n"/>
      <c r="D72" s="731" t="n"/>
      <c r="E72" s="731" t="n"/>
      <c r="F72" s="731" t="n"/>
    </row>
    <row r="73" ht="15" customHeight="1">
      <c r="A73" s="1886" t="inlineStr">
        <is>
          <t>Selling, General &amp; Administrative Expenses - Other - Total</t>
        </is>
      </c>
      <c r="B73" s="1807" t="n">
        <v>3898604.63</v>
      </c>
      <c r="C73" s="1807" t="n">
        <v>3516397.49</v>
      </c>
      <c r="D73" s="1807" t="n">
        <v>6688868.61</v>
      </c>
      <c r="E73" s="1807" t="n">
        <v>5422464.45</v>
      </c>
      <c r="F73" s="1807" t="n">
        <v>56325916.03</v>
      </c>
    </row>
    <row r="74" ht="15" customHeight="1">
      <c r="A74" s="1887" t="inlineStr">
        <is>
          <t>Advertising Expense</t>
        </is>
      </c>
      <c r="B74" s="1807" t="n">
        <v>384329.31</v>
      </c>
      <c r="C74" s="1807" t="n">
        <v>271866.11</v>
      </c>
      <c r="D74" s="1807" t="n">
        <v>354841.17</v>
      </c>
      <c r="E74" s="1807" t="n">
        <v>1390829.4</v>
      </c>
      <c r="F74" s="1807" t="n">
        <v>22386857.62</v>
      </c>
    </row>
    <row r="75" ht="15" customHeight="1">
      <c r="A75" s="1887" t="inlineStr">
        <is>
          <t>Property &amp; Other Taxes</t>
        </is>
      </c>
      <c r="B75" s="1807" t="n">
        <v>3316189.4</v>
      </c>
      <c r="C75" s="1807" t="n">
        <v>2441494.51</v>
      </c>
      <c r="D75" s="1807" t="n">
        <v>767637.84</v>
      </c>
      <c r="E75" s="1807" t="n">
        <v>170866.85</v>
      </c>
      <c r="F75" s="1807" t="n">
        <v>21961696.25</v>
      </c>
    </row>
    <row r="76" ht="15" customHeight="1">
      <c r="A76" s="1887" t="inlineStr">
        <is>
          <t>Rental Expense</t>
        </is>
      </c>
      <c r="B76" s="1807" t="n">
        <v>18276</v>
      </c>
      <c r="C76" s="1807" t="n">
        <v>197758.59</v>
      </c>
      <c r="D76" s="1807" t="n">
        <v>4317860.98</v>
      </c>
      <c r="E76" s="1807" t="n">
        <v>1642856.86</v>
      </c>
      <c r="F76" s="1807" t="n">
        <v>816470.9300000001</v>
      </c>
    </row>
    <row r="77" ht="15" customHeight="1">
      <c r="A77" s="1887" t="inlineStr">
        <is>
          <t>Occupancy Expense - Other</t>
        </is>
      </c>
      <c r="B77" s="731" t="n"/>
      <c r="C77" s="731" t="n"/>
      <c r="D77" s="731" t="n"/>
      <c r="E77" s="731" t="n"/>
      <c r="F77" s="731" t="n"/>
    </row>
    <row r="78" ht="15" customHeight="1">
      <c r="A78" s="1887" t="inlineStr">
        <is>
          <t>Pre-Opening Expenses</t>
        </is>
      </c>
      <c r="B78" s="731" t="n"/>
      <c r="C78" s="731" t="n"/>
      <c r="D78" s="731" t="n"/>
      <c r="E78" s="731" t="n"/>
      <c r="F78" s="731" t="n"/>
    </row>
    <row r="79" ht="15" customHeight="1">
      <c r="A79" s="1887" t="inlineStr">
        <is>
          <t>Provision for Doubtful Accounts &amp; Write-off</t>
        </is>
      </c>
      <c r="B79" s="1807" t="n">
        <v>0</v>
      </c>
      <c r="C79" s="1807" t="n">
        <v>149817.7</v>
      </c>
      <c r="D79" s="1807" t="n">
        <v>787112.48</v>
      </c>
      <c r="E79" s="1807" t="n">
        <v>1087001.6</v>
      </c>
      <c r="F79" s="1807" t="n">
        <v>1538265.69</v>
      </c>
    </row>
    <row r="80" ht="15" customHeight="1">
      <c r="A80" s="1887" t="inlineStr">
        <is>
          <t>Equipment/Occupancy Expense - Bank/Financial - Other</t>
        </is>
      </c>
      <c r="B80" s="731" t="n"/>
      <c r="C80" s="731" t="n"/>
      <c r="D80" s="731" t="n"/>
      <c r="E80" s="731" t="n"/>
      <c r="F80" s="731" t="n"/>
    </row>
    <row r="81" ht="15" customHeight="1">
      <c r="A81" s="1885" t="inlineStr">
        <is>
          <t>Other Operating Expense/(Income) - Net</t>
        </is>
      </c>
      <c r="B81" s="1807" t="n">
        <v>-2269471.9</v>
      </c>
      <c r="C81" s="1807" t="n">
        <v>-2267034.4</v>
      </c>
      <c r="D81" s="1807" t="n">
        <v>-1892797.66</v>
      </c>
      <c r="E81" s="1807" t="n">
        <v>341620.71</v>
      </c>
      <c r="F81" s="1807" t="n">
        <v>4553355.86</v>
      </c>
    </row>
    <row r="82" ht="15" customHeight="1">
      <c r="A82" s="1886" t="inlineStr">
        <is>
          <t>Other Operating Income - Total</t>
        </is>
      </c>
      <c r="B82" s="731" t="n"/>
      <c r="C82" s="731" t="n"/>
      <c r="D82" s="731" t="n"/>
      <c r="E82" s="731" t="n"/>
      <c r="F82" s="731" t="n"/>
    </row>
    <row r="83" ht="15" customHeight="1">
      <c r="A83" s="1886" t="inlineStr">
        <is>
          <t>Other Operating Expense</t>
        </is>
      </c>
      <c r="B83" s="731" t="n"/>
      <c r="C83" s="731" t="n"/>
      <c r="D83" s="731" t="n"/>
      <c r="E83" s="731" t="n"/>
      <c r="F83" s="731" t="n"/>
    </row>
    <row r="84" ht="15" customHeight="1">
      <c r="A84" s="1886" t="inlineStr">
        <is>
          <t>Provision for Decommissioning Fund &amp; Environmental Obligations</t>
        </is>
      </c>
      <c r="B84" s="731" t="n"/>
      <c r="C84" s="731" t="n"/>
      <c r="D84" s="731" t="n"/>
      <c r="E84" s="731" t="n"/>
      <c r="F84" s="731" t="n"/>
    </row>
    <row r="85" ht="15" customHeight="1">
      <c r="A85" s="1886" t="inlineStr">
        <is>
          <t>Operating Provisions - Increase/(Decrease)</t>
        </is>
      </c>
      <c r="B85" s="731" t="n"/>
      <c r="C85" s="731" t="n"/>
      <c r="D85" s="731" t="n"/>
      <c r="F85" s="731" t="n"/>
    </row>
    <row r="86" ht="15" customHeight="1">
      <c r="A86" s="1886" t="inlineStr">
        <is>
          <t>Non-Recurring Adjustments - Operating - Decrease/(Increase)</t>
        </is>
      </c>
      <c r="B86" s="731" t="n"/>
      <c r="C86" s="731" t="n"/>
      <c r="D86" s="731" t="n"/>
      <c r="E86" s="731" t="n"/>
      <c r="F86" s="731" t="n"/>
    </row>
    <row r="87" ht="15" customHeight="1">
      <c r="A87" s="1886" t="inlineStr">
        <is>
          <t>Supplementary Adjustments - Operating - Decrease/(Increase)</t>
        </is>
      </c>
      <c r="B87" s="731" t="n"/>
      <c r="C87" s="731" t="n"/>
      <c r="D87" s="731" t="n"/>
      <c r="E87" s="731" t="n"/>
      <c r="F87" s="731" t="n"/>
    </row>
    <row r="88" ht="15" customHeight="1">
      <c r="A88" s="1885" t="inlineStr">
        <is>
          <t>Operating Expenses - Total</t>
        </is>
      </c>
      <c r="B88" s="1807" t="n">
        <v>369910481.93</v>
      </c>
      <c r="C88" s="1807" t="n">
        <v>400251816.63</v>
      </c>
      <c r="D88" s="1807" t="n">
        <v>314468255.4</v>
      </c>
      <c r="E88" s="1807" t="n">
        <v>327183835.85</v>
      </c>
      <c r="F88" s="1807" t="n">
        <v>749251878.26</v>
      </c>
    </row>
    <row r="89" ht="15" customHeight="1">
      <c r="A89" s="1884" t="inlineStr">
        <is>
          <t>Operating Profit</t>
        </is>
      </c>
      <c r="B89" s="734" t="n"/>
      <c r="C89" s="734" t="n"/>
      <c r="D89" s="734" t="n"/>
      <c r="E89" s="734" t="n"/>
      <c r="F89" s="734" t="n"/>
    </row>
    <row r="90" ht="15" customHeight="1">
      <c r="A90" s="1888" t="inlineStr">
        <is>
          <t>Operating Profit before Non-Recurring Income/Expense</t>
        </is>
      </c>
      <c r="B90" s="1889" t="n">
        <v>21046634.95</v>
      </c>
      <c r="C90" s="1889" t="n">
        <v>61000861.36</v>
      </c>
      <c r="D90" s="1889" t="n">
        <v>124858111.85</v>
      </c>
      <c r="E90" s="1889" t="n">
        <v>344670165.42</v>
      </c>
      <c r="F90" s="1889" t="n">
        <v>910144191.6</v>
      </c>
    </row>
    <row r="91" ht="15" customHeight="1">
      <c r="A91" s="1884" t="inlineStr">
        <is>
          <t>Non-Operating Expenses</t>
        </is>
      </c>
      <c r="B91" s="734" t="n"/>
      <c r="C91" s="734" t="n"/>
      <c r="D91" s="734" t="n"/>
      <c r="E91" s="734" t="n"/>
      <c r="F91" s="734" t="n"/>
    </row>
    <row r="92" ht="15" customHeight="1">
      <c r="A92" s="1885" t="inlineStr">
        <is>
          <t>Financing Income/(Expense) - Net - Total</t>
        </is>
      </c>
      <c r="B92" s="1807" t="n">
        <v>3457996.89</v>
      </c>
      <c r="C92" s="1807" t="n">
        <v>-38575647.41</v>
      </c>
      <c r="D92" s="1807" t="n">
        <v>-57726052.93</v>
      </c>
      <c r="E92" s="1807" t="n">
        <v>-72510568.09999999</v>
      </c>
      <c r="F92" s="1807" t="n">
        <v>-260104379.68</v>
      </c>
    </row>
    <row r="93" ht="15" customHeight="1">
      <c r="A93" s="1886" t="inlineStr">
        <is>
          <t>Interest Expense - Net of (Interest Income)</t>
        </is>
      </c>
      <c r="B93" s="1807" t="n">
        <v>-4409765.87</v>
      </c>
      <c r="C93" s="1807" t="n">
        <v>36028355.72</v>
      </c>
      <c r="D93" s="1807" t="n">
        <v>55508710.9</v>
      </c>
      <c r="E93" s="1807" t="n">
        <v>120170503.14</v>
      </c>
      <c r="F93" s="1807" t="n">
        <v>231827565.81</v>
      </c>
    </row>
    <row r="94" ht="15" customHeight="1">
      <c r="A94" s="1887" t="inlineStr">
        <is>
          <t>Interest Income - Non-Bank</t>
        </is>
      </c>
      <c r="B94" s="1807" t="n">
        <v>20826542.44</v>
      </c>
      <c r="C94" s="1807" t="n">
        <v>6469297.61</v>
      </c>
      <c r="D94" s="1807" t="n">
        <v>186400.18</v>
      </c>
      <c r="E94" s="1807" t="n">
        <v>538954.78</v>
      </c>
      <c r="F94" s="1807" t="n">
        <v>52541075.27</v>
      </c>
    </row>
    <row r="95" ht="15" customHeight="1">
      <c r="A95" s="1887" t="inlineStr">
        <is>
          <t>Interest Expense - Net of Capitalized Interest</t>
        </is>
      </c>
      <c r="B95" s="1807" t="n">
        <v>16416776.58</v>
      </c>
      <c r="C95" s="1807" t="n">
        <v>42497653.33</v>
      </c>
      <c r="D95" s="1807" t="n">
        <v>55695111.08</v>
      </c>
      <c r="E95" s="1807" t="n">
        <v>120709457.92</v>
      </c>
      <c r="F95" s="1807" t="n">
        <v>284368641.09</v>
      </c>
    </row>
    <row r="96" ht="15" customHeight="1">
      <c r="A96" s="1890" t="inlineStr">
        <is>
          <t>Interest Expense on Capital Financing - Gross</t>
        </is>
      </c>
      <c r="B96" s="731" t="n"/>
      <c r="C96" s="731" t="n"/>
      <c r="D96" s="731" t="n"/>
      <c r="E96" s="731" t="n"/>
      <c r="F96" s="731" t="n"/>
    </row>
    <row r="97" ht="15" customHeight="1">
      <c r="A97" s="1891" t="inlineStr">
        <is>
          <t>Dividends on Hybrid Financial Instruments - Liability Portion</t>
        </is>
      </c>
      <c r="B97" s="731" t="n"/>
      <c r="C97" s="731" t="n"/>
      <c r="D97" s="731" t="n"/>
      <c r="E97" s="731" t="n"/>
      <c r="F97" s="731" t="n"/>
    </row>
    <row r="98" ht="15" customHeight="1">
      <c r="A98" s="1890" t="inlineStr">
        <is>
          <t>Interest Capitalized</t>
        </is>
      </c>
      <c r="B98" s="731" t="n"/>
      <c r="C98" s="731" t="n"/>
      <c r="D98" s="731" t="n"/>
      <c r="E98" s="731" t="n"/>
      <c r="F98" s="731" t="n"/>
    </row>
    <row r="99" ht="15" customHeight="1">
      <c r="A99" s="1891" t="inlineStr">
        <is>
          <t>Allowance for Funds Used during Construction - Debt Portion (AFUDC)</t>
        </is>
      </c>
      <c r="B99" s="731" t="n"/>
      <c r="C99" s="731" t="n"/>
      <c r="D99" s="731" t="n"/>
      <c r="E99" s="731" t="n"/>
      <c r="F99" s="731" t="n"/>
    </row>
    <row r="100" ht="15" customHeight="1">
      <c r="A100" s="1886" t="inlineStr">
        <is>
          <t>Non-Interest Financial Income/(Expense) - Total</t>
        </is>
      </c>
      <c r="B100" s="1807" t="n">
        <v>-951768.98</v>
      </c>
      <c r="C100" s="1807" t="n">
        <v>-2547291.69</v>
      </c>
      <c r="D100" s="1807" t="n">
        <v>-2217342.03</v>
      </c>
      <c r="E100" s="1807" t="n">
        <v>47659935.04</v>
      </c>
      <c r="F100" s="1807" t="n">
        <v>-28276813.87</v>
      </c>
    </row>
    <row r="101" ht="15" customHeight="1">
      <c r="A101" s="1887" t="inlineStr">
        <is>
          <t>Dividend &amp; Investment Income</t>
        </is>
      </c>
      <c r="B101" s="731" t="n"/>
      <c r="C101" s="731" t="n"/>
      <c r="D101" s="731" t="n"/>
      <c r="E101" s="731" t="n"/>
      <c r="F101" s="731" t="n"/>
    </row>
    <row r="102" ht="15" customHeight="1">
      <c r="A102" s="1887" t="inlineStr">
        <is>
          <t>Foreign Exchange Gain/(Loss) - Non-Business</t>
        </is>
      </c>
      <c r="B102" s="731" t="n"/>
      <c r="C102" s="731" t="n"/>
      <c r="D102" s="731" t="n"/>
      <c r="E102" s="731" t="n"/>
      <c r="F102" s="1893" t="n">
        <v>461.5</v>
      </c>
    </row>
    <row r="103" ht="15" customHeight="1">
      <c r="A103" s="1887" t="inlineStr">
        <is>
          <t>Amortization of Deferred Financing Charges</t>
        </is>
      </c>
      <c r="B103" s="1807" t="n">
        <v>906674.4399999999</v>
      </c>
      <c r="C103" s="1807" t="n">
        <v>2327227.59</v>
      </c>
      <c r="D103" s="1807" t="n">
        <v>1922558.15</v>
      </c>
      <c r="E103" s="731" t="n"/>
      <c r="F103" s="1807" t="n">
        <v>11910102.81</v>
      </c>
    </row>
    <row r="104" ht="15" customHeight="1">
      <c r="A104" s="1887" t="inlineStr">
        <is>
          <t>Sale of Investments Held for Sale, Maturity &amp; Trading - Gain/(Loss)</t>
        </is>
      </c>
      <c r="B104" s="731" t="n"/>
      <c r="C104" s="731" t="n"/>
      <c r="D104" s="731" t="n"/>
      <c r="E104" s="731" t="n"/>
      <c r="F104" s="731" t="n"/>
    </row>
    <row r="105" ht="15" customHeight="1">
      <c r="A105" s="1887" t="inlineStr">
        <is>
          <t>Accretion - Site Closure &amp; Reclamation Expenses</t>
        </is>
      </c>
      <c r="B105" s="731" t="n"/>
      <c r="C105" s="731" t="n"/>
      <c r="D105" s="731" t="n"/>
      <c r="E105" s="731" t="n"/>
      <c r="F105" s="731" t="n"/>
    </row>
    <row r="106" ht="15" customHeight="1">
      <c r="A106" s="1887" t="inlineStr">
        <is>
          <t>Non-Interest Financial Income/(Expense) - Other - Net</t>
        </is>
      </c>
      <c r="B106" s="1807" t="n">
        <v>-45094.53</v>
      </c>
      <c r="C106" s="1807" t="n">
        <v>-220064.1</v>
      </c>
      <c r="D106" s="1807" t="n">
        <v>-294783.88</v>
      </c>
      <c r="E106" s="1807" t="n">
        <v>47659935.04</v>
      </c>
      <c r="F106" s="1807" t="n">
        <v>-16367172.55</v>
      </c>
    </row>
    <row r="107" ht="15" customHeight="1">
      <c r="A107" s="1885" t="inlineStr">
        <is>
          <t>Sale of Tangible &amp; Intangible Fixed Assets - Gain/(Loss)</t>
        </is>
      </c>
      <c r="B107" s="731" t="n"/>
      <c r="C107" s="1807" t="n">
        <v>31907906.89</v>
      </c>
      <c r="D107" s="1807" t="n">
        <v>0</v>
      </c>
      <c r="E107" s="1807" t="n">
        <v>221090.63</v>
      </c>
      <c r="F107" s="1807" t="n">
        <v>100177.65</v>
      </c>
    </row>
    <row r="108" ht="15" customHeight="1">
      <c r="A108" s="1886" t="inlineStr">
        <is>
          <t>Sale of Leased Fixed Assets - Gain/(Loss)</t>
        </is>
      </c>
      <c r="B108" s="731" t="n"/>
      <c r="C108" s="731" t="n"/>
      <c r="D108" s="731" t="n"/>
      <c r="E108" s="731" t="n"/>
      <c r="F108" s="731" t="n"/>
    </row>
    <row r="109" ht="15" customHeight="1">
      <c r="A109" s="1885" t="inlineStr">
        <is>
          <t>Equity Earnings/(Loss) - before Taxes including Non-Recurring</t>
        </is>
      </c>
      <c r="B109" s="731" t="n"/>
      <c r="C109" s="731" t="n"/>
      <c r="D109" s="731" t="n"/>
      <c r="E109" s="731" t="n"/>
      <c r="F109" s="731" t="n"/>
    </row>
    <row r="110" ht="15" customHeight="1">
      <c r="A110" s="1886" t="inlineStr">
        <is>
          <t>Non-Recurring Portion of Equity Earnings before Taxes</t>
        </is>
      </c>
      <c r="B110" s="731" t="n"/>
      <c r="C110" s="731" t="n"/>
      <c r="D110" s="731" t="n"/>
      <c r="E110" s="731" t="n"/>
      <c r="F110" s="731" t="n"/>
    </row>
    <row r="111" ht="15" customHeight="1">
      <c r="A111" s="1885" t="inlineStr">
        <is>
          <t>Other Non-Operating Income/(Expense) - Total</t>
        </is>
      </c>
      <c r="B111" s="731" t="n"/>
      <c r="C111" s="731" t="n"/>
      <c r="D111" s="731" t="n"/>
      <c r="E111" s="731" t="n"/>
      <c r="F111" s="731" t="n"/>
    </row>
    <row r="112" ht="15" customHeight="1">
      <c r="A112" s="1886" t="inlineStr">
        <is>
          <t>Non-Operating Rental Income</t>
        </is>
      </c>
      <c r="B112" s="731" t="n"/>
      <c r="C112" s="731" t="n"/>
      <c r="D112" s="731" t="n"/>
      <c r="E112" s="731" t="n"/>
      <c r="F112" s="731" t="n"/>
    </row>
    <row r="113" ht="15" customHeight="1">
      <c r="A113" s="1886" t="inlineStr">
        <is>
          <t>Transfer from/(to) Untaxed Reserves</t>
        </is>
      </c>
      <c r="B113" s="731" t="n"/>
      <c r="C113" s="731" t="n"/>
      <c r="D113" s="731" t="n"/>
      <c r="E113" s="731" t="n"/>
      <c r="F113" s="731" t="n"/>
    </row>
    <row r="114" ht="15" customHeight="1">
      <c r="A114" s="1886" t="inlineStr">
        <is>
          <t>Trading Derivatives - Gain/(Loss)</t>
        </is>
      </c>
      <c r="B114" s="731" t="n"/>
      <c r="C114" s="731" t="n"/>
      <c r="D114" s="731" t="n"/>
      <c r="E114" s="731" t="n"/>
      <c r="F114" s="731" t="n"/>
    </row>
    <row r="115" ht="15" customHeight="1">
      <c r="A115" s="1886" t="inlineStr">
        <is>
          <t>Derivatives - Hedging - Effective Gain/(Loss)</t>
        </is>
      </c>
      <c r="B115" s="731" t="n"/>
      <c r="C115" s="731" t="n"/>
      <c r="D115" s="731" t="n"/>
      <c r="E115" s="731" t="n"/>
      <c r="F115" s="731" t="n"/>
    </row>
    <row r="116" ht="15" customHeight="1">
      <c r="A116" s="1886" t="inlineStr">
        <is>
          <t>Derivatives - Hedging - Realized Gain/(Loss)</t>
        </is>
      </c>
      <c r="B116" s="731" t="n"/>
      <c r="C116" s="731" t="n"/>
      <c r="D116" s="731" t="n"/>
      <c r="E116" s="731" t="n"/>
      <c r="F116" s="731" t="n"/>
    </row>
    <row r="117" ht="15" customHeight="1">
      <c r="A117" s="1886" t="inlineStr">
        <is>
          <t>Non-Recurring Adjustments - Non-Operating- Decrease/(Increase)</t>
        </is>
      </c>
      <c r="B117" s="731" t="n"/>
      <c r="C117" s="731" t="n"/>
      <c r="D117" s="731" t="n"/>
      <c r="E117" s="731" t="n"/>
      <c r="F117" s="731" t="n"/>
    </row>
    <row r="118" ht="15" customHeight="1">
      <c r="A118" s="1886" t="inlineStr">
        <is>
          <t>Supplementary Adjustments - Non-Operating- Decrease/(Increase)</t>
        </is>
      </c>
      <c r="B118" s="731" t="n"/>
      <c r="C118" s="731" t="n"/>
      <c r="D118" s="731" t="n"/>
      <c r="E118" s="731" t="n"/>
      <c r="F118" s="731" t="n"/>
    </row>
    <row r="119" ht="15" customHeight="1">
      <c r="A119" s="1885" t="inlineStr">
        <is>
          <t>Normalized Pre-tax Profit</t>
        </is>
      </c>
      <c r="B119" s="1807" t="n">
        <v>24504631.84</v>
      </c>
      <c r="C119" s="1807" t="n">
        <v>54333120.84</v>
      </c>
      <c r="D119" s="1807" t="n">
        <v>67132058.92</v>
      </c>
      <c r="E119" s="1807" t="n">
        <v>272380687.95</v>
      </c>
      <c r="F119" s="1807" t="n">
        <v>650139989.5599999</v>
      </c>
    </row>
    <row r="120" ht="15" customHeight="1">
      <c r="A120" s="1884" t="inlineStr">
        <is>
          <t>Non-Recurring Income/Expense</t>
        </is>
      </c>
      <c r="B120" s="734" t="n"/>
      <c r="C120" s="734" t="n"/>
      <c r="D120" s="734" t="n"/>
      <c r="E120" s="734" t="n"/>
      <c r="F120" s="734" t="n"/>
    </row>
    <row r="121" ht="15" customHeight="1">
      <c r="A121" s="1885" t="inlineStr">
        <is>
          <t>Non-Recurring Income/(Expense) - Total</t>
        </is>
      </c>
      <c r="B121" s="731" t="n"/>
      <c r="C121" s="1807" t="n">
        <v>-150705.24</v>
      </c>
      <c r="D121" s="1807" t="n">
        <v>445566.41</v>
      </c>
      <c r="E121" s="1807" t="n">
        <v>0</v>
      </c>
      <c r="F121" s="1807" t="n">
        <v>53919688.7</v>
      </c>
    </row>
    <row r="122" ht="15" customHeight="1">
      <c r="A122" s="1886" t="inlineStr">
        <is>
          <t>Impairment - Deferred Costs</t>
        </is>
      </c>
      <c r="B122" s="731" t="n"/>
      <c r="C122" s="731" t="n"/>
      <c r="D122" s="731" t="n"/>
      <c r="E122" s="731" t="n"/>
      <c r="F122" s="731" t="n"/>
    </row>
    <row r="123" ht="15" customHeight="1">
      <c r="A123" s="1886" t="inlineStr">
        <is>
          <t>Impairment - Tangible &amp; Intangible Fixed Assets</t>
        </is>
      </c>
      <c r="B123" s="731" t="n"/>
      <c r="C123" s="731" t="n"/>
      <c r="D123" s="731" t="n"/>
      <c r="E123" s="731" t="n"/>
      <c r="F123" s="731" t="n"/>
    </row>
    <row r="124" ht="15" customHeight="1">
      <c r="A124" s="1887" t="inlineStr">
        <is>
          <t>Impairment - Fixed Assets</t>
        </is>
      </c>
      <c r="B124" s="731" t="n"/>
      <c r="C124" s="731" t="n"/>
      <c r="D124" s="731" t="n"/>
      <c r="E124" s="731" t="n"/>
      <c r="F124" s="731" t="n"/>
    </row>
    <row r="125" ht="15" customHeight="1">
      <c r="A125" s="1887" t="inlineStr">
        <is>
          <t>Impairment - Goodwill</t>
        </is>
      </c>
      <c r="B125" s="731" t="n"/>
      <c r="C125" s="731" t="n"/>
      <c r="D125" s="731" t="n"/>
      <c r="E125" s="731" t="n"/>
      <c r="F125" s="731" t="n"/>
    </row>
    <row r="126" ht="15" customHeight="1">
      <c r="A126" s="1887" t="inlineStr">
        <is>
          <t>Impairment - Intangibles excluding Goodwill</t>
        </is>
      </c>
      <c r="B126" s="731" t="n"/>
      <c r="C126" s="731" t="n"/>
      <c r="D126" s="731" t="n"/>
      <c r="E126" s="731" t="n"/>
      <c r="F126" s="731" t="n"/>
    </row>
    <row r="127" ht="15" customHeight="1">
      <c r="A127" s="1887" t="inlineStr">
        <is>
          <t>Impairment - Oil &amp; Gas Assets</t>
        </is>
      </c>
      <c r="B127" s="731" t="n"/>
      <c r="C127" s="731" t="n"/>
      <c r="D127" s="731" t="n"/>
      <c r="E127" s="731" t="n"/>
      <c r="F127" s="731" t="n"/>
    </row>
    <row r="128" ht="15" customHeight="1">
      <c r="A128" s="1886" t="inlineStr">
        <is>
          <t>Impairment - Investment Property</t>
        </is>
      </c>
      <c r="B128" s="731" t="n"/>
      <c r="C128" s="731" t="n"/>
      <c r="D128" s="731" t="n"/>
      <c r="E128" s="731" t="n"/>
      <c r="F128" s="731" t="n"/>
    </row>
    <row r="129" ht="15" customHeight="1">
      <c r="A129" s="1886" t="inlineStr">
        <is>
          <t>Impairment - Financial Investments</t>
        </is>
      </c>
      <c r="B129" s="731" t="n"/>
      <c r="C129" s="731" t="n"/>
      <c r="D129" s="731" t="n"/>
      <c r="E129" s="731" t="n"/>
      <c r="F129" s="731" t="n"/>
    </row>
    <row r="130" ht="15" customHeight="1">
      <c r="A130" s="1886" t="inlineStr">
        <is>
          <t>Other than Temporary Impairment Losses on Investments</t>
        </is>
      </c>
      <c r="B130" s="731" t="n"/>
      <c r="C130" s="731" t="n"/>
      <c r="D130" s="731" t="n"/>
      <c r="E130" s="731" t="n"/>
      <c r="F130" s="731" t="n"/>
    </row>
    <row r="131" ht="15" customHeight="1">
      <c r="A131" s="1886" t="inlineStr">
        <is>
          <t>Restructuring Charges</t>
        </is>
      </c>
      <c r="B131" s="731" t="n"/>
      <c r="C131" s="731" t="n"/>
      <c r="D131" s="731" t="n"/>
      <c r="E131" s="731" t="n"/>
      <c r="F131" s="731" t="n"/>
    </row>
    <row r="132" ht="15" customHeight="1">
      <c r="A132" s="1886" t="inlineStr">
        <is>
          <t>Research &amp; Development - in Process</t>
        </is>
      </c>
      <c r="B132" s="731" t="n"/>
      <c r="C132" s="731" t="n"/>
      <c r="D132" s="731" t="n"/>
      <c r="E132" s="731" t="n"/>
      <c r="F132" s="731" t="n"/>
    </row>
    <row r="133" ht="15" customHeight="1">
      <c r="A133" s="1886" t="inlineStr">
        <is>
          <t>Litigation Expenses/Settlements</t>
        </is>
      </c>
      <c r="B133" s="731" t="n"/>
      <c r="C133" s="731" t="n"/>
      <c r="D133" s="731" t="n"/>
      <c r="E133" s="731" t="n"/>
      <c r="F133" s="731" t="n"/>
    </row>
    <row r="134" ht="15" customHeight="1">
      <c r="A134" s="1886" t="inlineStr">
        <is>
          <t>Costs Associated with IPOs &amp; Mergers</t>
        </is>
      </c>
      <c r="B134" s="731" t="n"/>
      <c r="C134" s="731" t="n"/>
      <c r="D134" s="731" t="n"/>
      <c r="E134" s="731" t="n"/>
      <c r="F134" s="731" t="n"/>
    </row>
    <row r="135" ht="15" customHeight="1">
      <c r="A135" s="1886" t="inlineStr">
        <is>
          <t>Derivatives - Hedging - Gain/(Loss)</t>
        </is>
      </c>
      <c r="B135" s="731" t="n"/>
      <c r="C135" s="731" t="n"/>
      <c r="D135" s="731" t="n"/>
      <c r="E135" s="731" t="n"/>
      <c r="F135" s="731" t="n"/>
    </row>
    <row r="136" ht="15" customHeight="1">
      <c r="A136" s="1886" t="inlineStr">
        <is>
          <t>Early Termination of Derivatives - Hedging - Gain/(Loss)</t>
        </is>
      </c>
      <c r="B136" s="731" t="n"/>
      <c r="C136" s="731" t="n"/>
      <c r="D136" s="731" t="n"/>
      <c r="E136" s="731" t="n"/>
      <c r="F136" s="731" t="n"/>
    </row>
    <row r="137" ht="15" customHeight="1">
      <c r="A137" s="1886" t="inlineStr">
        <is>
          <t>Derivatives - Hedging - Ineffective Gain/(Loss)</t>
        </is>
      </c>
      <c r="B137" s="731" t="n"/>
      <c r="C137" s="731" t="n"/>
      <c r="D137" s="731" t="n"/>
      <c r="E137" s="731" t="n"/>
      <c r="F137" s="731" t="n"/>
    </row>
    <row r="138" ht="15" customHeight="1">
      <c r="A138" s="1886" t="inlineStr">
        <is>
          <t>Unrealized Adjustments on Derivatives for Hedging</t>
        </is>
      </c>
      <c r="B138" s="731" t="n"/>
      <c r="C138" s="731" t="n"/>
      <c r="D138" s="731" t="n"/>
      <c r="E138" s="731" t="n"/>
      <c r="F138" s="731" t="n"/>
    </row>
    <row r="139" ht="15" customHeight="1">
      <c r="A139" s="1886" t="inlineStr">
        <is>
          <t>Early Extinguishment of Lease Related Debts - Gain/(Loss)</t>
        </is>
      </c>
      <c r="B139" s="731" t="n"/>
      <c r="C139" s="731" t="n"/>
      <c r="D139" s="731" t="n"/>
      <c r="E139" s="731" t="n"/>
      <c r="F139" s="731" t="n"/>
    </row>
    <row r="140" ht="15" customHeight="1">
      <c r="A140" s="1886" t="inlineStr">
        <is>
          <t>Recognition of Negative Goodwill</t>
        </is>
      </c>
      <c r="B140" s="731" t="n"/>
      <c r="C140" s="731" t="n"/>
      <c r="D140" s="731" t="n"/>
      <c r="E140" s="731" t="n"/>
      <c r="F140" s="1807" t="n">
        <v>8737777.6</v>
      </c>
    </row>
    <row r="141" ht="15" customHeight="1">
      <c r="A141" s="1886" t="inlineStr">
        <is>
          <t>Fair Value Adjustments - Investment Property</t>
        </is>
      </c>
      <c r="B141" s="731" t="n"/>
      <c r="C141" s="731" t="n"/>
      <c r="D141" s="731" t="n"/>
      <c r="E141" s="731" t="n"/>
      <c r="F141" s="731" t="n"/>
    </row>
    <row r="142" ht="15" customHeight="1">
      <c r="A142" s="1886" t="inlineStr">
        <is>
          <t>Fair Value Adjustments - Biological Assets</t>
        </is>
      </c>
      <c r="B142" s="731" t="n"/>
      <c r="C142" s="731" t="n"/>
      <c r="D142" s="731" t="n"/>
      <c r="E142" s="731" t="n"/>
      <c r="F142" s="731" t="n"/>
    </row>
    <row r="143" ht="15" customHeight="1">
      <c r="A143" s="1886" t="inlineStr">
        <is>
          <t>Fair Value Adjustments - Financial Investments</t>
        </is>
      </c>
      <c r="B143" s="731" t="n"/>
      <c r="C143" s="731" t="n"/>
      <c r="D143" s="731" t="n"/>
      <c r="E143" s="731" t="n"/>
      <c r="F143" s="731" t="n"/>
    </row>
    <row r="144" ht="15" customHeight="1">
      <c r="A144" s="1886" t="inlineStr">
        <is>
          <t>Fair Value Adjustments - Other Assets</t>
        </is>
      </c>
      <c r="B144" s="731" t="n"/>
      <c r="C144" s="731" t="n"/>
      <c r="D144" s="731" t="n"/>
      <c r="E144" s="731" t="n"/>
      <c r="F144" s="731" t="n"/>
    </row>
    <row r="145" ht="15" customHeight="1">
      <c r="A145" s="1886" t="inlineStr">
        <is>
          <t>Compensation for Disaster - Pre-Tax</t>
        </is>
      </c>
      <c r="B145" s="731" t="n"/>
      <c r="C145" s="731" t="n"/>
      <c r="D145" s="731" t="n"/>
      <c r="E145" s="731" t="n"/>
      <c r="F145" s="731" t="n"/>
    </row>
    <row r="146" ht="15" customHeight="1">
      <c r="A146" s="1886" t="inlineStr">
        <is>
          <t>Debt Restructuring - Gain/(Loss)</t>
        </is>
      </c>
      <c r="B146" s="731" t="n"/>
      <c r="C146" s="731" t="n"/>
      <c r="D146" s="731" t="n"/>
      <c r="E146" s="731" t="n"/>
      <c r="F146" s="731" t="n"/>
    </row>
    <row r="147" ht="15" customHeight="1">
      <c r="A147" s="1886" t="inlineStr">
        <is>
          <t>Sale &amp; Acquisition of Group Companies - Gain/(Loss)</t>
        </is>
      </c>
      <c r="B147" s="731" t="n"/>
      <c r="C147" s="1807" t="n">
        <v>-150705.24</v>
      </c>
      <c r="D147" s="1807" t="n">
        <v>445566.41</v>
      </c>
      <c r="E147" s="1807" t="n">
        <v>0</v>
      </c>
      <c r="F147" s="1807" t="n">
        <v>45181911.1</v>
      </c>
    </row>
    <row r="148" ht="15" customHeight="1">
      <c r="A148" s="1886" t="inlineStr">
        <is>
          <t>Valuation of Inventory - Gain/(Loss)</t>
        </is>
      </c>
      <c r="B148" s="731" t="n"/>
      <c r="C148" s="731" t="n"/>
      <c r="D148" s="731" t="n"/>
      <c r="E148" s="731" t="n"/>
      <c r="F148" s="731" t="n"/>
    </row>
    <row r="149" ht="15" customHeight="1">
      <c r="A149" s="1886" t="inlineStr">
        <is>
          <t>COVID-19 Non-Recurring Income/(Expense) - Total</t>
        </is>
      </c>
      <c r="B149" s="731" t="n"/>
      <c r="C149" s="731" t="n"/>
      <c r="D149" s="731" t="n"/>
      <c r="E149" s="731" t="n"/>
      <c r="F149" s="731" t="n"/>
    </row>
    <row r="150" ht="15" customHeight="1">
      <c r="A150" s="1887" t="inlineStr">
        <is>
          <t>COVID-19 Non-Recurring Income/(Expense) - Other</t>
        </is>
      </c>
      <c r="B150" s="731" t="n"/>
      <c r="C150" s="731" t="n"/>
      <c r="D150" s="731" t="n"/>
      <c r="E150" s="731" t="n"/>
      <c r="F150" s="731" t="n"/>
    </row>
    <row r="151" ht="15" customHeight="1">
      <c r="A151" s="1887" t="inlineStr">
        <is>
          <t>COVID-19 One-time Provisions</t>
        </is>
      </c>
      <c r="B151" s="731" t="n"/>
      <c r="C151" s="731" t="n"/>
      <c r="D151" s="731" t="n"/>
      <c r="E151" s="731" t="n"/>
      <c r="F151" s="731" t="n"/>
    </row>
    <row r="152" ht="15" customHeight="1">
      <c r="A152" s="1887" t="inlineStr">
        <is>
          <t>COVID-19 Restructuring Charges &amp; Provisions</t>
        </is>
      </c>
      <c r="B152" s="731" t="n"/>
      <c r="C152" s="731" t="n"/>
      <c r="D152" s="731" t="n"/>
      <c r="E152" s="731" t="n"/>
      <c r="F152" s="731" t="n"/>
    </row>
    <row r="153" ht="15" customHeight="1">
      <c r="A153" s="1887" t="inlineStr">
        <is>
          <t>COVID-19 Impairment of Long-Term Assets</t>
        </is>
      </c>
      <c r="B153" s="731" t="n"/>
      <c r="C153" s="731" t="n"/>
      <c r="D153" s="731" t="n"/>
      <c r="E153" s="731" t="n"/>
      <c r="F153" s="731" t="n"/>
    </row>
    <row r="154" ht="15" customHeight="1">
      <c r="A154" s="1887" t="inlineStr">
        <is>
          <t>COVID-19 One-time Government Grants Received</t>
        </is>
      </c>
      <c r="B154" s="731" t="n"/>
      <c r="C154" s="731" t="n"/>
      <c r="D154" s="731" t="n"/>
      <c r="E154" s="731" t="n"/>
      <c r="F154" s="731" t="n"/>
    </row>
    <row r="155" ht="15" customHeight="1">
      <c r="A155" s="1886" t="inlineStr">
        <is>
          <t>Non-Recurring Income/(Expense) - Other - Total</t>
        </is>
      </c>
      <c r="B155" s="731" t="n"/>
      <c r="C155" s="731" t="n"/>
      <c r="D155" s="731" t="n"/>
      <c r="E155" s="731" t="n"/>
      <c r="F155" s="731" t="n"/>
    </row>
    <row r="156" ht="15" customHeight="1">
      <c r="A156" s="1884" t="inlineStr">
        <is>
          <t>Pre-Tax Income</t>
        </is>
      </c>
      <c r="B156" s="734" t="n"/>
      <c r="C156" s="734" t="n"/>
      <c r="D156" s="734" t="n"/>
      <c r="E156" s="734" t="n"/>
      <c r="F156" s="734" t="n"/>
    </row>
    <row r="157" ht="15" customHeight="1">
      <c r="A157" s="1888" t="inlineStr">
        <is>
          <t>Income before Taxes</t>
        </is>
      </c>
      <c r="B157" s="1889" t="n">
        <v>24504631.84</v>
      </c>
      <c r="C157" s="1889" t="n">
        <v>54182415.6</v>
      </c>
      <c r="D157" s="1889" t="n">
        <v>67577625.33</v>
      </c>
      <c r="E157" s="1889" t="n">
        <v>272380687.95</v>
      </c>
      <c r="F157" s="1889" t="n">
        <v>704059678.26</v>
      </c>
    </row>
    <row r="158" ht="15" customHeight="1">
      <c r="A158" s="1884" t="inlineStr">
        <is>
          <t>Taxes</t>
        </is>
      </c>
      <c r="B158" s="734" t="n"/>
      <c r="C158" s="734" t="n"/>
      <c r="D158" s="734" t="n"/>
      <c r="E158" s="734" t="n"/>
      <c r="F158" s="734" t="n"/>
    </row>
    <row r="159" ht="15" customHeight="1">
      <c r="A159" s="1885" t="inlineStr">
        <is>
          <t>Income Taxes</t>
        </is>
      </c>
      <c r="B159" s="1807" t="n">
        <v>-304354.48</v>
      </c>
      <c r="C159" s="1807" t="n">
        <v>-4263810.65</v>
      </c>
      <c r="D159" s="1807" t="n">
        <v>9320904.220000001</v>
      </c>
      <c r="E159" s="1807" t="n">
        <v>43102216.45</v>
      </c>
      <c r="F159" s="1807" t="n">
        <v>71156782.19</v>
      </c>
    </row>
    <row r="160" ht="15" customHeight="1">
      <c r="A160" s="1886" t="inlineStr">
        <is>
          <t>Provision for Income Tax Expense- Unclassified</t>
        </is>
      </c>
      <c r="B160" s="1807" t="n">
        <v>-314869.51</v>
      </c>
      <c r="C160" s="1807" t="n">
        <v>-4268160.59</v>
      </c>
      <c r="D160" s="1807" t="n">
        <v>9318897.300000001</v>
      </c>
      <c r="E160" s="1807" t="n">
        <v>43102216.45</v>
      </c>
      <c r="F160" s="1807" t="n">
        <v>71156782.19</v>
      </c>
    </row>
    <row r="161" ht="15" customHeight="1">
      <c r="A161" s="1886" t="inlineStr">
        <is>
          <t>Provision for Income Tax by Region - Total</t>
        </is>
      </c>
      <c r="B161" s="731" t="n"/>
      <c r="C161" s="731" t="n"/>
      <c r="D161" s="731" t="n"/>
      <c r="E161" s="731" t="n"/>
      <c r="F161" s="731" t="n"/>
    </row>
    <row r="162" ht="15" customHeight="1">
      <c r="A162" s="1887" t="inlineStr">
        <is>
          <t>Income Taxes - Domestic</t>
        </is>
      </c>
      <c r="B162" s="731" t="n"/>
      <c r="C162" s="731" t="n"/>
      <c r="D162" s="731" t="n"/>
      <c r="E162" s="731" t="n"/>
      <c r="F162" s="731" t="n"/>
    </row>
    <row r="163" ht="15" customHeight="1">
      <c r="A163" s="1887" t="inlineStr">
        <is>
          <t>Income Taxes - Foreign</t>
        </is>
      </c>
      <c r="B163" s="731" t="n"/>
      <c r="C163" s="731" t="n"/>
      <c r="D163" s="731" t="n"/>
      <c r="E163" s="731" t="n"/>
      <c r="F163" s="731" t="n"/>
    </row>
    <row r="164" ht="15" customHeight="1">
      <c r="A164" s="1887" t="inlineStr">
        <is>
          <t>Income Taxes - Other (by Region)</t>
        </is>
      </c>
      <c r="B164" s="731" t="n"/>
      <c r="C164" s="731" t="n"/>
      <c r="D164" s="731" t="n"/>
      <c r="E164" s="731" t="n"/>
      <c r="F164" s="731" t="n"/>
    </row>
    <row r="165" ht="15" customHeight="1">
      <c r="A165" s="1886" t="inlineStr">
        <is>
          <t>Income Taxes for the Year - Current</t>
        </is>
      </c>
      <c r="B165" s="1807" t="n">
        <v>10515.02</v>
      </c>
      <c r="C165" s="1893" t="n">
        <v>4349.94</v>
      </c>
      <c r="D165" s="1893" t="n">
        <v>2006.93</v>
      </c>
      <c r="E165" s="731" t="n"/>
      <c r="F165" s="731" t="n"/>
    </row>
    <row r="166" ht="15" customHeight="1">
      <c r="A166" s="1887" t="inlineStr">
        <is>
          <t>Income Taxes - Domestic - Current</t>
        </is>
      </c>
      <c r="B166" s="731" t="n"/>
      <c r="C166" s="731" t="n"/>
      <c r="D166" s="731" t="n"/>
      <c r="E166" s="731" t="n"/>
      <c r="F166" s="731" t="n"/>
    </row>
    <row r="167" ht="15" customHeight="1">
      <c r="A167" s="1887" t="inlineStr">
        <is>
          <t>Income Taxes - Foreign - Current</t>
        </is>
      </c>
      <c r="B167" s="731" t="n"/>
      <c r="C167" s="731" t="n"/>
      <c r="D167" s="731" t="n"/>
      <c r="E167" s="731" t="n"/>
      <c r="F167" s="731" t="n"/>
    </row>
    <row r="168" ht="15" customHeight="1">
      <c r="A168" s="1887" t="inlineStr">
        <is>
          <t>Income Taxes - Other (KFAS/NLST) - Current</t>
        </is>
      </c>
      <c r="B168" s="1807" t="n">
        <v>10515.02</v>
      </c>
      <c r="C168" s="1893" t="n">
        <v>4349.94</v>
      </c>
      <c r="D168" s="1893" t="n">
        <v>2006.93</v>
      </c>
      <c r="E168" s="731" t="n"/>
      <c r="F168" s="731" t="n"/>
    </row>
    <row r="169" ht="15" customHeight="1">
      <c r="A169" s="1886" t="inlineStr">
        <is>
          <t>Income Taxes - Deferred</t>
        </is>
      </c>
      <c r="B169" s="731" t="n"/>
      <c r="C169" s="731" t="n"/>
      <c r="D169" s="731" t="n"/>
      <c r="E169" s="731" t="n"/>
      <c r="F169" s="731" t="n"/>
    </row>
    <row r="170" ht="15" customHeight="1">
      <c r="A170" s="1887" t="inlineStr">
        <is>
          <t>Income Taxes - Domestic - Deferred</t>
        </is>
      </c>
      <c r="B170" s="731" t="n"/>
      <c r="C170" s="731" t="n"/>
      <c r="D170" s="731" t="n"/>
      <c r="E170" s="731" t="n"/>
      <c r="F170" s="731" t="n"/>
    </row>
    <row r="171" ht="15" customHeight="1">
      <c r="A171" s="1887" t="inlineStr">
        <is>
          <t>Income Taxes - Foreign - Deferred</t>
        </is>
      </c>
      <c r="B171" s="731" t="n"/>
      <c r="C171" s="731" t="n"/>
      <c r="D171" s="731" t="n"/>
      <c r="E171" s="731" t="n"/>
      <c r="F171" s="731" t="n"/>
    </row>
    <row r="172" ht="15" customHeight="1">
      <c r="A172" s="1887" t="inlineStr">
        <is>
          <t>Income Taxes - Other - Deferred</t>
        </is>
      </c>
      <c r="B172" s="731" t="n"/>
      <c r="C172" s="731" t="n"/>
      <c r="D172" s="731" t="n"/>
      <c r="E172" s="731" t="n"/>
      <c r="F172" s="731" t="n"/>
    </row>
    <row r="173" ht="15" customHeight="1">
      <c r="A173" s="1886" t="inlineStr">
        <is>
          <t>Income Taxes - Other (by Type)</t>
        </is>
      </c>
      <c r="B173" s="731" t="n"/>
      <c r="C173" s="731" t="n"/>
      <c r="D173" s="731" t="n"/>
      <c r="E173" s="731" t="n"/>
      <c r="F173" s="731" t="n"/>
    </row>
    <row r="174" ht="15" customHeight="1">
      <c r="A174" s="1884" t="inlineStr">
        <is>
          <t>Net Income After Tax</t>
        </is>
      </c>
      <c r="B174" s="734" t="n"/>
      <c r="C174" s="734" t="n"/>
      <c r="D174" s="734" t="n"/>
      <c r="E174" s="734" t="n"/>
      <c r="F174" s="734" t="n"/>
    </row>
    <row r="175" ht="15" customHeight="1">
      <c r="A175" s="1885" t="inlineStr">
        <is>
          <t>Net Income after Tax</t>
        </is>
      </c>
      <c r="B175" s="1807" t="n">
        <v>24808986.33</v>
      </c>
      <c r="C175" s="1807" t="n">
        <v>58446226.24</v>
      </c>
      <c r="D175" s="1807" t="n">
        <v>58256721.11</v>
      </c>
      <c r="E175" s="1807" t="n">
        <v>229278471.5</v>
      </c>
      <c r="F175" s="1807" t="n">
        <v>632902896.0700001</v>
      </c>
    </row>
    <row r="176" ht="15" customHeight="1">
      <c r="A176" s="1884" t="inlineStr">
        <is>
          <t>After Tax Income/Expense</t>
        </is>
      </c>
      <c r="B176" s="734" t="n"/>
      <c r="C176" s="734" t="n"/>
      <c r="D176" s="734" t="n"/>
      <c r="E176" s="734" t="n"/>
      <c r="F176" s="734" t="n"/>
    </row>
    <row r="177" ht="15" customHeight="1">
      <c r="A177" s="1885" t="inlineStr">
        <is>
          <t>Equity in Earnings/(Loss) of Affiliates (after Taxes)</t>
        </is>
      </c>
      <c r="B177" s="731" t="n"/>
      <c r="C177" s="731" t="n"/>
      <c r="D177" s="731" t="n"/>
      <c r="E177" s="731" t="n"/>
      <c r="F177" s="731" t="n"/>
    </row>
    <row r="178" ht="15" customHeight="1">
      <c r="A178" s="1886" t="inlineStr">
        <is>
          <t>Non-Recurring Portion of Equity Earnings</t>
        </is>
      </c>
      <c r="B178" s="731" t="n"/>
      <c r="C178" s="731" t="n"/>
      <c r="D178" s="731" t="n"/>
      <c r="E178" s="731" t="n"/>
      <c r="F178" s="731" t="n"/>
    </row>
    <row r="179" ht="15" customHeight="1">
      <c r="A179" s="1885" t="inlineStr">
        <is>
          <t>After-Tax Adjustments - Other - Income/(Expense) - Total</t>
        </is>
      </c>
      <c r="B179" s="731" t="n"/>
      <c r="C179" s="731" t="n"/>
      <c r="D179" s="731" t="n"/>
      <c r="E179" s="731" t="n"/>
      <c r="F179" s="731" t="n"/>
    </row>
    <row r="180" ht="15" customHeight="1">
      <c r="A180" s="1886" t="inlineStr">
        <is>
          <t>Estimated Tax Impact on Pre-tax Discontinued Operations</t>
        </is>
      </c>
      <c r="B180" s="731" t="n"/>
      <c r="C180" s="731" t="n"/>
      <c r="D180" s="731" t="n"/>
      <c r="E180" s="731" t="n"/>
      <c r="F180" s="731" t="n"/>
    </row>
    <row r="181" ht="15" customHeight="1">
      <c r="A181" s="1886" t="inlineStr">
        <is>
          <t>Zakat</t>
        </is>
      </c>
      <c r="B181" s="731" t="n"/>
      <c r="C181" s="731" t="n"/>
      <c r="D181" s="731" t="n"/>
      <c r="E181" s="731" t="n"/>
      <c r="F181" s="731" t="n"/>
    </row>
    <row r="182" ht="15" customHeight="1">
      <c r="A182" s="1886" t="inlineStr">
        <is>
          <t>After-Tax Adjustments - Special Reserves</t>
        </is>
      </c>
      <c r="B182" s="731" t="n"/>
      <c r="C182" s="731" t="n"/>
      <c r="D182" s="731" t="n"/>
      <c r="E182" s="731" t="n"/>
      <c r="F182" s="731" t="n"/>
    </row>
    <row r="183" ht="15" customHeight="1">
      <c r="A183" s="1888" t="inlineStr">
        <is>
          <t>Income before Discontinued Operations &amp; Extraordinary Items</t>
        </is>
      </c>
      <c r="B183" s="1889" t="n">
        <v>24808986.33</v>
      </c>
      <c r="C183" s="1889" t="n">
        <v>58446226.24</v>
      </c>
      <c r="D183" s="1889" t="n">
        <v>58256721.11</v>
      </c>
      <c r="E183" s="1889" t="n">
        <v>229278471.5</v>
      </c>
      <c r="F183" s="1889" t="n">
        <v>632902896.0700001</v>
      </c>
    </row>
    <row r="184" ht="15" customHeight="1">
      <c r="A184" s="1885" t="inlineStr">
        <is>
          <t>Extraordinary Activities - after Tax - Gain/(Loss)</t>
        </is>
      </c>
      <c r="B184" s="731" t="n"/>
      <c r="C184" s="731" t="n"/>
      <c r="D184" s="731" t="n"/>
      <c r="E184" s="731" t="n"/>
      <c r="F184" s="731" t="n"/>
    </row>
    <row r="185" ht="15" customHeight="1">
      <c r="A185" s="1886" t="inlineStr">
        <is>
          <t>Discontinued Operations - Net of Taxes - Total - Income/(Expense)</t>
        </is>
      </c>
      <c r="B185" s="731" t="n"/>
      <c r="C185" s="731" t="n"/>
      <c r="D185" s="731" t="n"/>
      <c r="E185" s="731" t="n"/>
      <c r="F185" s="731" t="n"/>
    </row>
    <row r="186" ht="15" customHeight="1">
      <c r="A186" s="1887" t="inlineStr">
        <is>
          <t>Discontinued Operations - Net - Income/(Expense)</t>
        </is>
      </c>
      <c r="B186" s="731" t="n"/>
      <c r="C186" s="731" t="n"/>
      <c r="D186" s="731" t="n"/>
      <c r="E186" s="731" t="n"/>
      <c r="F186" s="731" t="n"/>
    </row>
    <row r="187" ht="15" customHeight="1">
      <c r="A187" s="1887" t="inlineStr">
        <is>
          <t>Sale of Discontinued Operations - Net - Gain/(Loss)</t>
        </is>
      </c>
      <c r="B187" s="731" t="n"/>
      <c r="C187" s="731" t="n"/>
      <c r="D187" s="731" t="n"/>
      <c r="E187" s="731" t="n"/>
      <c r="F187" s="731" t="n"/>
    </row>
    <row r="188" ht="15" customHeight="1">
      <c r="A188" s="1887" t="inlineStr">
        <is>
          <t>Discontinued Operations before Tax - Total - Income/(Expense)</t>
        </is>
      </c>
      <c r="B188" s="731" t="n"/>
      <c r="C188" s="731" t="n"/>
      <c r="D188" s="731" t="n"/>
      <c r="E188" s="731" t="n"/>
      <c r="F188" s="731" t="n"/>
    </row>
    <row r="189" ht="15" customHeight="1">
      <c r="A189" s="1890" t="inlineStr">
        <is>
          <t>Discontinued Operations before Tax - Income/(Expense)</t>
        </is>
      </c>
      <c r="B189" s="731" t="n"/>
      <c r="C189" s="731" t="n"/>
      <c r="D189" s="731" t="n"/>
      <c r="E189" s="731" t="n"/>
      <c r="F189" s="731" t="n"/>
    </row>
    <row r="190" ht="15" customHeight="1">
      <c r="A190" s="1890" t="inlineStr">
        <is>
          <t>Sale of Discontinued Operations before Tax - Gain/(Loss)</t>
        </is>
      </c>
      <c r="B190" s="731" t="n"/>
      <c r="C190" s="731" t="n"/>
      <c r="D190" s="731" t="n"/>
      <c r="E190" s="731" t="n"/>
      <c r="F190" s="731" t="n"/>
    </row>
    <row r="191" ht="15" customHeight="1">
      <c r="A191" s="1887" t="inlineStr">
        <is>
          <t>Discontinued Operations - Tax Impacts</t>
        </is>
      </c>
      <c r="B191" s="731" t="n"/>
      <c r="C191" s="731" t="n"/>
      <c r="D191" s="731" t="n"/>
      <c r="E191" s="731" t="n"/>
      <c r="F191" s="731" t="n"/>
    </row>
    <row r="192" ht="15" customHeight="1">
      <c r="A192" s="1886" t="inlineStr">
        <is>
          <t>Impacts from Changes in Accounting Standards</t>
        </is>
      </c>
      <c r="B192" s="731" t="n"/>
      <c r="C192" s="731" t="n"/>
      <c r="D192" s="731" t="n"/>
      <c r="E192" s="731" t="n"/>
      <c r="F192" s="731" t="n"/>
    </row>
    <row r="193" ht="15" customHeight="1">
      <c r="A193" s="1886" t="inlineStr">
        <is>
          <t>Extraordinary Items</t>
        </is>
      </c>
      <c r="B193" s="731" t="n"/>
      <c r="C193" s="731" t="n"/>
      <c r="D193" s="731" t="n"/>
      <c r="E193" s="731" t="n"/>
      <c r="F193" s="731" t="n"/>
    </row>
    <row r="194" ht="15" customHeight="1">
      <c r="A194" s="1887" t="inlineStr">
        <is>
          <t>COVID-19 Income Taxes - Non-Recurring Charge/(Credit)</t>
        </is>
      </c>
      <c r="B194" s="731" t="n"/>
      <c r="C194" s="731" t="n"/>
      <c r="D194" s="731" t="n"/>
      <c r="E194" s="731" t="n"/>
      <c r="F194" s="731" t="n"/>
    </row>
    <row r="195" ht="15" customHeight="1">
      <c r="A195" s="1886" t="inlineStr">
        <is>
          <t>Extraordinary Items - Tax Impact</t>
        </is>
      </c>
      <c r="B195" s="731" t="n"/>
      <c r="C195" s="731" t="n"/>
      <c r="D195" s="731" t="n"/>
      <c r="E195" s="731" t="n"/>
      <c r="F195" s="731" t="n"/>
    </row>
    <row r="196" ht="15" customHeight="1">
      <c r="A196" s="1885" t="inlineStr">
        <is>
          <t>Net Income before Minority Interest</t>
        </is>
      </c>
      <c r="B196" s="1807" t="n">
        <v>24808986.33</v>
      </c>
      <c r="C196" s="1807" t="n">
        <v>58446226.24</v>
      </c>
      <c r="D196" s="1807" t="n">
        <v>58256721.11</v>
      </c>
      <c r="E196" s="1807" t="n">
        <v>229278471.5</v>
      </c>
      <c r="F196" s="1807" t="n">
        <v>632902896.0700001</v>
      </c>
    </row>
    <row r="197" ht="15" customHeight="1">
      <c r="A197" s="1885" t="inlineStr">
        <is>
          <t>Minority Interest</t>
        </is>
      </c>
      <c r="B197" s="1807" t="n">
        <v>-1010311.99</v>
      </c>
      <c r="C197" s="1807" t="n">
        <v>-43608.21</v>
      </c>
      <c r="D197" s="1807" t="n">
        <v>-286608.49</v>
      </c>
      <c r="E197" s="1807" t="n">
        <v>-1908308.51</v>
      </c>
      <c r="F197" s="1807" t="n">
        <v>224351664.31</v>
      </c>
    </row>
    <row r="198" ht="15" customHeight="1">
      <c r="A198" s="1885" t="inlineStr">
        <is>
          <t>Net Income after Minority Interest</t>
        </is>
      </c>
      <c r="B198" s="1807" t="n">
        <v>25819298.32</v>
      </c>
      <c r="C198" s="1807" t="n">
        <v>58489834.45</v>
      </c>
      <c r="D198" s="1807" t="n">
        <v>58543329.6</v>
      </c>
      <c r="E198" s="1807" t="n">
        <v>231186780.01</v>
      </c>
      <c r="F198" s="1807" t="n">
        <v>408551231.77</v>
      </c>
    </row>
    <row r="199" ht="15" customHeight="1">
      <c r="A199" s="1884" t="inlineStr">
        <is>
          <t>Net Income</t>
        </is>
      </c>
      <c r="B199" s="734" t="n"/>
      <c r="C199" s="734" t="n"/>
      <c r="D199" s="734" t="n"/>
      <c r="E199" s="734" t="n"/>
      <c r="F199" s="734" t="n"/>
    </row>
    <row r="200" ht="15" customHeight="1">
      <c r="A200" s="1885" t="inlineStr">
        <is>
          <t>Interest Expense - Hybrid Debt Instruments - Equity</t>
        </is>
      </c>
      <c r="B200" s="731" t="n"/>
      <c r="C200" s="731" t="n"/>
      <c r="D200" s="731" t="n"/>
      <c r="E200" s="731" t="n"/>
      <c r="F200" s="731" t="n"/>
    </row>
    <row r="201" ht="15" customHeight="1">
      <c r="A201" s="1885" t="inlineStr">
        <is>
          <t>Distribution for General Partners</t>
        </is>
      </c>
      <c r="B201" s="731" t="n"/>
      <c r="C201" s="731" t="n"/>
      <c r="D201" s="731" t="n"/>
      <c r="E201" s="731" t="n"/>
      <c r="F201" s="731" t="n"/>
    </row>
    <row r="202" ht="15" customHeight="1">
      <c r="A202" s="1885" t="inlineStr">
        <is>
          <t>Distribution for Preferred Shares</t>
        </is>
      </c>
      <c r="B202" s="731" t="n"/>
      <c r="C202" s="731" t="n"/>
      <c r="D202" s="731" t="n"/>
      <c r="E202" s="731" t="n"/>
      <c r="F202" s="731" t="n"/>
    </row>
    <row r="203" ht="15" customHeight="1">
      <c r="A203" s="1885" t="inlineStr">
        <is>
          <t>Earnings Adjustments to Net Income - Other Expense/(Income)</t>
        </is>
      </c>
      <c r="B203" s="731" t="n"/>
      <c r="C203" s="731" t="n"/>
      <c r="D203" s="731" t="n"/>
      <c r="E203" s="731" t="n"/>
      <c r="F203" s="731" t="n"/>
    </row>
    <row r="204" ht="15" customHeight="1">
      <c r="A204" s="1888" t="inlineStr">
        <is>
          <t>Income Available to Common Shares</t>
        </is>
      </c>
      <c r="B204" s="1889" t="n">
        <v>25819298.32</v>
      </c>
      <c r="C204" s="1889" t="n">
        <v>58489834.45</v>
      </c>
      <c r="D204" s="1889" t="n">
        <v>58543329.6</v>
      </c>
      <c r="E204" s="1889" t="n">
        <v>231186780.01</v>
      </c>
      <c r="F204" s="1889" t="n">
        <v>408551231.77</v>
      </c>
    </row>
    <row r="205" ht="15" customHeight="1">
      <c r="A205" s="1884" t="inlineStr">
        <is>
          <t>Other Comprehensive Income</t>
        </is>
      </c>
      <c r="B205" s="734" t="n"/>
      <c r="C205" s="734" t="n"/>
      <c r="D205" s="734" t="n"/>
      <c r="E205" s="734" t="n"/>
      <c r="F205" s="734" t="n"/>
    </row>
    <row r="206" ht="15" customHeight="1">
      <c r="A206" s="1885" t="inlineStr">
        <is>
          <t>Other Comprehensive Income - Starting Line</t>
        </is>
      </c>
      <c r="B206" s="1807" t="n">
        <v>24808986.33</v>
      </c>
      <c r="C206" s="1807" t="n">
        <v>58446226.24</v>
      </c>
      <c r="D206" s="1807" t="n">
        <v>58256721.11</v>
      </c>
      <c r="E206" s="1807" t="n">
        <v>229278471.5</v>
      </c>
      <c r="F206" s="1807" t="n">
        <v>632902896.0700001</v>
      </c>
    </row>
    <row r="207" ht="15" customHeight="1">
      <c r="A207" s="1885" t="inlineStr">
        <is>
          <t>Other Comprehensive Income - Foreign Currency</t>
        </is>
      </c>
      <c r="B207" s="731" t="n"/>
      <c r="C207" s="731" t="n"/>
      <c r="D207" s="731" t="n"/>
      <c r="E207" s="731" t="n"/>
      <c r="F207" s="1893" t="n">
        <v>-3882.23</v>
      </c>
    </row>
    <row r="208" ht="15" customHeight="1">
      <c r="A208" s="1885" t="inlineStr">
        <is>
          <t>Other Comprehensive Income - Unrealized Investment Gain/(Loss)</t>
        </is>
      </c>
      <c r="B208" s="731" t="n"/>
      <c r="C208" s="731" t="n"/>
      <c r="D208" s="731" t="n"/>
      <c r="E208" s="731" t="n"/>
      <c r="F208" s="731" t="n"/>
    </row>
    <row r="209" ht="15" customHeight="1">
      <c r="A209" s="1885" t="inlineStr">
        <is>
          <t>Other Comprehensive Income - Hedging Gain/(Loss)</t>
        </is>
      </c>
      <c r="B209" s="731" t="n"/>
      <c r="C209" s="731" t="n"/>
      <c r="D209" s="731" t="n"/>
      <c r="E209" s="731" t="n"/>
      <c r="F209" s="731" t="n"/>
    </row>
    <row r="210" ht="15" customHeight="1">
      <c r="A210" s="1885" t="inlineStr">
        <is>
          <t>Other Comprehensive Income - Revaluation of Tangible &amp; Intangible Assets</t>
        </is>
      </c>
      <c r="B210" s="731" t="n"/>
      <c r="C210" s="731" t="n"/>
      <c r="D210" s="731" t="n"/>
      <c r="E210" s="731" t="n"/>
      <c r="F210" s="731" t="n"/>
    </row>
    <row r="211" ht="15" customHeight="1">
      <c r="A211" s="1885" t="inlineStr">
        <is>
          <t>Other Comprehensive Income - Other</t>
        </is>
      </c>
      <c r="B211" s="731" t="n"/>
      <c r="C211" s="731" t="n"/>
      <c r="D211" s="731" t="n"/>
      <c r="E211" s="731" t="n"/>
      <c r="F211" s="731" t="n"/>
    </row>
    <row r="212" ht="15" customHeight="1">
      <c r="A212" s="1885" t="inlineStr">
        <is>
          <t>Other Comprehensive Income - Unearned Income</t>
        </is>
      </c>
      <c r="B212" s="731" t="n"/>
      <c r="C212" s="731" t="n"/>
      <c r="D212" s="731" t="n"/>
      <c r="E212" s="731" t="n"/>
      <c r="F212" s="731" t="n"/>
    </row>
    <row r="213" ht="15" customHeight="1">
      <c r="A213" s="1885" t="inlineStr">
        <is>
          <t>Other Comprehensive Income - Discontinued Operations</t>
        </is>
      </c>
      <c r="B213" s="731" t="n"/>
      <c r="C213" s="731" t="n"/>
      <c r="D213" s="731" t="n"/>
      <c r="E213" s="731" t="n"/>
      <c r="F213" s="731" t="n"/>
    </row>
    <row r="214" ht="15" customHeight="1">
      <c r="A214" s="1885" t="inlineStr">
        <is>
          <t>Other Comprehensive Income - Associated Companies</t>
        </is>
      </c>
      <c r="B214" s="731" t="n"/>
      <c r="C214" s="731" t="n"/>
      <c r="D214" s="731" t="n"/>
      <c r="E214" s="731" t="n"/>
      <c r="F214" s="731" t="n"/>
    </row>
    <row r="215" ht="15" customHeight="1">
      <c r="A215" s="1885" t="inlineStr">
        <is>
          <t>Other Comprehensive Income - Pension Related</t>
        </is>
      </c>
      <c r="B215" s="1807" t="n">
        <v>131257.05</v>
      </c>
      <c r="C215" s="1807" t="n">
        <v>66052.71000000001</v>
      </c>
      <c r="D215" s="1807" t="n">
        <v>-103139.79</v>
      </c>
      <c r="E215" s="1807" t="n">
        <v>538204.96</v>
      </c>
      <c r="F215" s="1807" t="n">
        <v>-340007.44</v>
      </c>
    </row>
    <row r="216" ht="15" customHeight="1">
      <c r="A216" s="1885" t="inlineStr">
        <is>
          <t>Other Comprehensive Income - Income Tax</t>
        </is>
      </c>
      <c r="B216" s="1807" t="n">
        <v>-28876.55</v>
      </c>
      <c r="C216" s="1807" t="n">
        <v>-14531.6</v>
      </c>
      <c r="D216" s="1807" t="n">
        <v>22690.76</v>
      </c>
      <c r="E216" s="1807" t="n">
        <v>-118405.09</v>
      </c>
      <c r="F216" s="1807" t="n">
        <v>74801.64</v>
      </c>
    </row>
    <row r="217" ht="15" customHeight="1">
      <c r="A217" s="1885" t="inlineStr">
        <is>
          <t>Other Comprehensive Income - Net of Tax - Total</t>
        </is>
      </c>
      <c r="B217" s="1807" t="n">
        <v>102380.5</v>
      </c>
      <c r="C217" s="1807" t="n">
        <v>51521.12</v>
      </c>
      <c r="D217" s="1807" t="n">
        <v>-80449.03999999999</v>
      </c>
      <c r="E217" s="1807" t="n">
        <v>419799.87</v>
      </c>
      <c r="F217" s="1807" t="n">
        <v>-269088.03</v>
      </c>
    </row>
    <row r="218" ht="15" customHeight="1">
      <c r="A218" s="1888" t="inlineStr">
        <is>
          <t>Comprehensive Income before Minority Interest - Total</t>
        </is>
      </c>
      <c r="B218" s="1889" t="n">
        <v>24911366.82</v>
      </c>
      <c r="C218" s="1889" t="n">
        <v>58497747.36</v>
      </c>
      <c r="D218" s="1889" t="n">
        <v>58176272.07</v>
      </c>
      <c r="E218" s="1889" t="n">
        <v>229698271.37</v>
      </c>
      <c r="F218" s="1889" t="n">
        <v>632633808.04</v>
      </c>
    </row>
    <row r="219" ht="15" customHeight="1">
      <c r="A219" s="1885" t="inlineStr">
        <is>
          <t>Comprehensive Income - Attributable to Minority Interest - Total</t>
        </is>
      </c>
      <c r="B219" s="1807" t="n">
        <v>-1010311.99</v>
      </c>
      <c r="C219" s="1807" t="n">
        <v>-43608.21</v>
      </c>
      <c r="D219" s="1807" t="n">
        <v>-286608.49</v>
      </c>
      <c r="E219" s="1807" t="n">
        <v>-1902480.01</v>
      </c>
      <c r="F219" s="1807" t="n">
        <v>223839064.01</v>
      </c>
    </row>
    <row r="220" ht="15" customHeight="1">
      <c r="A220" s="1885" t="inlineStr">
        <is>
          <t>Comprehensive Income - Dividend on Preferred Stock</t>
        </is>
      </c>
      <c r="B220" s="731" t="n"/>
      <c r="C220" s="731" t="n"/>
      <c r="D220" s="731" t="n"/>
      <c r="E220" s="731" t="n"/>
      <c r="F220" s="731" t="n"/>
    </row>
    <row r="221" ht="15" customHeight="1">
      <c r="A221" s="1885" t="inlineStr">
        <is>
          <t>Comprehensive Income - Attributable to Parent Company Equity Holders - Total</t>
        </is>
      </c>
      <c r="B221" s="1807" t="n">
        <v>25921678.82</v>
      </c>
      <c r="C221" s="1807" t="n">
        <v>58541355.57</v>
      </c>
      <c r="D221" s="1807" t="n">
        <v>58462880.56</v>
      </c>
      <c r="E221" s="1807" t="n">
        <v>231600751.38</v>
      </c>
      <c r="F221" s="1807" t="n">
        <v>408794744.03</v>
      </c>
    </row>
    <row r="222" ht="15" customHeight="1">
      <c r="A222" s="1884" t="inlineStr">
        <is>
          <t>Share/Per Share - Basic</t>
        </is>
      </c>
      <c r="B222" s="734" t="n"/>
      <c r="C222" s="734" t="n"/>
      <c r="D222" s="734" t="n"/>
      <c r="E222" s="734" t="n"/>
      <c r="F222" s="734" t="n"/>
    </row>
    <row r="223" ht="15" customHeight="1">
      <c r="A223" s="1885" t="inlineStr">
        <is>
          <t>Net Income - Basic - including Extraordinary Items Applicable to Common - Total</t>
        </is>
      </c>
      <c r="B223" s="1807" t="n">
        <v>25819298.32</v>
      </c>
      <c r="C223" s="1807" t="n">
        <v>58489834.45</v>
      </c>
      <c r="D223" s="1807" t="n">
        <v>58543329.6</v>
      </c>
      <c r="E223" s="1807" t="n">
        <v>231186780.01</v>
      </c>
      <c r="F223" s="1807" t="n">
        <v>408551231.77</v>
      </c>
    </row>
    <row r="224" ht="15" customHeight="1">
      <c r="A224" s="1886" t="inlineStr">
        <is>
          <t>Income available to Common excluding Extraordinary Items</t>
        </is>
      </c>
      <c r="B224" s="1807" t="n">
        <v>25819298.32</v>
      </c>
      <c r="C224" s="1807" t="n">
        <v>58489834.45</v>
      </c>
      <c r="D224" s="1807" t="n">
        <v>58543329.6</v>
      </c>
      <c r="E224" s="1807" t="n">
        <v>231186780.01</v>
      </c>
      <c r="F224" s="1807" t="n">
        <v>408551231.77</v>
      </c>
    </row>
    <row r="225" ht="15" customHeight="1">
      <c r="A225" s="1886" t="inlineStr">
        <is>
          <t>Shares used to calculate Basic EPS - Total</t>
        </is>
      </c>
      <c r="B225" s="1807" t="n">
        <v>2050292.29</v>
      </c>
      <c r="C225" s="1807" t="n">
        <v>2067378.04</v>
      </c>
      <c r="D225" s="1807" t="n">
        <v>2255321.29</v>
      </c>
      <c r="E225" s="1807" t="n">
        <v>2321628.56</v>
      </c>
      <c r="F225" s="1807" t="n">
        <v>3676392.39</v>
      </c>
    </row>
    <row r="226" ht="15" customHeight="1">
      <c r="A226" s="1887" t="inlineStr">
        <is>
          <t>EPS - Basic - including Extraordinary Items Applicable to Common - Total</t>
        </is>
      </c>
      <c r="B226" s="1892" t="n">
        <v>12.59</v>
      </c>
      <c r="C226" s="1892" t="n">
        <v>28.29</v>
      </c>
      <c r="D226" s="1892" t="n">
        <v>25.96</v>
      </c>
      <c r="E226" s="1892" t="n">
        <v>99.58</v>
      </c>
      <c r="F226" s="1893" t="n">
        <v>111.13</v>
      </c>
    </row>
    <row r="227" ht="15" customHeight="1">
      <c r="A227" s="1887" t="inlineStr">
        <is>
          <t>EPS - Basic - excluding Extraordinary Items Applicable to Common - Total</t>
        </is>
      </c>
      <c r="B227" s="1892" t="n">
        <v>12.59</v>
      </c>
      <c r="C227" s="1892" t="n">
        <v>28.29</v>
      </c>
      <c r="D227" s="1892" t="n">
        <v>25.96</v>
      </c>
      <c r="E227" s="1892" t="n">
        <v>99.58</v>
      </c>
      <c r="F227" s="1893" t="n">
        <v>111.13</v>
      </c>
    </row>
    <row r="228" ht="15" customHeight="1">
      <c r="A228" s="1887" t="inlineStr">
        <is>
          <t>EPS - Basic - excluding Extraordinary Items - Normalized - Total</t>
        </is>
      </c>
      <c r="B228" s="1892" t="n">
        <v>12.59</v>
      </c>
      <c r="C228" s="1892" t="n">
        <v>28.36</v>
      </c>
      <c r="D228" s="1892" t="n">
        <v>25.76</v>
      </c>
      <c r="E228" s="1892" t="n">
        <v>99.58</v>
      </c>
      <c r="F228" s="1892" t="n">
        <v>96.45999999999999</v>
      </c>
    </row>
    <row r="229" ht="15" customHeight="1">
      <c r="A229" s="1887" t="inlineStr">
        <is>
          <t>EPS - Basic - Non-GAAP - Total</t>
        </is>
      </c>
      <c r="B229" s="731" t="n"/>
      <c r="C229" s="731" t="n"/>
      <c r="D229" s="731" t="n"/>
      <c r="E229" s="731" t="n"/>
      <c r="F229" s="731" t="n"/>
    </row>
    <row r="230" ht="15" customHeight="1">
      <c r="A230" s="1885" t="inlineStr">
        <is>
          <t>Allocated Net Income including Extraordinary Items Applicable to Common - Issue Specific</t>
        </is>
      </c>
      <c r="B230" s="1807" t="n">
        <v>25819298.32</v>
      </c>
      <c r="C230" s="1807" t="n">
        <v>58489834.45</v>
      </c>
      <c r="D230" s="1807" t="n">
        <v>58543329.6</v>
      </c>
      <c r="E230" s="1807" t="n">
        <v>231186780.01</v>
      </c>
      <c r="F230" s="1807" t="n">
        <v>408763182.01</v>
      </c>
    </row>
    <row r="231" ht="15" customHeight="1">
      <c r="A231" s="1885" t="inlineStr">
        <is>
          <t>Earnings Allocation Factor - Basic - Issue Specific</t>
        </is>
      </c>
      <c r="B231" s="1892" t="n">
        <v>1</v>
      </c>
      <c r="C231" s="1892" t="n">
        <v>1</v>
      </c>
      <c r="D231" s="1892" t="n">
        <v>1</v>
      </c>
      <c r="E231" s="1892" t="n">
        <v>1</v>
      </c>
      <c r="F231" s="1892" t="n">
        <v>1</v>
      </c>
    </row>
    <row r="232" ht="15" customHeight="1">
      <c r="A232" s="1886" t="inlineStr">
        <is>
          <t>Shares used to calculate Basic EPS - Issue Specific</t>
        </is>
      </c>
      <c r="B232" s="1807" t="n">
        <v>2050292.29</v>
      </c>
      <c r="C232" s="1807" t="n">
        <v>2067378.04</v>
      </c>
      <c r="D232" s="1807" t="n">
        <v>2255321.29</v>
      </c>
      <c r="E232" s="1807" t="n">
        <v>2321628.56</v>
      </c>
      <c r="F232" s="1807" t="n">
        <v>3676392.39</v>
      </c>
    </row>
    <row r="233" ht="15" customHeight="1">
      <c r="A233" s="1887" t="inlineStr">
        <is>
          <t>EPS - Basic - including Extraordinary Items Applicable to Common - Issue Specific</t>
        </is>
      </c>
      <c r="B233" s="1892" t="n">
        <v>12.59</v>
      </c>
      <c r="C233" s="1892" t="n">
        <v>28.29</v>
      </c>
      <c r="D233" s="1892" t="n">
        <v>25.96</v>
      </c>
      <c r="E233" s="1892" t="n">
        <v>99.58</v>
      </c>
      <c r="F233" s="1893" t="n">
        <v>111.19</v>
      </c>
    </row>
    <row r="234" ht="15" customHeight="1">
      <c r="A234" s="1887" t="inlineStr">
        <is>
          <t>EPS - Basic - excluding Extraordinary Items Applicable to Common - Issue Specific</t>
        </is>
      </c>
      <c r="B234" s="1892" t="n">
        <v>12.59</v>
      </c>
      <c r="C234" s="1892" t="n">
        <v>28.29</v>
      </c>
      <c r="D234" s="1892" t="n">
        <v>25.96</v>
      </c>
      <c r="E234" s="1892" t="n">
        <v>99.58</v>
      </c>
      <c r="F234" s="1893" t="n">
        <v>111.19</v>
      </c>
    </row>
    <row r="235" ht="15" customHeight="1">
      <c r="A235" s="1887" t="inlineStr">
        <is>
          <t>EPS - Basic - excluding Extraordinary Items - Normalized - Issue Specific</t>
        </is>
      </c>
      <c r="B235" s="1892" t="n">
        <v>12.59</v>
      </c>
      <c r="C235" s="1892" t="n">
        <v>28.36</v>
      </c>
      <c r="D235" s="1892" t="n">
        <v>25.76</v>
      </c>
      <c r="E235" s="1892" t="n">
        <v>99.58</v>
      </c>
      <c r="F235" s="1892" t="n">
        <v>96.45999999999999</v>
      </c>
    </row>
    <row r="236" ht="15" customHeight="1">
      <c r="A236" s="1885" t="inlineStr">
        <is>
          <t>EPS - Basic from Discontinued Operations &amp; Extraordinary Items</t>
        </is>
      </c>
      <c r="B236" s="1807" t="n">
        <v>0</v>
      </c>
      <c r="C236" s="1807" t="n">
        <v>0</v>
      </c>
      <c r="D236" s="1807" t="n">
        <v>0</v>
      </c>
      <c r="E236" s="1807" t="n">
        <v>0</v>
      </c>
      <c r="F236" s="1807" t="n">
        <v>0</v>
      </c>
    </row>
    <row r="237" ht="15" customHeight="1">
      <c r="A237" s="1885" t="inlineStr">
        <is>
          <t>Participation Weighted Primary Shares for EPS Calculation - Issue Specific</t>
        </is>
      </c>
      <c r="B237" s="731" t="n"/>
      <c r="C237" s="731" t="n"/>
      <c r="D237" s="731" t="n"/>
      <c r="E237" s="731" t="n"/>
      <c r="F237" s="731" t="n"/>
    </row>
    <row r="238" ht="15" customHeight="1">
      <c r="A238" s="1885" t="inlineStr">
        <is>
          <t>Earnings Participation Factor - Issue Specific</t>
        </is>
      </c>
      <c r="B238" s="731" t="n"/>
      <c r="C238" s="731" t="n"/>
      <c r="D238" s="731" t="n"/>
      <c r="E238" s="731" t="n"/>
      <c r="F238" s="731" t="n"/>
    </row>
    <row r="239" ht="15" customHeight="1">
      <c r="A239" s="1885" t="inlineStr">
        <is>
          <t>Priority Dividends - Issue Specific</t>
        </is>
      </c>
      <c r="B239" s="731" t="n"/>
      <c r="C239" s="731" t="n"/>
      <c r="D239" s="731" t="n"/>
      <c r="E239" s="731" t="n"/>
      <c r="F239" s="731" t="n"/>
    </row>
    <row r="240" ht="15" customHeight="1">
      <c r="A240" s="1885" t="inlineStr">
        <is>
          <t>Comprehensive Earnings Per Share - Basic - Issue Specific</t>
        </is>
      </c>
      <c r="B240" s="1892" t="n">
        <v>12.64</v>
      </c>
      <c r="C240" s="1892" t="n">
        <v>28.32</v>
      </c>
      <c r="D240" s="1892" t="n">
        <v>25.92</v>
      </c>
      <c r="E240" s="1892" t="n">
        <v>99.76000000000001</v>
      </c>
      <c r="F240" s="1893" t="n">
        <v>111.19</v>
      </c>
    </row>
    <row r="241" ht="15" customHeight="1">
      <c r="A241" s="1885" t="inlineStr">
        <is>
          <t>Comprehensive Earnings Per Share - Basic - Issue Specific - DR</t>
        </is>
      </c>
      <c r="B241" s="731" t="n"/>
      <c r="C241" s="731" t="n"/>
      <c r="D241" s="731" t="n"/>
      <c r="E241" s="731" t="n"/>
      <c r="F241" s="731" t="n"/>
    </row>
    <row r="242" ht="15" customHeight="1">
      <c r="A242" s="1885" t="inlineStr">
        <is>
          <t>Comprehensive Earnings Per Share - Basic - Issue Specific - CPO</t>
        </is>
      </c>
      <c r="B242" s="731" t="n"/>
      <c r="C242" s="731" t="n"/>
      <c r="D242" s="731" t="n"/>
      <c r="E242" s="731" t="n"/>
      <c r="F242" s="731" t="n"/>
    </row>
    <row r="243" ht="15" customHeight="1">
      <c r="A243" s="1884" t="inlineStr">
        <is>
          <t>Share/Per Share - Diluted</t>
        </is>
      </c>
      <c r="B243" s="734" t="n"/>
      <c r="C243" s="734" t="n"/>
      <c r="D243" s="734" t="n"/>
      <c r="E243" s="734" t="n"/>
      <c r="F243" s="734" t="n"/>
    </row>
    <row r="244" ht="15" customHeight="1">
      <c r="A244" s="1885" t="inlineStr">
        <is>
          <t>Dilution Adjustment</t>
        </is>
      </c>
      <c r="B244" s="731" t="n"/>
      <c r="C244" s="731" t="n"/>
      <c r="D244" s="731" t="n"/>
      <c r="E244" s="731" t="n"/>
      <c r="F244" s="1807" t="n">
        <v>211950.24</v>
      </c>
    </row>
    <row r="245" ht="15" customHeight="1">
      <c r="A245" s="1885" t="inlineStr">
        <is>
          <t>Net Income - Diluted - including Extraordinary Items Applicable to Common - Total</t>
        </is>
      </c>
      <c r="B245" s="1807" t="n">
        <v>25819298.32</v>
      </c>
      <c r="C245" s="1807" t="n">
        <v>58489834.45</v>
      </c>
      <c r="D245" s="1807" t="n">
        <v>58543329.6</v>
      </c>
      <c r="E245" s="1807" t="n">
        <v>231186780.01</v>
      </c>
      <c r="F245" s="1807" t="n">
        <v>408763182.01</v>
      </c>
    </row>
    <row r="246" ht="15" customHeight="1">
      <c r="A246" s="1886" t="inlineStr">
        <is>
          <t>Diluted Income available to Common excluding Extraordinary Items</t>
        </is>
      </c>
      <c r="B246" s="1807" t="n">
        <v>25819298.32</v>
      </c>
      <c r="C246" s="1807" t="n">
        <v>58489834.45</v>
      </c>
      <c r="D246" s="1807" t="n">
        <v>58543329.6</v>
      </c>
      <c r="E246" s="1807" t="n">
        <v>231186780.01</v>
      </c>
      <c r="F246" s="1807" t="n">
        <v>408763182.01</v>
      </c>
    </row>
    <row r="247" ht="15" customHeight="1">
      <c r="A247" s="1886" t="inlineStr">
        <is>
          <t>Shares used to calculate Diluted EPS - Total</t>
        </is>
      </c>
      <c r="B247" s="1807" t="n">
        <v>2050292.29</v>
      </c>
      <c r="C247" s="1807" t="n">
        <v>2067378.04</v>
      </c>
      <c r="D247" s="1807" t="n">
        <v>2255321.29</v>
      </c>
      <c r="E247" s="1807" t="n">
        <v>2321628.56</v>
      </c>
      <c r="F247" s="1807" t="n">
        <v>3676392.39</v>
      </c>
    </row>
    <row r="248" ht="15" customHeight="1">
      <c r="A248" s="1887" t="inlineStr">
        <is>
          <t>EPS - Diluted - including Extraordinary Items Applicable to Common - Total</t>
        </is>
      </c>
      <c r="B248" s="1892" t="n">
        <v>12.59</v>
      </c>
      <c r="C248" s="1892" t="n">
        <v>28.29</v>
      </c>
      <c r="D248" s="1892" t="n">
        <v>25.96</v>
      </c>
      <c r="E248" s="1892" t="n">
        <v>99.58</v>
      </c>
      <c r="F248" s="1893" t="n">
        <v>111.19</v>
      </c>
    </row>
    <row r="249" ht="15" customHeight="1">
      <c r="A249" s="1887" t="inlineStr">
        <is>
          <t>EPS - Diluted - excluding Extraordinary Items Applicable to Common - Total</t>
        </is>
      </c>
      <c r="B249" s="1892" t="n">
        <v>12.59</v>
      </c>
      <c r="C249" s="1892" t="n">
        <v>28.29</v>
      </c>
      <c r="D249" s="1892" t="n">
        <v>25.96</v>
      </c>
      <c r="E249" s="1892" t="n">
        <v>99.58</v>
      </c>
      <c r="F249" s="1893" t="n">
        <v>111.19</v>
      </c>
    </row>
    <row r="250" ht="15" customHeight="1">
      <c r="A250" s="1887" t="inlineStr">
        <is>
          <t>EPS - Diluted - excluding Extraordinary Items - Normalized - Total</t>
        </is>
      </c>
      <c r="B250" s="1892" t="n">
        <v>12.59</v>
      </c>
      <c r="C250" s="1892" t="n">
        <v>28.36</v>
      </c>
      <c r="D250" s="1892" t="n">
        <v>25.76</v>
      </c>
      <c r="E250" s="1892" t="n">
        <v>99.58</v>
      </c>
      <c r="F250" s="1892" t="n">
        <v>96.45999999999999</v>
      </c>
    </row>
    <row r="251" ht="15" customHeight="1">
      <c r="A251" s="1887" t="inlineStr">
        <is>
          <t>EPS - Diluted - Non-GAAP - Total</t>
        </is>
      </c>
      <c r="B251" s="731" t="n"/>
      <c r="C251" s="731" t="n"/>
      <c r="D251" s="731" t="n"/>
      <c r="E251" s="731" t="n"/>
      <c r="F251" s="731" t="n"/>
    </row>
    <row r="252" ht="15" customHeight="1">
      <c r="A252" s="1885" t="inlineStr">
        <is>
          <t>Allocated Diluted Net Income including Extraordinary Items Applicable to Common - Issue Specific</t>
        </is>
      </c>
      <c r="B252" s="1807" t="n">
        <v>25819298.32</v>
      </c>
      <c r="C252" s="1807" t="n">
        <v>58489834.45</v>
      </c>
      <c r="D252" s="1807" t="n">
        <v>58543329.6</v>
      </c>
      <c r="E252" s="1807" t="n">
        <v>231186780.01</v>
      </c>
      <c r="F252" s="1807" t="n">
        <v>408763182.01</v>
      </c>
    </row>
    <row r="253" ht="15" customHeight="1">
      <c r="A253" s="1885" t="inlineStr">
        <is>
          <t>Earnings Allocation Factor - Diluted - Issue Specific</t>
        </is>
      </c>
      <c r="B253" s="1892" t="n">
        <v>1</v>
      </c>
      <c r="C253" s="1892" t="n">
        <v>1</v>
      </c>
      <c r="D253" s="1892" t="n">
        <v>1</v>
      </c>
      <c r="E253" s="1892" t="n">
        <v>1</v>
      </c>
      <c r="F253" s="1892" t="n">
        <v>1</v>
      </c>
    </row>
    <row r="254" ht="15" customHeight="1">
      <c r="A254" s="1886" t="inlineStr">
        <is>
          <t>Shares used to calculate Diluted EPS - Issue Specific</t>
        </is>
      </c>
      <c r="B254" s="1807" t="n">
        <v>2050292.29</v>
      </c>
      <c r="C254" s="1807" t="n">
        <v>2067378.04</v>
      </c>
      <c r="D254" s="1807" t="n">
        <v>2255321.29</v>
      </c>
      <c r="E254" s="1807" t="n">
        <v>2321628.56</v>
      </c>
      <c r="F254" s="1807" t="n">
        <v>3676392.39</v>
      </c>
    </row>
    <row r="255" ht="15" customHeight="1">
      <c r="A255" s="1887" t="inlineStr">
        <is>
          <t>EPS - Diluted - including Extraordinary Items Applicable to Common - Issue Specific</t>
        </is>
      </c>
      <c r="B255" s="1892" t="n">
        <v>12.59</v>
      </c>
      <c r="C255" s="1892" t="n">
        <v>28.29</v>
      </c>
      <c r="D255" s="1892" t="n">
        <v>25.96</v>
      </c>
      <c r="E255" s="1892" t="n">
        <v>99.58</v>
      </c>
      <c r="F255" s="1893" t="n">
        <v>111.19</v>
      </c>
    </row>
    <row r="256" ht="15" customHeight="1">
      <c r="A256" s="1887" t="inlineStr">
        <is>
          <t>EPS - Diluted - excluding Extraordinary Items Applicable to Common - Issue Specific</t>
        </is>
      </c>
      <c r="B256" s="1892" t="n">
        <v>12.59</v>
      </c>
      <c r="C256" s="1892" t="n">
        <v>28.29</v>
      </c>
      <c r="D256" s="1892" t="n">
        <v>25.96</v>
      </c>
      <c r="E256" s="1892" t="n">
        <v>99.58</v>
      </c>
      <c r="F256" s="1893" t="n">
        <v>111.19</v>
      </c>
    </row>
    <row r="257" ht="15" customHeight="1">
      <c r="A257" s="1887" t="inlineStr">
        <is>
          <t>EPS - Diluted - excluding Extraordinary Items - Normalized - Issue Specific</t>
        </is>
      </c>
      <c r="B257" s="1892" t="n">
        <v>12.59</v>
      </c>
      <c r="C257" s="1892" t="n">
        <v>28.36</v>
      </c>
      <c r="D257" s="1892" t="n">
        <v>25.76</v>
      </c>
      <c r="E257" s="1892" t="n">
        <v>99.58</v>
      </c>
      <c r="F257" s="1892" t="n">
        <v>96.45999999999999</v>
      </c>
    </row>
    <row r="258" ht="15" customHeight="1">
      <c r="A258" s="1885" t="inlineStr">
        <is>
          <t>EPS - Diluted from Discontinued Operations &amp; Extraordinary Items</t>
        </is>
      </c>
      <c r="B258" s="1807" t="n">
        <v>0</v>
      </c>
      <c r="C258" s="1807" t="n">
        <v>0</v>
      </c>
      <c r="D258" s="1807" t="n">
        <v>0</v>
      </c>
      <c r="E258" s="1807" t="n">
        <v>0</v>
      </c>
      <c r="F258" s="1807" t="n">
        <v>0</v>
      </c>
    </row>
    <row r="259" ht="15" customHeight="1">
      <c r="A259" s="1885" t="inlineStr">
        <is>
          <t>Comprehensive Earnings Per Share - Diluted - Issue Specific</t>
        </is>
      </c>
      <c r="B259" s="1892" t="n">
        <v>12.64</v>
      </c>
      <c r="C259" s="1892" t="n">
        <v>28.32</v>
      </c>
      <c r="D259" s="1892" t="n">
        <v>25.92</v>
      </c>
      <c r="E259" s="1892" t="n">
        <v>99.76000000000001</v>
      </c>
      <c r="F259" s="1893" t="n">
        <v>111.19</v>
      </c>
    </row>
    <row r="260" ht="15" customHeight="1">
      <c r="A260" s="1885" t="inlineStr">
        <is>
          <t>Comprehensive Earnings Per Share - Diluted - Issue Specific - DR</t>
        </is>
      </c>
      <c r="B260" s="731" t="n"/>
      <c r="C260" s="731" t="n"/>
      <c r="D260" s="731" t="n"/>
      <c r="E260" s="731" t="n"/>
      <c r="F260" s="731" t="n"/>
    </row>
    <row r="261" ht="15" customHeight="1">
      <c r="A261" s="1885" t="inlineStr">
        <is>
          <t>Comprehensive Earnings Per Share - Diluted - Issue Specific - CPO</t>
        </is>
      </c>
      <c r="B261" s="731" t="n"/>
      <c r="C261" s="731" t="n"/>
      <c r="D261" s="731" t="n"/>
      <c r="E261" s="731" t="n"/>
      <c r="F261" s="731" t="n"/>
    </row>
    <row r="262" ht="15" customHeight="1">
      <c r="A262" s="1884" t="inlineStr">
        <is>
          <t>Share/Per Share - Dividends</t>
        </is>
      </c>
      <c r="B262" s="734" t="n"/>
      <c r="C262" s="734" t="n"/>
      <c r="D262" s="734" t="n"/>
      <c r="E262" s="734" t="n"/>
      <c r="F262" s="734" t="n"/>
    </row>
    <row r="263" ht="15" customHeight="1">
      <c r="A263" s="1885" t="inlineStr">
        <is>
          <t>DPS - Common - Gross - Issue - By Announcement Date</t>
        </is>
      </c>
      <c r="B263" s="1807" t="n">
        <v>0</v>
      </c>
      <c r="C263" s="1807" t="n">
        <v>0</v>
      </c>
      <c r="D263" s="1807" t="n">
        <v>0</v>
      </c>
      <c r="E263" s="1892" t="n">
        <v>1.06</v>
      </c>
      <c r="F263" s="1892" t="n">
        <v>2</v>
      </c>
    </row>
    <row r="264" ht="15" customHeight="1">
      <c r="A264" s="1885" t="inlineStr">
        <is>
          <t>DPS - Common - Net - Issue - By Announcement Date</t>
        </is>
      </c>
      <c r="B264" s="1807" t="n">
        <v>0</v>
      </c>
      <c r="C264" s="1807" t="n">
        <v>0</v>
      </c>
      <c r="D264" s="1807" t="n">
        <v>0</v>
      </c>
      <c r="E264" s="1892" t="n">
        <v>0.9</v>
      </c>
      <c r="F264" s="1892" t="n">
        <v>1.7</v>
      </c>
    </row>
    <row r="265" ht="15" customHeight="1">
      <c r="A265" s="1885" t="inlineStr">
        <is>
          <t>DPS - Special - Gross - Issue - By Announcement Date</t>
        </is>
      </c>
      <c r="B265" s="731" t="n"/>
      <c r="C265" s="731" t="n"/>
      <c r="D265" s="731" t="n"/>
      <c r="E265" s="731" t="n"/>
      <c r="F265" s="731" t="n"/>
    </row>
    <row r="266" ht="15" customHeight="1">
      <c r="A266" s="1885" t="inlineStr">
        <is>
          <t>DPS - Special - Net - Issue - By Announcement Date</t>
        </is>
      </c>
      <c r="B266" s="731" t="n"/>
      <c r="C266" s="731" t="n"/>
      <c r="D266" s="731" t="n"/>
      <c r="E266" s="731" t="n"/>
      <c r="F266" s="731" t="n"/>
    </row>
    <row r="267" ht="15" customHeight="1">
      <c r="A267" s="1885" t="inlineStr">
        <is>
          <t>DPS - Common - Gross - Issue - DR - By Announcement Date</t>
        </is>
      </c>
      <c r="B267" s="731" t="n"/>
      <c r="C267" s="731" t="n"/>
      <c r="D267" s="731" t="n"/>
      <c r="E267" s="731" t="n"/>
      <c r="F267" s="731" t="n"/>
    </row>
    <row r="268" ht="15" customHeight="1">
      <c r="A268" s="1885" t="inlineStr">
        <is>
          <t>DPS - Common - Net - Issue - DR - By Announcement Date</t>
        </is>
      </c>
      <c r="B268" s="731" t="n"/>
      <c r="C268" s="731" t="n"/>
      <c r="D268" s="731" t="n"/>
      <c r="E268" s="731" t="n"/>
      <c r="F268" s="731" t="n"/>
    </row>
    <row r="269" ht="15" customHeight="1">
      <c r="A269" s="1885" t="inlineStr">
        <is>
          <t>DPS - Special - Gross - Issue - DR - By Announcement Date</t>
        </is>
      </c>
      <c r="B269" s="731" t="n"/>
      <c r="C269" s="731" t="n"/>
      <c r="D269" s="731" t="n"/>
      <c r="E269" s="731" t="n"/>
      <c r="F269" s="731" t="n"/>
    </row>
    <row r="270" ht="15" customHeight="1">
      <c r="A270" s="1885" t="inlineStr">
        <is>
          <t>DPS - Special - Net - Issue - DR - By Announcement Date</t>
        </is>
      </c>
      <c r="B270" s="731" t="n"/>
      <c r="C270" s="731" t="n"/>
      <c r="D270" s="731" t="n"/>
      <c r="E270" s="731" t="n"/>
      <c r="F270" s="731" t="n"/>
    </row>
    <row r="271" ht="15" customHeight="1">
      <c r="A271" s="1885" t="inlineStr">
        <is>
          <t>DPS - Common - Gross - Issue - CPO - By Announcement Date</t>
        </is>
      </c>
      <c r="B271" s="731" t="n"/>
      <c r="C271" s="731" t="n"/>
      <c r="D271" s="731" t="n"/>
      <c r="E271" s="731" t="n"/>
      <c r="F271" s="731" t="n"/>
    </row>
    <row r="272" ht="15" customHeight="1">
      <c r="A272" s="1885" t="inlineStr">
        <is>
          <t>DPS - Common - Net - Issue - CPO - By Announcement Date</t>
        </is>
      </c>
      <c r="B272" s="731" t="n"/>
      <c r="C272" s="731" t="n"/>
      <c r="D272" s="731" t="n"/>
      <c r="E272" s="731" t="n"/>
      <c r="F272" s="731" t="n"/>
    </row>
    <row r="273" ht="15" customHeight="1">
      <c r="A273" s="1885" t="inlineStr">
        <is>
          <t>DPS - Special - Gross - Issue - CPO - By Announcement Date</t>
        </is>
      </c>
      <c r="B273" s="731" t="n"/>
      <c r="C273" s="731" t="n"/>
      <c r="D273" s="731" t="n"/>
      <c r="E273" s="731" t="n"/>
      <c r="F273" s="731" t="n"/>
    </row>
    <row r="274" ht="15" customHeight="1">
      <c r="A274" s="1885" t="inlineStr">
        <is>
          <t>DPS - Special - Net - Issue - CPO - By Announcement Date</t>
        </is>
      </c>
      <c r="B274" s="731" t="n"/>
      <c r="C274" s="731" t="n"/>
      <c r="D274" s="731" t="n"/>
      <c r="E274" s="731" t="n"/>
      <c r="F274" s="731" t="n"/>
    </row>
    <row r="275" ht="15" customHeight="1">
      <c r="A275" s="1884" t="inlineStr">
        <is>
          <t>EBIT/EBITDA &amp; related</t>
        </is>
      </c>
      <c r="B275" s="734" t="n"/>
      <c r="C275" s="734" t="n"/>
      <c r="D275" s="734" t="n"/>
      <c r="E275" s="734" t="n"/>
      <c r="F275" s="734" t="n"/>
    </row>
    <row r="276" ht="15" customHeight="1">
      <c r="A276" s="1885" t="inlineStr">
        <is>
          <t>Earnings before Interest &amp; Taxes (EBIT)</t>
        </is>
      </c>
      <c r="B276" s="1807" t="n">
        <v>21046634.95</v>
      </c>
      <c r="C276" s="1807" t="n">
        <v>61000861.36</v>
      </c>
      <c r="D276" s="1807" t="n">
        <v>124858111.85</v>
      </c>
      <c r="E276" s="1807" t="n">
        <v>344670165.42</v>
      </c>
      <c r="F276" s="1807" t="n">
        <v>910144191.6</v>
      </c>
    </row>
    <row r="277" ht="15" customHeight="1">
      <c r="A277" s="1885" t="inlineStr">
        <is>
          <t>Earnings before Interest, Taxes, Depreciation &amp; Amortization (EBITDA)</t>
        </is>
      </c>
      <c r="B277" s="1807" t="n">
        <v>54524240.4</v>
      </c>
      <c r="C277" s="1807" t="n">
        <v>120785805.84</v>
      </c>
      <c r="D277" s="1807" t="n">
        <v>229013070.24</v>
      </c>
      <c r="E277" s="1807" t="n">
        <v>491576851.46</v>
      </c>
      <c r="F277" s="1807" t="n">
        <v>1106232966.57</v>
      </c>
    </row>
    <row r="278" ht="15" customHeight="1">
      <c r="A278" s="1885" t="inlineStr">
        <is>
          <t>Earnings before Interest, Taxes, Depreciation, Amortization &amp; Exploration Expenses (EBITDAX)</t>
        </is>
      </c>
      <c r="B278" s="731" t="n"/>
      <c r="C278" s="731" t="n"/>
      <c r="D278" s="731" t="n"/>
      <c r="E278" s="731" t="n"/>
      <c r="F278" s="731" t="n"/>
    </row>
    <row r="279" ht="15" customHeight="1">
      <c r="A279" s="1885" t="inlineStr">
        <is>
          <t>Earnings before Interest, Taxes, Depreciation &amp; Amortization (EBITDA) and Operating Lease Payments</t>
        </is>
      </c>
      <c r="B279" s="1807" t="n">
        <v>54542516.4</v>
      </c>
      <c r="C279" s="1807" t="n">
        <v>120983564.43</v>
      </c>
      <c r="D279" s="1807" t="n">
        <v>233330931.22</v>
      </c>
      <c r="E279" s="1807" t="n">
        <v>493219708.31</v>
      </c>
      <c r="F279" s="1807" t="n">
        <v>1107049437.5</v>
      </c>
    </row>
    <row r="280" ht="15" customHeight="1">
      <c r="A280" s="1884" t="inlineStr">
        <is>
          <t>Depreciation/Amortization - Income Statement</t>
        </is>
      </c>
      <c r="B280" s="734" t="n"/>
      <c r="C280" s="734" t="n"/>
      <c r="D280" s="734" t="n"/>
      <c r="E280" s="734" t="n"/>
      <c r="F280" s="734" t="n"/>
    </row>
    <row r="281" ht="15" customHeight="1">
      <c r="A281" s="1885" t="inlineStr">
        <is>
          <t>Depreciation - Investment Property - Supplemental</t>
        </is>
      </c>
      <c r="B281" s="731" t="n"/>
      <c r="C281" s="731" t="n"/>
      <c r="D281" s="731" t="n"/>
      <c r="E281" s="731" t="n"/>
      <c r="F281" s="731" t="n"/>
    </row>
    <row r="282" ht="15" customHeight="1">
      <c r="A282" s="1885" t="inlineStr">
        <is>
          <t>Depreciation &amp; Amortization - Supplemental</t>
        </is>
      </c>
      <c r="B282" s="1807" t="n">
        <v>33477605.44</v>
      </c>
      <c r="C282" s="1807" t="n">
        <v>59534944.48</v>
      </c>
      <c r="D282" s="1807" t="n">
        <v>104154958.4</v>
      </c>
      <c r="E282" s="1807" t="n">
        <v>146906686.04</v>
      </c>
      <c r="F282" s="1807" t="n">
        <v>196088774.98</v>
      </c>
    </row>
    <row r="283" ht="15" customHeight="1">
      <c r="A283" s="1886" t="inlineStr">
        <is>
          <t>Depreciation Expense - Total - Supplemental</t>
        </is>
      </c>
      <c r="B283" s="1807" t="n">
        <v>33477605.44</v>
      </c>
      <c r="C283" s="1807" t="n">
        <v>59534944.48</v>
      </c>
      <c r="D283" s="1807" t="n">
        <v>103904958.4</v>
      </c>
      <c r="E283" s="1807" t="n">
        <v>145629861</v>
      </c>
      <c r="F283" s="1807" t="n">
        <v>192256679.85</v>
      </c>
    </row>
    <row r="284" ht="15" customHeight="1">
      <c r="A284" s="1887" t="inlineStr">
        <is>
          <t>Depreciation - Fin Lease Right-of-Use Assets - Total - Suppl</t>
        </is>
      </c>
      <c r="B284" s="1807" t="n">
        <v>13700224.87</v>
      </c>
      <c r="C284" s="1807" t="n">
        <v>31238098.53</v>
      </c>
      <c r="D284" s="1807" t="n">
        <v>26859193.4</v>
      </c>
      <c r="E284" s="1807" t="n">
        <v>35292799.51</v>
      </c>
      <c r="F284" s="1807" t="n">
        <v>25986414.15</v>
      </c>
    </row>
    <row r="285" ht="15" customHeight="1">
      <c r="A285" s="1886" t="inlineStr">
        <is>
          <t>Amortization - Total - Supplemental</t>
        </is>
      </c>
      <c r="B285" s="731" t="n"/>
      <c r="C285" s="731" t="n"/>
      <c r="D285" s="1807" t="n">
        <v>250000</v>
      </c>
      <c r="E285" s="1807" t="n">
        <v>1276825.04</v>
      </c>
      <c r="F285" s="1807" t="n">
        <v>3832095.13</v>
      </c>
    </row>
    <row r="286" ht="15" customHeight="1">
      <c r="A286" s="1887" t="inlineStr">
        <is>
          <t>Goodwill Amortization - Supplemental</t>
        </is>
      </c>
      <c r="B286" s="731" t="n"/>
      <c r="C286" s="731" t="n"/>
      <c r="D286" s="731" t="n"/>
      <c r="E286" s="731" t="n"/>
      <c r="F286" s="731" t="n"/>
    </row>
    <row r="287" ht="15" customHeight="1">
      <c r="A287" s="1887" t="inlineStr">
        <is>
          <t>Intangible Amortization - Other - Supplemental</t>
        </is>
      </c>
      <c r="B287" s="731" t="n"/>
      <c r="C287" s="731" t="n"/>
      <c r="D287" s="1807" t="n">
        <v>250000</v>
      </c>
      <c r="E287" s="1807" t="n">
        <v>1276825.04</v>
      </c>
      <c r="F287" s="1807" t="n">
        <v>3832095.13</v>
      </c>
    </row>
    <row r="288" ht="15" customHeight="1">
      <c r="A288" s="1890" t="inlineStr">
        <is>
          <t>Amortization of Licenses, Copyrights, Property Rights &amp; Designs - Supplemental</t>
        </is>
      </c>
      <c r="B288" s="731" t="n"/>
      <c r="C288" s="731" t="n"/>
      <c r="D288" s="731" t="n"/>
      <c r="E288" s="731" t="n"/>
      <c r="F288" s="731" t="n"/>
    </row>
    <row r="289" ht="15" customHeight="1">
      <c r="A289" s="1890" t="inlineStr">
        <is>
          <t>Amortization of Computer Software - Supplemental</t>
        </is>
      </c>
      <c r="B289" s="731" t="n"/>
      <c r="C289" s="731" t="n"/>
      <c r="D289" s="1807" t="n">
        <v>250000</v>
      </c>
      <c r="E289" s="1807" t="n">
        <v>1276825.04</v>
      </c>
      <c r="F289" s="1807" t="n">
        <v>3832095.13</v>
      </c>
    </row>
    <row r="290" ht="15" customHeight="1">
      <c r="A290" s="1890" t="inlineStr">
        <is>
          <t>Amortization of Brands, Patents, Trademarks, Marketing &amp; Artistic Intangibles - Supplemental</t>
        </is>
      </c>
      <c r="B290" s="731" t="n"/>
      <c r="C290" s="731" t="n"/>
      <c r="D290" s="731" t="n"/>
      <c r="E290" s="731" t="n"/>
      <c r="F290" s="731" t="n"/>
    </row>
    <row r="291" ht="15" customHeight="1">
      <c r="A291" s="1890" t="inlineStr">
        <is>
          <t>Amortization of Fin Lease Right-of-Use Assets Total - Suppl</t>
        </is>
      </c>
      <c r="B291" s="731" t="n"/>
      <c r="C291" s="731" t="n"/>
      <c r="D291" s="731" t="n"/>
      <c r="E291" s="731" t="n"/>
      <c r="F291" s="731" t="n"/>
    </row>
    <row r="292" ht="15" customHeight="1">
      <c r="A292" s="1890" t="inlineStr">
        <is>
          <t>Amortization of Capitalized Research &amp; Development Expenses - Supplemental</t>
        </is>
      </c>
      <c r="B292" s="731" t="n"/>
      <c r="C292" s="731" t="n"/>
      <c r="D292" s="731" t="n"/>
      <c r="E292" s="731" t="n"/>
      <c r="F292" s="731" t="n"/>
    </row>
    <row r="293" ht="15" customHeight="1">
      <c r="A293" s="1887" t="inlineStr">
        <is>
          <t>Amortization of Deferred Costs - Supplemental</t>
        </is>
      </c>
      <c r="B293" s="731" t="n"/>
      <c r="C293" s="731" t="n"/>
      <c r="D293" s="731" t="n"/>
      <c r="E293" s="731" t="n"/>
      <c r="F293" s="731" t="n"/>
    </row>
    <row r="294" ht="15" customHeight="1">
      <c r="A294" s="1884" t="inlineStr">
        <is>
          <t>Depreciation/Amortization - Total</t>
        </is>
      </c>
      <c r="B294" s="734" t="n"/>
      <c r="C294" s="734" t="n"/>
      <c r="D294" s="734" t="n"/>
      <c r="E294" s="734" t="n"/>
      <c r="F294" s="734" t="n"/>
    </row>
    <row r="295" ht="15" customHeight="1">
      <c r="A295" s="1885" t="inlineStr">
        <is>
          <t>Depreciation, Depletion &amp; Amortization - Total</t>
        </is>
      </c>
      <c r="B295" s="1807" t="n">
        <v>33477605.44</v>
      </c>
      <c r="C295" s="1807" t="n">
        <v>59784944.48</v>
      </c>
      <c r="D295" s="1807" t="n">
        <v>104154958.4</v>
      </c>
      <c r="E295" s="1807" t="n">
        <v>146906686.04</v>
      </c>
      <c r="F295" s="1807" t="n">
        <v>196088774.98</v>
      </c>
    </row>
    <row r="296" ht="15" customHeight="1">
      <c r="A296" s="1886" t="inlineStr">
        <is>
          <t>Depreciation - Total</t>
        </is>
      </c>
      <c r="B296" s="1807" t="n">
        <v>33477605.44</v>
      </c>
      <c r="C296" s="1807" t="n">
        <v>59534944.48</v>
      </c>
      <c r="D296" s="1807" t="n">
        <v>103904958.4</v>
      </c>
      <c r="E296" s="1807" t="n">
        <v>145629861</v>
      </c>
      <c r="F296" s="1807" t="n">
        <v>192256679.85</v>
      </c>
    </row>
    <row r="297" ht="15" customHeight="1">
      <c r="A297" s="1886" t="inlineStr">
        <is>
          <t>Amortization of Intangible Assets including Goodwill - Total</t>
        </is>
      </c>
      <c r="B297" s="731" t="n"/>
      <c r="C297" s="731" t="n"/>
      <c r="D297" s="731" t="n"/>
      <c r="E297" s="731" t="n"/>
      <c r="F297" s="731" t="n"/>
    </row>
    <row r="298" ht="15" customHeight="1">
      <c r="A298" s="1886" t="inlineStr">
        <is>
          <t>Amortization of Goodwill - Total</t>
        </is>
      </c>
      <c r="B298" s="731" t="n"/>
      <c r="C298" s="731" t="n"/>
      <c r="D298" s="731" t="n"/>
      <c r="E298" s="731" t="n"/>
      <c r="F298" s="731" t="n"/>
    </row>
    <row r="299" ht="15" customHeight="1">
      <c r="A299" s="1886" t="inlineStr">
        <is>
          <t>Amortization of Intangible Assets excluding Goodwill - Total</t>
        </is>
      </c>
      <c r="B299" s="731" t="n"/>
      <c r="C299" s="1807" t="n">
        <v>250000</v>
      </c>
      <c r="D299" s="1807" t="n">
        <v>250000</v>
      </c>
      <c r="E299" s="1807" t="n">
        <v>1276825.04</v>
      </c>
      <c r="F299" s="1807" t="n">
        <v>3832095.13</v>
      </c>
    </row>
    <row r="300" ht="15" customHeight="1">
      <c r="A300" s="1886" t="inlineStr">
        <is>
          <t>Amortization of Deferred Charges - Total</t>
        </is>
      </c>
      <c r="B300" s="731" t="n"/>
      <c r="C300" s="731" t="n"/>
      <c r="D300" s="731" t="n"/>
      <c r="E300" s="731" t="n"/>
      <c r="F300" s="731" t="n"/>
    </row>
    <row r="301" ht="15" customHeight="1">
      <c r="A301" s="1884" t="inlineStr">
        <is>
          <t>Islamic</t>
        </is>
      </c>
      <c r="B301" s="734" t="n"/>
      <c r="C301" s="734" t="n"/>
      <c r="D301" s="734" t="n"/>
      <c r="E301" s="734" t="n"/>
      <c r="F301" s="734" t="n"/>
    </row>
    <row r="302" ht="15" customHeight="1">
      <c r="A302" s="1885" t="inlineStr">
        <is>
          <t>Islamic Income</t>
        </is>
      </c>
      <c r="B302" s="731" t="n"/>
      <c r="C302" s="731" t="n"/>
      <c r="D302" s="731" t="n"/>
      <c r="E302" s="731" t="n"/>
      <c r="F302" s="731" t="n"/>
    </row>
    <row r="303" ht="15" customHeight="1">
      <c r="A303" s="1884" t="inlineStr">
        <is>
          <t>Research &amp; Development</t>
        </is>
      </c>
      <c r="B303" s="734" t="n"/>
      <c r="C303" s="734" t="n"/>
      <c r="D303" s="734" t="n"/>
      <c r="E303" s="734" t="n"/>
      <c r="F303" s="734" t="n"/>
    </row>
    <row r="304" ht="15" customHeight="1">
      <c r="A304" s="1885" t="inlineStr">
        <is>
          <t>Research &amp; Development Expense - Expensed &amp; Capitalized - Total - Supplemental</t>
        </is>
      </c>
      <c r="B304" s="731" t="n"/>
      <c r="C304" s="731" t="n"/>
      <c r="D304" s="731" t="n"/>
      <c r="E304" s="731" t="n"/>
      <c r="F304" s="731" t="n"/>
    </row>
    <row r="305" ht="15" customHeight="1">
      <c r="A305" s="1886" t="inlineStr">
        <is>
          <t>Research &amp; Development Expense - Supplemental</t>
        </is>
      </c>
      <c r="B305" s="731" t="n"/>
      <c r="C305" s="731" t="n"/>
      <c r="D305" s="731" t="n"/>
      <c r="E305" s="731" t="n"/>
      <c r="F305" s="731" t="n"/>
    </row>
    <row r="306" ht="15" customHeight="1">
      <c r="A306" s="1886" t="inlineStr">
        <is>
          <t>Research &amp; Development Expense - Capitalized - Supplemental</t>
        </is>
      </c>
      <c r="B306" s="731" t="n"/>
      <c r="C306" s="731" t="n"/>
      <c r="D306" s="731" t="n"/>
      <c r="E306" s="731" t="n"/>
      <c r="F306" s="731" t="n"/>
    </row>
    <row r="307" ht="15" customHeight="1">
      <c r="A307" s="1884" t="inlineStr">
        <is>
          <t>Labor &amp; Related Expenses</t>
        </is>
      </c>
      <c r="B307" s="734" t="n"/>
      <c r="C307" s="734" t="n"/>
      <c r="D307" s="734" t="n"/>
      <c r="E307" s="734" t="n"/>
      <c r="F307" s="734" t="n"/>
    </row>
    <row r="308" ht="15" customHeight="1">
      <c r="A308" s="1885" t="inlineStr">
        <is>
          <t>Labor &amp; Related Expenses - Total</t>
        </is>
      </c>
      <c r="B308" s="1807" t="n">
        <v>14879734.91</v>
      </c>
      <c r="C308" s="1807" t="n">
        <v>21875369.43</v>
      </c>
      <c r="D308" s="1807" t="n">
        <v>19148593.25</v>
      </c>
      <c r="E308" s="1807" t="n">
        <v>21417934.52</v>
      </c>
      <c r="F308" s="1807" t="n">
        <v>87128963.83</v>
      </c>
    </row>
    <row r="309" ht="15" customHeight="1">
      <c r="A309" s="1885" t="inlineStr">
        <is>
          <t>Labor &amp; Related Expenses - Supplemental</t>
        </is>
      </c>
      <c r="B309" s="1807" t="n">
        <v>14879734.91</v>
      </c>
      <c r="C309" s="1807" t="n">
        <v>21875369.43</v>
      </c>
      <c r="D309" s="1807" t="n">
        <v>19148593.25</v>
      </c>
      <c r="E309" s="1807" t="n">
        <v>21417934.52</v>
      </c>
      <c r="F309" s="1807" t="n">
        <v>87128963.83</v>
      </c>
    </row>
    <row r="310" ht="15" customHeight="1">
      <c r="A310" s="1886" t="inlineStr">
        <is>
          <t>Stock-Based Compensation Expense - Net of Tax - Supplemental</t>
        </is>
      </c>
      <c r="B310" s="731" t="n"/>
      <c r="C310" s="731" t="n"/>
      <c r="D310" s="731" t="n"/>
      <c r="E310" s="731" t="n"/>
      <c r="F310" s="731" t="n"/>
    </row>
    <row r="311" ht="15" customHeight="1">
      <c r="A311" s="1887" t="inlineStr">
        <is>
          <t>Stock-Based Compensation Expense - Pre-tax - Supplemental</t>
        </is>
      </c>
      <c r="B311" s="731" t="n"/>
      <c r="C311" s="731" t="n"/>
      <c r="D311" s="731" t="n"/>
      <c r="E311" s="731" t="n"/>
      <c r="F311" s="731" t="n"/>
    </row>
    <row r="312" ht="15" customHeight="1">
      <c r="A312" s="1887" t="inlineStr">
        <is>
          <t>Stock-Based Compensation - Tax Benefit - Supplemental</t>
        </is>
      </c>
      <c r="B312" s="731" t="n"/>
      <c r="C312" s="731" t="n"/>
      <c r="D312" s="731" t="n"/>
      <c r="E312" s="731" t="n"/>
      <c r="F312" s="731" t="n"/>
    </row>
    <row r="313" ht="15" customHeight="1">
      <c r="A313" s="1884" t="inlineStr">
        <is>
          <t>Auditor Fees</t>
        </is>
      </c>
      <c r="B313" s="734" t="n"/>
      <c r="C313" s="734" t="n"/>
      <c r="D313" s="734" t="n"/>
      <c r="E313" s="734" t="n"/>
      <c r="F313" s="734" t="n"/>
    </row>
    <row r="314" ht="15" customHeight="1">
      <c r="A314" s="1885" t="inlineStr">
        <is>
          <t>Auditor Fees</t>
        </is>
      </c>
      <c r="B314" s="731" t="n"/>
      <c r="C314" s="731" t="n"/>
      <c r="D314" s="731" t="n"/>
      <c r="E314" s="1807" t="n">
        <v>175000</v>
      </c>
      <c r="F314" s="1807" t="n">
        <v>1290000</v>
      </c>
    </row>
    <row r="315" ht="15" customHeight="1">
      <c r="A315" s="1886" t="inlineStr">
        <is>
          <t>Audit-Related Fees</t>
        </is>
      </c>
      <c r="B315" s="731" t="n"/>
      <c r="C315" s="731" t="n"/>
      <c r="D315" s="731" t="n"/>
      <c r="E315" s="1807" t="n">
        <v>175000</v>
      </c>
      <c r="F315" s="1807" t="n">
        <v>1290000</v>
      </c>
    </row>
    <row r="316" ht="15" customHeight="1">
      <c r="A316" s="1886" t="inlineStr">
        <is>
          <t>Tax Fees</t>
        </is>
      </c>
      <c r="B316" s="731" t="n"/>
      <c r="C316" s="731" t="n"/>
      <c r="D316" s="731" t="n"/>
      <c r="E316" s="731" t="n"/>
      <c r="F316" s="731" t="n"/>
    </row>
    <row r="317" ht="15" customHeight="1">
      <c r="A317" s="1886" t="inlineStr">
        <is>
          <t>Fees - Other</t>
        </is>
      </c>
      <c r="B317" s="731" t="n"/>
      <c r="C317" s="731" t="n"/>
      <c r="D317" s="731" t="n"/>
      <c r="E317" s="731" t="n"/>
      <c r="F317" s="731" t="n"/>
    </row>
    <row r="318" ht="15" customHeight="1">
      <c r="A318" s="1884" t="inlineStr">
        <is>
          <t>Non-GAAP</t>
        </is>
      </c>
      <c r="B318" s="734" t="n"/>
      <c r="C318" s="734" t="n"/>
      <c r="D318" s="734" t="n"/>
      <c r="E318" s="734" t="n"/>
      <c r="F318" s="734" t="n"/>
    </row>
    <row r="319" ht="15" customHeight="1">
      <c r="A319" s="1885" t="inlineStr">
        <is>
          <t>Non-GAAP Revenues - Company Reported</t>
        </is>
      </c>
      <c r="B319" s="731" t="n"/>
      <c r="C319" s="731" t="n"/>
      <c r="D319" s="731" t="n"/>
      <c r="E319" s="731" t="n"/>
      <c r="F319" s="731" t="n"/>
    </row>
    <row r="320" ht="15" customHeight="1">
      <c r="A320" s="1885" t="inlineStr">
        <is>
          <t>Non-GAAP Income from Operations - Company Reported</t>
        </is>
      </c>
      <c r="B320" s="731" t="n"/>
      <c r="C320" s="731" t="n"/>
      <c r="D320" s="731" t="n"/>
      <c r="E320" s="731" t="n"/>
      <c r="F320" s="731" t="n"/>
    </row>
    <row r="321" ht="15" customHeight="1">
      <c r="A321" s="1885" t="inlineStr">
        <is>
          <t>Non-GAAP Adjusted Net Earnings - Company Reported</t>
        </is>
      </c>
      <c r="B321" s="731" t="n"/>
      <c r="C321" s="731" t="n"/>
      <c r="D321" s="731" t="n"/>
      <c r="E321" s="731" t="n"/>
      <c r="F321" s="731" t="n"/>
    </row>
    <row r="322" ht="15" customHeight="1">
      <c r="A322" s="1885" t="inlineStr">
        <is>
          <t>Non-GAAP Adjusted EBITDA - Company Reported</t>
        </is>
      </c>
      <c r="B322" s="731" t="n"/>
      <c r="C322" s="731" t="n"/>
      <c r="D322" s="731" t="n"/>
      <c r="E322" s="731" t="n"/>
      <c r="F322" s="731" t="n"/>
    </row>
    <row r="323" ht="15" customHeight="1">
      <c r="A323" s="1885" t="inlineStr">
        <is>
          <t>Non-GAAP EPS Basic - Company Reported</t>
        </is>
      </c>
      <c r="B323" s="731" t="n"/>
      <c r="C323" s="731" t="n"/>
      <c r="D323" s="731" t="n"/>
      <c r="E323" s="731" t="n"/>
      <c r="F323" s="731" t="n"/>
    </row>
    <row r="324" ht="15" customHeight="1">
      <c r="A324" s="1885" t="inlineStr">
        <is>
          <t>Non-GAAP EPS Diluted - Company Reported</t>
        </is>
      </c>
      <c r="B324" s="731" t="n"/>
      <c r="C324" s="731" t="n"/>
      <c r="D324" s="731" t="n"/>
      <c r="E324" s="731" t="n"/>
      <c r="F324" s="731" t="n"/>
    </row>
    <row r="325" ht="15" customHeight="1">
      <c r="A325" s="1885" t="inlineStr">
        <is>
          <t>Non-GAAP Operating Margin % - Company Reported</t>
        </is>
      </c>
      <c r="B325" s="731" t="n"/>
      <c r="C325" s="731" t="n"/>
      <c r="D325" s="731" t="n"/>
      <c r="E325" s="731" t="n"/>
      <c r="F325" s="731" t="n"/>
    </row>
    <row r="326" ht="15" customHeight="1">
      <c r="A326" s="1885" t="inlineStr">
        <is>
          <t>Reported - Net Income - Non-GAAP</t>
        </is>
      </c>
      <c r="B326" s="731" t="n"/>
      <c r="C326" s="731" t="n"/>
      <c r="D326" s="731" t="n"/>
      <c r="E326" s="731" t="n"/>
      <c r="F326" s="731" t="n"/>
    </row>
    <row r="327" ht="15" customHeight="1">
      <c r="A327" s="1885" t="inlineStr">
        <is>
          <t>Reported - Non-Recurring Item - Non-GAAP</t>
        </is>
      </c>
      <c r="B327" s="731" t="n"/>
      <c r="C327" s="731" t="n"/>
      <c r="D327" s="731" t="n"/>
      <c r="E327" s="731" t="n"/>
      <c r="F327" s="731" t="n"/>
    </row>
    <row r="328" ht="15" customHeight="1">
      <c r="A328" s="1885" t="inlineStr">
        <is>
          <t>Reported - Tax Impact from Non-Recurring Items - Non-GAAP</t>
        </is>
      </c>
      <c r="B328" s="731" t="n"/>
      <c r="C328" s="731" t="n"/>
      <c r="D328" s="731" t="n"/>
      <c r="E328" s="731" t="n"/>
      <c r="F328" s="731" t="n"/>
    </row>
    <row r="329" ht="15" customHeight="1">
      <c r="A329" s="1885" t="inlineStr">
        <is>
          <t>Reported - Normalized Net Income</t>
        </is>
      </c>
      <c r="B329" s="731" t="n"/>
      <c r="C329" s="731" t="n"/>
      <c r="D329" s="731" t="n"/>
      <c r="E329" s="731" t="n"/>
      <c r="F329" s="731" t="n"/>
    </row>
    <row r="330" ht="15" customHeight="1">
      <c r="A330" s="1885" t="inlineStr">
        <is>
          <t>Non-Recurring/Unusual Items - Tax Impact</t>
        </is>
      </c>
      <c r="B330" s="731" t="n"/>
      <c r="C330" s="731" t="n"/>
      <c r="D330" s="731" t="n"/>
      <c r="E330" s="731" t="n"/>
      <c r="F330" s="731" t="n"/>
    </row>
    <row r="331" ht="15" customHeight="1">
      <c r="A331" s="1885" t="inlineStr">
        <is>
          <t>Non-Recurring Items - Impact on Income Tax</t>
        </is>
      </c>
      <c r="B331" s="731" t="n"/>
      <c r="C331" s="731" t="n"/>
      <c r="D331" s="731" t="n"/>
      <c r="E331" s="731" t="n"/>
      <c r="F331" s="731" t="n"/>
    </row>
    <row r="332" ht="15" customHeight="1">
      <c r="A332" s="1884" t="inlineStr">
        <is>
          <t>Normalized</t>
        </is>
      </c>
      <c r="B332" s="734" t="n"/>
      <c r="C332" s="734" t="n"/>
      <c r="D332" s="734" t="n"/>
      <c r="E332" s="734" t="n"/>
      <c r="F332" s="734" t="n"/>
    </row>
    <row r="333" ht="15" customHeight="1">
      <c r="A333" s="1885" t="inlineStr">
        <is>
          <t>Normalized after Tax Profit</t>
        </is>
      </c>
      <c r="B333" s="1807" t="n">
        <v>24808986.33</v>
      </c>
      <c r="C333" s="1807" t="n">
        <v>58596931.48</v>
      </c>
      <c r="D333" s="1807" t="n">
        <v>57811154.69</v>
      </c>
      <c r="E333" s="1807" t="n">
        <v>229278471.5</v>
      </c>
      <c r="F333" s="1807" t="n">
        <v>578983207.37</v>
      </c>
    </row>
    <row r="334" ht="15" customHeight="1">
      <c r="A334" s="1885" t="inlineStr">
        <is>
          <t>Normalized Net Income from Continuing Operations</t>
        </is>
      </c>
      <c r="B334" s="1807" t="n">
        <v>24808986.33</v>
      </c>
      <c r="C334" s="1807" t="n">
        <v>58596931.48</v>
      </c>
      <c r="D334" s="1807" t="n">
        <v>57811154.69</v>
      </c>
      <c r="E334" s="1807" t="n">
        <v>229278471.5</v>
      </c>
      <c r="F334" s="1807" t="n">
        <v>578983207.37</v>
      </c>
    </row>
    <row r="335" ht="15" customHeight="1">
      <c r="A335" s="1885" t="inlineStr">
        <is>
          <t>Normalized Net Income - Bottom Line</t>
        </is>
      </c>
      <c r="B335" s="1807" t="n">
        <v>25819298.32</v>
      </c>
      <c r="C335" s="1807" t="n">
        <v>58640539.7</v>
      </c>
      <c r="D335" s="1807" t="n">
        <v>58097763.18</v>
      </c>
      <c r="E335" s="1807" t="n">
        <v>231186780.01</v>
      </c>
      <c r="F335" s="1807" t="n">
        <v>354631543.07</v>
      </c>
    </row>
    <row r="336" ht="15" customHeight="1">
      <c r="A336" s="1885" t="inlineStr">
        <is>
          <t>Earnings before Interest &amp; Taxes (EBIT) - Normalized</t>
        </is>
      </c>
      <c r="B336" s="1807" t="n">
        <v>20094865.98</v>
      </c>
      <c r="C336" s="1807" t="n">
        <v>90361476.56</v>
      </c>
      <c r="D336" s="1807" t="n">
        <v>122640769.82</v>
      </c>
      <c r="E336" s="1807" t="n">
        <v>392551191.09</v>
      </c>
      <c r="F336" s="1807" t="n">
        <v>881967555.37</v>
      </c>
    </row>
    <row r="337" ht="15" customHeight="1">
      <c r="A337" s="1885" t="inlineStr">
        <is>
          <t>Earnings before Interest, Taxes, Depreciation &amp; Amortization (EBITDA) - Normalized</t>
        </is>
      </c>
      <c r="B337" s="1807" t="n">
        <v>53572471.42</v>
      </c>
      <c r="C337" s="1807" t="n">
        <v>150146421.04</v>
      </c>
      <c r="D337" s="1807" t="n">
        <v>226795728.21</v>
      </c>
      <c r="E337" s="1807" t="n">
        <v>539457877.13</v>
      </c>
      <c r="F337" s="1807" t="n">
        <v>1078056330.35</v>
      </c>
    </row>
    <row r="338" ht="15" customHeight="1">
      <c r="A338" s="1884" t="inlineStr">
        <is>
          <t>Derivatives - Realized Gain/Loss</t>
        </is>
      </c>
      <c r="B338" s="734" t="n"/>
      <c r="C338" s="734" t="n"/>
      <c r="D338" s="734" t="n"/>
      <c r="E338" s="734" t="n"/>
      <c r="F338" s="734" t="n"/>
    </row>
    <row r="339" ht="15" customHeight="1">
      <c r="A339" s="1885" t="inlineStr">
        <is>
          <t>Derivatives - Realized Gain/(Loss) (including Reclassified from OCI) - Revenue - Supplemental</t>
        </is>
      </c>
      <c r="B339" s="731" t="n"/>
      <c r="C339" s="731" t="n"/>
      <c r="D339" s="731" t="n"/>
      <c r="E339" s="731" t="n"/>
      <c r="F339" s="731" t="n"/>
    </row>
    <row r="340" ht="15" customHeight="1">
      <c r="A340" s="1885" t="inlineStr">
        <is>
          <t>Derivatives - Realized Gain/(Loss) (including Reclassified from OCI) - Cost of Goods Sold - Supplemental</t>
        </is>
      </c>
      <c r="B340" s="731" t="n"/>
      <c r="C340" s="731" t="n"/>
      <c r="D340" s="731" t="n"/>
      <c r="E340" s="731" t="n"/>
      <c r="F340" s="731" t="n"/>
    </row>
    <row r="341" ht="15" customHeight="1">
      <c r="A341" s="1885" t="inlineStr">
        <is>
          <t>Derivatives - Realized Gain/(Loss) (including Reclassified from OCI) - Interest Expenses - Supplemental</t>
        </is>
      </c>
      <c r="B341" s="731" t="n"/>
      <c r="C341" s="731" t="n"/>
      <c r="D341" s="731" t="n"/>
      <c r="E341" s="731" t="n"/>
      <c r="F341" s="731" t="n"/>
    </row>
    <row r="342" ht="15" customHeight="1">
      <c r="A342" s="1885" t="inlineStr">
        <is>
          <t>Derivatives - Realized Gain/(Loss) (including Reclassified from OCI) - Other - Supplemental</t>
        </is>
      </c>
      <c r="B342" s="731" t="n"/>
      <c r="C342" s="731" t="n"/>
      <c r="D342" s="731" t="n"/>
      <c r="E342" s="731" t="n"/>
      <c r="F342" s="731" t="n"/>
    </row>
    <row r="343" ht="15" customHeight="1">
      <c r="A343" s="1885" t="inlineStr">
        <is>
          <t>Derivatives - Realized Gain/(Loss) (including Reclassified from OCI) - Total - Supplemental</t>
        </is>
      </c>
      <c r="B343" s="731" t="n"/>
      <c r="C343" s="731" t="n"/>
      <c r="D343" s="731" t="n"/>
      <c r="E343" s="731" t="n"/>
      <c r="F343" s="731" t="n"/>
    </row>
    <row r="344" ht="15" customHeight="1">
      <c r="A344" s="1884" t="inlineStr">
        <is>
          <t>Derivatives</t>
        </is>
      </c>
      <c r="B344" s="734" t="n"/>
      <c r="C344" s="734" t="n"/>
      <c r="D344" s="734" t="n"/>
      <c r="E344" s="734" t="n"/>
      <c r="F344" s="734" t="n"/>
    </row>
    <row r="345" ht="15" customHeight="1">
      <c r="A345" s="1885" t="inlineStr">
        <is>
          <t>Derivatives - Hedging - Gain/(Loss) - Total - Supplemental</t>
        </is>
      </c>
      <c r="B345" s="731" t="n"/>
      <c r="C345" s="731" t="n"/>
      <c r="D345" s="731" t="n"/>
      <c r="E345" s="731" t="n"/>
      <c r="F345" s="731" t="n"/>
    </row>
    <row r="346" ht="15" customHeight="1">
      <c r="A346" s="1886" t="inlineStr">
        <is>
          <t>Unrealized Adjustments on Derivatives for Hedging - Supplemental</t>
        </is>
      </c>
      <c r="B346" s="731" t="n"/>
      <c r="C346" s="731" t="n"/>
      <c r="D346" s="731" t="n"/>
      <c r="E346" s="731" t="n"/>
      <c r="F346" s="731" t="n"/>
    </row>
    <row r="347" ht="15" customHeight="1">
      <c r="A347" s="1886" t="inlineStr">
        <is>
          <t>Derivatives - Hedging - Realized Gain/(Loss) - Total - Supplemental</t>
        </is>
      </c>
      <c r="B347" s="731" t="n"/>
      <c r="C347" s="731" t="n"/>
      <c r="D347" s="731" t="n"/>
      <c r="E347" s="731" t="n"/>
      <c r="F347" s="731" t="n"/>
    </row>
    <row r="348" ht="15" customHeight="1">
      <c r="A348" s="1887" t="inlineStr">
        <is>
          <t>Derivatives - Hedging - Effective Gain/(Loss) - Supplemental</t>
        </is>
      </c>
      <c r="B348" s="731" t="n"/>
      <c r="C348" s="731" t="n"/>
      <c r="D348" s="731" t="n"/>
      <c r="E348" s="731" t="n"/>
      <c r="F348" s="731" t="n"/>
    </row>
    <row r="349" ht="15" customHeight="1">
      <c r="A349" s="1887" t="inlineStr">
        <is>
          <t>Derivatives - Hedging - Ineffective Gain/(Loss) - Supplemental</t>
        </is>
      </c>
      <c r="B349" s="731" t="n"/>
      <c r="C349" s="731" t="n"/>
      <c r="D349" s="731" t="n"/>
      <c r="E349" s="731" t="n"/>
      <c r="F349" s="731" t="n"/>
    </row>
    <row r="350" ht="15" customHeight="1">
      <c r="A350" s="1887" t="inlineStr">
        <is>
          <t>Early Termination of Derivatives - Hedging - Gain/(Loss) - Supplemental</t>
        </is>
      </c>
      <c r="B350" s="731" t="n"/>
      <c r="C350" s="731" t="n"/>
      <c r="D350" s="731" t="n"/>
      <c r="E350" s="731" t="n"/>
      <c r="F350" s="731" t="n"/>
    </row>
    <row r="351" ht="15" customHeight="1">
      <c r="A351" s="1886" t="inlineStr">
        <is>
          <t>Trading Derivatives - Gain/(Loss) - Supplemental</t>
        </is>
      </c>
      <c r="B351" s="731" t="n"/>
      <c r="C351" s="731" t="n"/>
      <c r="D351" s="731" t="n"/>
      <c r="E351" s="731" t="n"/>
      <c r="F351" s="731" t="n"/>
    </row>
    <row r="352" ht="15" customHeight="1">
      <c r="A352" s="1884" t="inlineStr">
        <is>
          <t>Lease Expenses</t>
        </is>
      </c>
      <c r="B352" s="734" t="n"/>
      <c r="C352" s="734" t="n"/>
      <c r="D352" s="734" t="n"/>
      <c r="E352" s="734" t="n"/>
      <c r="F352" s="734" t="n"/>
    </row>
    <row r="353" ht="15" customHeight="1">
      <c r="A353" s="1885" t="inlineStr">
        <is>
          <t>Lease Expense -Total - Supplemental</t>
        </is>
      </c>
      <c r="B353" s="731" t="n"/>
      <c r="C353" s="731" t="n"/>
      <c r="D353" s="731" t="n"/>
      <c r="E353" s="731" t="n"/>
      <c r="F353" s="731" t="n"/>
    </row>
    <row r="354" ht="15" customHeight="1">
      <c r="A354" s="1886" t="inlineStr">
        <is>
          <t>Operating /Rental Expense - Supplemental</t>
        </is>
      </c>
      <c r="B354" s="731" t="n"/>
      <c r="C354" s="731" t="n"/>
      <c r="D354" s="731" t="n"/>
      <c r="E354" s="731" t="n"/>
      <c r="F354" s="731" t="n"/>
    </row>
    <row r="355" ht="15" customHeight="1">
      <c r="A355" s="1886" t="inlineStr">
        <is>
          <t>Depreciation of Financial Lease ROU Assets - Supplemental</t>
        </is>
      </c>
      <c r="B355" s="1807" t="n">
        <v>13700224.87</v>
      </c>
      <c r="C355" s="1807" t="n">
        <v>31238098.53</v>
      </c>
      <c r="D355" s="1807" t="n">
        <v>26859193.4</v>
      </c>
      <c r="E355" s="1807" t="n">
        <v>35292799.51</v>
      </c>
      <c r="F355" s="1807" t="n">
        <v>25986414.15</v>
      </c>
    </row>
    <row r="356" ht="15" customHeight="1">
      <c r="A356" s="1886" t="inlineStr">
        <is>
          <t>Amortization of Financial Lease ROU Assets - Supplemental</t>
        </is>
      </c>
      <c r="B356" s="731" t="n"/>
      <c r="C356" s="731" t="n"/>
      <c r="D356" s="731" t="n"/>
      <c r="E356" s="731" t="n"/>
      <c r="F356" s="731" t="n"/>
    </row>
    <row r="357" ht="15" customHeight="1">
      <c r="A357" s="1886" t="inlineStr">
        <is>
          <t>Variable Lease Expense - Unclassified - Supplemental</t>
        </is>
      </c>
      <c r="B357" s="731" t="n"/>
      <c r="C357" s="731" t="n"/>
      <c r="D357" s="731" t="n"/>
      <c r="E357" s="731" t="n"/>
      <c r="F357" s="731" t="n"/>
    </row>
    <row r="358" ht="15" customHeight="1">
      <c r="A358" s="1886" t="inlineStr">
        <is>
          <t>Variable Operating Lease Expenses - US GAAP - Supplemental</t>
        </is>
      </c>
      <c r="B358" s="731" t="n"/>
      <c r="C358" s="731" t="n"/>
      <c r="D358" s="731" t="n"/>
      <c r="E358" s="731" t="n"/>
      <c r="F358" s="731" t="n"/>
    </row>
    <row r="359" ht="15" customHeight="1">
      <c r="A359" s="1886" t="inlineStr">
        <is>
          <t>Variable Financial Lease Expenses - Supplemental</t>
        </is>
      </c>
      <c r="B359" s="731" t="n"/>
      <c r="C359" s="731" t="n"/>
      <c r="D359" s="731" t="n"/>
      <c r="E359" s="731" t="n"/>
      <c r="F359" s="731" t="n"/>
    </row>
    <row r="360" ht="15" customHeight="1">
      <c r="A360" s="1886" t="inlineStr">
        <is>
          <t>Interest Expense on Financial Lease Liabilities - Supple</t>
        </is>
      </c>
      <c r="B360" s="1807" t="n">
        <v>4876425.12</v>
      </c>
      <c r="C360" s="1807" t="n">
        <v>12280564.7</v>
      </c>
      <c r="D360" s="1807" t="n">
        <v>17093119.65</v>
      </c>
      <c r="E360" s="1807" t="n">
        <v>5213870.78</v>
      </c>
      <c r="F360" s="1807" t="n">
        <v>3759547</v>
      </c>
    </row>
    <row r="361" ht="15" customHeight="1">
      <c r="A361" s="1886" t="inlineStr">
        <is>
          <t>Short-Term Lease Cost - Supplemental</t>
        </is>
      </c>
      <c r="B361" s="731" t="n"/>
      <c r="C361" s="731" t="n"/>
      <c r="D361" s="731" t="n"/>
      <c r="E361" s="731" t="n"/>
      <c r="F361" s="731" t="n"/>
    </row>
    <row r="362" ht="15" customHeight="1">
      <c r="A362" s="1886" t="inlineStr">
        <is>
          <t>Sublease Income - Supplemental</t>
        </is>
      </c>
      <c r="B362" s="731" t="n"/>
      <c r="C362" s="731" t="n"/>
      <c r="D362" s="731" t="n"/>
      <c r="E362" s="731" t="n"/>
      <c r="F362" s="731" t="n"/>
    </row>
    <row r="363" ht="15" customHeight="1">
      <c r="A363" s="1884" t="inlineStr">
        <is>
          <t>Other</t>
        </is>
      </c>
      <c r="B363" s="734" t="n"/>
      <c r="C363" s="734" t="n"/>
      <c r="D363" s="734" t="n"/>
      <c r="E363" s="734" t="n"/>
      <c r="F363" s="734" t="n"/>
    </row>
    <row r="364" ht="15" customHeight="1">
      <c r="A364" s="1885" t="inlineStr">
        <is>
          <t>Rental/Operating Lease Expense</t>
        </is>
      </c>
      <c r="B364" s="1807" t="n">
        <v>18276</v>
      </c>
      <c r="C364" s="1807" t="n">
        <v>197758.59</v>
      </c>
      <c r="D364" s="1807" t="n">
        <v>4317860.98</v>
      </c>
      <c r="E364" s="1807" t="n">
        <v>1642856.86</v>
      </c>
      <c r="F364" s="1807" t="n">
        <v>816470.9300000001</v>
      </c>
    </row>
    <row r="365" ht="15" customHeight="1">
      <c r="A365" s="1885" t="inlineStr">
        <is>
          <t>Advertising Expenses - Supplemental</t>
        </is>
      </c>
      <c r="B365" s="1807" t="n">
        <v>384329.31</v>
      </c>
      <c r="C365" s="1807" t="n">
        <v>271866.11</v>
      </c>
      <c r="D365" s="1807" t="n">
        <v>354841.17</v>
      </c>
      <c r="E365" s="1807" t="n">
        <v>1390829.4</v>
      </c>
      <c r="F365" s="1807" t="n">
        <v>22386857.62</v>
      </c>
    </row>
    <row r="366" ht="15" customHeight="1">
      <c r="A366" s="1885" t="inlineStr">
        <is>
          <t>Exploration Expenses</t>
        </is>
      </c>
      <c r="B366" s="731" t="n"/>
      <c r="C366" s="731" t="n"/>
      <c r="D366" s="731" t="n"/>
      <c r="E366" s="731" t="n"/>
      <c r="F366" s="731" t="n"/>
    </row>
    <row r="367" ht="15" customHeight="1">
      <c r="A367" s="1885" t="inlineStr">
        <is>
          <t>U.S. GAAP Adjustment</t>
        </is>
      </c>
      <c r="B367" s="731" t="n"/>
      <c r="C367" s="731" t="n"/>
      <c r="D367" s="731" t="n"/>
      <c r="E367" s="731" t="n"/>
      <c r="F367" s="731" t="n"/>
    </row>
    <row r="368" ht="15" customHeight="1">
      <c r="A368" s="1885" t="inlineStr">
        <is>
          <t>Cost of Revenue including Operation &amp; Maintenance (Utility) - Total</t>
        </is>
      </c>
      <c r="B368" s="1807" t="n">
        <v>339277882.39</v>
      </c>
      <c r="C368" s="1807" t="n">
        <v>352488820.13</v>
      </c>
      <c r="D368" s="1807" t="n">
        <v>267350511.06</v>
      </c>
      <c r="E368" s="1807" t="n">
        <v>257080687.38</v>
      </c>
      <c r="F368" s="1807" t="n">
        <v>532761105.11</v>
      </c>
    </row>
    <row r="369" ht="15" customHeight="1">
      <c r="A369" s="1885" t="inlineStr">
        <is>
          <t>Cost of Revenues excluding Depreciation</t>
        </is>
      </c>
      <c r="B369" s="1807" t="n">
        <v>315116080.56</v>
      </c>
      <c r="C369" s="1807" t="n">
        <v>302948150.01</v>
      </c>
      <c r="D369" s="1807" t="n">
        <v>173172504.97</v>
      </c>
      <c r="E369" s="1807" t="n">
        <v>128634629.14</v>
      </c>
      <c r="F369" s="1807" t="n">
        <v>349470384.7</v>
      </c>
    </row>
    <row r="370" ht="15" customHeight="1">
      <c r="A370" s="1885" t="inlineStr">
        <is>
          <t>Foreign Exchange Gain/(Loss)</t>
        </is>
      </c>
      <c r="B370" s="731" t="n"/>
      <c r="C370" s="731" t="n"/>
      <c r="D370" s="731" t="n"/>
      <c r="E370" s="731" t="n"/>
      <c r="F370" s="731" t="n"/>
    </row>
    <row r="371" ht="15" customHeight="1">
      <c r="A371" s="1885" t="inlineStr">
        <is>
          <t>Generation Cost</t>
        </is>
      </c>
      <c r="B371" s="731" t="n"/>
      <c r="C371" s="731" t="n"/>
      <c r="D371" s="731" t="n"/>
      <c r="E371" s="731" t="n"/>
      <c r="F371" s="731" t="n"/>
    </row>
    <row r="372" ht="15" customHeight="1">
      <c r="A372" s="1885" t="inlineStr">
        <is>
          <t>Interest Expense</t>
        </is>
      </c>
      <c r="B372" s="1807" t="n">
        <v>16416776.58</v>
      </c>
      <c r="C372" s="1807" t="n">
        <v>42497653.33</v>
      </c>
      <c r="D372" s="1807" t="n">
        <v>55695111.08</v>
      </c>
      <c r="E372" s="1807" t="n">
        <v>120709457.92</v>
      </c>
      <c r="F372" s="1807" t="n">
        <v>284368641.09</v>
      </c>
    </row>
    <row r="373" ht="15" customHeight="1">
      <c r="A373" s="1885" t="inlineStr">
        <is>
          <t>Operating Expenses</t>
        </is>
      </c>
      <c r="B373" s="1807" t="n">
        <v>369910481.93</v>
      </c>
      <c r="C373" s="1807" t="n">
        <v>400251816.63</v>
      </c>
      <c r="D373" s="1807" t="n">
        <v>314468255.4</v>
      </c>
      <c r="E373" s="1807" t="n">
        <v>327183835.85</v>
      </c>
      <c r="F373" s="1807" t="n">
        <v>749251878.26</v>
      </c>
    </row>
    <row r="374" ht="15" customHeight="1">
      <c r="A374" s="1885" t="inlineStr">
        <is>
          <t>Selling, General &amp; Administrative Expenses excluding Research &amp; Development Expenses</t>
        </is>
      </c>
      <c r="B374" s="1807" t="n">
        <v>32902071.44</v>
      </c>
      <c r="C374" s="1807" t="n">
        <v>50030030.9</v>
      </c>
      <c r="D374" s="1807" t="n">
        <v>49010542</v>
      </c>
      <c r="E374" s="1807" t="n">
        <v>69761527.76000001</v>
      </c>
      <c r="F374" s="1807" t="n">
        <v>211937417.3</v>
      </c>
    </row>
  </sheetData>
  <pageMargins left="0.5" right="0.5" top="1" bottom="1" header="0.511811023622047" footer="0.511811023622047"/>
  <pageSetup orientation="portrait" fitToHeight="0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539"/>
  <sheetViews>
    <sheetView zoomScaleNormal="100" workbookViewId="0">
      <selection activeCell="A1" sqref="A1"/>
    </sheetView>
  </sheetViews>
  <sheetFormatPr baseColWidth="8" defaultColWidth="8.7109375" defaultRowHeight="14.25" outlineLevelRow="1"/>
  <cols>
    <col width="85.7109375" customWidth="1" min="1" max="1"/>
    <col width="15.7109375" customWidth="1" min="2" max="6"/>
  </cols>
  <sheetData>
    <row r="1" ht="15" customHeight="1">
      <c r="A1" s="1872" t="inlineStr">
        <is>
          <t>Company Fundamentals - Balance Sheet</t>
        </is>
      </c>
      <c r="B1" s="1873" t="n"/>
      <c r="C1" s="1873" t="n"/>
      <c r="D1" s="1873" t="n"/>
      <c r="E1" s="1873" t="n"/>
      <c r="F1" s="1873" t="n"/>
    </row>
    <row r="2" ht="15" customHeight="1">
      <c r="A2" s="934" t="inlineStr">
        <is>
          <t>Company Name</t>
        </is>
      </c>
      <c r="B2" s="931" t="inlineStr">
        <is>
          <t>Solusi Sinergi Digital Tbk PT (WIFI.JK)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46253.39143464121</v>
      </c>
    </row>
    <row r="11" ht="14.25" customHeight="1">
      <c r="A11" s="1875" t="inlineStr">
        <is>
          <t>Statement Data</t>
        </is>
      </c>
      <c r="B11" s="1876" t="inlineStr">
        <is>
          <t>2021</t>
        </is>
      </c>
      <c r="C11" s="1876" t="inlineStr">
        <is>
          <t>2022</t>
        </is>
      </c>
      <c r="D11" s="1876" t="inlineStr">
        <is>
          <t>2023</t>
        </is>
      </c>
      <c r="E11" s="1876" t="inlineStr">
        <is>
          <t>2024</t>
        </is>
      </c>
      <c r="F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B12" s="1878" t="n">
        <v>44561</v>
      </c>
      <c r="C12" s="1878" t="n">
        <v>44926</v>
      </c>
      <c r="D12" s="1878" t="n">
        <v>45291</v>
      </c>
      <c r="E12" s="1878" t="n">
        <v>45657</v>
      </c>
      <c r="F12" s="1878" t="n">
        <v>46022</v>
      </c>
    </row>
    <row r="13" outlineLevel="1" ht="15" customHeight="1">
      <c r="A13" s="1877" t="inlineStr">
        <is>
          <t>Standardized Currency</t>
        </is>
      </c>
      <c r="B13" s="1879" t="inlineStr">
        <is>
          <t>IDR</t>
        </is>
      </c>
      <c r="C13" s="1879" t="inlineStr">
        <is>
          <t>IDR</t>
        </is>
      </c>
      <c r="D13" s="1879" t="inlineStr">
        <is>
          <t>IDR</t>
        </is>
      </c>
      <c r="E13" s="1879" t="inlineStr">
        <is>
          <t>IDR</t>
        </is>
      </c>
      <c r="F13" s="1879" t="inlineStr">
        <is>
          <t>IDR</t>
        </is>
      </c>
    </row>
    <row r="14" outlineLevel="1" ht="15" customHeight="1">
      <c r="A14" s="1877" t="inlineStr">
        <is>
          <t>Statement Date</t>
        </is>
      </c>
      <c r="B14" s="1878" t="n">
        <v>44561</v>
      </c>
      <c r="C14" s="1878" t="n">
        <v>44926</v>
      </c>
      <c r="D14" s="1878" t="n">
        <v>45291</v>
      </c>
      <c r="E14" s="1878" t="n">
        <v>45657</v>
      </c>
      <c r="F14" s="1878" t="n">
        <v>46022</v>
      </c>
    </row>
    <row r="15" outlineLevel="1" ht="15" customHeight="1">
      <c r="A15" s="1877" t="inlineStr">
        <is>
          <t>Complete Statement</t>
        </is>
      </c>
      <c r="B15" s="1880" t="inlineStr">
        <is>
          <t>Complete</t>
        </is>
      </c>
      <c r="C15" s="1880" t="inlineStr">
        <is>
          <t>Complete</t>
        </is>
      </c>
      <c r="D15" s="1880" t="inlineStr">
        <is>
          <t>Complete</t>
        </is>
      </c>
      <c r="E15" s="1880" t="inlineStr">
        <is>
          <t>Complete</t>
        </is>
      </c>
      <c r="F15" s="1880" t="inlineStr">
        <is>
          <t>Complete</t>
        </is>
      </c>
    </row>
    <row r="16" outlineLevel="1" ht="15" customHeight="1">
      <c r="A16" s="1877" t="inlineStr">
        <is>
          <t>Consolidated</t>
        </is>
      </c>
      <c r="B16" s="1880" t="inlineStr">
        <is>
          <t>Consolidated</t>
        </is>
      </c>
      <c r="C16" s="1880" t="inlineStr">
        <is>
          <t>Consolidated</t>
        </is>
      </c>
      <c r="D16" s="1880" t="inlineStr">
        <is>
          <t>Consolidated</t>
        </is>
      </c>
      <c r="E16" s="1880" t="inlineStr">
        <is>
          <t>Consolidated</t>
        </is>
      </c>
      <c r="F16" s="1880" t="inlineStr">
        <is>
          <t>Consolidated</t>
        </is>
      </c>
    </row>
    <row r="17" outlineLevel="1" ht="15" customHeight="1">
      <c r="A17" s="1877" t="inlineStr">
        <is>
          <t>Accounting Standard</t>
        </is>
      </c>
      <c r="B17" s="1880" t="inlineStr">
        <is>
          <t>Indonesian</t>
        </is>
      </c>
      <c r="C17" s="1880" t="inlineStr">
        <is>
          <t>Indonesian</t>
        </is>
      </c>
      <c r="D17" s="1880" t="inlineStr">
        <is>
          <t>Indonesian</t>
        </is>
      </c>
      <c r="E17" s="1880" t="inlineStr">
        <is>
          <t>Indonesian</t>
        </is>
      </c>
      <c r="F17" s="1880" t="inlineStr">
        <is>
          <t>Indonesian</t>
        </is>
      </c>
    </row>
    <row r="18" ht="14.25" customHeight="1">
      <c r="A18" s="1881" t="inlineStr">
        <is>
          <t>Balance Sheet - Standardized (Currency: Indonesia Rupiah)</t>
        </is>
      </c>
      <c r="B18" s="1882" t="n"/>
      <c r="C18" s="1882" t="n"/>
      <c r="D18" s="1882" t="n"/>
      <c r="E18" s="1882" t="n"/>
      <c r="F18" s="1882" t="n"/>
    </row>
    <row r="19" ht="14.25" customHeight="1">
      <c r="A19" s="1881" t="inlineStr">
        <is>
          <t>Field Name</t>
        </is>
      </c>
      <c r="B19" s="1883" t="inlineStr">
        <is>
          <t>31-12-2021</t>
        </is>
      </c>
      <c r="C19" s="1883" t="inlineStr">
        <is>
          <t>31-12-2022</t>
        </is>
      </c>
      <c r="D19" s="1883" t="inlineStr">
        <is>
          <t>31-12-2023</t>
        </is>
      </c>
      <c r="E19" s="1883" t="inlineStr">
        <is>
          <t>31-12-2024</t>
        </is>
      </c>
      <c r="F19" s="1883" t="inlineStr">
        <is>
          <t>31-12-2025</t>
        </is>
      </c>
    </row>
    <row r="20" ht="15" customHeight="1">
      <c r="A20" s="1884" t="inlineStr">
        <is>
          <t>Current Assets</t>
        </is>
      </c>
      <c r="B20" s="734" t="n"/>
      <c r="C20" s="734" t="n"/>
      <c r="D20" s="734" t="n"/>
      <c r="E20" s="734" t="n"/>
      <c r="F20" s="734" t="n"/>
    </row>
    <row r="21" ht="15" customHeight="1">
      <c r="A21" s="1885" t="inlineStr">
        <is>
          <t>Cash &amp; Short-Term Investments</t>
        </is>
      </c>
      <c r="B21" s="1807" t="n">
        <v>10565474.16</v>
      </c>
      <c r="C21" s="1807" t="n">
        <v>20928775.24</v>
      </c>
      <c r="D21" s="1807" t="n">
        <v>40072539.13</v>
      </c>
      <c r="E21" s="1807" t="n">
        <v>18495026.17</v>
      </c>
      <c r="F21" s="1807" t="n">
        <v>6164698518.52</v>
      </c>
    </row>
    <row r="22" ht="15" customHeight="1">
      <c r="A22" s="1886" t="inlineStr">
        <is>
          <t>Cash &amp; Cash Equivalents</t>
        </is>
      </c>
      <c r="B22" s="1807" t="n">
        <v>10565474.16</v>
      </c>
      <c r="C22" s="1807" t="n">
        <v>20928775.24</v>
      </c>
      <c r="D22" s="1807" t="n">
        <v>40072539.13</v>
      </c>
      <c r="E22" s="1807" t="n">
        <v>18495026.17</v>
      </c>
      <c r="F22" s="1807" t="n">
        <v>6164698518.52</v>
      </c>
    </row>
    <row r="23" ht="15" customHeight="1">
      <c r="A23" s="1886" t="inlineStr">
        <is>
          <t>Short-Term Investments - Total</t>
        </is>
      </c>
      <c r="B23" s="731" t="n"/>
      <c r="C23" s="731" t="n"/>
      <c r="D23" s="731" t="n"/>
      <c r="E23" s="731" t="n"/>
      <c r="F23" s="731" t="n"/>
    </row>
    <row r="24" ht="15" customHeight="1">
      <c r="A24" s="1886" t="inlineStr">
        <is>
          <t>Financial Assets - Short-Term</t>
        </is>
      </c>
      <c r="B24" s="731" t="n"/>
      <c r="C24" s="731" t="n"/>
      <c r="D24" s="731" t="n"/>
      <c r="E24" s="731" t="n"/>
      <c r="F24" s="731" t="n"/>
    </row>
    <row r="25" ht="15" customHeight="1">
      <c r="A25" s="1885" t="inlineStr">
        <is>
          <t>Derivative Financial Instruments - Hedging - Short-Term</t>
        </is>
      </c>
      <c r="B25" s="731" t="n"/>
      <c r="C25" s="731" t="n"/>
      <c r="D25" s="731" t="n"/>
      <c r="E25" s="731" t="n"/>
      <c r="F25" s="731" t="n"/>
    </row>
    <row r="26" ht="15" customHeight="1">
      <c r="A26" s="1885" t="inlineStr">
        <is>
          <t>Loans &amp; Receivables - Net - Short-Term</t>
        </is>
      </c>
      <c r="B26" s="1807" t="n">
        <v>25830523.68</v>
      </c>
      <c r="C26" s="1807" t="n">
        <v>103324783.65</v>
      </c>
      <c r="D26" s="1807" t="n">
        <v>90952347.08</v>
      </c>
      <c r="E26" s="1807" t="n">
        <v>136493664.43</v>
      </c>
      <c r="F26" s="1807" t="n">
        <v>225435301.41</v>
      </c>
    </row>
    <row r="27" ht="15" customHeight="1">
      <c r="A27" s="1886" t="inlineStr">
        <is>
          <t>Trade Accounts &amp; Trade Notes Receivable - Net</t>
        </is>
      </c>
      <c r="B27" s="1807" t="n">
        <v>25830523.68</v>
      </c>
      <c r="C27" s="1807" t="n">
        <v>103324783.65</v>
      </c>
      <c r="D27" s="1807" t="n">
        <v>90952347.08</v>
      </c>
      <c r="E27" s="1807" t="n">
        <v>136493664.43</v>
      </c>
      <c r="F27" s="1807" t="n">
        <v>222926379.46</v>
      </c>
    </row>
    <row r="28" ht="15" customHeight="1">
      <c r="A28" s="1887" t="inlineStr">
        <is>
          <t>Trade Accounts &amp; Trade Notes Receivable - Gross</t>
        </is>
      </c>
      <c r="B28" s="731" t="n"/>
      <c r="C28" s="1807" t="n">
        <v>104406824.91</v>
      </c>
      <c r="D28" s="1807" t="n">
        <v>92060761.94</v>
      </c>
      <c r="E28" s="1807" t="n">
        <v>138689080.87</v>
      </c>
      <c r="F28" s="1807" t="n">
        <v>224534866.84</v>
      </c>
    </row>
    <row r="29" ht="15" customHeight="1">
      <c r="A29" s="1887" t="inlineStr">
        <is>
          <t>Provision - Trade Accounts &amp; Trade Notes Receivable</t>
        </is>
      </c>
      <c r="B29" s="731" t="n"/>
      <c r="C29" s="1807" t="n">
        <v>1082041.26</v>
      </c>
      <c r="D29" s="1807" t="n">
        <v>1108414.85</v>
      </c>
      <c r="E29" s="1807" t="n">
        <v>2195416.45</v>
      </c>
      <c r="F29" s="1807" t="n">
        <v>1608487.38</v>
      </c>
    </row>
    <row r="30" ht="15" customHeight="1">
      <c r="A30" s="1887" t="inlineStr">
        <is>
          <t>Unbilled Utility Revenue - Short-Term</t>
        </is>
      </c>
      <c r="B30" s="731" t="n"/>
      <c r="C30" s="731" t="n"/>
      <c r="D30" s="731" t="n"/>
      <c r="E30" s="731" t="n"/>
      <c r="F30" s="731" t="n"/>
    </row>
    <row r="31" ht="15" customHeight="1">
      <c r="A31" s="1886" t="inlineStr">
        <is>
          <t>Loans - Short-Term</t>
        </is>
      </c>
      <c r="B31" s="731" t="n"/>
      <c r="C31" s="731" t="n"/>
      <c r="D31" s="731" t="n"/>
      <c r="E31" s="731" t="n"/>
      <c r="F31" s="731" t="n"/>
    </row>
    <row r="32" ht="15" customHeight="1">
      <c r="A32" s="1886" t="inlineStr">
        <is>
          <t>Income Tax - Receivables - Short-Term</t>
        </is>
      </c>
      <c r="B32" s="731" t="n"/>
      <c r="C32" s="731" t="n"/>
      <c r="D32" s="731" t="n"/>
      <c r="E32" s="731" t="n"/>
      <c r="F32" s="731" t="n"/>
    </row>
    <row r="33" ht="15" customHeight="1">
      <c r="A33" s="1886" t="inlineStr">
        <is>
          <t>Receivables - Other - Total</t>
        </is>
      </c>
      <c r="B33" s="1807" t="n">
        <v>0</v>
      </c>
      <c r="C33" s="731" t="n"/>
      <c r="D33" s="731" t="n"/>
      <c r="E33" s="731" t="n"/>
      <c r="F33" s="1807" t="n">
        <v>2508921.95</v>
      </c>
    </row>
    <row r="34" ht="15" customHeight="1">
      <c r="A34" s="1886" t="inlineStr">
        <is>
          <t>Provision - Doubtful Accounts</t>
        </is>
      </c>
      <c r="B34" s="731" t="n"/>
      <c r="C34" s="731" t="n"/>
      <c r="D34" s="731" t="n"/>
      <c r="E34" s="731" t="n"/>
      <c r="F34" s="731" t="n"/>
    </row>
    <row r="35" ht="15" customHeight="1">
      <c r="A35" s="1886" t="inlineStr">
        <is>
          <t>Receivables Over One Year included within Short-Term Receivables</t>
        </is>
      </c>
      <c r="B35" s="731" t="n"/>
      <c r="C35" s="731" t="n"/>
      <c r="D35" s="731" t="n"/>
      <c r="E35" s="731" t="n"/>
      <c r="F35" s="731" t="n"/>
    </row>
    <row r="36" ht="15" customHeight="1">
      <c r="A36" s="1885" t="inlineStr">
        <is>
          <t>Inventories - Total</t>
        </is>
      </c>
      <c r="B36" s="1807" t="n">
        <v>3551534.26</v>
      </c>
      <c r="C36" s="1807" t="n">
        <v>0</v>
      </c>
      <c r="D36" s="731" t="n"/>
      <c r="E36" s="731" t="n"/>
      <c r="F36" s="1807" t="n">
        <v>965970457.9400001</v>
      </c>
    </row>
    <row r="37" ht="15" customHeight="1">
      <c r="A37" s="1886" t="inlineStr">
        <is>
          <t>Inventories - Raw Materials</t>
        </is>
      </c>
      <c r="B37" s="731" t="n"/>
      <c r="C37" s="731" t="n"/>
      <c r="D37" s="731" t="n"/>
      <c r="E37" s="731" t="n"/>
      <c r="F37" s="1807" t="n">
        <v>608334377.5700001</v>
      </c>
    </row>
    <row r="38" ht="15" customHeight="1">
      <c r="A38" s="1886" t="inlineStr">
        <is>
          <t>Inventories - Work in Progress</t>
        </is>
      </c>
      <c r="B38" s="731" t="n"/>
      <c r="C38" s="731" t="n"/>
      <c r="D38" s="731" t="n"/>
      <c r="E38" s="731" t="n"/>
      <c r="F38" s="731" t="n"/>
    </row>
    <row r="39" ht="15" customHeight="1">
      <c r="A39" s="1886" t="inlineStr">
        <is>
          <t>Inventories - Finished Goods</t>
        </is>
      </c>
      <c r="B39" s="1807" t="n">
        <v>704950.5699999999</v>
      </c>
      <c r="C39" s="1807" t="n">
        <v>0</v>
      </c>
      <c r="D39" s="731" t="n"/>
      <c r="E39" s="731" t="n"/>
      <c r="F39" s="731" t="n"/>
    </row>
    <row r="40" ht="15" customHeight="1">
      <c r="A40" s="1886" t="inlineStr">
        <is>
          <t>Inventories - Other - Total</t>
        </is>
      </c>
      <c r="B40" s="1807" t="n">
        <v>2846583.68</v>
      </c>
      <c r="C40" s="1807" t="n">
        <v>0</v>
      </c>
      <c r="D40" s="731" t="n"/>
      <c r="E40" s="731" t="n"/>
      <c r="F40" s="1807" t="n">
        <v>357636080.37</v>
      </c>
    </row>
    <row r="41" ht="15" customHeight="1">
      <c r="A41" s="1887" t="inlineStr">
        <is>
          <t>Inventories - Cost in excess of Billings</t>
        </is>
      </c>
      <c r="B41" s="731" t="n"/>
      <c r="C41" s="731" t="n"/>
      <c r="D41" s="731" t="n"/>
      <c r="E41" s="731" t="n"/>
      <c r="F41" s="731" t="n"/>
    </row>
    <row r="42" ht="15" customHeight="1">
      <c r="A42" s="1887" t="inlineStr">
        <is>
          <t>Inventories - Gas in Storage</t>
        </is>
      </c>
      <c r="B42" s="731" t="n"/>
      <c r="C42" s="731" t="n"/>
      <c r="D42" s="731" t="n"/>
      <c r="E42" s="731" t="n"/>
      <c r="F42" s="731" t="n"/>
    </row>
    <row r="43" ht="15" customHeight="1">
      <c r="A43" s="1887" t="inlineStr">
        <is>
          <t>Inventories - LIFO Reserve</t>
        </is>
      </c>
      <c r="B43" s="731" t="n"/>
      <c r="C43" s="731" t="n"/>
      <c r="D43" s="731" t="n"/>
      <c r="E43" s="731" t="n"/>
      <c r="F43" s="731" t="n"/>
    </row>
    <row r="44" ht="15" customHeight="1">
      <c r="A44" s="1887" t="inlineStr">
        <is>
          <t>Biological Assets - Short-Term</t>
        </is>
      </c>
      <c r="B44" s="731" t="n"/>
      <c r="C44" s="731" t="n"/>
      <c r="D44" s="731" t="n"/>
      <c r="E44" s="731" t="n"/>
      <c r="F44" s="731" t="n"/>
    </row>
    <row r="45" ht="15" customHeight="1">
      <c r="A45" s="1885" t="inlineStr">
        <is>
          <t>Prepaid Expenses - Short-Term</t>
        </is>
      </c>
      <c r="B45" s="1807" t="n">
        <v>56890685.33</v>
      </c>
      <c r="C45" s="1807" t="n">
        <v>94780513.34</v>
      </c>
      <c r="D45" s="1807" t="n">
        <v>131764199.19</v>
      </c>
      <c r="E45" s="1807" t="n">
        <v>431056413.52</v>
      </c>
      <c r="F45" s="1807" t="n">
        <v>1331453109.63</v>
      </c>
    </row>
    <row r="46" ht="15" customHeight="1">
      <c r="A46" s="1885" t="inlineStr">
        <is>
          <t>Assets Held for Sale/Discontinued Operations - Short-Term</t>
        </is>
      </c>
      <c r="B46" s="731" t="n"/>
      <c r="C46" s="731" t="n"/>
      <c r="D46" s="731" t="n"/>
      <c r="E46" s="731" t="n"/>
      <c r="F46" s="731" t="n"/>
    </row>
    <row r="47" ht="15" customHeight="1">
      <c r="A47" s="1885" t="inlineStr">
        <is>
          <t>Other Current Assets - Total</t>
        </is>
      </c>
      <c r="B47" s="1807" t="n">
        <v>10713.6</v>
      </c>
      <c r="C47" s="1807" t="n">
        <v>84610</v>
      </c>
      <c r="D47" s="1807" t="n">
        <v>43910</v>
      </c>
      <c r="E47" s="1807" t="n">
        <v>302096.54</v>
      </c>
      <c r="F47" s="1807" t="n">
        <v>302990.97</v>
      </c>
    </row>
    <row r="48" ht="15" customHeight="1">
      <c r="A48" s="1886" t="inlineStr">
        <is>
          <t>Deferred Tax - Asset - Short-Term</t>
        </is>
      </c>
      <c r="B48" s="731" t="n"/>
      <c r="C48" s="731" t="n"/>
      <c r="D48" s="731" t="n"/>
      <c r="E48" s="731" t="n"/>
      <c r="F48" s="731" t="n"/>
    </row>
    <row r="49" ht="15" customHeight="1">
      <c r="A49" s="1886" t="inlineStr">
        <is>
          <t>Deferred Costs - Short-Term</t>
        </is>
      </c>
      <c r="B49" s="731" t="n"/>
      <c r="C49" s="731" t="n"/>
      <c r="D49" s="731" t="n"/>
      <c r="E49" s="731" t="n"/>
      <c r="F49" s="731" t="n"/>
    </row>
    <row r="50" ht="15" customHeight="1">
      <c r="A50" s="1886" t="inlineStr">
        <is>
          <t>Restricted Accounts - Short-Term</t>
        </is>
      </c>
      <c r="B50" s="731" t="n"/>
      <c r="C50" s="731" t="n"/>
      <c r="D50" s="731" t="n"/>
      <c r="E50" s="731" t="n"/>
      <c r="F50" s="731" t="n"/>
    </row>
    <row r="51" ht="15" customHeight="1">
      <c r="A51" s="1886" t="inlineStr">
        <is>
          <t>Regulatory Assets - Short-Term</t>
        </is>
      </c>
      <c r="B51" s="731" t="n"/>
      <c r="C51" s="731" t="n"/>
      <c r="D51" s="731" t="n"/>
      <c r="E51" s="731" t="n"/>
      <c r="F51" s="731" t="n"/>
    </row>
    <row r="52" ht="15" customHeight="1">
      <c r="A52" s="1886" t="inlineStr">
        <is>
          <t>Other Current Assets</t>
        </is>
      </c>
      <c r="B52" s="1807" t="n">
        <v>10713.6</v>
      </c>
      <c r="C52" s="1807" t="n">
        <v>84610</v>
      </c>
      <c r="D52" s="1807" t="n">
        <v>43910</v>
      </c>
      <c r="E52" s="1807" t="n">
        <v>302096.54</v>
      </c>
      <c r="F52" s="1807" t="n">
        <v>302990.97</v>
      </c>
    </row>
    <row r="53" ht="15" customHeight="1">
      <c r="A53" s="1888" t="inlineStr">
        <is>
          <t>Total Current Assets</t>
        </is>
      </c>
      <c r="B53" s="1889" t="n">
        <v>96848931.03</v>
      </c>
      <c r="C53" s="1889" t="n">
        <v>219118682.23</v>
      </c>
      <c r="D53" s="1889" t="n">
        <v>262832995.4</v>
      </c>
      <c r="E53" s="1889" t="n">
        <v>586347200.65</v>
      </c>
      <c r="F53" s="1889" t="n">
        <v>8687860378.459999</v>
      </c>
    </row>
    <row r="54" ht="15" customHeight="1">
      <c r="A54" s="1884" t="inlineStr">
        <is>
          <t>Non-Current Assets</t>
        </is>
      </c>
      <c r="B54" s="734" t="n"/>
      <c r="C54" s="734" t="n"/>
      <c r="D54" s="734" t="n"/>
      <c r="E54" s="734" t="n"/>
      <c r="F54" s="734" t="n"/>
    </row>
    <row r="55" ht="15" customFormat="1" customHeight="1" s="811">
      <c r="A55" s="1931" t="inlineStr">
        <is>
          <t>Investments - Long-Term</t>
        </is>
      </c>
      <c r="B55" s="810" t="n"/>
      <c r="C55" s="810" t="n"/>
      <c r="D55" s="810" t="n"/>
      <c r="E55" s="810" t="n"/>
      <c r="F55" s="810" t="n"/>
    </row>
    <row r="56" ht="15" customHeight="1">
      <c r="A56" s="1886" t="inlineStr">
        <is>
          <t>Investment Property - Net</t>
        </is>
      </c>
      <c r="B56" s="731" t="n"/>
      <c r="C56" s="731" t="n"/>
      <c r="D56" s="731" t="n"/>
      <c r="E56" s="731" t="n"/>
      <c r="F56" s="731" t="n"/>
    </row>
    <row r="57" ht="15" customHeight="1">
      <c r="A57" s="1887" t="inlineStr">
        <is>
          <t>Investment Property - Accumulated Depreciation &amp; Impairment</t>
        </is>
      </c>
      <c r="B57" s="731" t="n"/>
      <c r="C57" s="731" t="n"/>
      <c r="D57" s="731" t="n"/>
      <c r="E57" s="731" t="n"/>
      <c r="F57" s="731" t="n"/>
    </row>
    <row r="58" ht="15" customHeight="1">
      <c r="A58" s="1887" t="inlineStr">
        <is>
          <t>Investment Property - Gross</t>
        </is>
      </c>
      <c r="B58" s="731" t="n"/>
      <c r="C58" s="731" t="n"/>
      <c r="D58" s="731" t="n"/>
      <c r="E58" s="731" t="n"/>
      <c r="F58" s="731" t="n"/>
    </row>
    <row r="59" ht="15" customHeight="1">
      <c r="A59" s="1886" t="inlineStr">
        <is>
          <t>Investments - Available for Sale/Held to Maturity - Long-Term</t>
        </is>
      </c>
      <c r="B59" s="731" t="n"/>
      <c r="C59" s="731" t="n"/>
      <c r="D59" s="731" t="n"/>
      <c r="E59" s="731" t="n"/>
      <c r="F59" s="731" t="n"/>
    </row>
    <row r="60" ht="15" customHeight="1">
      <c r="A60" s="1887" t="inlineStr">
        <is>
          <t>Marketable Securities - Long-Term</t>
        </is>
      </c>
      <c r="B60" s="731" t="n"/>
      <c r="C60" s="731" t="n"/>
      <c r="D60" s="731" t="n"/>
      <c r="E60" s="731" t="n"/>
      <c r="F60" s="731" t="n"/>
    </row>
    <row r="61" ht="15" customHeight="1">
      <c r="A61" s="1886" t="inlineStr">
        <is>
          <t>Financial Assets - Long-Term</t>
        </is>
      </c>
      <c r="B61" s="731" t="n"/>
      <c r="C61" s="731" t="n"/>
      <c r="D61" s="731" t="n"/>
      <c r="E61" s="731" t="n"/>
      <c r="F61" s="731" t="n"/>
    </row>
    <row r="62" ht="15" customFormat="1" customHeight="1" s="811">
      <c r="A62" s="1931" t="inlineStr">
        <is>
          <t>Investments in Associates, Joint Ventures and Unconsolidated Subsidiaries</t>
        </is>
      </c>
      <c r="B62" s="810" t="n"/>
      <c r="C62" s="810" t="n"/>
      <c r="D62" s="810" t="n"/>
      <c r="E62" s="810" t="n"/>
      <c r="F62" s="810" t="n"/>
    </row>
    <row r="63" ht="15" customFormat="1" customHeight="1" s="811">
      <c r="A63" s="1931" t="inlineStr">
        <is>
          <t>Receivables &amp; Loans - Long-Term</t>
        </is>
      </c>
      <c r="B63" s="810" t="n"/>
      <c r="C63" s="1932" t="n">
        <v>242314.34</v>
      </c>
      <c r="D63" s="1932" t="n">
        <v>242314.34</v>
      </c>
      <c r="E63" s="1932" t="n">
        <v>0</v>
      </c>
      <c r="F63" s="810" t="n"/>
    </row>
    <row r="64" ht="15" customHeight="1">
      <c r="A64" s="1886" t="inlineStr">
        <is>
          <t>Accounts &amp; Notes Receivable - Trade - Net - Long-Term</t>
        </is>
      </c>
      <c r="B64" s="731" t="n"/>
      <c r="C64" s="731" t="n"/>
      <c r="D64" s="731" t="n"/>
      <c r="E64" s="731" t="n"/>
      <c r="F64" s="731" t="n"/>
    </row>
    <row r="65" ht="15" customHeight="1">
      <c r="A65" s="1887" t="inlineStr">
        <is>
          <t>Accounts &amp; Notes Receivable - Trade - Gross - Long-Term</t>
        </is>
      </c>
      <c r="B65" s="731" t="n"/>
      <c r="C65" s="731" t="n"/>
      <c r="D65" s="731" t="n"/>
      <c r="E65" s="731" t="n"/>
      <c r="F65" s="731" t="n"/>
    </row>
    <row r="66" ht="15" customHeight="1">
      <c r="A66" s="1886" t="inlineStr">
        <is>
          <t>Loans - Long-Term</t>
        </is>
      </c>
      <c r="B66" s="731" t="n"/>
      <c r="C66" s="731" t="n"/>
      <c r="D66" s="731" t="n"/>
      <c r="E66" s="731" t="n"/>
      <c r="F66" s="731" t="n"/>
    </row>
    <row r="67" ht="15" customHeight="1">
      <c r="A67" s="1886" t="inlineStr">
        <is>
          <t>Finance Lease Receivables - Long-Term</t>
        </is>
      </c>
      <c r="B67" s="731" t="n"/>
      <c r="C67" s="731" t="n"/>
      <c r="D67" s="731" t="n"/>
      <c r="E67" s="731" t="n"/>
      <c r="F67" s="731" t="n"/>
    </row>
    <row r="68" ht="15" customHeight="1">
      <c r="A68" s="1886" t="inlineStr">
        <is>
          <t>Receivables - Other - Net - Long-Term</t>
        </is>
      </c>
      <c r="B68" s="731" t="n"/>
      <c r="C68" s="1807" t="n">
        <v>242314.34</v>
      </c>
      <c r="D68" s="1807" t="n">
        <v>242314.34</v>
      </c>
      <c r="E68" s="1807" t="n">
        <v>0</v>
      </c>
      <c r="F68" s="731" t="n"/>
    </row>
    <row r="69" ht="15" customHeight="1">
      <c r="A69" s="1886" t="inlineStr">
        <is>
          <t>Provision - Doubtful Accounts - Long-Term</t>
        </is>
      </c>
      <c r="B69" s="731" t="n"/>
      <c r="C69" s="731" t="n"/>
      <c r="D69" s="731" t="n"/>
      <c r="E69" s="731" t="n"/>
      <c r="F69" s="731" t="n"/>
    </row>
    <row r="70" ht="15" customFormat="1" customHeight="1" s="811">
      <c r="A70" s="1931" t="inlineStr">
        <is>
          <t>Derivative Financial Instruments - Hedging - Long-Term</t>
        </is>
      </c>
      <c r="B70" s="810" t="n"/>
      <c r="C70" s="810" t="n"/>
      <c r="D70" s="810" t="n"/>
      <c r="E70" s="810" t="n"/>
      <c r="F70" s="810" t="n"/>
    </row>
    <row r="71" ht="15" customFormat="1" customHeight="1" s="811">
      <c r="A71" s="1931" t="inlineStr">
        <is>
          <t>Property, Plant &amp; Equipment - Net - Total</t>
        </is>
      </c>
      <c r="B71" s="1932" t="n">
        <v>531753894.33</v>
      </c>
      <c r="C71" s="1932" t="n">
        <v>1047098918.82</v>
      </c>
      <c r="D71" s="1932" t="n">
        <v>1286392130.55</v>
      </c>
      <c r="E71" s="1932" t="n">
        <v>2299004659.72</v>
      </c>
      <c r="F71" s="1932" t="n">
        <v>5628462381.49</v>
      </c>
    </row>
    <row r="72" ht="15" customHeight="1">
      <c r="A72" s="1886" t="inlineStr">
        <is>
          <t>Assets Leased Out under Operating Lease - Net</t>
        </is>
      </c>
      <c r="B72" s="731" t="n"/>
      <c r="C72" s="731" t="n"/>
      <c r="D72" s="731" t="n"/>
      <c r="E72" s="731" t="n"/>
      <c r="F72" s="731" t="n"/>
    </row>
    <row r="73" ht="15" customHeight="1">
      <c r="A73" s="1886" t="inlineStr">
        <is>
          <t>Property, Plant &amp; Equipment - excluding Assets Leased Out - Net - Total</t>
        </is>
      </c>
      <c r="B73" s="1807" t="n">
        <v>531753894.33</v>
      </c>
      <c r="C73" s="1807" t="n">
        <v>1047098918.82</v>
      </c>
      <c r="D73" s="1807" t="n">
        <v>1286392130.55</v>
      </c>
      <c r="E73" s="1807" t="n">
        <v>2299004659.72</v>
      </c>
      <c r="F73" s="1807" t="n">
        <v>5628462381.49</v>
      </c>
    </row>
    <row r="74" ht="15" customHeight="1">
      <c r="A74" s="1887" t="inlineStr">
        <is>
          <t>Land &amp; Buildings - Net</t>
        </is>
      </c>
      <c r="B74" s="1807" t="n">
        <v>29165546</v>
      </c>
      <c r="C74" s="1807" t="n">
        <v>27686861.52</v>
      </c>
      <c r="D74" s="1807" t="n">
        <v>26208177.04</v>
      </c>
      <c r="E74" s="1807" t="n">
        <v>24729492.56</v>
      </c>
      <c r="F74" s="1807" t="n">
        <v>192947839.34</v>
      </c>
    </row>
    <row r="75" ht="15" customHeight="1">
      <c r="A75" s="1890" t="inlineStr">
        <is>
          <t>Land/Improvements - Net</t>
        </is>
      </c>
      <c r="B75" s="731" t="n"/>
      <c r="C75" s="731" t="n"/>
      <c r="D75" s="1807" t="n">
        <v>10589785</v>
      </c>
      <c r="E75" s="1807" t="n">
        <v>10589785</v>
      </c>
      <c r="F75" s="1807" t="n">
        <v>10589785</v>
      </c>
    </row>
    <row r="76" ht="15" customHeight="1">
      <c r="A76" s="1890" t="inlineStr">
        <is>
          <t>Buildings - Net</t>
        </is>
      </c>
      <c r="B76" s="1807" t="n">
        <v>29165546</v>
      </c>
      <c r="C76" s="1807" t="n">
        <v>27686861.52</v>
      </c>
      <c r="D76" s="1807" t="n">
        <v>15618392.04</v>
      </c>
      <c r="E76" s="1807" t="n">
        <v>14139707.56</v>
      </c>
      <c r="F76" s="1807" t="n">
        <v>182358054.34</v>
      </c>
    </row>
    <row r="77" ht="15" customHeight="1">
      <c r="A77" s="1890" t="inlineStr">
        <is>
          <t>Leasehold Improvements - Net</t>
        </is>
      </c>
      <c r="B77" s="731" t="n"/>
      <c r="C77" s="731" t="n"/>
      <c r="D77" s="731" t="n"/>
      <c r="E77" s="731" t="n"/>
      <c r="F77" s="731" t="n"/>
    </row>
    <row r="78" ht="15" customHeight="1">
      <c r="A78" s="1887" t="inlineStr">
        <is>
          <t>Plant, Machinery &amp; Equipment - Net</t>
        </is>
      </c>
      <c r="B78" s="1807" t="n">
        <v>2389879.69</v>
      </c>
      <c r="C78" s="1807" t="n">
        <v>2062903.6</v>
      </c>
      <c r="D78" s="1807" t="n">
        <v>1673431.67</v>
      </c>
      <c r="E78" s="1807" t="n">
        <v>2221375.53</v>
      </c>
      <c r="F78" s="1807" t="n">
        <v>5708928.61</v>
      </c>
    </row>
    <row r="79" ht="15" customHeight="1">
      <c r="A79" s="1890" t="inlineStr">
        <is>
          <t>Transportation Equipment - Net</t>
        </is>
      </c>
      <c r="B79" s="1807" t="n">
        <v>2389879.69</v>
      </c>
      <c r="C79" s="1807" t="n">
        <v>2062903.6</v>
      </c>
      <c r="D79" s="1807" t="n">
        <v>1673431.67</v>
      </c>
      <c r="E79" s="1807" t="n">
        <v>2221375.53</v>
      </c>
      <c r="F79" s="1807" t="n">
        <v>5586289.48</v>
      </c>
    </row>
    <row r="80" ht="15" customHeight="1">
      <c r="A80" s="1890" t="inlineStr">
        <is>
          <t>Computer Software &amp; Equipment - Net</t>
        </is>
      </c>
      <c r="B80" s="731" t="n"/>
      <c r="C80" s="731" t="n"/>
      <c r="D80" s="731" t="n"/>
      <c r="E80" s="731" t="n"/>
      <c r="F80" s="1807" t="n">
        <v>122639.14</v>
      </c>
    </row>
    <row r="81" ht="15" customHeight="1">
      <c r="A81" s="1887" t="inlineStr">
        <is>
          <t>Construction in Progress - Net</t>
        </is>
      </c>
      <c r="B81" s="1807" t="n">
        <v>256324252.62</v>
      </c>
      <c r="C81" s="1807" t="n">
        <v>60503465</v>
      </c>
      <c r="D81" s="1807" t="n">
        <v>171839281.23</v>
      </c>
      <c r="E81" s="1807" t="n">
        <v>934874153.01</v>
      </c>
      <c r="F81" s="1807" t="n">
        <v>3202589542.84</v>
      </c>
    </row>
    <row r="82" ht="15" customHeight="1">
      <c r="A82" s="1887" t="inlineStr">
        <is>
          <t>Property, Plant &amp; Equipment - Under Capital Lease - Net</t>
        </is>
      </c>
      <c r="B82" s="731" t="n"/>
      <c r="C82" s="731" t="n"/>
      <c r="D82" s="731" t="n"/>
      <c r="E82" s="731" t="n"/>
      <c r="F82" s="731" t="n"/>
    </row>
    <row r="83" ht="15" customHeight="1">
      <c r="A83" s="1887" t="inlineStr">
        <is>
          <t>Right of Use Tangible Assets - Total - Net</t>
        </is>
      </c>
      <c r="B83" s="1807" t="n">
        <v>180100607.49</v>
      </c>
      <c r="C83" s="1807" t="n">
        <v>239935707.74</v>
      </c>
      <c r="D83" s="1807" t="n">
        <v>231076514.34</v>
      </c>
      <c r="E83" s="1807" t="n">
        <v>198179197.61</v>
      </c>
      <c r="F83" s="1807" t="n">
        <v>172192783.45</v>
      </c>
    </row>
    <row r="84" ht="15" customHeight="1">
      <c r="A84" s="1890" t="inlineStr">
        <is>
          <t>Right of Use Tangible Assets - Operating Lease - Net</t>
        </is>
      </c>
      <c r="B84" s="731" t="n"/>
      <c r="C84" s="731" t="n"/>
      <c r="D84" s="731" t="n"/>
      <c r="E84" s="731" t="n"/>
      <c r="F84" s="731" t="n"/>
    </row>
    <row r="85" ht="15" customHeight="1">
      <c r="A85" s="1890" t="inlineStr">
        <is>
          <t>Right of Use Tangible Assets - Capital/Finance Lease - Net</t>
        </is>
      </c>
      <c r="B85" s="1807" t="n">
        <v>180100607.49</v>
      </c>
      <c r="C85" s="1807" t="n">
        <v>239935707.74</v>
      </c>
      <c r="D85" s="1807" t="n">
        <v>231076514.34</v>
      </c>
      <c r="E85" s="1807" t="n">
        <v>198179197.61</v>
      </c>
      <c r="F85" s="1807" t="n">
        <v>172192783.45</v>
      </c>
    </row>
    <row r="86" ht="15" customHeight="1">
      <c r="A86" s="1887" t="inlineStr">
        <is>
          <t>Property, Plant &amp; Equipment - Other - Net</t>
        </is>
      </c>
      <c r="B86" s="1807" t="n">
        <v>63773608.53</v>
      </c>
      <c r="C86" s="1807" t="n">
        <v>716909980.95</v>
      </c>
      <c r="D86" s="1807" t="n">
        <v>855594726.27</v>
      </c>
      <c r="E86" s="1807" t="n">
        <v>1139000441.01</v>
      </c>
      <c r="F86" s="1807" t="n">
        <v>2055023287.25</v>
      </c>
    </row>
    <row r="87" ht="15" customHeight="1">
      <c r="A87" s="1890" t="inlineStr">
        <is>
          <t>Natural Resources/Biological Assets - Net</t>
        </is>
      </c>
      <c r="B87" s="731" t="n"/>
      <c r="C87" s="731" t="n"/>
      <c r="D87" s="731" t="n"/>
      <c r="E87" s="731" t="n"/>
      <c r="F87" s="731" t="n"/>
    </row>
    <row r="88" ht="15" customHeight="1">
      <c r="A88" s="1890" t="inlineStr">
        <is>
          <t>Mining/Exploration Specific Assets - Net</t>
        </is>
      </c>
      <c r="B88" s="731" t="n"/>
      <c r="C88" s="731" t="n"/>
      <c r="D88" s="731" t="n"/>
      <c r="E88" s="731" t="n"/>
      <c r="F88" s="731" t="n"/>
    </row>
    <row r="89" ht="15" customHeight="1">
      <c r="A89" s="1890" t="inlineStr">
        <is>
          <t>Utility Plant - Net</t>
        </is>
      </c>
      <c r="B89" s="731" t="n"/>
      <c r="C89" s="731" t="n"/>
      <c r="D89" s="731" t="n"/>
      <c r="E89" s="731" t="n"/>
      <c r="F89" s="731" t="n"/>
    </row>
    <row r="90" ht="15" customHeight="1">
      <c r="A90" s="1886" t="inlineStr">
        <is>
          <t>Property, Plant &amp; Equipment - Gross - Total</t>
        </is>
      </c>
      <c r="B90" s="1807" t="n">
        <v>595845278.52</v>
      </c>
      <c r="C90" s="1807" t="n">
        <v>1147175731.98</v>
      </c>
      <c r="D90" s="1807" t="n">
        <v>1490373902.12</v>
      </c>
      <c r="E90" s="1807" t="n">
        <v>2611749297.37</v>
      </c>
      <c r="F90" s="1807" t="n">
        <v>6115615359.62</v>
      </c>
    </row>
    <row r="91" ht="15" customHeight="1">
      <c r="A91" s="1887" t="inlineStr">
        <is>
          <t>Assets Leased Out under Operating Lease - Gross</t>
        </is>
      </c>
      <c r="B91" s="731" t="n"/>
      <c r="C91" s="731" t="n"/>
      <c r="D91" s="731" t="n"/>
      <c r="E91" s="731" t="n"/>
      <c r="F91" s="731" t="n"/>
    </row>
    <row r="92" ht="15" customHeight="1">
      <c r="A92" s="1887" t="inlineStr">
        <is>
          <t>Property, Plant &amp; Equipment - excluding Assets Leased Out - Gross</t>
        </is>
      </c>
      <c r="B92" s="1807" t="n">
        <v>595845278.52</v>
      </c>
      <c r="C92" s="1807" t="n">
        <v>1147175731.98</v>
      </c>
      <c r="D92" s="1807" t="n">
        <v>1490373902.12</v>
      </c>
      <c r="E92" s="1807" t="n">
        <v>2611749297.37</v>
      </c>
      <c r="F92" s="1807" t="n">
        <v>6115615359.62</v>
      </c>
    </row>
    <row r="93" ht="15" customHeight="1">
      <c r="A93" s="1890" t="inlineStr">
        <is>
          <t>Land &amp; Buildings - Gross</t>
        </is>
      </c>
      <c r="B93" s="1807" t="n">
        <v>29626857.01</v>
      </c>
      <c r="C93" s="1807" t="n">
        <v>29626857.01</v>
      </c>
      <c r="D93" s="1807" t="n">
        <v>29626857.01</v>
      </c>
      <c r="E93" s="1807" t="n">
        <v>29626857.01</v>
      </c>
      <c r="F93" s="1807" t="n">
        <v>202864357.01</v>
      </c>
    </row>
    <row r="94" ht="15" customHeight="1">
      <c r="A94" s="1891" t="inlineStr">
        <is>
          <t>Land/Improvements - Gross</t>
        </is>
      </c>
      <c r="B94" s="731" t="n"/>
      <c r="C94" s="731" t="n"/>
      <c r="D94" s="1807" t="n">
        <v>10589785</v>
      </c>
      <c r="E94" s="1807" t="n">
        <v>10589785</v>
      </c>
      <c r="F94" s="1807" t="n">
        <v>10589785</v>
      </c>
    </row>
    <row r="95" ht="15" customHeight="1">
      <c r="A95" s="1891" t="inlineStr">
        <is>
          <t>Buildings - Gross</t>
        </is>
      </c>
      <c r="B95" s="1807" t="n">
        <v>29626857.01</v>
      </c>
      <c r="C95" s="1807" t="n">
        <v>29626857.01</v>
      </c>
      <c r="D95" s="1807" t="n">
        <v>19037072.01</v>
      </c>
      <c r="E95" s="1807" t="n">
        <v>19037072.01</v>
      </c>
      <c r="F95" s="1807" t="n">
        <v>192274572.01</v>
      </c>
    </row>
    <row r="96" ht="15" customHeight="1">
      <c r="A96" s="1891" t="inlineStr">
        <is>
          <t>Leasehold Improvements - Gross</t>
        </is>
      </c>
      <c r="B96" s="731" t="n"/>
      <c r="C96" s="731" t="n"/>
      <c r="D96" s="731" t="n"/>
      <c r="E96" s="731" t="n"/>
      <c r="F96" s="731" t="n"/>
    </row>
    <row r="97" ht="15" customHeight="1">
      <c r="A97" s="1890" t="inlineStr">
        <is>
          <t>Plant, Machinery &amp; Equipment - Gross</t>
        </is>
      </c>
      <c r="B97" s="1807" t="n">
        <v>2973178.7</v>
      </c>
      <c r="C97" s="1807" t="n">
        <v>3029778.7</v>
      </c>
      <c r="D97" s="1807" t="n">
        <v>3029778.7</v>
      </c>
      <c r="E97" s="1807" t="n">
        <v>3180395.92</v>
      </c>
      <c r="F97" s="1807" t="n">
        <v>7453721.38</v>
      </c>
    </row>
    <row r="98" ht="15" customHeight="1">
      <c r="A98" s="1891" t="inlineStr">
        <is>
          <t>Transportation Equipment - Gross</t>
        </is>
      </c>
      <c r="B98" s="1807" t="n">
        <v>2973178.7</v>
      </c>
      <c r="C98" s="1807" t="n">
        <v>3029778.7</v>
      </c>
      <c r="D98" s="1807" t="n">
        <v>3029778.7</v>
      </c>
      <c r="E98" s="1807" t="n">
        <v>3180395.92</v>
      </c>
      <c r="F98" s="1807" t="n">
        <v>7092606.76</v>
      </c>
    </row>
    <row r="99" ht="15" customHeight="1">
      <c r="A99" s="1891" t="inlineStr">
        <is>
          <t>Computer Software &amp; Equipment - Gross</t>
        </is>
      </c>
      <c r="B99" s="731" t="n"/>
      <c r="C99" s="731" t="n"/>
      <c r="D99" s="731" t="n"/>
      <c r="E99" s="731" t="n"/>
      <c r="F99" s="1807" t="n">
        <v>361114.62</v>
      </c>
    </row>
    <row r="100" ht="15" customHeight="1">
      <c r="A100" s="1890" t="inlineStr">
        <is>
          <t>Construction in Progress - Gross</t>
        </is>
      </c>
      <c r="B100" s="1807" t="n">
        <v>256324252.62</v>
      </c>
      <c r="C100" s="1807" t="n">
        <v>60503465</v>
      </c>
      <c r="D100" s="1807" t="n">
        <v>171839281.23</v>
      </c>
      <c r="E100" s="1807" t="n">
        <v>934874153.01</v>
      </c>
      <c r="F100" s="1807" t="n">
        <v>3202589542.84</v>
      </c>
    </row>
    <row r="101" ht="15" customHeight="1">
      <c r="A101" s="1890" t="inlineStr">
        <is>
          <t>Property, Plant &amp; Equipment - Under Capital Lease - Gross</t>
        </is>
      </c>
      <c r="B101" s="731" t="n"/>
      <c r="C101" s="731" t="n"/>
      <c r="D101" s="731" t="n"/>
      <c r="E101" s="731" t="n"/>
      <c r="F101" s="731" t="n"/>
    </row>
    <row r="102" ht="15" customHeight="1">
      <c r="A102" s="1890" t="inlineStr">
        <is>
          <t>Right of Use Tangible Assets - Total - Gross</t>
        </is>
      </c>
      <c r="B102" s="1807" t="n">
        <v>201922274.64</v>
      </c>
      <c r="C102" s="1807" t="n">
        <v>292964629.76</v>
      </c>
      <c r="D102" s="1807" t="n">
        <v>310964629.76</v>
      </c>
      <c r="E102" s="1807" t="n">
        <v>276941197.07</v>
      </c>
      <c r="F102" s="1807" t="n">
        <v>264880405.85</v>
      </c>
    </row>
    <row r="103" ht="15" customHeight="1">
      <c r="A103" s="1891" t="inlineStr">
        <is>
          <t>Right of Use Tangible Assets - Operating Lease - Gross</t>
        </is>
      </c>
      <c r="B103" s="731" t="n"/>
      <c r="C103" s="731" t="n"/>
      <c r="D103" s="731" t="n"/>
      <c r="E103" s="731" t="n"/>
      <c r="F103" s="731" t="n"/>
    </row>
    <row r="104" ht="15" customHeight="1">
      <c r="A104" s="1891" t="inlineStr">
        <is>
          <t>Right of Use Tangible Assets - Capital/Finance Lease - Gross</t>
        </is>
      </c>
      <c r="B104" s="1807" t="n">
        <v>201922274.64</v>
      </c>
      <c r="C104" s="1807" t="n">
        <v>292964629.76</v>
      </c>
      <c r="D104" s="1807" t="n">
        <v>310964629.76</v>
      </c>
      <c r="E104" s="1807" t="n">
        <v>276941197.07</v>
      </c>
      <c r="F104" s="1807" t="n">
        <v>264880405.85</v>
      </c>
    </row>
    <row r="105" ht="15" customHeight="1">
      <c r="A105" s="1890" t="inlineStr">
        <is>
          <t>Property, Plant &amp; Equipment - Other - Gross</t>
        </is>
      </c>
      <c r="B105" s="1807" t="n">
        <v>104998715.56</v>
      </c>
      <c r="C105" s="1807" t="n">
        <v>761051001.52</v>
      </c>
      <c r="D105" s="1807" t="n">
        <v>974913355.42</v>
      </c>
      <c r="E105" s="1807" t="n">
        <v>1367126694.37</v>
      </c>
      <c r="F105" s="1807" t="n">
        <v>2437827332.55</v>
      </c>
    </row>
    <row r="106" ht="15" customHeight="1">
      <c r="A106" s="1891" t="inlineStr">
        <is>
          <t>Natural Resources/Biological Assets - Gross</t>
        </is>
      </c>
      <c r="B106" s="731" t="n"/>
      <c r="C106" s="731" t="n"/>
      <c r="D106" s="731" t="n"/>
      <c r="E106" s="731" t="n"/>
      <c r="F106" s="731" t="n"/>
    </row>
    <row r="107" ht="15" customHeight="1">
      <c r="A107" s="1891" t="inlineStr">
        <is>
          <t>Mining/Exploration Specific Assets - Gross</t>
        </is>
      </c>
      <c r="B107" s="731" t="n"/>
      <c r="C107" s="731" t="n"/>
      <c r="D107" s="731" t="n"/>
      <c r="E107" s="731" t="n"/>
      <c r="F107" s="731" t="n"/>
    </row>
    <row r="108" ht="15" customHeight="1">
      <c r="A108" s="1891" t="inlineStr">
        <is>
          <t>Utility Plant - Gross</t>
        </is>
      </c>
      <c r="B108" s="731" t="n"/>
      <c r="C108" s="731" t="n"/>
      <c r="D108" s="731" t="n"/>
      <c r="E108" s="731" t="n"/>
      <c r="F108" s="731" t="n"/>
    </row>
    <row r="109" ht="15" customHeight="1">
      <c r="A109" s="1886" t="inlineStr">
        <is>
          <t>Property, Plant &amp; Equipment - Accumulated Depreciation &amp; Impairment - Total</t>
        </is>
      </c>
      <c r="B109" s="1807" t="n">
        <v>64091384.2</v>
      </c>
      <c r="C109" s="1807" t="n">
        <v>100076813.17</v>
      </c>
      <c r="D109" s="1807" t="n">
        <v>203981771.56</v>
      </c>
      <c r="E109" s="1807" t="n">
        <v>312744637.65</v>
      </c>
      <c r="F109" s="1807" t="n">
        <v>487152978.14</v>
      </c>
    </row>
    <row r="110" ht="15" customHeight="1">
      <c r="A110" s="1887" t="inlineStr">
        <is>
          <t>Assets Leased Out under Operating Lease - Accumulated Depreciation &amp; Impairment</t>
        </is>
      </c>
      <c r="B110" s="731" t="n"/>
      <c r="C110" s="731" t="n"/>
      <c r="D110" s="731" t="n"/>
      <c r="E110" s="731" t="n"/>
      <c r="F110" s="731" t="n"/>
    </row>
    <row r="111" ht="15" customHeight="1">
      <c r="A111" s="1887" t="inlineStr">
        <is>
          <t>Property, Plant &amp; Equipment - excluding Assets Leased Out - Accumulated Depreciation &amp; Impairment - Total</t>
        </is>
      </c>
      <c r="B111" s="1807" t="n">
        <v>64091384.2</v>
      </c>
      <c r="C111" s="1807" t="n">
        <v>100076813.17</v>
      </c>
      <c r="D111" s="1807" t="n">
        <v>203981771.56</v>
      </c>
      <c r="E111" s="1807" t="n">
        <v>312744637.65</v>
      </c>
      <c r="F111" s="1807" t="n">
        <v>487152978.14</v>
      </c>
    </row>
    <row r="112" ht="15" customHeight="1">
      <c r="A112" s="1890" t="inlineStr">
        <is>
          <t>Land &amp; Buildings - Accumulated Depreciation &amp; Impairment</t>
        </is>
      </c>
      <c r="B112" s="1807" t="n">
        <v>461311.01</v>
      </c>
      <c r="C112" s="1807" t="n">
        <v>1939995.49</v>
      </c>
      <c r="D112" s="1807" t="n">
        <v>3418679.97</v>
      </c>
      <c r="E112" s="1807" t="n">
        <v>4897364.44</v>
      </c>
      <c r="F112" s="1807" t="n">
        <v>9916517.67</v>
      </c>
    </row>
    <row r="113" ht="15" customHeight="1">
      <c r="A113" s="1891" t="inlineStr">
        <is>
          <t>Land/Improvements - Accumulated Depreciation &amp; Impairment</t>
        </is>
      </c>
      <c r="B113" s="731" t="n"/>
      <c r="C113" s="731" t="n"/>
      <c r="D113" s="731" t="n"/>
      <c r="E113" s="731" t="n"/>
      <c r="F113" s="731" t="n"/>
    </row>
    <row r="114" ht="15" customHeight="1">
      <c r="A114" s="1891" t="inlineStr">
        <is>
          <t>Buildings - Accumulated Depreciation &amp; Impairment</t>
        </is>
      </c>
      <c r="B114" s="1807" t="n">
        <v>461311.01</v>
      </c>
      <c r="C114" s="1807" t="n">
        <v>1939995.49</v>
      </c>
      <c r="D114" s="1807" t="n">
        <v>3418679.97</v>
      </c>
      <c r="E114" s="1807" t="n">
        <v>4897364.44</v>
      </c>
      <c r="F114" s="1807" t="n">
        <v>9916517.67</v>
      </c>
    </row>
    <row r="115" ht="15" customHeight="1">
      <c r="A115" s="1891" t="inlineStr">
        <is>
          <t>Leasehold Improvements - Accumulated Depreciation &amp; Impairment</t>
        </is>
      </c>
      <c r="B115" s="731" t="n"/>
      <c r="C115" s="731" t="n"/>
      <c r="D115" s="731" t="n"/>
      <c r="E115" s="731" t="n"/>
      <c r="F115" s="731" t="n"/>
    </row>
    <row r="116" ht="15" customHeight="1">
      <c r="A116" s="1890" t="inlineStr">
        <is>
          <t>Plant, Machinery &amp; Equipment - Accumulated Depreciation &amp; Impairment</t>
        </is>
      </c>
      <c r="B116" s="1807" t="n">
        <v>583299.01</v>
      </c>
      <c r="C116" s="1807" t="n">
        <v>966875.1</v>
      </c>
      <c r="D116" s="1807" t="n">
        <v>1356347.03</v>
      </c>
      <c r="E116" s="1807" t="n">
        <v>959020.39</v>
      </c>
      <c r="F116" s="1807" t="n">
        <v>1744792.77</v>
      </c>
    </row>
    <row r="117" ht="15" customHeight="1">
      <c r="A117" s="1891" t="inlineStr">
        <is>
          <t>Transportation Equipment - Accumulated Depreciation &amp; Impairment</t>
        </is>
      </c>
      <c r="B117" s="1807" t="n">
        <v>583299.01</v>
      </c>
      <c r="C117" s="1807" t="n">
        <v>966875.1</v>
      </c>
      <c r="D117" s="1807" t="n">
        <v>1356347.03</v>
      </c>
      <c r="E117" s="1807" t="n">
        <v>959020.39</v>
      </c>
      <c r="F117" s="1807" t="n">
        <v>1506317.29</v>
      </c>
    </row>
    <row r="118" ht="15" customHeight="1">
      <c r="A118" s="1891" t="inlineStr">
        <is>
          <t>Computer Software &amp; Equipment - Accumulated Depreciation &amp; Impairment</t>
        </is>
      </c>
      <c r="B118" s="731" t="n"/>
      <c r="C118" s="731" t="n"/>
      <c r="D118" s="731" t="n"/>
      <c r="E118" s="731" t="n"/>
      <c r="F118" s="1807" t="n">
        <v>238475.48</v>
      </c>
    </row>
    <row r="119" ht="15" customHeight="1">
      <c r="A119" s="1890" t="inlineStr">
        <is>
          <t>Construction in Progress - Accumulated Depreciation &amp; Impairment</t>
        </is>
      </c>
      <c r="B119" s="731" t="n"/>
      <c r="C119" s="731" t="n"/>
      <c r="D119" s="731" t="n"/>
      <c r="E119" s="731" t="n"/>
      <c r="F119" s="731" t="n"/>
    </row>
    <row r="120" ht="15" customHeight="1">
      <c r="A120" s="1890" t="inlineStr">
        <is>
          <t>Property, Plant &amp; Equipment - Under Capital Lease - Accumulated Depreciation &amp; Impairment</t>
        </is>
      </c>
      <c r="B120" s="731" t="n"/>
      <c r="C120" s="731" t="n"/>
      <c r="D120" s="731" t="n"/>
      <c r="E120" s="731" t="n"/>
      <c r="F120" s="731" t="n"/>
    </row>
    <row r="121" ht="15" customHeight="1">
      <c r="A121" s="1890" t="inlineStr">
        <is>
          <t>Right of Use Tangible Assets - Total/Unspecified - Accumulated Depreciation</t>
        </is>
      </c>
      <c r="B121" s="1807" t="n">
        <v>21821667.15</v>
      </c>
      <c r="C121" s="1807" t="n">
        <v>53028922.01</v>
      </c>
      <c r="D121" s="1807" t="n">
        <v>79888115.42</v>
      </c>
      <c r="E121" s="1807" t="n">
        <v>78761999.45999999</v>
      </c>
      <c r="F121" s="1807" t="n">
        <v>92687622.40000001</v>
      </c>
    </row>
    <row r="122" ht="15" customHeight="1">
      <c r="A122" s="1891" t="inlineStr">
        <is>
          <t>Right of Use Tangible Assets - Operating Lease - Accumulated Depreciation</t>
        </is>
      </c>
      <c r="B122" s="731" t="n"/>
      <c r="C122" s="731" t="n"/>
      <c r="D122" s="731" t="n"/>
      <c r="E122" s="731" t="n"/>
      <c r="F122" s="731" t="n"/>
    </row>
    <row r="123" ht="15" customHeight="1">
      <c r="A123" s="1891" t="inlineStr">
        <is>
          <t>Right of Use Tangible Assets - Capital/Finance Lease - Accumulated Depreciation</t>
        </is>
      </c>
      <c r="B123" s="1807" t="n">
        <v>21821667.15</v>
      </c>
      <c r="C123" s="1807" t="n">
        <v>53028922.01</v>
      </c>
      <c r="D123" s="1807" t="n">
        <v>79888115.42</v>
      </c>
      <c r="E123" s="1807" t="n">
        <v>78761999.45999999</v>
      </c>
      <c r="F123" s="1807" t="n">
        <v>92687622.40000001</v>
      </c>
    </row>
    <row r="124" ht="15" customHeight="1">
      <c r="A124" s="1890" t="inlineStr">
        <is>
          <t>Property, Plant &amp; Equipment - Other - Accumulated Depreciation &amp; Impairment</t>
        </is>
      </c>
      <c r="B124" s="1807" t="n">
        <v>41225107.03</v>
      </c>
      <c r="C124" s="1807" t="n">
        <v>44141020.57</v>
      </c>
      <c r="D124" s="1807" t="n">
        <v>119318629.16</v>
      </c>
      <c r="E124" s="1807" t="n">
        <v>228126253.36</v>
      </c>
      <c r="F124" s="1807" t="n">
        <v>382804045.3</v>
      </c>
    </row>
    <row r="125" ht="15" customHeight="1">
      <c r="A125" s="1891" t="inlineStr">
        <is>
          <t>Utility Plant - Accumulated Depreciation &amp; Impairment</t>
        </is>
      </c>
      <c r="B125" s="731" t="n"/>
      <c r="C125" s="731" t="n"/>
      <c r="D125" s="731" t="n"/>
      <c r="E125" s="731" t="n"/>
      <c r="F125" s="731" t="n"/>
    </row>
    <row r="126" ht="15" customHeight="1">
      <c r="A126" s="1891" t="inlineStr">
        <is>
          <t>Mining/Exploration Specific Assets - Accumulated Depreciation &amp; Impairment</t>
        </is>
      </c>
      <c r="B126" s="731" t="n"/>
      <c r="C126" s="731" t="n"/>
      <c r="D126" s="731" t="n"/>
      <c r="E126" s="731" t="n"/>
      <c r="F126" s="731" t="n"/>
    </row>
    <row r="127" ht="15" customHeight="1">
      <c r="A127" s="1891" t="inlineStr">
        <is>
          <t>Natural Resources/Biological Assets - Accumulated Depreciation &amp; Impairment</t>
        </is>
      </c>
      <c r="B127" s="731" t="n"/>
      <c r="C127" s="731" t="n"/>
      <c r="D127" s="731" t="n"/>
      <c r="E127" s="731" t="n"/>
      <c r="F127" s="731" t="n"/>
    </row>
    <row r="128" ht="15" customFormat="1" customHeight="1" s="811">
      <c r="A128" s="1931" t="inlineStr">
        <is>
          <t>Assets Held for Sale/Discontinued Operations - Long-Term</t>
        </is>
      </c>
      <c r="B128" s="810" t="n"/>
      <c r="C128" s="810" t="n"/>
      <c r="D128" s="810" t="n"/>
      <c r="E128" s="810" t="n"/>
      <c r="F128" s="810" t="n"/>
    </row>
    <row r="129" ht="15" customFormat="1" customHeight="1" s="811">
      <c r="A129" s="1931" t="inlineStr">
        <is>
          <t>Other Non-Current Assets - Total</t>
        </is>
      </c>
      <c r="B129" s="1932" t="n">
        <v>267706625.53</v>
      </c>
      <c r="C129" s="1932" t="n">
        <v>139607811.74</v>
      </c>
      <c r="D129" s="1932" t="n">
        <v>13345507.59</v>
      </c>
      <c r="E129" s="1932" t="n">
        <v>10971229.98</v>
      </c>
      <c r="F129" s="1932" t="n">
        <v>430026287.14</v>
      </c>
    </row>
    <row r="130" ht="15" customHeight="1">
      <c r="A130" s="1886" t="inlineStr">
        <is>
          <t>Restricted Accounts - Long-Term</t>
        </is>
      </c>
      <c r="B130" s="731" t="n"/>
      <c r="C130" s="731" t="n"/>
      <c r="D130" s="731" t="n"/>
      <c r="E130" s="731" t="n"/>
      <c r="F130" s="1807" t="n">
        <v>420000000</v>
      </c>
    </row>
    <row r="131" ht="15" customHeight="1">
      <c r="A131" s="1886" t="inlineStr">
        <is>
          <t>Deferred Tax - Asset - Long-Term</t>
        </is>
      </c>
      <c r="B131" s="1807" t="n">
        <v>1285367.54</v>
      </c>
      <c r="C131" s="1807" t="n">
        <v>6103478.47</v>
      </c>
      <c r="D131" s="1807" t="n">
        <v>1522094.35</v>
      </c>
      <c r="E131" s="1807" t="n">
        <v>1177123.78</v>
      </c>
      <c r="F131" s="1807" t="n">
        <v>1923931.95</v>
      </c>
    </row>
    <row r="132" ht="15" customHeight="1">
      <c r="A132" s="1886" t="inlineStr">
        <is>
          <t>Deferred Charges - Long-Term</t>
        </is>
      </c>
      <c r="B132" s="731" t="n"/>
      <c r="C132" s="731" t="n"/>
      <c r="D132" s="731" t="n"/>
      <c r="E132" s="731" t="n"/>
      <c r="F132" s="731" t="n"/>
    </row>
    <row r="133" ht="15" customHeight="1">
      <c r="A133" s="1886" t="inlineStr">
        <is>
          <t>Prepaid Expenses - Long-Term</t>
        </is>
      </c>
      <c r="B133" s="1807" t="n">
        <v>16079842.01</v>
      </c>
      <c r="C133" s="1807" t="n">
        <v>13242222.83</v>
      </c>
      <c r="D133" s="1807" t="n">
        <v>11823413.24</v>
      </c>
      <c r="E133" s="1807" t="n">
        <v>9794106.189999999</v>
      </c>
      <c r="F133" s="1807" t="n">
        <v>6531422.99</v>
      </c>
    </row>
    <row r="134" ht="15" customHeight="1">
      <c r="A134" s="1886" t="inlineStr">
        <is>
          <t>Inventories - Long-Term</t>
        </is>
      </c>
      <c r="B134" s="731" t="n"/>
      <c r="C134" s="731" t="n"/>
      <c r="D134" s="731" t="n"/>
      <c r="E134" s="731" t="n"/>
      <c r="F134" s="731" t="n"/>
    </row>
    <row r="135" ht="15" customHeight="1">
      <c r="A135" s="1886" t="inlineStr">
        <is>
          <t>Regulatory Assets - Long-Term</t>
        </is>
      </c>
      <c r="B135" s="731" t="n"/>
      <c r="C135" s="731" t="n"/>
      <c r="D135" s="731" t="n"/>
      <c r="E135" s="731" t="n"/>
      <c r="F135" s="731" t="n"/>
    </row>
    <row r="136" ht="15" customHeight="1">
      <c r="A136" s="1886" t="inlineStr">
        <is>
          <t>Pension Assets - Long-Term</t>
        </is>
      </c>
      <c r="B136" s="731" t="n"/>
      <c r="C136" s="731" t="n"/>
      <c r="D136" s="731" t="n"/>
      <c r="E136" s="731" t="n"/>
      <c r="F136" s="731" t="n"/>
    </row>
    <row r="137" ht="15" customHeight="1">
      <c r="A137" s="1886" t="inlineStr">
        <is>
          <t>Other Non-Current Assets</t>
        </is>
      </c>
      <c r="B137" s="1807" t="n">
        <v>250341415.97</v>
      </c>
      <c r="C137" s="1807" t="n">
        <v>120262110.43</v>
      </c>
      <c r="D137" s="1807" t="n">
        <v>0</v>
      </c>
      <c r="E137" s="731" t="n"/>
      <c r="F137" s="1807" t="n">
        <v>1570932.2</v>
      </c>
    </row>
    <row r="138" ht="15" customHeight="1">
      <c r="A138" s="1885" t="inlineStr">
        <is>
          <t>Intangible Assets - Total - Net</t>
        </is>
      </c>
      <c r="B138" s="731" t="n"/>
      <c r="C138" s="1807" t="n">
        <v>1666666.67</v>
      </c>
      <c r="D138" s="1807" t="n">
        <v>1416666.67</v>
      </c>
      <c r="E138" s="1807" t="n">
        <v>11092642.03</v>
      </c>
      <c r="F138" s="1807" t="n">
        <v>423313179.08</v>
      </c>
    </row>
    <row r="139" ht="15" customHeight="1">
      <c r="A139" s="1886" t="inlineStr">
        <is>
          <t>Goodwill/Cost in Excess of Assets Purchased - Net</t>
        </is>
      </c>
      <c r="B139" s="731" t="n"/>
      <c r="C139" s="731" t="n"/>
      <c r="D139" s="731" t="n"/>
      <c r="E139" s="731" t="n"/>
      <c r="F139" s="1807" t="n">
        <v>2612663.66</v>
      </c>
    </row>
    <row r="140" ht="15" customHeight="1">
      <c r="A140" s="1886" t="inlineStr">
        <is>
          <t>Intangible Assets - excluding Goodwill - Net - Total</t>
        </is>
      </c>
      <c r="B140" s="731" t="n"/>
      <c r="C140" s="1807" t="n">
        <v>1666666.67</v>
      </c>
      <c r="D140" s="1807" t="n">
        <v>1416666.67</v>
      </c>
      <c r="E140" s="1807" t="n">
        <v>11092642.03</v>
      </c>
      <c r="F140" s="1807" t="n">
        <v>420700515.42</v>
      </c>
    </row>
    <row r="141" ht="15" customHeight="1">
      <c r="A141" s="1887" t="inlineStr">
        <is>
          <t>Computer Software - Intangible Assets - Net</t>
        </is>
      </c>
      <c r="B141" s="731" t="n"/>
      <c r="C141" s="731" t="n"/>
      <c r="D141" s="1807" t="n">
        <v>1416666.67</v>
      </c>
      <c r="E141" s="1807" t="n">
        <v>11092642.03</v>
      </c>
      <c r="F141" s="1807" t="n">
        <v>420700515.42</v>
      </c>
    </row>
    <row r="142" ht="15" customHeight="1">
      <c r="A142" s="1887" t="inlineStr">
        <is>
          <t>Research &amp; Development Costs - Net</t>
        </is>
      </c>
      <c r="B142" s="731" t="n"/>
      <c r="C142" s="731" t="n"/>
      <c r="D142" s="731" t="n"/>
      <c r="E142" s="731" t="n"/>
      <c r="F142" s="731" t="n"/>
    </row>
    <row r="143" ht="15" customHeight="1">
      <c r="A143" s="1887" t="inlineStr">
        <is>
          <t>Brands, Patents, Trademarks, Marketing &amp; Artistic Intangibles - Net</t>
        </is>
      </c>
      <c r="B143" s="731" t="n"/>
      <c r="C143" s="731" t="n"/>
      <c r="D143" s="731" t="n"/>
      <c r="E143" s="731" t="n"/>
      <c r="F143" s="731" t="n"/>
    </row>
    <row r="144" ht="15" customHeight="1">
      <c r="A144" s="1887" t="inlineStr">
        <is>
          <t>Licenses, Franchises, Copyrights, Property Rights, Prototypes, Contract Based, Models &amp; Designs - Net</t>
        </is>
      </c>
      <c r="B144" s="731" t="n"/>
      <c r="C144" s="731" t="n"/>
      <c r="D144" s="731" t="n"/>
      <c r="E144" s="731" t="n"/>
      <c r="F144" s="731" t="n"/>
    </row>
    <row r="145" ht="15" customHeight="1">
      <c r="A145" s="1887" t="inlineStr">
        <is>
          <t>Right of Use Intangible Assets - Net</t>
        </is>
      </c>
      <c r="B145" s="731" t="n"/>
      <c r="C145" s="731" t="n"/>
      <c r="D145" s="731" t="n"/>
      <c r="E145" s="731" t="n"/>
      <c r="F145" s="731" t="n"/>
    </row>
    <row r="146" ht="15" customHeight="1">
      <c r="A146" s="1887" t="inlineStr">
        <is>
          <t>Intangible Assets - Other - Net</t>
        </is>
      </c>
      <c r="B146" s="731" t="n"/>
      <c r="C146" s="731" t="n"/>
      <c r="D146" s="731" t="n"/>
      <c r="E146" s="731" t="n"/>
      <c r="F146" s="731" t="n"/>
    </row>
    <row r="147" ht="15" customHeight="1">
      <c r="A147" s="1886" t="inlineStr">
        <is>
          <t>Intangible Assets - Gross - Total</t>
        </is>
      </c>
      <c r="B147" s="731" t="n"/>
      <c r="C147" s="731" t="n"/>
      <c r="D147" s="1807" t="n">
        <v>2000000</v>
      </c>
      <c r="E147" s="1807" t="n">
        <v>12952800.4</v>
      </c>
      <c r="F147" s="731" t="n"/>
    </row>
    <row r="148" ht="15" customHeight="1">
      <c r="A148" s="1887" t="inlineStr">
        <is>
          <t>Goodwill/Cost in Excess of Assets Purchased - Gross</t>
        </is>
      </c>
      <c r="B148" s="731" t="n"/>
      <c r="C148" s="731" t="n"/>
      <c r="D148" s="731" t="n"/>
      <c r="E148" s="731" t="n"/>
      <c r="F148" s="731" t="n"/>
    </row>
    <row r="149" ht="15" customHeight="1">
      <c r="A149" s="1887" t="inlineStr">
        <is>
          <t>Intangible Assets - excluding Goodwill - Gross</t>
        </is>
      </c>
      <c r="B149" s="731" t="n"/>
      <c r="C149" s="731" t="n"/>
      <c r="D149" s="1807" t="n">
        <v>2000000</v>
      </c>
      <c r="E149" s="1807" t="n">
        <v>12952800.4</v>
      </c>
      <c r="F149" s="1807" t="n">
        <v>426392768.92</v>
      </c>
    </row>
    <row r="150" ht="15" customHeight="1">
      <c r="A150" s="1890" t="inlineStr">
        <is>
          <t>Computer Software - Intangible Assets - Gross</t>
        </is>
      </c>
      <c r="B150" s="731" t="n"/>
      <c r="C150" s="731" t="n"/>
      <c r="D150" s="1807" t="n">
        <v>2000000</v>
      </c>
      <c r="E150" s="1807" t="n">
        <v>12952800.4</v>
      </c>
      <c r="F150" s="1807" t="n">
        <v>426392768.92</v>
      </c>
    </row>
    <row r="151" ht="15" customHeight="1">
      <c r="A151" s="1890" t="inlineStr">
        <is>
          <t>Research &amp; Development Costs - Gross</t>
        </is>
      </c>
      <c r="B151" s="731" t="n"/>
      <c r="C151" s="731" t="n"/>
      <c r="D151" s="731" t="n"/>
      <c r="E151" s="731" t="n"/>
      <c r="F151" s="731" t="n"/>
    </row>
    <row r="152" ht="15" customHeight="1">
      <c r="A152" s="1890" t="inlineStr">
        <is>
          <t>Brands, Patents, Trademarks, Marketing &amp; Artistic Intangibles - Gross</t>
        </is>
      </c>
      <c r="B152" s="731" t="n"/>
      <c r="C152" s="731" t="n"/>
      <c r="D152" s="731" t="n"/>
      <c r="E152" s="731" t="n"/>
      <c r="F152" s="731" t="n"/>
    </row>
    <row r="153" ht="15" customHeight="1">
      <c r="A153" s="1890" t="inlineStr">
        <is>
          <t>Licenses, Franchises, Copyrights, Property Rights, Prototypes, Contract Based, Models &amp; Designs - Gross</t>
        </is>
      </c>
      <c r="B153" s="731" t="n"/>
      <c r="C153" s="731" t="n"/>
      <c r="D153" s="731" t="n"/>
      <c r="E153" s="731" t="n"/>
      <c r="F153" s="731" t="n"/>
    </row>
    <row r="154" ht="15" customHeight="1">
      <c r="A154" s="1890" t="inlineStr">
        <is>
          <t>Right of Use Intangible Assets - Gross</t>
        </is>
      </c>
      <c r="B154" s="731" t="n"/>
      <c r="C154" s="731" t="n"/>
      <c r="D154" s="731" t="n"/>
      <c r="E154" s="731" t="n"/>
      <c r="F154" s="731" t="n"/>
    </row>
    <row r="155" ht="15" customHeight="1">
      <c r="A155" s="1890" t="inlineStr">
        <is>
          <t>Intangible Assets - Other - Gross - Total</t>
        </is>
      </c>
      <c r="B155" s="731" t="n"/>
      <c r="C155" s="731" t="n"/>
      <c r="D155" s="731" t="n"/>
      <c r="E155" s="731" t="n"/>
      <c r="F155" s="731" t="n"/>
    </row>
    <row r="156" ht="15" customHeight="1">
      <c r="A156" s="1886" t="inlineStr">
        <is>
          <t>Intangible Assets - Accumulated Amortization &amp; Impairment - Total</t>
        </is>
      </c>
      <c r="B156" s="731" t="n"/>
      <c r="C156" s="731" t="n"/>
      <c r="D156" s="1807" t="n">
        <v>583333.33</v>
      </c>
      <c r="E156" s="1807" t="n">
        <v>1860158.37</v>
      </c>
      <c r="F156" s="731" t="n"/>
    </row>
    <row r="157" ht="15" customHeight="1">
      <c r="A157" s="1887" t="inlineStr">
        <is>
          <t>Goodwill - Accumulated Amortization &amp; Impairment</t>
        </is>
      </c>
      <c r="B157" s="731" t="n"/>
      <c r="C157" s="731" t="n"/>
      <c r="D157" s="731" t="n"/>
      <c r="E157" s="731" t="n"/>
      <c r="F157" s="731" t="n"/>
    </row>
    <row r="158" ht="15" customHeight="1">
      <c r="A158" s="1887" t="inlineStr">
        <is>
          <t>Intangible Assets - excluding Goodwill - Accumulated Amortization &amp; Impairment - Total</t>
        </is>
      </c>
      <c r="B158" s="731" t="n"/>
      <c r="C158" s="731" t="n"/>
      <c r="D158" s="1807" t="n">
        <v>583333.33</v>
      </c>
      <c r="E158" s="1807" t="n">
        <v>1860158.37</v>
      </c>
      <c r="F158" s="1807" t="n">
        <v>5692253.5</v>
      </c>
    </row>
    <row r="159" ht="15" customHeight="1">
      <c r="A159" s="1890" t="inlineStr">
        <is>
          <t>Computer Software - Intangible Assets - Accumulated Amortization &amp; Impairment</t>
        </is>
      </c>
      <c r="B159" s="731" t="n"/>
      <c r="C159" s="731" t="n"/>
      <c r="D159" s="1807" t="n">
        <v>583333.33</v>
      </c>
      <c r="E159" s="1807" t="n">
        <v>1860158.37</v>
      </c>
      <c r="F159" s="1807" t="n">
        <v>5692253.5</v>
      </c>
    </row>
    <row r="160" ht="15" customHeight="1">
      <c r="A160" s="1890" t="inlineStr">
        <is>
          <t>Research &amp; Development Costs - Accumulated Amortization &amp; Impairment</t>
        </is>
      </c>
      <c r="B160" s="731" t="n"/>
      <c r="C160" s="731" t="n"/>
      <c r="D160" s="731" t="n"/>
      <c r="E160" s="731" t="n"/>
      <c r="F160" s="731" t="n"/>
    </row>
    <row r="161" ht="15" customHeight="1">
      <c r="A161" s="1890" t="inlineStr">
        <is>
          <t>Brands, Patents, Trademarks, Marketing &amp; Artistic Intangibles - Accumulated Amortization &amp; Impairment</t>
        </is>
      </c>
      <c r="B161" s="731" t="n"/>
      <c r="C161" s="731" t="n"/>
      <c r="D161" s="731" t="n"/>
      <c r="E161" s="731" t="n"/>
      <c r="F161" s="731" t="n"/>
    </row>
    <row r="162" ht="15" customHeight="1">
      <c r="A162" s="1890" t="inlineStr">
        <is>
          <t>Licenses, Franchises, Copy/Property Rights, Prototypes, Contract Based, Models &amp; Designs - Accumulated Amortization &amp; Impairment</t>
        </is>
      </c>
      <c r="B162" s="731" t="n"/>
      <c r="C162" s="731" t="n"/>
      <c r="D162" s="731" t="n"/>
      <c r="E162" s="731" t="n"/>
      <c r="F162" s="731" t="n"/>
    </row>
    <row r="163" ht="15" customHeight="1">
      <c r="A163" s="1890" t="inlineStr">
        <is>
          <t>Right of Use Intangible Assets - Accumulated Amortization</t>
        </is>
      </c>
      <c r="B163" s="731" t="n"/>
      <c r="C163" s="731" t="n"/>
      <c r="D163" s="731" t="n"/>
      <c r="E163" s="731" t="n"/>
      <c r="F163" s="731" t="n"/>
    </row>
    <row r="164" ht="15" customHeight="1">
      <c r="A164" s="1890" t="inlineStr">
        <is>
          <t>Intangible Assets - Other - Accumulated Amortization &amp; Impairment</t>
        </is>
      </c>
      <c r="B164" s="731" t="n"/>
      <c r="C164" s="731" t="n"/>
      <c r="D164" s="731" t="n"/>
      <c r="E164" s="731" t="n"/>
      <c r="F164" s="731" t="n"/>
    </row>
    <row r="165" ht="15" customHeight="1">
      <c r="A165" s="1888" t="inlineStr">
        <is>
          <t>Total Non-Current Assets</t>
        </is>
      </c>
      <c r="B165" s="1889" t="n">
        <v>799460519.85</v>
      </c>
      <c r="C165" s="1889" t="n">
        <v>1188615711.56</v>
      </c>
      <c r="D165" s="1889" t="n">
        <v>1301396619.15</v>
      </c>
      <c r="E165" s="1889" t="n">
        <v>2321068531.72</v>
      </c>
      <c r="F165" s="1889" t="n">
        <v>6481801847.71</v>
      </c>
    </row>
    <row r="166" ht="15" customHeight="1">
      <c r="A166" s="1884" t="inlineStr">
        <is>
          <t>Total Assets</t>
        </is>
      </c>
      <c r="B166" s="734" t="n"/>
      <c r="C166" s="734" t="n"/>
      <c r="D166" s="734" t="n"/>
      <c r="E166" s="734" t="n"/>
      <c r="F166" s="734" t="n"/>
    </row>
    <row r="167" ht="15" customHeight="1">
      <c r="A167" s="1888" t="inlineStr">
        <is>
          <t>Total Assets</t>
        </is>
      </c>
      <c r="B167" s="1889" t="n">
        <v>896309450.88</v>
      </c>
      <c r="C167" s="1889" t="n">
        <v>1407734393.79</v>
      </c>
      <c r="D167" s="1889" t="n">
        <v>1564229614.55</v>
      </c>
      <c r="E167" s="1889" t="n">
        <v>2907415732.37</v>
      </c>
      <c r="F167" s="1889" t="n">
        <v>15169662226.17</v>
      </c>
    </row>
    <row r="168" ht="15" customHeight="1">
      <c r="A168" s="1884" t="inlineStr">
        <is>
          <t>Current Liabilities</t>
        </is>
      </c>
      <c r="B168" s="734" t="n"/>
      <c r="C168" s="734" t="n"/>
      <c r="D168" s="734" t="n"/>
      <c r="E168" s="734" t="n"/>
      <c r="F168" s="734" t="n"/>
    </row>
    <row r="169" ht="15" customHeight="1">
      <c r="A169" s="1885" t="inlineStr">
        <is>
          <t>Trade Accounts Payable &amp; Accruals - Short-Term</t>
        </is>
      </c>
      <c r="B169" s="1807" t="n">
        <v>19876670.18</v>
      </c>
      <c r="C169" s="1807" t="n">
        <v>22833968.98</v>
      </c>
      <c r="D169" s="1807" t="n">
        <v>51404411.4</v>
      </c>
      <c r="E169" s="1807" t="n">
        <v>38111085.24</v>
      </c>
      <c r="F169" s="1807" t="n">
        <v>442095033.09</v>
      </c>
    </row>
    <row r="170" ht="15" customHeight="1">
      <c r="A170" s="1886" t="inlineStr">
        <is>
          <t>Trade Accounts &amp; Trade Notes Payable - Short-Term</t>
        </is>
      </c>
      <c r="B170" s="1807" t="n">
        <v>19247170.18</v>
      </c>
      <c r="C170" s="1807" t="n">
        <v>19941152.53</v>
      </c>
      <c r="D170" s="1807" t="n">
        <v>48646099.25</v>
      </c>
      <c r="E170" s="1807" t="n">
        <v>33001370.29</v>
      </c>
      <c r="F170" s="1807" t="n">
        <v>407279864.99</v>
      </c>
    </row>
    <row r="171" ht="15" customHeight="1">
      <c r="A171" s="1886" t="inlineStr">
        <is>
          <t>Accrued Expenses - Short-Term</t>
        </is>
      </c>
      <c r="B171" s="1807" t="n">
        <v>629500</v>
      </c>
      <c r="C171" s="1807" t="n">
        <v>2892816.45</v>
      </c>
      <c r="D171" s="1807" t="n">
        <v>2758312.15</v>
      </c>
      <c r="E171" s="1807" t="n">
        <v>5109714.95</v>
      </c>
      <c r="F171" s="1807" t="n">
        <v>34815168.1</v>
      </c>
    </row>
    <row r="172" ht="15" customHeight="1">
      <c r="A172" s="1885" t="inlineStr">
        <is>
          <t>Short-Term Debt &amp; Current Portion of Long-Term Debt</t>
        </is>
      </c>
      <c r="B172" s="1807" t="n">
        <v>60389232.55</v>
      </c>
      <c r="C172" s="1807" t="n">
        <v>86846719.62</v>
      </c>
      <c r="D172" s="1807" t="n">
        <v>109572836.94</v>
      </c>
      <c r="E172" s="1807" t="n">
        <v>414710456.67</v>
      </c>
      <c r="F172" s="1807" t="n">
        <v>3269712913.63</v>
      </c>
    </row>
    <row r="173" ht="15" customHeight="1">
      <c r="A173" s="1886" t="inlineStr">
        <is>
          <t>Short-Term Debt &amp; Notes Payable</t>
        </is>
      </c>
      <c r="B173" s="731" t="n"/>
      <c r="C173" s="731" t="n"/>
      <c r="D173" s="731" t="n"/>
      <c r="E173" s="731" t="n"/>
      <c r="F173" s="1807" t="n">
        <v>1351825000</v>
      </c>
    </row>
    <row r="174" ht="15" customHeight="1">
      <c r="A174" s="1887" t="inlineStr">
        <is>
          <t>Notes Payable - Short-Term</t>
        </is>
      </c>
      <c r="B174" s="731" t="n"/>
      <c r="C174" s="731" t="n"/>
      <c r="D174" s="731" t="n"/>
      <c r="E174" s="731" t="n"/>
      <c r="F174" s="731" t="n"/>
    </row>
    <row r="175" ht="15" customHeight="1">
      <c r="A175" s="1886" t="inlineStr">
        <is>
          <t>Current Portion of Long-Term Debt including Capitalized Leases</t>
        </is>
      </c>
      <c r="B175" s="1807" t="n">
        <v>60389232.55</v>
      </c>
      <c r="C175" s="1807" t="n">
        <v>86846719.62</v>
      </c>
      <c r="D175" s="1807" t="n">
        <v>109572836.94</v>
      </c>
      <c r="E175" s="1807" t="n">
        <v>414710456.67</v>
      </c>
      <c r="F175" s="1807" t="n">
        <v>1917887913.63</v>
      </c>
    </row>
    <row r="176" ht="15" customHeight="1">
      <c r="A176" s="1887" t="inlineStr">
        <is>
          <t>Current Portion of Long-Term Debt excluding Capitalized Leases</t>
        </is>
      </c>
      <c r="B176" s="1807" t="n">
        <v>37663822.02</v>
      </c>
      <c r="C176" s="1807" t="n">
        <v>55988317.56</v>
      </c>
      <c r="D176" s="1807" t="n">
        <v>89125747.98999999</v>
      </c>
      <c r="E176" s="1807" t="n">
        <v>388606422.73</v>
      </c>
      <c r="F176" s="1807" t="n">
        <v>1891309966.83</v>
      </c>
    </row>
    <row r="177" ht="15" customHeight="1">
      <c r="A177" s="1887" t="inlineStr">
        <is>
          <t>Capitalized Leases - Current Portion</t>
        </is>
      </c>
      <c r="B177" s="1807" t="n">
        <v>22725410.53</v>
      </c>
      <c r="C177" s="1807" t="n">
        <v>30858402.06</v>
      </c>
      <c r="D177" s="1807" t="n">
        <v>20447088.95</v>
      </c>
      <c r="E177" s="1807" t="n">
        <v>26104033.94</v>
      </c>
      <c r="F177" s="1807" t="n">
        <v>26577946.8</v>
      </c>
    </row>
    <row r="178" ht="15" customHeight="1">
      <c r="A178" s="1886" t="inlineStr">
        <is>
          <t>Hybrid Financial Instrument - Liability - Current Portion</t>
        </is>
      </c>
      <c r="B178" s="731" t="n"/>
      <c r="C178" s="731" t="n"/>
      <c r="D178" s="731" t="n"/>
      <c r="E178" s="731" t="n"/>
      <c r="F178" s="731" t="n"/>
    </row>
    <row r="179" ht="15" customHeight="1">
      <c r="A179" s="1885" t="inlineStr">
        <is>
          <t>Derivative Liabilities - Hedging - Short-Term</t>
        </is>
      </c>
      <c r="B179" s="731" t="n"/>
      <c r="C179" s="731" t="n"/>
      <c r="D179" s="731" t="n"/>
      <c r="E179" s="731" t="n"/>
      <c r="F179" s="731" t="n"/>
    </row>
    <row r="180" ht="15" customHeight="1">
      <c r="A180" s="1885" t="inlineStr">
        <is>
          <t>Liabilities Held for Sale/Discontinued Operations - Short-Term</t>
        </is>
      </c>
      <c r="B180" s="731" t="n"/>
      <c r="C180" s="731" t="n"/>
      <c r="D180" s="731" t="n"/>
      <c r="E180" s="731" t="n"/>
      <c r="F180" s="731" t="n"/>
    </row>
    <row r="181" ht="15" customHeight="1">
      <c r="A181" s="1885" t="inlineStr">
        <is>
          <t>Income Taxes - Payable - Short-Term</t>
        </is>
      </c>
      <c r="B181" s="1807" t="n">
        <v>6106357.81</v>
      </c>
      <c r="C181" s="1807" t="n">
        <v>10638891.8</v>
      </c>
      <c r="D181" s="1807" t="n">
        <v>24623870.45</v>
      </c>
      <c r="E181" s="1807" t="n">
        <v>112370069.34</v>
      </c>
      <c r="F181" s="1807" t="n">
        <v>192225819.87</v>
      </c>
    </row>
    <row r="182" ht="15" customHeight="1">
      <c r="A182" s="1885" t="inlineStr">
        <is>
          <t>Dividends/Distributions Payable</t>
        </is>
      </c>
      <c r="B182" s="731" t="n"/>
      <c r="C182" s="731" t="n"/>
      <c r="D182" s="731" t="n"/>
      <c r="E182" s="731" t="n"/>
      <c r="F182" s="731" t="n"/>
    </row>
    <row r="183" ht="15" customHeight="1">
      <c r="A183" s="1885" t="inlineStr">
        <is>
          <t>Operating Lease Liabilities - Current Portion/Short-Term</t>
        </is>
      </c>
      <c r="B183" s="731" t="n"/>
      <c r="C183" s="731" t="n"/>
      <c r="D183" s="731" t="n"/>
      <c r="E183" s="731" t="n"/>
      <c r="F183" s="731" t="n"/>
    </row>
    <row r="184" ht="15" customHeight="1">
      <c r="A184" s="1885" t="inlineStr">
        <is>
          <t>Other Current Liabilities - Total</t>
        </is>
      </c>
      <c r="B184" s="1807" t="n">
        <v>825772.25</v>
      </c>
      <c r="C184" s="1807" t="n">
        <v>10705334.82</v>
      </c>
      <c r="D184" s="1807" t="n">
        <v>37239977.32</v>
      </c>
      <c r="E184" s="1807" t="n">
        <v>18319993.97</v>
      </c>
      <c r="F184" s="1807" t="n">
        <v>76973136.63</v>
      </c>
    </row>
    <row r="185" ht="15" customHeight="1">
      <c r="A185" s="1886" t="inlineStr">
        <is>
          <t>Deferred Income - Short-Term</t>
        </is>
      </c>
      <c r="B185" s="1807" t="n">
        <v>171471.77</v>
      </c>
      <c r="C185" s="1807" t="n">
        <v>10402805.38</v>
      </c>
      <c r="D185" s="1807" t="n">
        <v>36531429.42</v>
      </c>
      <c r="E185" s="1807" t="n">
        <v>10290154.59</v>
      </c>
      <c r="F185" s="1807" t="n">
        <v>15950804.63</v>
      </c>
    </row>
    <row r="186" ht="15" customHeight="1">
      <c r="A186" s="1886" t="inlineStr">
        <is>
          <t>Security Deposits</t>
        </is>
      </c>
      <c r="B186" s="731" t="n"/>
      <c r="C186" s="731" t="n"/>
      <c r="D186" s="731" t="n"/>
      <c r="E186" s="731" t="n"/>
      <c r="F186" s="731" t="n"/>
    </row>
    <row r="187" ht="15" customHeight="1">
      <c r="A187" s="1886" t="inlineStr">
        <is>
          <t>Billings in Excess of Cost - Short-Term</t>
        </is>
      </c>
      <c r="B187" s="731" t="n"/>
      <c r="C187" s="731" t="n"/>
      <c r="D187" s="731" t="n"/>
      <c r="E187" s="731" t="n"/>
      <c r="F187" s="731" t="n"/>
    </row>
    <row r="188" ht="15" customHeight="1">
      <c r="A188" s="1886" t="inlineStr">
        <is>
          <t>Customer Advances - Short-Term</t>
        </is>
      </c>
      <c r="B188" s="731" t="n"/>
      <c r="C188" s="731" t="n"/>
      <c r="D188" s="731" t="n"/>
      <c r="E188" s="731" t="n"/>
      <c r="F188" s="731" t="n"/>
    </row>
    <row r="189" ht="15" customHeight="1">
      <c r="A189" s="1886" t="inlineStr">
        <is>
          <t>Deferred Tax - Liability - Short-Term</t>
        </is>
      </c>
      <c r="B189" s="731" t="n"/>
      <c r="C189" s="731" t="n"/>
      <c r="D189" s="731" t="n"/>
      <c r="E189" s="731" t="n"/>
      <c r="F189" s="731" t="n"/>
    </row>
    <row r="190" ht="15" customHeight="1">
      <c r="A190" s="1886" t="inlineStr">
        <is>
          <t>Provisions - Short-Term</t>
        </is>
      </c>
      <c r="B190" s="731" t="n"/>
      <c r="C190" s="731" t="n"/>
      <c r="D190" s="731" t="n"/>
      <c r="E190" s="731" t="n"/>
      <c r="F190" s="731" t="n"/>
    </row>
    <row r="191" ht="15" customHeight="1">
      <c r="A191" s="1886" t="inlineStr">
        <is>
          <t>Regulatory Liability - Short-Term</t>
        </is>
      </c>
      <c r="B191" s="731" t="n"/>
      <c r="C191" s="731" t="n"/>
      <c r="D191" s="731" t="n"/>
      <c r="E191" s="731" t="n"/>
      <c r="F191" s="731" t="n"/>
    </row>
    <row r="192" ht="15" customHeight="1">
      <c r="A192" s="1886" t="inlineStr">
        <is>
          <t>Other Current Liabilities</t>
        </is>
      </c>
      <c r="B192" s="1807" t="n">
        <v>654300.48</v>
      </c>
      <c r="C192" s="1807" t="n">
        <v>302529.45</v>
      </c>
      <c r="D192" s="1807" t="n">
        <v>708547.9</v>
      </c>
      <c r="E192" s="1807" t="n">
        <v>8029839.38</v>
      </c>
      <c r="F192" s="1807" t="n">
        <v>61022332</v>
      </c>
    </row>
    <row r="193" ht="15" customHeight="1">
      <c r="A193" s="1888" t="inlineStr">
        <is>
          <t>Total Current Liabilities</t>
        </is>
      </c>
      <c r="B193" s="1889" t="n">
        <v>87198032.79000001</v>
      </c>
      <c r="C193" s="1889" t="n">
        <v>131024915.22</v>
      </c>
      <c r="D193" s="1889" t="n">
        <v>222841096.11</v>
      </c>
      <c r="E193" s="1889" t="n">
        <v>583511605.22</v>
      </c>
      <c r="F193" s="1889" t="n">
        <v>3981006903.22</v>
      </c>
    </row>
    <row r="194" ht="15" customHeight="1">
      <c r="A194" s="1884" t="inlineStr">
        <is>
          <t>Non-Current Liabilities</t>
        </is>
      </c>
      <c r="B194" s="734" t="n"/>
      <c r="C194" s="734" t="n"/>
      <c r="D194" s="734" t="n"/>
      <c r="E194" s="734" t="n"/>
      <c r="F194" s="734" t="n"/>
    </row>
    <row r="195" ht="15" customHeight="1">
      <c r="A195" s="1885" t="inlineStr">
        <is>
          <t>Accounts Payable including Accrued Expenses - Long-Term</t>
        </is>
      </c>
      <c r="B195" s="731" t="n"/>
      <c r="C195" s="731" t="n"/>
      <c r="D195" s="731" t="n"/>
      <c r="E195" s="731" t="n"/>
      <c r="F195" s="731" t="n"/>
    </row>
    <row r="196" ht="15" customHeight="1">
      <c r="A196" s="1886" t="inlineStr">
        <is>
          <t>Trade Accounts Payable - Long-Term</t>
        </is>
      </c>
      <c r="B196" s="731" t="n"/>
      <c r="C196" s="731" t="n"/>
      <c r="D196" s="731" t="n"/>
      <c r="E196" s="731" t="n"/>
      <c r="F196" s="731" t="n"/>
    </row>
    <row r="197" ht="15" customHeight="1">
      <c r="A197" s="1886" t="inlineStr">
        <is>
          <t>Accrued Expenses - Long-Term</t>
        </is>
      </c>
      <c r="B197" s="731" t="n"/>
      <c r="C197" s="731" t="n"/>
      <c r="D197" s="731" t="n"/>
      <c r="E197" s="731" t="n"/>
      <c r="F197" s="731" t="n"/>
    </row>
    <row r="198" ht="15" customHeight="1">
      <c r="A198" s="1885" t="inlineStr">
        <is>
          <t>Debt - Long-Term - Total</t>
        </is>
      </c>
      <c r="B198" s="1807" t="n">
        <v>292117953.86</v>
      </c>
      <c r="C198" s="1807" t="n">
        <v>573422453.35</v>
      </c>
      <c r="D198" s="1807" t="n">
        <v>497637123.14</v>
      </c>
      <c r="E198" s="1807" t="n">
        <v>917544181.6799999</v>
      </c>
      <c r="F198" s="1807" t="n">
        <v>2329832507.73</v>
      </c>
    </row>
    <row r="199" ht="15" customHeight="1">
      <c r="A199" s="1886" t="inlineStr">
        <is>
          <t>Long-Term Debt excluding Capitalized Leases</t>
        </is>
      </c>
      <c r="B199" s="1807" t="n">
        <v>143865084.9</v>
      </c>
      <c r="C199" s="1807" t="n">
        <v>331367179.46</v>
      </c>
      <c r="D199" s="1807" t="n">
        <v>291901896.33</v>
      </c>
      <c r="E199" s="1807" t="n">
        <v>758284408.5599999</v>
      </c>
      <c r="F199" s="1807" t="n">
        <v>2191347199.78</v>
      </c>
    </row>
    <row r="200" ht="15" customHeight="1">
      <c r="A200" s="1887" t="inlineStr">
        <is>
          <t>Debt - Non-Convertible - Long-Term</t>
        </is>
      </c>
      <c r="B200" s="1807" t="n">
        <v>143865084.9</v>
      </c>
      <c r="C200" s="1807" t="n">
        <v>331367179.46</v>
      </c>
      <c r="D200" s="1807" t="n">
        <v>291901896.33</v>
      </c>
      <c r="E200" s="1807" t="n">
        <v>758284408.5599999</v>
      </c>
      <c r="F200" s="1807" t="n">
        <v>2191347199.78</v>
      </c>
    </row>
    <row r="201" ht="15" customHeight="1">
      <c r="A201" s="1890" t="inlineStr">
        <is>
          <t>Notes Payable - Long-Term</t>
        </is>
      </c>
      <c r="B201" s="731" t="n"/>
      <c r="C201" s="731" t="n"/>
      <c r="D201" s="731" t="n"/>
      <c r="E201" s="731" t="n"/>
      <c r="F201" s="731" t="n"/>
    </row>
    <row r="202" ht="15" customHeight="1">
      <c r="A202" s="1887" t="inlineStr">
        <is>
          <t>Convertible Debt - Long-Term</t>
        </is>
      </c>
      <c r="B202" s="731" t="n"/>
      <c r="C202" s="731" t="n"/>
      <c r="D202" s="731" t="n"/>
      <c r="E202" s="731" t="n"/>
      <c r="F202" s="731" t="n"/>
    </row>
    <row r="203" ht="15" customHeight="1">
      <c r="A203" s="1886" t="inlineStr">
        <is>
          <t>Hybrid Financial Instrument - Liability - Long-Term</t>
        </is>
      </c>
      <c r="B203" s="731" t="n"/>
      <c r="C203" s="731" t="n"/>
      <c r="D203" s="731" t="n"/>
      <c r="E203" s="731" t="n"/>
      <c r="F203" s="731" t="n"/>
    </row>
    <row r="204" ht="15" customHeight="1">
      <c r="A204" s="1887" t="inlineStr">
        <is>
          <t>Mandatorily Redeemable Trust Certificates - Long-Term</t>
        </is>
      </c>
      <c r="B204" s="731" t="n"/>
      <c r="C204" s="731" t="n"/>
      <c r="D204" s="731" t="n"/>
      <c r="E204" s="731" t="n"/>
      <c r="F204" s="731" t="n"/>
    </row>
    <row r="205" ht="15" customHeight="1">
      <c r="A205" s="1887" t="inlineStr">
        <is>
          <t>Other Mandatorily Redeemable Equity Instruments - Long-Term</t>
        </is>
      </c>
      <c r="B205" s="731" t="n"/>
      <c r="C205" s="731" t="n"/>
      <c r="D205" s="731" t="n"/>
      <c r="E205" s="731" t="n"/>
      <c r="F205" s="731" t="n"/>
    </row>
    <row r="206" ht="15" customHeight="1">
      <c r="A206" s="1887" t="inlineStr">
        <is>
          <t>Preferred Stock - Liability Portion - Long-Term</t>
        </is>
      </c>
      <c r="B206" s="731" t="n"/>
      <c r="C206" s="731" t="n"/>
      <c r="D206" s="731" t="n"/>
      <c r="E206" s="731" t="n"/>
      <c r="F206" s="731" t="n"/>
    </row>
    <row r="207" ht="15" customHeight="1">
      <c r="A207" s="1886" t="inlineStr">
        <is>
          <t>Capitalized Lease Obligations - Long-Term</t>
        </is>
      </c>
      <c r="B207" s="1807" t="n">
        <v>148252868.96</v>
      </c>
      <c r="C207" s="1807" t="n">
        <v>242055273.89</v>
      </c>
      <c r="D207" s="1807" t="n">
        <v>205735226.81</v>
      </c>
      <c r="E207" s="1807" t="n">
        <v>159259773.13</v>
      </c>
      <c r="F207" s="1807" t="n">
        <v>138485307.94</v>
      </c>
    </row>
    <row r="208" ht="15" customHeight="1">
      <c r="A208" s="1885" t="inlineStr">
        <is>
          <t>Derivative Liabilities - Hedging - Long-Term</t>
        </is>
      </c>
      <c r="B208" s="731" t="n"/>
      <c r="C208" s="731" t="n"/>
      <c r="D208" s="731" t="n"/>
      <c r="E208" s="731" t="n"/>
      <c r="F208" s="731" t="n"/>
    </row>
    <row r="209" ht="15" customHeight="1">
      <c r="A209" s="1885" t="inlineStr">
        <is>
          <t>Liabilities Held for Sale/Discontinued Operations - Long-Term</t>
        </is>
      </c>
      <c r="B209" s="731" t="n"/>
      <c r="C209" s="731" t="n"/>
      <c r="D209" s="731" t="n"/>
      <c r="E209" s="731" t="n"/>
      <c r="F209" s="731" t="n"/>
    </row>
    <row r="210" ht="15" customHeight="1">
      <c r="A210" s="1885" t="inlineStr">
        <is>
          <t>Deferred Tax &amp; Investment Tax Credits - Long-Term</t>
        </is>
      </c>
      <c r="B210" s="731" t="n"/>
      <c r="C210" s="731" t="n"/>
      <c r="D210" s="731" t="n"/>
      <c r="E210" s="1807" t="n">
        <v>4589056.79</v>
      </c>
      <c r="F210" s="1807" t="n">
        <v>3748341.69</v>
      </c>
    </row>
    <row r="211" ht="15" customHeight="1">
      <c r="A211" s="1886" t="inlineStr">
        <is>
          <t>Deferred Tax - Liability - Long-Term</t>
        </is>
      </c>
      <c r="B211" s="731" t="n"/>
      <c r="C211" s="731" t="n"/>
      <c r="D211" s="731" t="n"/>
      <c r="E211" s="1807" t="n">
        <v>4589056.79</v>
      </c>
      <c r="F211" s="1807" t="n">
        <v>3748341.69</v>
      </c>
    </row>
    <row r="212" ht="15" customHeight="1">
      <c r="A212" s="1887" t="inlineStr">
        <is>
          <t>Deferred Tax - Liability - in Untaxed Reserves</t>
        </is>
      </c>
      <c r="B212" s="731" t="n"/>
      <c r="C212" s="731" t="n"/>
      <c r="D212" s="731" t="n"/>
      <c r="E212" s="731" t="n"/>
      <c r="F212" s="731" t="n"/>
    </row>
    <row r="213" ht="15" customHeight="1">
      <c r="A213" s="1885" t="inlineStr">
        <is>
          <t>Operating Lease Liabilities - Long-Term</t>
        </is>
      </c>
      <c r="B213" s="731" t="n"/>
      <c r="C213" s="731" t="n"/>
      <c r="D213" s="731" t="n"/>
      <c r="E213" s="731" t="n"/>
      <c r="F213" s="731" t="n"/>
    </row>
    <row r="214" ht="15" customHeight="1">
      <c r="A214" s="1885" t="inlineStr">
        <is>
          <t>Other Non-Current Liabilities - Total</t>
        </is>
      </c>
      <c r="B214" s="1807" t="n">
        <v>1038065.32</v>
      </c>
      <c r="C214" s="1807" t="n">
        <v>90560027.14</v>
      </c>
      <c r="D214" s="1807" t="n">
        <v>101105421.05</v>
      </c>
      <c r="E214" s="1807" t="n">
        <v>431927559.49</v>
      </c>
      <c r="F214" s="1807" t="n">
        <v>337129620.52</v>
      </c>
    </row>
    <row r="215" ht="15" customHeight="1">
      <c r="A215" s="1886" t="inlineStr">
        <is>
          <t>Provisions - Long-Term</t>
        </is>
      </c>
      <c r="B215" s="1807" t="n">
        <v>1038065.32</v>
      </c>
      <c r="C215" s="1807" t="n">
        <v>1484396.88</v>
      </c>
      <c r="D215" s="1807" t="n">
        <v>2512157.75</v>
      </c>
      <c r="E215" s="1807" t="n">
        <v>3155146.21</v>
      </c>
      <c r="F215" s="1807" t="n">
        <v>7136657.84</v>
      </c>
    </row>
    <row r="216" ht="15" customHeight="1">
      <c r="A216" s="1887" t="inlineStr">
        <is>
          <t>Post Employment Benefits - Pension &amp; Other - Long-Term</t>
        </is>
      </c>
      <c r="B216" s="1807" t="n">
        <v>1038065.32</v>
      </c>
      <c r="C216" s="1807" t="n">
        <v>1484396.88</v>
      </c>
      <c r="D216" s="1807" t="n">
        <v>2512157.75</v>
      </c>
      <c r="E216" s="1807" t="n">
        <v>3155146.21</v>
      </c>
      <c r="F216" s="1807" t="n">
        <v>7136657.84</v>
      </c>
    </row>
    <row r="217" ht="15" customHeight="1">
      <c r="A217" s="1887" t="inlineStr">
        <is>
          <t>Asset Retirement Obligation - Long-Term</t>
        </is>
      </c>
      <c r="B217" s="731" t="n"/>
      <c r="C217" s="731" t="n"/>
      <c r="D217" s="731" t="n"/>
      <c r="E217" s="731" t="n"/>
      <c r="F217" s="731" t="n"/>
    </row>
    <row r="218" ht="15" customHeight="1">
      <c r="A218" s="1887" t="inlineStr">
        <is>
          <t>Provisions - Litigation - Long-Term</t>
        </is>
      </c>
      <c r="B218" s="731" t="n"/>
      <c r="C218" s="731" t="n"/>
      <c r="D218" s="731" t="n"/>
      <c r="E218" s="731" t="n"/>
      <c r="F218" s="731" t="n"/>
    </row>
    <row r="219" ht="15" customHeight="1">
      <c r="A219" s="1887" t="inlineStr">
        <is>
          <t>Provisions - Restructuring - Long-Term</t>
        </is>
      </c>
      <c r="B219" s="731" t="n"/>
      <c r="C219" s="731" t="n"/>
      <c r="D219" s="731" t="n"/>
      <c r="E219" s="731" t="n"/>
      <c r="F219" s="731" t="n"/>
    </row>
    <row r="220" ht="15" customHeight="1">
      <c r="A220" s="1887" t="inlineStr">
        <is>
          <t>Provisions - Environmental Obligations - Long-Term</t>
        </is>
      </c>
      <c r="B220" s="731" t="n"/>
      <c r="C220" s="731" t="n"/>
      <c r="D220" s="731" t="n"/>
      <c r="E220" s="731" t="n"/>
      <c r="F220" s="731" t="n"/>
    </row>
    <row r="221" ht="15" customHeight="1">
      <c r="A221" s="1887" t="inlineStr">
        <is>
          <t>Provisions - Other - Long-Term</t>
        </is>
      </c>
      <c r="B221" s="731" t="n"/>
      <c r="C221" s="731" t="n"/>
      <c r="D221" s="731" t="n"/>
      <c r="E221" s="731" t="n"/>
      <c r="F221" s="731" t="n"/>
    </row>
    <row r="222" ht="15" customHeight="1">
      <c r="A222" s="1886" t="inlineStr">
        <is>
          <t>Customer Advances - Long-Term</t>
        </is>
      </c>
      <c r="B222" s="731" t="n"/>
      <c r="C222" s="1807" t="n">
        <v>89075630.26000001</v>
      </c>
      <c r="D222" s="1807" t="n">
        <v>98593263.3</v>
      </c>
      <c r="E222" s="1807" t="n">
        <v>127559944.47</v>
      </c>
      <c r="F222" s="1807" t="n">
        <v>7891261.42</v>
      </c>
    </row>
    <row r="223" ht="15" customHeight="1">
      <c r="A223" s="1886" t="inlineStr">
        <is>
          <t>Deferred Revenue - Long-Term</t>
        </is>
      </c>
      <c r="B223" s="731" t="n"/>
      <c r="C223" s="731" t="n"/>
      <c r="D223" s="731" t="n"/>
      <c r="E223" s="731" t="n"/>
      <c r="F223" s="731" t="n"/>
    </row>
    <row r="224" ht="15" customHeight="1">
      <c r="A224" s="1886" t="inlineStr">
        <is>
          <t>Regulatory Liabilities - Long-Term</t>
        </is>
      </c>
      <c r="B224" s="731" t="n"/>
      <c r="C224" s="731" t="n"/>
      <c r="D224" s="731" t="n"/>
      <c r="E224" s="731" t="n"/>
      <c r="F224" s="731" t="n"/>
    </row>
    <row r="225" ht="15" customHeight="1">
      <c r="A225" s="1886" t="inlineStr">
        <is>
          <t>Other Non-Current Liabilities</t>
        </is>
      </c>
      <c r="B225" s="731" t="n"/>
      <c r="C225" s="731" t="n"/>
      <c r="D225" s="731" t="n"/>
      <c r="E225" s="1807" t="n">
        <v>301212468.81</v>
      </c>
      <c r="F225" s="1807" t="n">
        <v>322101701.25</v>
      </c>
    </row>
    <row r="226" ht="15" customHeight="1">
      <c r="A226" s="1885" t="inlineStr">
        <is>
          <t>Minority Interest - Non-Equity</t>
        </is>
      </c>
      <c r="B226" s="731" t="n"/>
      <c r="C226" s="731" t="n"/>
      <c r="D226" s="731" t="n"/>
      <c r="E226" s="731" t="n"/>
      <c r="F226" s="731" t="n"/>
    </row>
    <row r="227" ht="15" customHeight="1">
      <c r="A227" s="1885" t="inlineStr">
        <is>
          <t>Total Non-Current Liabilities</t>
        </is>
      </c>
      <c r="B227" s="1807" t="n">
        <v>293156019.18</v>
      </c>
      <c r="C227" s="1807" t="n">
        <v>663982480.49</v>
      </c>
      <c r="D227" s="1807" t="n">
        <v>598742544.1900001</v>
      </c>
      <c r="E227" s="1807" t="n">
        <v>1354060797.96</v>
      </c>
      <c r="F227" s="1807" t="n">
        <v>2670710469.94</v>
      </c>
    </row>
    <row r="228" ht="15" customHeight="1">
      <c r="A228" s="1884" t="inlineStr">
        <is>
          <t>Total Liabilities</t>
        </is>
      </c>
      <c r="B228" s="734" t="n"/>
      <c r="C228" s="734" t="n"/>
      <c r="D228" s="734" t="n"/>
      <c r="E228" s="734" t="n"/>
      <c r="F228" s="734" t="n"/>
    </row>
    <row r="229" ht="15" customHeight="1">
      <c r="A229" s="1888" t="inlineStr">
        <is>
          <t>Total Liabilities</t>
        </is>
      </c>
      <c r="B229" s="1889" t="n">
        <v>380354051.97</v>
      </c>
      <c r="C229" s="1889" t="n">
        <v>795007395.71</v>
      </c>
      <c r="D229" s="1889" t="n">
        <v>821583640.3</v>
      </c>
      <c r="E229" s="1889" t="n">
        <v>1937572403.18</v>
      </c>
      <c r="F229" s="1889" t="n">
        <v>6651717373.16</v>
      </c>
    </row>
    <row r="230" ht="15" customHeight="1">
      <c r="A230" s="1884" t="inlineStr">
        <is>
          <t>Shareholders' Equity</t>
        </is>
      </c>
      <c r="B230" s="734" t="n"/>
      <c r="C230" s="734" t="n"/>
      <c r="D230" s="734" t="n"/>
      <c r="E230" s="734" t="n"/>
      <c r="F230" s="734" t="n"/>
    </row>
    <row r="231" ht="15" customHeight="1">
      <c r="A231" s="1885" t="inlineStr">
        <is>
          <t>Shareholders' Equity - Attributable to Parent Shareholders - Total</t>
        </is>
      </c>
      <c r="B231" s="1807" t="n">
        <v>513639113.66</v>
      </c>
      <c r="C231" s="1807" t="n">
        <v>610315863.91</v>
      </c>
      <c r="D231" s="1807" t="n">
        <v>740562076.0599999</v>
      </c>
      <c r="E231" s="1807" t="n">
        <v>969661911.02</v>
      </c>
      <c r="F231" s="1807" t="n">
        <v>7299442709.11</v>
      </c>
    </row>
    <row r="232" ht="15" customHeight="1">
      <c r="A232" s="1886" t="inlineStr">
        <is>
          <t>Preferred Shareholders Equity</t>
        </is>
      </c>
      <c r="B232" s="731" t="n"/>
      <c r="C232" s="731" t="n"/>
      <c r="D232" s="731" t="n"/>
      <c r="E232" s="731" t="n"/>
      <c r="F232" s="731" t="n"/>
    </row>
    <row r="233" ht="15" customHeight="1">
      <c r="A233" s="1887" t="inlineStr">
        <is>
          <t>Preferred Stock - Redeemable - Total</t>
        </is>
      </c>
      <c r="B233" s="731" t="n"/>
      <c r="C233" s="731" t="n"/>
      <c r="D233" s="731" t="n"/>
      <c r="E233" s="731" t="n"/>
      <c r="F233" s="731" t="n"/>
    </row>
    <row r="234" ht="15" customHeight="1">
      <c r="A234" s="1890" t="inlineStr">
        <is>
          <t>Preferred Stock - Redeemable - Convertible</t>
        </is>
      </c>
      <c r="B234" s="731" t="n"/>
      <c r="C234" s="731" t="n"/>
      <c r="D234" s="731" t="n"/>
      <c r="E234" s="731" t="n"/>
      <c r="F234" s="731" t="n"/>
    </row>
    <row r="235" ht="15" customHeight="1">
      <c r="A235" s="1887" t="inlineStr">
        <is>
          <t>Preferred Stock - Non-Redeemable</t>
        </is>
      </c>
      <c r="B235" s="731" t="n"/>
      <c r="C235" s="731" t="n"/>
      <c r="D235" s="731" t="n"/>
      <c r="E235" s="731" t="n"/>
      <c r="F235" s="731" t="n"/>
    </row>
    <row r="236" ht="15" customHeight="1">
      <c r="A236" s="1890" t="inlineStr">
        <is>
          <t>Preferred Stock - Convertible - Non-Redeemable</t>
        </is>
      </c>
      <c r="B236" s="731" t="n"/>
      <c r="C236" s="731" t="n"/>
      <c r="D236" s="731" t="n"/>
      <c r="E236" s="731" t="n"/>
      <c r="F236" s="731" t="n"/>
    </row>
    <row r="237" ht="15" customHeight="1">
      <c r="A237" s="1887" t="inlineStr">
        <is>
          <t>Preferred Equity - Contributed</t>
        </is>
      </c>
      <c r="B237" s="731" t="n"/>
      <c r="C237" s="731" t="n"/>
      <c r="D237" s="731" t="n"/>
      <c r="E237" s="731" t="n"/>
      <c r="F237" s="731" t="n"/>
    </row>
    <row r="238" ht="15" customHeight="1">
      <c r="A238" s="1890" t="inlineStr">
        <is>
          <t>Preferred Stock - Issued for ESOP</t>
        </is>
      </c>
      <c r="B238" s="731" t="n"/>
      <c r="C238" s="731" t="n"/>
      <c r="D238" s="731" t="n"/>
      <c r="E238" s="731" t="n"/>
      <c r="F238" s="731" t="n"/>
    </row>
    <row r="239" ht="15" customHeight="1">
      <c r="A239" s="1887" t="inlineStr">
        <is>
          <t>Preferred Stock - Treasury/Repurchased</t>
        </is>
      </c>
      <c r="B239" s="731" t="n"/>
      <c r="C239" s="731" t="n"/>
      <c r="D239" s="731" t="n"/>
      <c r="E239" s="731" t="n"/>
      <c r="F239" s="731" t="n"/>
    </row>
    <row r="240" ht="15" customHeight="1">
      <c r="A240" s="1887" t="inlineStr">
        <is>
          <t>ESOP Guarantees - Preferred &amp; Deferred Compensation</t>
        </is>
      </c>
      <c r="B240" s="731" t="n"/>
      <c r="C240" s="731" t="n"/>
      <c r="D240" s="731" t="n"/>
      <c r="E240" s="731" t="n"/>
      <c r="F240" s="731" t="n"/>
    </row>
    <row r="241" ht="15" customHeight="1">
      <c r="A241" s="1887" t="inlineStr">
        <is>
          <t>Preferred Stock - Redeemable - Temporary Equity</t>
        </is>
      </c>
      <c r="B241" s="731" t="n"/>
      <c r="C241" s="731" t="n"/>
      <c r="D241" s="731" t="n"/>
      <c r="E241" s="731" t="n"/>
      <c r="F241" s="731" t="n"/>
    </row>
    <row r="242" ht="15" customHeight="1">
      <c r="A242" s="1886" t="inlineStr">
        <is>
          <t>Common Equity Attributable to Parent Shareholders</t>
        </is>
      </c>
      <c r="B242" s="1807" t="n">
        <v>513639113.66</v>
      </c>
      <c r="C242" s="1807" t="n">
        <v>610315863.91</v>
      </c>
      <c r="D242" s="1807" t="n">
        <v>740562076.0599999</v>
      </c>
      <c r="E242" s="1807" t="n">
        <v>969661911.02</v>
      </c>
      <c r="F242" s="1807" t="n">
        <v>7299442709.11</v>
      </c>
    </row>
    <row r="243" ht="15" customHeight="1">
      <c r="A243" s="1887" t="inlineStr">
        <is>
          <t>Common Stock - Treasury/Repurchased</t>
        </is>
      </c>
      <c r="B243" s="731" t="n"/>
      <c r="C243" s="731" t="n"/>
      <c r="D243" s="731" t="n"/>
      <c r="E243" s="731" t="n"/>
      <c r="F243" s="731" t="n"/>
    </row>
    <row r="244" ht="15" customHeight="1">
      <c r="A244" s="1887" t="inlineStr">
        <is>
          <t>Common Stock - Held in ESOP or Trust/Deferred Compensation</t>
        </is>
      </c>
      <c r="B244" s="731" t="n"/>
      <c r="C244" s="731" t="n"/>
      <c r="D244" s="731" t="n"/>
      <c r="E244" s="731" t="n"/>
      <c r="F244" s="731" t="n"/>
    </row>
    <row r="245" ht="15" customHeight="1">
      <c r="A245" s="1887" t="inlineStr">
        <is>
          <t>Common Equity - Contributed</t>
        </is>
      </c>
      <c r="B245" s="1807" t="n">
        <v>454537926.05</v>
      </c>
      <c r="C245" s="1807" t="n">
        <v>492673320.74</v>
      </c>
      <c r="D245" s="1807" t="n">
        <v>492673320.74</v>
      </c>
      <c r="E245" s="1807" t="n">
        <v>564456652.33</v>
      </c>
      <c r="F245" s="1807" t="n">
        <v>6490474144.77</v>
      </c>
    </row>
    <row r="246" ht="15" customHeight="1">
      <c r="A246" s="1890" t="inlineStr">
        <is>
          <t>Common Stock - Issued &amp; Paid</t>
        </is>
      </c>
      <c r="B246" s="1807" t="n">
        <v>205029228.6</v>
      </c>
      <c r="C246" s="1807" t="n">
        <v>225532128.7</v>
      </c>
      <c r="D246" s="1807" t="n">
        <v>225532128.7</v>
      </c>
      <c r="E246" s="1807" t="n">
        <v>235935511.8</v>
      </c>
      <c r="F246" s="1807" t="n">
        <v>530854901.5</v>
      </c>
    </row>
    <row r="247" ht="15" customHeight="1">
      <c r="A247" s="1891" t="inlineStr">
        <is>
          <t>Limited Partner</t>
        </is>
      </c>
      <c r="B247" s="731" t="n"/>
      <c r="C247" s="731" t="n"/>
      <c r="D247" s="731" t="n"/>
      <c r="E247" s="731" t="n"/>
      <c r="F247" s="731" t="n"/>
    </row>
    <row r="248" ht="15" customHeight="1">
      <c r="A248" s="1890" t="inlineStr">
        <is>
          <t>Common Stock - Additional Paid in Capital including Option Reserve</t>
        </is>
      </c>
      <c r="B248" s="1807" t="n">
        <v>249508697.45</v>
      </c>
      <c r="C248" s="1807" t="n">
        <v>267141192.04</v>
      </c>
      <c r="D248" s="1807" t="n">
        <v>267141192.04</v>
      </c>
      <c r="E248" s="1807" t="n">
        <v>328521140.53</v>
      </c>
      <c r="F248" s="1807" t="n">
        <v>5959619243.27</v>
      </c>
    </row>
    <row r="249" ht="15" customHeight="1">
      <c r="A249" s="1890" t="inlineStr">
        <is>
          <t>Common Share Capital including Additional Paid in Capital - Total</t>
        </is>
      </c>
      <c r="B249" s="731" t="n"/>
      <c r="C249" s="731" t="n"/>
      <c r="D249" s="731" t="n"/>
      <c r="E249" s="731" t="n"/>
      <c r="F249" s="731" t="n"/>
    </row>
    <row r="250" ht="15" customHeight="1">
      <c r="A250" s="1887" t="inlineStr">
        <is>
          <t>Equity - Non-Contributed - Reserves &amp; Retained Earnings</t>
        </is>
      </c>
      <c r="B250" s="1807" t="n">
        <v>59101187.6</v>
      </c>
      <c r="C250" s="1807" t="n">
        <v>117642543.17</v>
      </c>
      <c r="D250" s="1807" t="n">
        <v>247888755.32</v>
      </c>
      <c r="E250" s="1807" t="n">
        <v>405205258.69</v>
      </c>
      <c r="F250" s="1807" t="n">
        <v>808968564.35</v>
      </c>
    </row>
    <row r="251" ht="15" customHeight="1">
      <c r="A251" s="1890" t="inlineStr">
        <is>
          <t>Retained Earnings - Total</t>
        </is>
      </c>
      <c r="B251" s="1807" t="n">
        <v>56195548.23</v>
      </c>
      <c r="C251" s="1807" t="n">
        <v>114736903.79</v>
      </c>
      <c r="D251" s="1807" t="n">
        <v>173199784.35</v>
      </c>
      <c r="E251" s="1807" t="n">
        <v>402299619.31</v>
      </c>
      <c r="F251" s="1807" t="n">
        <v>808968564.35</v>
      </c>
    </row>
    <row r="252" ht="15" customHeight="1">
      <c r="A252" s="1890" t="inlineStr">
        <is>
          <t>Comprehensive Income - Accumulated - Total</t>
        </is>
      </c>
      <c r="B252" s="731" t="n"/>
      <c r="C252" s="731" t="n"/>
      <c r="D252" s="731" t="n"/>
      <c r="E252" s="731" t="n"/>
      <c r="F252" s="731" t="n"/>
    </row>
    <row r="253" ht="15" customHeight="1">
      <c r="A253" s="1891" t="inlineStr">
        <is>
          <t>Investments - Unrealized Gain/Loss</t>
        </is>
      </c>
      <c r="B253" s="731" t="n"/>
      <c r="C253" s="731" t="n"/>
      <c r="D253" s="731" t="n"/>
      <c r="E253" s="731" t="n"/>
      <c r="F253" s="731" t="n"/>
    </row>
    <row r="254" ht="15" customHeight="1">
      <c r="A254" s="1891" t="inlineStr">
        <is>
          <t>Hedging Reserves</t>
        </is>
      </c>
      <c r="B254" s="731" t="n"/>
      <c r="C254" s="731" t="n"/>
      <c r="D254" s="731" t="n"/>
      <c r="E254" s="731" t="n"/>
      <c r="F254" s="731" t="n"/>
    </row>
    <row r="255" ht="15" customHeight="1">
      <c r="A255" s="1891" t="inlineStr">
        <is>
          <t>Foreign Currency Translation Adjustment - Accumulated</t>
        </is>
      </c>
      <c r="B255" s="731" t="n"/>
      <c r="C255" s="731" t="n"/>
      <c r="D255" s="731" t="n"/>
      <c r="E255" s="731" t="n"/>
      <c r="F255" s="731" t="n"/>
    </row>
    <row r="256" ht="15" customHeight="1">
      <c r="A256" s="1891" t="inlineStr">
        <is>
          <t>Comprehensive Income - Pension Liabilities</t>
        </is>
      </c>
      <c r="B256" s="731" t="n"/>
      <c r="C256" s="731" t="n"/>
      <c r="D256" s="731" t="n"/>
      <c r="E256" s="731" t="n"/>
      <c r="F256" s="731" t="n"/>
    </row>
    <row r="257" ht="15" customHeight="1">
      <c r="A257" s="1891" t="inlineStr">
        <is>
          <t>Comprehensive Income - Unearned Compensation</t>
        </is>
      </c>
      <c r="B257" s="731" t="n"/>
      <c r="C257" s="731" t="n"/>
      <c r="D257" s="731" t="n"/>
      <c r="E257" s="731" t="n"/>
      <c r="F257" s="731" t="n"/>
    </row>
    <row r="258" ht="15" customHeight="1">
      <c r="A258" s="1891" t="inlineStr">
        <is>
          <t>Revaluation Reserves</t>
        </is>
      </c>
      <c r="B258" s="731" t="n"/>
      <c r="C258" s="731" t="n"/>
      <c r="D258" s="731" t="n"/>
      <c r="E258" s="731" t="n"/>
      <c r="F258" s="731" t="n"/>
    </row>
    <row r="259" ht="15" customHeight="1">
      <c r="A259" s="1891" t="inlineStr">
        <is>
          <t>Comprehensive Income - Other - Total</t>
        </is>
      </c>
      <c r="B259" s="731" t="n"/>
      <c r="C259" s="731" t="n"/>
      <c r="D259" s="731" t="n"/>
      <c r="E259" s="731" t="n"/>
      <c r="F259" s="731" t="n"/>
    </row>
    <row r="260" ht="15" customHeight="1">
      <c r="A260" s="1890" t="inlineStr">
        <is>
          <t>Other Reserves/Equity - Total</t>
        </is>
      </c>
      <c r="B260" s="1807" t="n">
        <v>2905639.38</v>
      </c>
      <c r="C260" s="1807" t="n">
        <v>2905639.38</v>
      </c>
      <c r="D260" s="1807" t="n">
        <v>74688970.97</v>
      </c>
      <c r="E260" s="1807" t="n">
        <v>2905639.38</v>
      </c>
      <c r="F260" s="731" t="n"/>
    </row>
    <row r="261" ht="15" customHeight="1">
      <c r="A261" s="1891" t="inlineStr">
        <is>
          <t>Goodwill - Cumulative Written Off</t>
        </is>
      </c>
      <c r="B261" s="731" t="n"/>
      <c r="C261" s="731" t="n"/>
      <c r="D261" s="731" t="n"/>
      <c r="E261" s="731" t="n"/>
      <c r="F261" s="731" t="n"/>
    </row>
    <row r="262" ht="15" customHeight="1">
      <c r="A262" s="1891" t="inlineStr">
        <is>
          <t>Untaxed/Special Reserves</t>
        </is>
      </c>
      <c r="B262" s="731" t="n"/>
      <c r="C262" s="731" t="n"/>
      <c r="D262" s="731" t="n"/>
      <c r="E262" s="731" t="n"/>
      <c r="F262" s="731" t="n"/>
    </row>
    <row r="263" ht="15" customHeight="1">
      <c r="A263" s="1891" t="inlineStr">
        <is>
          <t>Negative Consolidation Differences, Goodwill &amp; Cumulative Amount Written Off against Reserves</t>
        </is>
      </c>
      <c r="B263" s="731" t="n"/>
      <c r="C263" s="731" t="n"/>
      <c r="D263" s="731" t="n"/>
      <c r="E263" s="731" t="n"/>
      <c r="F263" s="731" t="n"/>
    </row>
    <row r="264" ht="15" customHeight="1">
      <c r="A264" s="1886" t="inlineStr">
        <is>
          <t>Equity - Other</t>
        </is>
      </c>
      <c r="B264" s="731" t="n"/>
      <c r="C264" s="731" t="n"/>
      <c r="D264" s="731" t="n"/>
      <c r="E264" s="731" t="n"/>
      <c r="F264" s="731" t="n"/>
    </row>
    <row r="265" ht="15" customHeight="1">
      <c r="A265" s="1887" t="inlineStr">
        <is>
          <t>General Partner</t>
        </is>
      </c>
      <c r="B265" s="731" t="n"/>
      <c r="C265" s="731" t="n"/>
      <c r="D265" s="731" t="n"/>
      <c r="E265" s="731" t="n"/>
      <c r="F265" s="731" t="n"/>
    </row>
    <row r="266" ht="15" customHeight="1">
      <c r="A266" s="1887" t="inlineStr">
        <is>
          <t>Deferred Shares</t>
        </is>
      </c>
      <c r="B266" s="731" t="n"/>
      <c r="C266" s="731" t="n"/>
      <c r="D266" s="731" t="n"/>
      <c r="E266" s="731" t="n"/>
      <c r="F266" s="731" t="n"/>
    </row>
    <row r="267" ht="15" customHeight="1">
      <c r="A267" s="1886" t="inlineStr">
        <is>
          <t>Common Equity - Total</t>
        </is>
      </c>
      <c r="B267" s="1807" t="n">
        <v>513639113.66</v>
      </c>
      <c r="C267" s="1807" t="n">
        <v>610315863.91</v>
      </c>
      <c r="D267" s="1807" t="n">
        <v>740562076.0599999</v>
      </c>
      <c r="E267" s="1807" t="n">
        <v>969661911.02</v>
      </c>
      <c r="F267" s="1807" t="n">
        <v>7299442709.11</v>
      </c>
    </row>
    <row r="268" ht="15" customHeight="1">
      <c r="A268" s="1885" t="inlineStr">
        <is>
          <t>Minority Interest - Equity</t>
        </is>
      </c>
      <c r="B268" s="1807" t="n">
        <v>2316285.25</v>
      </c>
      <c r="C268" s="1807" t="n">
        <v>2411134.16</v>
      </c>
      <c r="D268" s="1807" t="n">
        <v>2083898.19</v>
      </c>
      <c r="E268" s="1807" t="n">
        <v>181418.18</v>
      </c>
      <c r="F268" s="1807" t="n">
        <v>1218502143.91</v>
      </c>
    </row>
    <row r="269" ht="15" customHeight="1">
      <c r="A269" s="1885" t="inlineStr">
        <is>
          <t>Hybrid Financial Instrument - Equity Portion</t>
        </is>
      </c>
      <c r="B269" s="731" t="n"/>
      <c r="C269" s="731" t="n"/>
      <c r="D269" s="731" t="n"/>
      <c r="E269" s="731" t="n"/>
      <c r="F269" s="731" t="n"/>
    </row>
    <row r="270" ht="15" customHeight="1">
      <c r="A270" s="1884" t="inlineStr">
        <is>
          <t>Total Shareholders' Equity</t>
        </is>
      </c>
      <c r="B270" s="734" t="n"/>
      <c r="C270" s="734" t="n"/>
      <c r="D270" s="734" t="n"/>
      <c r="E270" s="734" t="n"/>
      <c r="F270" s="734" t="n"/>
    </row>
    <row r="271" ht="15" customHeight="1">
      <c r="A271" s="1888" t="inlineStr">
        <is>
          <t>Total Shareholders' Equity - including Minority Interest &amp; Hybrid Debt</t>
        </is>
      </c>
      <c r="B271" s="1889" t="n">
        <v>515955398.91</v>
      </c>
      <c r="C271" s="1889" t="n">
        <v>612726998.0700001</v>
      </c>
      <c r="D271" s="1889" t="n">
        <v>742645974.25</v>
      </c>
      <c r="E271" s="1889" t="n">
        <v>969843329.1900001</v>
      </c>
      <c r="F271" s="1889" t="n">
        <v>8517944853.02</v>
      </c>
    </row>
    <row r="272" ht="15" customHeight="1">
      <c r="A272" s="1884" t="inlineStr">
        <is>
          <t>Total Liabilities &amp; Shareholders' Equity</t>
        </is>
      </c>
      <c r="B272" s="734" t="n"/>
      <c r="C272" s="734" t="n"/>
      <c r="D272" s="734" t="n"/>
      <c r="E272" s="734" t="n"/>
      <c r="F272" s="734" t="n"/>
    </row>
    <row r="273" ht="15" customHeight="1">
      <c r="A273" s="1888" t="inlineStr">
        <is>
          <t>Total Liabilities &amp; Equity</t>
        </is>
      </c>
      <c r="B273" s="1889" t="n">
        <v>896309450.88</v>
      </c>
      <c r="C273" s="1889" t="n">
        <v>1407734393.79</v>
      </c>
      <c r="D273" s="1889" t="n">
        <v>1564229614.55</v>
      </c>
      <c r="E273" s="1889" t="n">
        <v>2907415732.37</v>
      </c>
      <c r="F273" s="1889" t="n">
        <v>15169662226.17</v>
      </c>
    </row>
    <row r="274" ht="15" customHeight="1">
      <c r="A274" s="1884" t="inlineStr">
        <is>
          <t>Share/Per Share - Common</t>
        </is>
      </c>
      <c r="B274" s="734" t="n"/>
      <c r="C274" s="734" t="n"/>
      <c r="D274" s="734" t="n"/>
      <c r="E274" s="734" t="n"/>
      <c r="F274" s="734" t="n"/>
    </row>
    <row r="275" ht="15" customHeight="1">
      <c r="A275" s="1885" t="inlineStr">
        <is>
          <t>Common Shares - Issued - Total</t>
        </is>
      </c>
      <c r="B275" s="1807" t="n">
        <v>2050292.29</v>
      </c>
      <c r="C275" s="1807" t="n">
        <v>2255321.29</v>
      </c>
      <c r="D275" s="1807" t="n">
        <v>2255321.29</v>
      </c>
      <c r="E275" s="1807" t="n">
        <v>2359355.12</v>
      </c>
      <c r="F275" s="1807" t="n">
        <v>5308549.01</v>
      </c>
    </row>
    <row r="276" ht="15" customHeight="1">
      <c r="A276" s="1886" t="inlineStr">
        <is>
          <t>Common Shares - Outstanding - Total</t>
        </is>
      </c>
      <c r="B276" s="1807" t="n">
        <v>2050292.29</v>
      </c>
      <c r="C276" s="1807" t="n">
        <v>2255321.29</v>
      </c>
      <c r="D276" s="1807" t="n">
        <v>2255321.29</v>
      </c>
      <c r="E276" s="1807" t="n">
        <v>2359355.12</v>
      </c>
      <c r="F276" s="1807" t="n">
        <v>5308549.01</v>
      </c>
    </row>
    <row r="277" ht="15" customHeight="1">
      <c r="A277" s="1886" t="inlineStr">
        <is>
          <t>Common Shares - Treasury - Total</t>
        </is>
      </c>
      <c r="B277" s="1807" t="n">
        <v>0</v>
      </c>
      <c r="C277" s="1807" t="n">
        <v>0</v>
      </c>
      <c r="D277" s="1807" t="n">
        <v>0</v>
      </c>
      <c r="E277" s="1807" t="n">
        <v>0</v>
      </c>
      <c r="F277" s="1807" t="n">
        <v>0</v>
      </c>
    </row>
    <row r="278" ht="15" customHeight="1">
      <c r="A278" s="1885" t="inlineStr">
        <is>
          <t>Common Shares - Authorized - Issue Specific</t>
        </is>
      </c>
      <c r="B278" s="1807" t="n">
        <v>6030000</v>
      </c>
      <c r="C278" s="1807" t="n">
        <v>6030000</v>
      </c>
      <c r="D278" s="1807" t="n">
        <v>6030000</v>
      </c>
      <c r="E278" s="1807" t="n">
        <v>6030000</v>
      </c>
      <c r="F278" s="1807" t="n">
        <v>6030000</v>
      </c>
    </row>
    <row r="279" ht="15" customHeight="1">
      <c r="A279" s="1885" t="inlineStr">
        <is>
          <t>Common Shares - Issued - Issue Specific</t>
        </is>
      </c>
      <c r="B279" s="1807" t="n">
        <v>2050292.29</v>
      </c>
      <c r="C279" s="1807" t="n">
        <v>2255321.29</v>
      </c>
      <c r="D279" s="1807" t="n">
        <v>2255321.29</v>
      </c>
      <c r="E279" s="1807" t="n">
        <v>2359355.12</v>
      </c>
      <c r="F279" s="1807" t="n">
        <v>5308549.01</v>
      </c>
    </row>
    <row r="280" ht="15" customHeight="1">
      <c r="A280" s="1886" t="inlineStr">
        <is>
          <t>Common Shares - Outstanding - Issue Specific</t>
        </is>
      </c>
      <c r="B280" s="1807" t="n">
        <v>2050292.29</v>
      </c>
      <c r="C280" s="1807" t="n">
        <v>2255321.29</v>
      </c>
      <c r="D280" s="1807" t="n">
        <v>2255321.29</v>
      </c>
      <c r="E280" s="1807" t="n">
        <v>2359355.12</v>
      </c>
      <c r="F280" s="1807" t="n">
        <v>5308549.01</v>
      </c>
    </row>
    <row r="281" ht="15" customHeight="1">
      <c r="A281" s="1886" t="inlineStr">
        <is>
          <t>Common Shares - Treasury - Issue Specific</t>
        </is>
      </c>
      <c r="B281" s="1807" t="n">
        <v>0</v>
      </c>
      <c r="C281" s="1807" t="n">
        <v>0</v>
      </c>
      <c r="D281" s="1807" t="n">
        <v>0</v>
      </c>
      <c r="E281" s="1807" t="n">
        <v>0</v>
      </c>
      <c r="F281" s="1807" t="n">
        <v>0</v>
      </c>
    </row>
    <row r="282" ht="15" customHeight="1">
      <c r="A282" s="1885" t="inlineStr">
        <is>
          <t>Common Shares - Issued - Issue Specific - Current</t>
        </is>
      </c>
      <c r="B282" s="731" t="n"/>
      <c r="C282" s="731" t="n"/>
      <c r="D282" s="731" t="n"/>
      <c r="E282" s="731" t="n"/>
      <c r="F282" s="731" t="n"/>
    </row>
    <row r="283" ht="15" customHeight="1">
      <c r="A283" s="1886" t="inlineStr">
        <is>
          <t>Common Shares - Outstanding - Issue Specific - Current</t>
        </is>
      </c>
      <c r="B283" s="731" t="n"/>
      <c r="C283" s="731" t="n"/>
      <c r="D283" s="731" t="n"/>
      <c r="E283" s="731" t="n"/>
      <c r="F283" s="731" t="n"/>
    </row>
    <row r="284" ht="15" customHeight="1">
      <c r="A284" s="1886" t="inlineStr">
        <is>
          <t>Common Shares - Treasury - Issue Specific - Current</t>
        </is>
      </c>
      <c r="B284" s="731" t="n"/>
      <c r="C284" s="731" t="n"/>
      <c r="D284" s="731" t="n"/>
      <c r="E284" s="731" t="n"/>
      <c r="F284" s="731" t="n"/>
    </row>
    <row r="285" ht="15" customHeight="1">
      <c r="A285" s="1885" t="inlineStr">
        <is>
          <t>Common Shares - Issued - Issue Specific - DR</t>
        </is>
      </c>
      <c r="B285" s="731" t="n"/>
      <c r="C285" s="731" t="n"/>
      <c r="D285" s="731" t="n"/>
      <c r="E285" s="731" t="n"/>
      <c r="F285" s="731" t="n"/>
    </row>
    <row r="286" ht="15" customHeight="1">
      <c r="A286" s="1886" t="inlineStr">
        <is>
          <t>Common Shares - Outstanding - Issue Specific - DR</t>
        </is>
      </c>
      <c r="B286" s="731" t="n"/>
      <c r="C286" s="731" t="n"/>
      <c r="D286" s="731" t="n"/>
      <c r="E286" s="731" t="n"/>
      <c r="F286" s="731" t="n"/>
    </row>
    <row r="287" ht="15" customHeight="1">
      <c r="A287" s="1886" t="inlineStr">
        <is>
          <t>Common Shares - Treasury - Issue Specific - DR</t>
        </is>
      </c>
      <c r="B287" s="731" t="n"/>
      <c r="C287" s="731" t="n"/>
      <c r="D287" s="731" t="n"/>
      <c r="E287" s="731" t="n"/>
      <c r="F287" s="731" t="n"/>
    </row>
    <row r="288" ht="15" customHeight="1">
      <c r="A288" s="1885" t="inlineStr">
        <is>
          <t>Common Shares - Issued - Issue Specific - CPO</t>
        </is>
      </c>
      <c r="B288" s="731" t="n"/>
      <c r="C288" s="731" t="n"/>
      <c r="D288" s="731" t="n"/>
      <c r="E288" s="731" t="n"/>
      <c r="F288" s="731" t="n"/>
    </row>
    <row r="289" ht="15" customHeight="1">
      <c r="A289" s="1886" t="inlineStr">
        <is>
          <t>Common Shares - Outstanding - Issue Specific - CPO</t>
        </is>
      </c>
      <c r="B289" s="731" t="n"/>
      <c r="C289" s="731" t="n"/>
      <c r="D289" s="731" t="n"/>
      <c r="E289" s="731" t="n"/>
      <c r="F289" s="731" t="n"/>
    </row>
    <row r="290" ht="15" customHeight="1">
      <c r="A290" s="1886" t="inlineStr">
        <is>
          <t>Common Shares - Treasury - Issue Specific - CPO</t>
        </is>
      </c>
      <c r="B290" s="731" t="n"/>
      <c r="C290" s="731" t="n"/>
      <c r="D290" s="731" t="n"/>
      <c r="E290" s="731" t="n"/>
      <c r="F290" s="731" t="n"/>
    </row>
    <row r="291" ht="15" customHeight="1">
      <c r="A291" s="1884" t="inlineStr">
        <is>
          <t>Share/Per Share - Preferred</t>
        </is>
      </c>
      <c r="B291" s="734" t="n"/>
      <c r="C291" s="734" t="n"/>
      <c r="D291" s="734" t="n"/>
      <c r="E291" s="734" t="n"/>
      <c r="F291" s="734" t="n"/>
    </row>
    <row r="292" ht="15" customHeight="1">
      <c r="A292" s="1885" t="inlineStr">
        <is>
          <t>Preferred Shares - Authorized - Issue Specific</t>
        </is>
      </c>
      <c r="B292" s="731" t="n"/>
      <c r="C292" s="731" t="n"/>
      <c r="D292" s="731" t="n"/>
      <c r="E292" s="731" t="n"/>
      <c r="F292" s="731" t="n"/>
    </row>
    <row r="293" ht="15" customHeight="1">
      <c r="A293" s="1885" t="inlineStr">
        <is>
          <t>Preferred Shares - Issued - Issue Specific</t>
        </is>
      </c>
      <c r="B293" s="731" t="n"/>
      <c r="C293" s="731" t="n"/>
      <c r="D293" s="731" t="n"/>
      <c r="E293" s="731" t="n"/>
      <c r="F293" s="731" t="n"/>
    </row>
    <row r="294" ht="15" customHeight="1">
      <c r="A294" s="1886" t="inlineStr">
        <is>
          <t>Preferred Shares - Outstanding - Issue Specific</t>
        </is>
      </c>
      <c r="B294" s="731" t="n"/>
      <c r="C294" s="731" t="n"/>
      <c r="D294" s="731" t="n"/>
      <c r="E294" s="731" t="n"/>
      <c r="F294" s="731" t="n"/>
    </row>
    <row r="295" ht="15" customHeight="1">
      <c r="A295" s="1886" t="inlineStr">
        <is>
          <t>Preferred Shares - Treasury - Issue Specific</t>
        </is>
      </c>
      <c r="B295" s="731" t="n"/>
      <c r="C295" s="731" t="n"/>
      <c r="D295" s="731" t="n"/>
      <c r="E295" s="731" t="n"/>
      <c r="F295" s="731" t="n"/>
    </row>
    <row r="296" ht="15" customHeight="1">
      <c r="A296" s="1885" t="inlineStr">
        <is>
          <t>Preferred Shares - Issued - Issue Specific - Current</t>
        </is>
      </c>
      <c r="B296" s="731" t="n"/>
      <c r="C296" s="731" t="n"/>
      <c r="D296" s="731" t="n"/>
      <c r="E296" s="731" t="n"/>
      <c r="F296" s="731" t="n"/>
    </row>
    <row r="297" ht="15" customHeight="1">
      <c r="A297" s="1886" t="inlineStr">
        <is>
          <t>Preferred Shares - Outstanding - Issue Specific - Current</t>
        </is>
      </c>
      <c r="B297" s="731" t="n"/>
      <c r="C297" s="731" t="n"/>
      <c r="D297" s="731" t="n"/>
      <c r="E297" s="731" t="n"/>
      <c r="F297" s="731" t="n"/>
    </row>
    <row r="298" ht="15" customHeight="1">
      <c r="A298" s="1886" t="inlineStr">
        <is>
          <t>Preferred Shares - Treasury - Issue Specific - Current</t>
        </is>
      </c>
      <c r="B298" s="731" t="n"/>
      <c r="C298" s="731" t="n"/>
      <c r="D298" s="731" t="n"/>
      <c r="E298" s="731" t="n"/>
      <c r="F298" s="731" t="n"/>
    </row>
    <row r="299" ht="15" customHeight="1">
      <c r="A299" s="1884" t="inlineStr">
        <is>
          <t>Share/Per Share - Other</t>
        </is>
      </c>
      <c r="B299" s="734" t="n"/>
      <c r="C299" s="734" t="n"/>
      <c r="D299" s="734" t="n"/>
      <c r="E299" s="734" t="n"/>
      <c r="F299" s="734" t="n"/>
    </row>
    <row r="300" ht="15" customHeight="1">
      <c r="A300" s="1885" t="inlineStr">
        <is>
          <t>Asset Allocation Factor - Issue Specific</t>
        </is>
      </c>
      <c r="B300" s="1892" t="n">
        <v>1</v>
      </c>
      <c r="C300" s="1892" t="n">
        <v>1</v>
      </c>
      <c r="D300" s="1892" t="n">
        <v>1</v>
      </c>
      <c r="E300" s="1892" t="n">
        <v>1</v>
      </c>
      <c r="F300" s="1892" t="n">
        <v>1</v>
      </c>
    </row>
    <row r="301" ht="15" customHeight="1">
      <c r="A301" s="1885" t="inlineStr">
        <is>
          <t>Asset Participation Factor - Issue Specific</t>
        </is>
      </c>
      <c r="B301" s="731" t="n"/>
      <c r="C301" s="731" t="n"/>
      <c r="D301" s="731" t="n"/>
      <c r="E301" s="731" t="n"/>
      <c r="F301" s="731" t="n"/>
    </row>
    <row r="302" ht="15" customHeight="1">
      <c r="A302" s="1884" t="inlineStr">
        <is>
          <t>Right of Use Tangible Assets</t>
        </is>
      </c>
      <c r="B302" s="734" t="n"/>
      <c r="C302" s="734" t="n"/>
      <c r="D302" s="734" t="n"/>
      <c r="E302" s="734" t="n"/>
      <c r="F302" s="734" t="n"/>
    </row>
    <row r="303" ht="15" customHeight="1">
      <c r="A303" s="1885" t="inlineStr">
        <is>
          <t>Right of Use Tangible Assets - Total - Net - Supplemental</t>
        </is>
      </c>
      <c r="B303" s="1807" t="n">
        <v>180100607.49</v>
      </c>
      <c r="C303" s="1807" t="n">
        <v>239935707.74</v>
      </c>
      <c r="D303" s="1807" t="n">
        <v>231076514.34</v>
      </c>
      <c r="E303" s="1807" t="n">
        <v>198179197.61</v>
      </c>
      <c r="F303" s="1807" t="n">
        <v>172192783.45</v>
      </c>
    </row>
    <row r="304" ht="15" customHeight="1">
      <c r="A304" s="1886" t="inlineStr">
        <is>
          <t>Right of Use Tangible Assets - Operating Lease - Net - Supplemental</t>
        </is>
      </c>
      <c r="B304" s="731" t="n"/>
      <c r="C304" s="731" t="n"/>
      <c r="D304" s="731" t="n"/>
      <c r="E304" s="731" t="n"/>
      <c r="F304" s="731" t="n"/>
    </row>
    <row r="305" ht="15" customHeight="1">
      <c r="A305" s="1886" t="inlineStr">
        <is>
          <t>Right of Use Tangible Assets - Capital/Finance Lease - Net - Supplemental</t>
        </is>
      </c>
      <c r="B305" s="1807" t="n">
        <v>180100607.49</v>
      </c>
      <c r="C305" s="1807" t="n">
        <v>239935707.74</v>
      </c>
      <c r="D305" s="1807" t="n">
        <v>231076514.34</v>
      </c>
      <c r="E305" s="1807" t="n">
        <v>198179197.61</v>
      </c>
      <c r="F305" s="1807" t="n">
        <v>172192783.45</v>
      </c>
    </row>
    <row r="306" ht="15" customHeight="1">
      <c r="A306" s="1886" t="inlineStr">
        <is>
          <t>Right of Use Tangible Assets - Total - Gross - Supplemental</t>
        </is>
      </c>
      <c r="B306" s="1807" t="n">
        <v>201922274.64</v>
      </c>
      <c r="C306" s="1807" t="n">
        <v>292964629.76</v>
      </c>
      <c r="D306" s="1807" t="n">
        <v>310964629.76</v>
      </c>
      <c r="E306" s="1807" t="n">
        <v>276941197.07</v>
      </c>
      <c r="F306" s="1807" t="n">
        <v>264880405.85</v>
      </c>
    </row>
    <row r="307" ht="15" customHeight="1">
      <c r="A307" s="1887" t="inlineStr">
        <is>
          <t>Right of Use Tangible Assets - Operating Lease - Gross - Supplemental</t>
        </is>
      </c>
      <c r="B307" s="731" t="n"/>
      <c r="C307" s="731" t="n"/>
      <c r="D307" s="731" t="n"/>
      <c r="E307" s="731" t="n"/>
      <c r="F307" s="731" t="n"/>
    </row>
    <row r="308" ht="15" customHeight="1">
      <c r="A308" s="1887" t="inlineStr">
        <is>
          <t>Right of Use Tangible Assets - Capital/Finance Lease - Gross - Supplemental</t>
        </is>
      </c>
      <c r="B308" s="1807" t="n">
        <v>201922274.64</v>
      </c>
      <c r="C308" s="1807" t="n">
        <v>292964629.76</v>
      </c>
      <c r="D308" s="1807" t="n">
        <v>310964629.76</v>
      </c>
      <c r="E308" s="1807" t="n">
        <v>276941197.07</v>
      </c>
      <c r="F308" s="1807" t="n">
        <v>264880405.85</v>
      </c>
    </row>
    <row r="309" ht="15" customHeight="1">
      <c r="A309" s="1886" t="inlineStr">
        <is>
          <t>Right of Use Tangible Assets - Total - Accumulated Depreciation - Supplemental</t>
        </is>
      </c>
      <c r="B309" s="1807" t="n">
        <v>21821667.15</v>
      </c>
      <c r="C309" s="1807" t="n">
        <v>53028922.01</v>
      </c>
      <c r="D309" s="1807" t="n">
        <v>79888115.42</v>
      </c>
      <c r="E309" s="1807" t="n">
        <v>78761999.45999999</v>
      </c>
      <c r="F309" s="1807" t="n">
        <v>92687622.40000001</v>
      </c>
    </row>
    <row r="310" ht="15" customHeight="1">
      <c r="A310" s="1887" t="inlineStr">
        <is>
          <t>Right of Use Tangible Assets - Operating Lease - Accumulated Depreciation - Supplemental</t>
        </is>
      </c>
      <c r="B310" s="731" t="n"/>
      <c r="C310" s="731" t="n"/>
      <c r="D310" s="731" t="n"/>
      <c r="E310" s="731" t="n"/>
      <c r="F310" s="731" t="n"/>
    </row>
    <row r="311" ht="15" customHeight="1">
      <c r="A311" s="1887" t="inlineStr">
        <is>
          <t>Right of Use Tangible Assets - Capital/Finance Lease - Accumulated Depreciation - Supplemental</t>
        </is>
      </c>
      <c r="B311" s="1807" t="n">
        <v>21821667.15</v>
      </c>
      <c r="C311" s="1807" t="n">
        <v>53028922.01</v>
      </c>
      <c r="D311" s="1807" t="n">
        <v>79888115.42</v>
      </c>
      <c r="E311" s="1807" t="n">
        <v>78761999.45999999</v>
      </c>
      <c r="F311" s="1807" t="n">
        <v>92687622.40000001</v>
      </c>
    </row>
    <row r="312" ht="15" customHeight="1">
      <c r="A312" s="1885" t="inlineStr">
        <is>
          <t>Property, Plant &amp; Equipment - excluding Right of Use Tangible Assets &amp; Capital Leases - Net</t>
        </is>
      </c>
      <c r="B312" s="1807" t="n">
        <v>351653286.84</v>
      </c>
      <c r="C312" s="1807" t="n">
        <v>807163211.0700001</v>
      </c>
      <c r="D312" s="1807" t="n">
        <v>1055315616.21</v>
      </c>
      <c r="E312" s="1807" t="n">
        <v>2100825462.12</v>
      </c>
      <c r="F312" s="1807" t="n">
        <v>5456269598.04</v>
      </c>
    </row>
    <row r="313" ht="15" customHeight="1">
      <c r="A313" s="1886" t="inlineStr">
        <is>
          <t>Property, Plant &amp; Equipment - excluding Right of Use Tangible Assets &amp; Capital Leases - Gross</t>
        </is>
      </c>
      <c r="B313" s="1807" t="n">
        <v>393923003.89</v>
      </c>
      <c r="C313" s="1807" t="n">
        <v>854211102.23</v>
      </c>
      <c r="D313" s="1807" t="n">
        <v>1179409272.36</v>
      </c>
      <c r="E313" s="1807" t="n">
        <v>2334808100.31</v>
      </c>
      <c r="F313" s="1807" t="n">
        <v>5850734953.78</v>
      </c>
    </row>
    <row r="314" ht="15" customHeight="1">
      <c r="A314" s="1886" t="inlineStr">
        <is>
          <t>Property, Plant &amp; Equipment - excluding Right of Use Tangible Assets &amp; Capital Leases - Accumulated Depreciation</t>
        </is>
      </c>
      <c r="B314" s="1807" t="n">
        <v>42269717.05</v>
      </c>
      <c r="C314" s="1807" t="n">
        <v>47047891.16</v>
      </c>
      <c r="D314" s="1807" t="n">
        <v>124093656.15</v>
      </c>
      <c r="E314" s="1807" t="n">
        <v>233982638.19</v>
      </c>
      <c r="F314" s="1807" t="n">
        <v>394465355.74</v>
      </c>
    </row>
    <row r="315" ht="15" customHeight="1">
      <c r="A315" s="1884" t="inlineStr">
        <is>
          <t>Right of Use Intangible Assets</t>
        </is>
      </c>
      <c r="B315" s="734" t="n"/>
      <c r="C315" s="734" t="n"/>
      <c r="D315" s="734" t="n"/>
      <c r="E315" s="734" t="n"/>
      <c r="F315" s="734" t="n"/>
    </row>
    <row r="316" ht="15" customHeight="1">
      <c r="A316" s="1885" t="inlineStr">
        <is>
          <t>Right of Use Intangible Assets - Net - Supplemental</t>
        </is>
      </c>
      <c r="B316" s="731" t="n"/>
      <c r="C316" s="731" t="n"/>
      <c r="D316" s="731" t="n"/>
      <c r="E316" s="731" t="n"/>
      <c r="F316" s="731" t="n"/>
    </row>
    <row r="317" ht="15" customHeight="1">
      <c r="A317" s="1886" t="inlineStr">
        <is>
          <t>Right of Use Intangible Assets - Gross - Supplemental</t>
        </is>
      </c>
      <c r="B317" s="731" t="n"/>
      <c r="C317" s="731" t="n"/>
      <c r="D317" s="731" t="n"/>
      <c r="E317" s="731" t="n"/>
      <c r="F317" s="731" t="n"/>
    </row>
    <row r="318" ht="15" customHeight="1">
      <c r="A318" s="1886" t="inlineStr">
        <is>
          <t>Right of Use Intangible Assets - Accumulated Amortization - Supplemental</t>
        </is>
      </c>
      <c r="B318" s="731" t="n"/>
      <c r="C318" s="731" t="n"/>
      <c r="D318" s="731" t="n"/>
      <c r="E318" s="731" t="n"/>
      <c r="F318" s="731" t="n"/>
    </row>
    <row r="319" ht="15" customHeight="1">
      <c r="A319" s="1884" t="inlineStr">
        <is>
          <t>Right of Use Liabilities</t>
        </is>
      </c>
      <c r="B319" s="734" t="n"/>
      <c r="C319" s="734" t="n"/>
      <c r="D319" s="734" t="n"/>
      <c r="E319" s="734" t="n"/>
      <c r="F319" s="734" t="n"/>
    </row>
    <row r="320" ht="15" customHeight="1">
      <c r="A320" s="1885" t="inlineStr">
        <is>
          <t>Total Operating Lease Liabilities</t>
        </is>
      </c>
      <c r="B320" s="731" t="n"/>
      <c r="C320" s="731" t="n"/>
      <c r="D320" s="731" t="n"/>
      <c r="E320" s="731" t="n"/>
      <c r="F320" s="731" t="n"/>
    </row>
    <row r="321" ht="15" customHeight="1">
      <c r="A321" s="1886" t="inlineStr">
        <is>
          <t>Operating Lease Liabilities - Long-Term &amp; Short-Term - Supplemental</t>
        </is>
      </c>
      <c r="B321" s="731" t="n"/>
      <c r="C321" s="731" t="n"/>
      <c r="D321" s="731" t="n"/>
      <c r="E321" s="731" t="n"/>
      <c r="F321" s="731" t="n"/>
    </row>
    <row r="322" ht="15" customHeight="1">
      <c r="A322" s="1886" t="inlineStr">
        <is>
          <t>Operating Lease Liabilities - Current Portion/Short-Term - Supplemental</t>
        </is>
      </c>
      <c r="B322" s="731" t="n"/>
      <c r="C322" s="731" t="n"/>
      <c r="D322" s="731" t="n"/>
      <c r="E322" s="731" t="n"/>
      <c r="F322" s="731" t="n"/>
    </row>
    <row r="323" ht="15" customHeight="1">
      <c r="A323" s="1886" t="inlineStr">
        <is>
          <t>Operating Lease Liabilities - Long-Term - Supplemental</t>
        </is>
      </c>
      <c r="B323" s="731" t="n"/>
      <c r="C323" s="731" t="n"/>
      <c r="D323" s="731" t="n"/>
      <c r="E323" s="731" t="n"/>
      <c r="F323" s="731" t="n"/>
    </row>
    <row r="324" ht="15" customHeight="1">
      <c r="A324" s="1885" t="inlineStr">
        <is>
          <t>Finance and Operating Lease Liabilities - Total</t>
        </is>
      </c>
      <c r="B324" s="1807" t="n">
        <v>170978279.49</v>
      </c>
      <c r="C324" s="1807" t="n">
        <v>272913675.96</v>
      </c>
      <c r="D324" s="1807" t="n">
        <v>226182315.76</v>
      </c>
      <c r="E324" s="1807" t="n">
        <v>185363807.07</v>
      </c>
      <c r="F324" s="1807" t="n">
        <v>165063254.74</v>
      </c>
    </row>
    <row r="325" ht="15" customHeight="1">
      <c r="A325" s="1885" t="inlineStr">
        <is>
          <t>Debt including Finance and Operating Lease Liabilities</t>
        </is>
      </c>
      <c r="B325" s="1807" t="n">
        <v>352507186.41</v>
      </c>
      <c r="C325" s="1807" t="n">
        <v>660269172.98</v>
      </c>
      <c r="D325" s="1807" t="n">
        <v>607209960.08</v>
      </c>
      <c r="E325" s="1807" t="n">
        <v>1332254638.35</v>
      </c>
      <c r="F325" s="1807" t="n">
        <v>5599545421.35</v>
      </c>
    </row>
    <row r="326" ht="15" customHeight="1">
      <c r="A326" s="1884" t="inlineStr">
        <is>
          <t>Long-Term &amp; Short-Term</t>
        </is>
      </c>
      <c r="B326" s="734" t="n"/>
      <c r="C326" s="734" t="n"/>
      <c r="D326" s="734" t="n"/>
      <c r="E326" s="734" t="n"/>
      <c r="F326" s="734" t="n"/>
    </row>
    <row r="327" ht="15" customHeight="1">
      <c r="A327" s="1885" t="inlineStr">
        <is>
          <t>Derivative Financial Instruments - Hedging - Total</t>
        </is>
      </c>
      <c r="B327" s="731" t="n"/>
      <c r="C327" s="731" t="n"/>
      <c r="D327" s="731" t="n"/>
      <c r="E327" s="731" t="n"/>
      <c r="F327" s="731" t="n"/>
    </row>
    <row r="328" ht="15" customHeight="1">
      <c r="A328" s="1885" t="inlineStr">
        <is>
          <t>Investments - Total</t>
        </is>
      </c>
      <c r="B328" s="731" t="n"/>
      <c r="C328" s="731" t="n"/>
      <c r="D328" s="731" t="n"/>
      <c r="E328" s="731" t="n"/>
      <c r="F328" s="731" t="n"/>
    </row>
    <row r="329" ht="15" customHeight="1">
      <c r="A329" s="1885" t="inlineStr">
        <is>
          <t>Loans &amp; Receivables - Total</t>
        </is>
      </c>
      <c r="B329" s="1807" t="n">
        <v>25830523.68</v>
      </c>
      <c r="C329" s="1807" t="n">
        <v>103567097.98</v>
      </c>
      <c r="D329" s="1807" t="n">
        <v>91194661.42</v>
      </c>
      <c r="E329" s="1807" t="n">
        <v>136493664.43</v>
      </c>
      <c r="F329" s="1807" t="n">
        <v>225435301.41</v>
      </c>
    </row>
    <row r="330" ht="15" customHeight="1">
      <c r="A330" s="1886" t="inlineStr">
        <is>
          <t>Accounts &amp; Notes Receivable - Trade - Gross - Total</t>
        </is>
      </c>
      <c r="B330" s="731" t="n"/>
      <c r="C330" s="1807" t="n">
        <v>104406824.91</v>
      </c>
      <c r="D330" s="1807" t="n">
        <v>92060761.94</v>
      </c>
      <c r="E330" s="1807" t="n">
        <v>138689080.87</v>
      </c>
      <c r="F330" s="1807" t="n">
        <v>224534866.84</v>
      </c>
    </row>
    <row r="331" ht="15" customHeight="1">
      <c r="A331" s="1886" t="inlineStr">
        <is>
          <t>Provision - Doubtful Trade Accounts &amp; Trade Notes Payable - Total</t>
        </is>
      </c>
      <c r="B331" s="731" t="n"/>
      <c r="C331" s="731" t="n"/>
      <c r="D331" s="731" t="n"/>
      <c r="E331" s="731" t="n"/>
      <c r="F331" s="731" t="n"/>
    </row>
    <row r="332" ht="15" customHeight="1">
      <c r="A332" s="1886" t="inlineStr">
        <is>
          <t>Provision - Doubtful Accounts - Total</t>
        </is>
      </c>
      <c r="B332" s="731" t="n"/>
      <c r="C332" s="731" t="n"/>
      <c r="D332" s="731" t="n"/>
      <c r="E332" s="731" t="n"/>
      <c r="F332" s="731" t="n"/>
    </row>
    <row r="333" ht="15" customHeight="1">
      <c r="A333" s="1885" t="inlineStr">
        <is>
          <t>Assets Held for Sale/Discontinued Operations - Long-Term &amp; Short-Term</t>
        </is>
      </c>
      <c r="B333" s="731" t="n"/>
      <c r="C333" s="731" t="n"/>
      <c r="D333" s="731" t="n"/>
      <c r="E333" s="731" t="n"/>
      <c r="F333" s="731" t="n"/>
    </row>
    <row r="334" ht="15" customHeight="1">
      <c r="A334" s="1885" t="inlineStr">
        <is>
          <t>Other Assets - Total</t>
        </is>
      </c>
      <c r="B334" s="1807" t="n">
        <v>267717339.13</v>
      </c>
      <c r="C334" s="1807" t="n">
        <v>139692421.74</v>
      </c>
      <c r="D334" s="1807" t="n">
        <v>13389417.59</v>
      </c>
      <c r="E334" s="1807" t="n">
        <v>11273326.52</v>
      </c>
      <c r="F334" s="1807" t="n">
        <v>430329278.11</v>
      </c>
    </row>
    <row r="335" ht="15" customHeight="1">
      <c r="A335" s="1885" t="inlineStr">
        <is>
          <t>Income Taxes - Payable - Long-Term &amp; Short-Term</t>
        </is>
      </c>
      <c r="B335" s="1807" t="n">
        <v>6106357.81</v>
      </c>
      <c r="C335" s="1807" t="n">
        <v>10638891.8</v>
      </c>
      <c r="D335" s="1807" t="n">
        <v>24623870.45</v>
      </c>
      <c r="E335" s="1807" t="n">
        <v>112370069.34</v>
      </c>
      <c r="F335" s="1807" t="n">
        <v>192225819.87</v>
      </c>
    </row>
    <row r="336" ht="15" customHeight="1">
      <c r="A336" s="1885" t="inlineStr">
        <is>
          <t>Dividends Payable</t>
        </is>
      </c>
      <c r="B336" s="731" t="n"/>
      <c r="C336" s="731" t="n"/>
      <c r="D336" s="731" t="n"/>
      <c r="E336" s="731" t="n"/>
      <c r="F336" s="731" t="n"/>
    </row>
    <row r="337" ht="15" customHeight="1">
      <c r="A337" s="1885" t="inlineStr">
        <is>
          <t>Payables &amp; Accrued Expenses</t>
        </is>
      </c>
      <c r="B337" s="1807" t="n">
        <v>19876670.18</v>
      </c>
      <c r="C337" s="1807" t="n">
        <v>22833968.98</v>
      </c>
      <c r="D337" s="1807" t="n">
        <v>51404411.4</v>
      </c>
      <c r="E337" s="1807" t="n">
        <v>38111085.24</v>
      </c>
      <c r="F337" s="1807" t="n">
        <v>442095033.09</v>
      </c>
    </row>
    <row r="338" ht="15" customHeight="1">
      <c r="A338" s="1886" t="inlineStr">
        <is>
          <t>Trade Account Payables - Total</t>
        </is>
      </c>
      <c r="B338" s="1807" t="n">
        <v>19247170.18</v>
      </c>
      <c r="C338" s="1807" t="n">
        <v>19941152.53</v>
      </c>
      <c r="D338" s="1807" t="n">
        <v>48646099.25</v>
      </c>
      <c r="E338" s="1807" t="n">
        <v>33001370.29</v>
      </c>
      <c r="F338" s="1807" t="n">
        <v>407279864.99</v>
      </c>
    </row>
    <row r="339" ht="15" customHeight="1">
      <c r="A339" s="1886" t="inlineStr">
        <is>
          <t>Accrued Expenses</t>
        </is>
      </c>
      <c r="B339" s="1807" t="n">
        <v>629500</v>
      </c>
      <c r="C339" s="1807" t="n">
        <v>2892816.45</v>
      </c>
      <c r="D339" s="1807" t="n">
        <v>2758312.15</v>
      </c>
      <c r="E339" s="1807" t="n">
        <v>5109714.95</v>
      </c>
      <c r="F339" s="1807" t="n">
        <v>34815168.1</v>
      </c>
    </row>
    <row r="340" ht="15" customHeight="1">
      <c r="A340" s="1885" t="inlineStr">
        <is>
          <t>Derivative Liabilities - Hedging</t>
        </is>
      </c>
      <c r="B340" s="731" t="n"/>
      <c r="C340" s="731" t="n"/>
      <c r="D340" s="731" t="n"/>
      <c r="E340" s="731" t="n"/>
      <c r="F340" s="731" t="n"/>
    </row>
    <row r="341" ht="15" customHeight="1">
      <c r="A341" s="1885" t="inlineStr">
        <is>
          <t>Billings in Excess of Costs - Total</t>
        </is>
      </c>
      <c r="B341" s="731" t="n"/>
      <c r="C341" s="731" t="n"/>
      <c r="D341" s="731" t="n"/>
      <c r="E341" s="731" t="n"/>
      <c r="F341" s="731" t="n"/>
    </row>
    <row r="342" ht="15" customHeight="1">
      <c r="A342" s="1885" t="inlineStr">
        <is>
          <t>Liabilities Held for Sale/Discontinued Operations - Long-term &amp; Short-Term</t>
        </is>
      </c>
      <c r="B342" s="731" t="n"/>
      <c r="C342" s="731" t="n"/>
      <c r="D342" s="731" t="n"/>
      <c r="E342" s="731" t="n"/>
      <c r="F342" s="731" t="n"/>
    </row>
    <row r="343" ht="15" customHeight="1">
      <c r="A343" s="1885" t="inlineStr">
        <is>
          <t>Contract Assets - Short-Term - Unbilled Revenue in Excess of Advance Consideration &amp; Progress Billings</t>
        </is>
      </c>
      <c r="B343" s="731" t="n"/>
      <c r="C343" s="731" t="n"/>
      <c r="D343" s="731" t="n"/>
      <c r="E343" s="731" t="n"/>
      <c r="F343" s="731" t="n"/>
    </row>
    <row r="344" ht="15" customHeight="1">
      <c r="A344" s="1885" t="inlineStr">
        <is>
          <t>Contract Assets - Long-Term - Unbilled Revenue in Excess of Advance Consideration &amp; Progress Billings</t>
        </is>
      </c>
      <c r="B344" s="731" t="n"/>
      <c r="C344" s="731" t="n"/>
      <c r="D344" s="731" t="n"/>
      <c r="E344" s="731" t="n"/>
      <c r="F344" s="731" t="n"/>
    </row>
    <row r="345" ht="15" customHeight="1">
      <c r="A345" s="1885" t="inlineStr">
        <is>
          <t>Investment Property - Fair Value</t>
        </is>
      </c>
      <c r="B345" s="731" t="n"/>
      <c r="C345" s="731" t="n"/>
      <c r="D345" s="731" t="n"/>
      <c r="E345" s="731" t="n"/>
      <c r="F345" s="731" t="n"/>
    </row>
    <row r="346" ht="15" customHeight="1">
      <c r="A346" s="1884" t="inlineStr">
        <is>
          <t>Debt Related</t>
        </is>
      </c>
      <c r="B346" s="734" t="n"/>
      <c r="C346" s="734" t="n"/>
      <c r="D346" s="734" t="n"/>
      <c r="E346" s="734" t="n"/>
      <c r="F346" s="734" t="n"/>
    </row>
    <row r="347" ht="15" customHeight="1">
      <c r="A347" s="1885" t="inlineStr">
        <is>
          <t>Net Debt</t>
        </is>
      </c>
      <c r="B347" s="1807" t="n">
        <v>341941712.25</v>
      </c>
      <c r="C347" s="1807" t="n">
        <v>639340397.74</v>
      </c>
      <c r="D347" s="1807" t="n">
        <v>567137420.95</v>
      </c>
      <c r="E347" s="1807" t="n">
        <v>1313759612.19</v>
      </c>
      <c r="F347" s="1807" t="n">
        <v>-565153097.16</v>
      </c>
    </row>
    <row r="348" ht="15" customHeight="1">
      <c r="A348" s="1885" t="inlineStr">
        <is>
          <t>Debt - Total</t>
        </is>
      </c>
      <c r="B348" s="1807" t="n">
        <v>352507186.41</v>
      </c>
      <c r="C348" s="1807" t="n">
        <v>660269172.98</v>
      </c>
      <c r="D348" s="1807" t="n">
        <v>607209960.08</v>
      </c>
      <c r="E348" s="1807" t="n">
        <v>1332254638.35</v>
      </c>
      <c r="F348" s="1807" t="n">
        <v>5599545421.35</v>
      </c>
    </row>
    <row r="349" ht="15" customHeight="1">
      <c r="A349" s="1885" t="inlineStr">
        <is>
          <t>Weighted Cost of Debt - %</t>
        </is>
      </c>
      <c r="B349" s="731" t="n"/>
      <c r="C349" s="731" t="n"/>
      <c r="D349" s="731" t="n"/>
      <c r="E349" s="731" t="n"/>
      <c r="F349" s="731" t="n"/>
    </row>
    <row r="350" ht="15" customHeight="1">
      <c r="A350" s="1885" t="inlineStr">
        <is>
          <t>Revolving Line of Credit - Outstanding - Supplemental</t>
        </is>
      </c>
      <c r="B350" s="731" t="n"/>
      <c r="C350" s="731" t="n"/>
      <c r="D350" s="731" t="n"/>
      <c r="E350" s="731" t="n"/>
      <c r="F350" s="731" t="n"/>
    </row>
    <row r="351" ht="15" customHeight="1">
      <c r="A351" s="1885" t="inlineStr">
        <is>
          <t>Revolving Line of Credit - Unutilized/Unused Amount</t>
        </is>
      </c>
      <c r="B351" s="731" t="n"/>
      <c r="C351" s="731" t="n"/>
      <c r="D351" s="731" t="n"/>
      <c r="E351" s="731" t="n"/>
      <c r="F351" s="731" t="n"/>
    </row>
    <row r="352" ht="15" customHeight="1">
      <c r="A352" s="1885" t="inlineStr">
        <is>
          <t>Revolving Line of Credit - Total Principal Amount</t>
        </is>
      </c>
      <c r="B352" s="731" t="n"/>
      <c r="C352" s="731" t="n"/>
      <c r="D352" s="731" t="n"/>
      <c r="E352" s="731" t="n"/>
      <c r="F352" s="731" t="n"/>
    </row>
    <row r="353" ht="15" customHeight="1">
      <c r="A353" s="1885" t="inlineStr">
        <is>
          <t>Debt - Financial Sector - Total</t>
        </is>
      </c>
      <c r="B353" s="731" t="n"/>
      <c r="C353" s="731" t="n"/>
      <c r="D353" s="731" t="n"/>
      <c r="E353" s="731" t="n"/>
      <c r="F353" s="731" t="n"/>
    </row>
    <row r="354" ht="15" customHeight="1">
      <c r="A354" s="1885" t="inlineStr">
        <is>
          <t>Short-Term Debt - Financial Sector - Total</t>
        </is>
      </c>
      <c r="B354" s="731" t="n"/>
      <c r="C354" s="731" t="n"/>
      <c r="D354" s="731" t="n"/>
      <c r="E354" s="731" t="n"/>
      <c r="F354" s="731" t="n"/>
    </row>
    <row r="355" ht="15" customHeight="1">
      <c r="A355" s="1885" t="inlineStr">
        <is>
          <t>Debt - Long-Term - Financial Sector - Total</t>
        </is>
      </c>
      <c r="B355" s="731" t="n"/>
      <c r="C355" s="731" t="n"/>
      <c r="D355" s="731" t="n"/>
      <c r="E355" s="731" t="n"/>
      <c r="F355" s="731" t="n"/>
    </row>
    <row r="356" ht="15" customHeight="1">
      <c r="A356" s="1884" t="inlineStr">
        <is>
          <t>Islamic</t>
        </is>
      </c>
      <c r="B356" s="734" t="n"/>
      <c r="C356" s="734" t="n"/>
      <c r="D356" s="734" t="n"/>
      <c r="E356" s="734" t="n"/>
      <c r="F356" s="734" t="n"/>
    </row>
    <row r="357" ht="15" customHeight="1">
      <c r="A357" s="1885" t="inlineStr">
        <is>
          <t>Islamic Investments &amp; Deposits</t>
        </is>
      </c>
      <c r="B357" s="731" t="n"/>
      <c r="C357" s="731" t="n"/>
      <c r="D357" s="731" t="n"/>
      <c r="E357" s="731" t="n"/>
      <c r="F357" s="731" t="n"/>
    </row>
    <row r="358" ht="15" customHeight="1">
      <c r="A358" s="1885" t="inlineStr">
        <is>
          <t>Islamic Receivables - Short-Term</t>
        </is>
      </c>
      <c r="B358" s="731" t="n"/>
      <c r="C358" s="731" t="n"/>
      <c r="D358" s="731" t="n"/>
      <c r="E358" s="731" t="n"/>
      <c r="F358" s="731" t="n"/>
    </row>
    <row r="359" ht="15" customHeight="1">
      <c r="A359" s="1885" t="inlineStr">
        <is>
          <t>Islamic Receivables - Long-Term</t>
        </is>
      </c>
      <c r="B359" s="731" t="n"/>
      <c r="C359" s="731" t="n"/>
      <c r="D359" s="731" t="n"/>
      <c r="E359" s="731" t="n"/>
      <c r="F359" s="731" t="n"/>
    </row>
    <row r="360" ht="15" customHeight="1">
      <c r="A360" s="1885" t="inlineStr">
        <is>
          <t>Islamic Debt - Long-Term &amp; Short-Term</t>
        </is>
      </c>
      <c r="B360" s="731" t="n"/>
      <c r="C360" s="731" t="n"/>
      <c r="D360" s="731" t="n"/>
      <c r="E360" s="731" t="n"/>
      <c r="F360" s="1807" t="n">
        <v>1242005895.14</v>
      </c>
    </row>
    <row r="361" ht="15" customHeight="1">
      <c r="A361" s="1884" t="inlineStr">
        <is>
          <t>Debt Maturity</t>
        </is>
      </c>
      <c r="B361" s="734" t="n"/>
      <c r="C361" s="734" t="n"/>
      <c r="D361" s="734" t="n"/>
      <c r="E361" s="734" t="n"/>
      <c r="F361" s="734" t="n"/>
    </row>
    <row r="362" ht="15" customHeight="1">
      <c r="A362" s="1885" t="inlineStr">
        <is>
          <t>Debt - Long-Term - Maturities - Total</t>
        </is>
      </c>
      <c r="B362" s="731" t="n"/>
      <c r="C362" s="731" t="n"/>
      <c r="D362" s="731" t="n"/>
      <c r="E362" s="731" t="n"/>
      <c r="F362" s="731" t="n"/>
    </row>
    <row r="363" ht="15" customHeight="1">
      <c r="A363" s="1886" t="inlineStr">
        <is>
          <t>Debt - Long-Term - Maturities - within 1 Year</t>
        </is>
      </c>
      <c r="B363" s="731" t="n"/>
      <c r="C363" s="731" t="n"/>
      <c r="D363" s="731" t="n"/>
      <c r="E363" s="731" t="n"/>
      <c r="F363" s="731" t="n"/>
    </row>
    <row r="364" ht="15" customHeight="1">
      <c r="A364" s="1886" t="inlineStr">
        <is>
          <t>Debt - Long-Term - Maturities - Year 2</t>
        </is>
      </c>
      <c r="B364" s="731" t="n"/>
      <c r="C364" s="731" t="n"/>
      <c r="D364" s="731" t="n"/>
      <c r="E364" s="731" t="n"/>
      <c r="F364" s="731" t="n"/>
    </row>
    <row r="365" ht="15" customHeight="1">
      <c r="A365" s="1886" t="inlineStr">
        <is>
          <t>Debt - Long-Term - Maturities - Year 3</t>
        </is>
      </c>
      <c r="B365" s="731" t="n"/>
      <c r="C365" s="731" t="n"/>
      <c r="D365" s="731" t="n"/>
      <c r="E365" s="731" t="n"/>
      <c r="F365" s="731" t="n"/>
    </row>
    <row r="366" ht="15" customHeight="1">
      <c r="A366" s="1886" t="inlineStr">
        <is>
          <t>Debt - Long-Term - Maturities - Year 4</t>
        </is>
      </c>
      <c r="B366" s="731" t="n"/>
      <c r="C366" s="731" t="n"/>
      <c r="D366" s="731" t="n"/>
      <c r="E366" s="731" t="n"/>
      <c r="F366" s="731" t="n"/>
    </row>
    <row r="367" ht="15" customHeight="1">
      <c r="A367" s="1886" t="inlineStr">
        <is>
          <t>Debt - Long-Term - Maturities - Year 5</t>
        </is>
      </c>
      <c r="B367" s="731" t="n"/>
      <c r="C367" s="731" t="n"/>
      <c r="D367" s="731" t="n"/>
      <c r="E367" s="731" t="n"/>
      <c r="F367" s="731" t="n"/>
    </row>
    <row r="368" ht="15" customHeight="1">
      <c r="A368" s="1886" t="inlineStr">
        <is>
          <t>Debt - Long-Term - Maturities - Year 6</t>
        </is>
      </c>
      <c r="B368" s="731" t="n"/>
      <c r="C368" s="731" t="n"/>
      <c r="D368" s="731" t="n"/>
      <c r="E368" s="731" t="n"/>
      <c r="F368" s="731" t="n"/>
    </row>
    <row r="369" ht="15" customHeight="1">
      <c r="A369" s="1886" t="inlineStr">
        <is>
          <t>Debt - Long-Term - Maturities - Year 7</t>
        </is>
      </c>
      <c r="B369" s="731" t="n"/>
      <c r="C369" s="731" t="n"/>
      <c r="D369" s="731" t="n"/>
      <c r="E369" s="731" t="n"/>
      <c r="F369" s="731" t="n"/>
    </row>
    <row r="370" ht="15" customHeight="1">
      <c r="A370" s="1886" t="inlineStr">
        <is>
          <t>Debt - Long-Term - Maturities - Year 8</t>
        </is>
      </c>
      <c r="B370" s="731" t="n"/>
      <c r="C370" s="731" t="n"/>
      <c r="D370" s="731" t="n"/>
      <c r="E370" s="731" t="n"/>
      <c r="F370" s="731" t="n"/>
    </row>
    <row r="371" ht="15" customHeight="1">
      <c r="A371" s="1886" t="inlineStr">
        <is>
          <t>Debt - Long-Term - Maturities - Year 9</t>
        </is>
      </c>
      <c r="B371" s="731" t="n"/>
      <c r="C371" s="731" t="n"/>
      <c r="D371" s="731" t="n"/>
      <c r="E371" s="731" t="n"/>
      <c r="F371" s="731" t="n"/>
    </row>
    <row r="372" ht="15" customHeight="1">
      <c r="A372" s="1886" t="inlineStr">
        <is>
          <t>Debt - Long-Term - Maturities - Year 10</t>
        </is>
      </c>
      <c r="B372" s="731" t="n"/>
      <c r="C372" s="731" t="n"/>
      <c r="D372" s="731" t="n"/>
      <c r="E372" s="731" t="n"/>
      <c r="F372" s="731" t="n"/>
    </row>
    <row r="373" ht="15" customHeight="1">
      <c r="A373" s="1886" t="inlineStr">
        <is>
          <t>Debt - Long-Term - Maturities - Remaining</t>
        </is>
      </c>
      <c r="B373" s="731" t="n"/>
      <c r="C373" s="731" t="n"/>
      <c r="D373" s="731" t="n"/>
      <c r="E373" s="731" t="n"/>
      <c r="F373" s="731" t="n"/>
    </row>
    <row r="374" ht="15" customHeight="1">
      <c r="A374" s="1885" t="inlineStr">
        <is>
          <t>Debt - Long-Term - Maturities - 2-3 Years</t>
        </is>
      </c>
      <c r="B374" s="731" t="n"/>
      <c r="C374" s="731" t="n"/>
      <c r="D374" s="731" t="n"/>
      <c r="E374" s="731" t="n"/>
      <c r="F374" s="731" t="n"/>
    </row>
    <row r="375" ht="15" customHeight="1">
      <c r="A375" s="1885" t="inlineStr">
        <is>
          <t>Debt - Long-Term - Maturities - 4-5 Years</t>
        </is>
      </c>
      <c r="B375" s="731" t="n"/>
      <c r="C375" s="731" t="n"/>
      <c r="D375" s="731" t="n"/>
      <c r="E375" s="731" t="n"/>
      <c r="F375" s="731" t="n"/>
    </row>
    <row r="376" ht="15" customHeight="1">
      <c r="A376" s="1885" t="inlineStr">
        <is>
          <t>Debt - Long-Term - Maturities - Year 6 &amp; Beyond</t>
        </is>
      </c>
      <c r="B376" s="731" t="n"/>
      <c r="C376" s="731" t="n"/>
      <c r="D376" s="731" t="n"/>
      <c r="E376" s="731" t="n"/>
      <c r="F376" s="731" t="n"/>
    </row>
    <row r="377" ht="15" customHeight="1">
      <c r="A377" s="1884" t="inlineStr">
        <is>
          <t>Capital Lease Maturity</t>
        </is>
      </c>
      <c r="B377" s="734" t="n"/>
      <c r="C377" s="734" t="n"/>
      <c r="D377" s="734" t="n"/>
      <c r="E377" s="734" t="n"/>
      <c r="F377" s="734" t="n"/>
    </row>
    <row r="378" ht="15" customHeight="1">
      <c r="A378" s="1885" t="inlineStr">
        <is>
          <t>Capital Lease Maturities - Total</t>
        </is>
      </c>
      <c r="B378" s="731" t="n"/>
      <c r="C378" s="731" t="n"/>
      <c r="D378" s="731" t="n"/>
      <c r="E378" s="731" t="n"/>
      <c r="F378" s="731" t="n"/>
    </row>
    <row r="379" ht="15" customHeight="1">
      <c r="A379" s="1886" t="inlineStr">
        <is>
          <t>Capital Lease Maturities - Due within 1 Year</t>
        </is>
      </c>
      <c r="B379" s="731" t="n"/>
      <c r="C379" s="731" t="n"/>
      <c r="D379" s="731" t="n"/>
      <c r="E379" s="731" t="n"/>
      <c r="F379" s="731" t="n"/>
    </row>
    <row r="380" ht="15" customHeight="1">
      <c r="A380" s="1886" t="inlineStr">
        <is>
          <t>Capital Lease Maturities - Due in Year 2</t>
        </is>
      </c>
      <c r="B380" s="731" t="n"/>
      <c r="C380" s="731" t="n"/>
      <c r="D380" s="731" t="n"/>
      <c r="E380" s="731" t="n"/>
      <c r="F380" s="731" t="n"/>
    </row>
    <row r="381" ht="15" customHeight="1">
      <c r="A381" s="1886" t="inlineStr">
        <is>
          <t>Capital Lease Maturities - Due in Year 3</t>
        </is>
      </c>
      <c r="B381" s="731" t="n"/>
      <c r="C381" s="731" t="n"/>
      <c r="D381" s="731" t="n"/>
      <c r="E381" s="731" t="n"/>
      <c r="F381" s="731" t="n"/>
    </row>
    <row r="382" ht="15" customHeight="1">
      <c r="A382" s="1886" t="inlineStr">
        <is>
          <t>Capital Lease Maturities - Due in Year 4</t>
        </is>
      </c>
      <c r="B382" s="731" t="n"/>
      <c r="C382" s="731" t="n"/>
      <c r="D382" s="731" t="n"/>
      <c r="E382" s="731" t="n"/>
      <c r="F382" s="731" t="n"/>
    </row>
    <row r="383" ht="15" customHeight="1">
      <c r="A383" s="1886" t="inlineStr">
        <is>
          <t>Capital Lease Maturities - Due in Year 5</t>
        </is>
      </c>
      <c r="B383" s="731" t="n"/>
      <c r="C383" s="731" t="n"/>
      <c r="D383" s="731" t="n"/>
      <c r="E383" s="731" t="n"/>
      <c r="F383" s="731" t="n"/>
    </row>
    <row r="384" ht="15" customHeight="1">
      <c r="A384" s="1886" t="inlineStr">
        <is>
          <t>Capital Lease Maturities - Due in Year 6</t>
        </is>
      </c>
      <c r="B384" s="731" t="n"/>
      <c r="C384" s="731" t="n"/>
      <c r="D384" s="731" t="n"/>
      <c r="E384" s="731" t="n"/>
      <c r="F384" s="731" t="n"/>
    </row>
    <row r="385" ht="15" customHeight="1">
      <c r="A385" s="1886" t="inlineStr">
        <is>
          <t>Capital Lease Maturities - Due in Year 7</t>
        </is>
      </c>
      <c r="B385" s="731" t="n"/>
      <c r="C385" s="731" t="n"/>
      <c r="D385" s="731" t="n"/>
      <c r="E385" s="731" t="n"/>
      <c r="F385" s="731" t="n"/>
    </row>
    <row r="386" ht="15" customHeight="1">
      <c r="A386" s="1886" t="inlineStr">
        <is>
          <t>Capital Lease Maturities - Due in Year 8</t>
        </is>
      </c>
      <c r="B386" s="731" t="n"/>
      <c r="C386" s="731" t="n"/>
      <c r="D386" s="731" t="n"/>
      <c r="E386" s="731" t="n"/>
      <c r="F386" s="731" t="n"/>
    </row>
    <row r="387" ht="15" customHeight="1">
      <c r="A387" s="1886" t="inlineStr">
        <is>
          <t>Capital Lease Maturities - Due in Year 9</t>
        </is>
      </c>
      <c r="B387" s="731" t="n"/>
      <c r="C387" s="731" t="n"/>
      <c r="D387" s="731" t="n"/>
      <c r="E387" s="731" t="n"/>
      <c r="F387" s="731" t="n"/>
    </row>
    <row r="388" ht="15" customHeight="1">
      <c r="A388" s="1886" t="inlineStr">
        <is>
          <t>Capital Lease Maturities - Due in Year 10</t>
        </is>
      </c>
      <c r="B388" s="731" t="n"/>
      <c r="C388" s="731" t="n"/>
      <c r="D388" s="731" t="n"/>
      <c r="E388" s="731" t="n"/>
      <c r="F388" s="731" t="n"/>
    </row>
    <row r="389" ht="15" customHeight="1">
      <c r="A389" s="1886" t="inlineStr">
        <is>
          <t>Capital Lease Maturities - Remaining Maturities</t>
        </is>
      </c>
      <c r="B389" s="731" t="n"/>
      <c r="C389" s="731" t="n"/>
      <c r="D389" s="731" t="n"/>
      <c r="E389" s="731" t="n"/>
      <c r="F389" s="731" t="n"/>
    </row>
    <row r="390" ht="15" customHeight="1">
      <c r="A390" s="1886" t="inlineStr">
        <is>
          <t>Capital Lease Maturities - Interest Costs</t>
        </is>
      </c>
      <c r="B390" s="731" t="n"/>
      <c r="C390" s="731" t="n"/>
      <c r="D390" s="731" t="n"/>
      <c r="E390" s="731" t="n"/>
      <c r="F390" s="731" t="n"/>
    </row>
    <row r="391" ht="15" customHeight="1">
      <c r="A391" s="1886" t="inlineStr">
        <is>
          <t>Capital Lease Maturities - Executory Costs</t>
        </is>
      </c>
      <c r="B391" s="731" t="n"/>
      <c r="C391" s="731" t="n"/>
      <c r="D391" s="731" t="n"/>
      <c r="E391" s="731" t="n"/>
      <c r="F391" s="731" t="n"/>
    </row>
    <row r="392" ht="15" customHeight="1">
      <c r="A392" s="1885" t="inlineStr">
        <is>
          <t>Capital Lease Maturities - Due in 2-3 Years</t>
        </is>
      </c>
      <c r="B392" s="731" t="n"/>
      <c r="C392" s="731" t="n"/>
      <c r="D392" s="731" t="n"/>
      <c r="E392" s="731" t="n"/>
      <c r="F392" s="731" t="n"/>
    </row>
    <row r="393" ht="15" customHeight="1">
      <c r="A393" s="1885" t="inlineStr">
        <is>
          <t>Capital Lease Maturities - Due in 4-5 Years</t>
        </is>
      </c>
      <c r="B393" s="731" t="n"/>
      <c r="C393" s="731" t="n"/>
      <c r="D393" s="731" t="n"/>
      <c r="E393" s="731" t="n"/>
      <c r="F393" s="731" t="n"/>
    </row>
    <row r="394" ht="15" customHeight="1">
      <c r="A394" s="1885" t="inlineStr">
        <is>
          <t>Capital Lease Maturities - Due in Year 6 &amp; Beyond</t>
        </is>
      </c>
      <c r="B394" s="731" t="n"/>
      <c r="C394" s="731" t="n"/>
      <c r="D394" s="731" t="n"/>
      <c r="E394" s="731" t="n"/>
      <c r="F394" s="731" t="n"/>
    </row>
    <row r="395" ht="15" customHeight="1">
      <c r="A395" s="1884" t="inlineStr">
        <is>
          <t>Weighted Average Leases</t>
        </is>
      </c>
      <c r="B395" s="734" t="n"/>
      <c r="C395" s="734" t="n"/>
      <c r="D395" s="734" t="n"/>
      <c r="E395" s="734" t="n"/>
      <c r="F395" s="734" t="n"/>
    </row>
    <row r="396" ht="15" customHeight="1">
      <c r="A396" s="1885" t="inlineStr">
        <is>
          <t>Wgt Avg Remaining Lease Term (Years)-Operating Lease-US GAAP</t>
        </is>
      </c>
      <c r="B396" s="731" t="n"/>
      <c r="C396" s="731" t="n"/>
      <c r="D396" s="731" t="n"/>
      <c r="E396" s="731" t="n"/>
      <c r="F396" s="731" t="n"/>
    </row>
    <row r="397" ht="15" customHeight="1">
      <c r="A397" s="1885" t="inlineStr">
        <is>
          <t>Wgt Avg Remaining Lease Term (Years) - Finance Lease</t>
        </is>
      </c>
      <c r="B397" s="731" t="n"/>
      <c r="C397" s="731" t="n"/>
      <c r="D397" s="731" t="n"/>
      <c r="E397" s="731" t="n"/>
      <c r="F397" s="731" t="n"/>
    </row>
    <row r="398" ht="15" customHeight="1">
      <c r="A398" s="1885" t="inlineStr">
        <is>
          <t>Weighted Average Discount Rate - Operating Lease - US GAAP</t>
        </is>
      </c>
      <c r="B398" s="731" t="n"/>
      <c r="C398" s="731" t="n"/>
      <c r="D398" s="731" t="n"/>
      <c r="E398" s="731" t="n"/>
      <c r="F398" s="731" t="n"/>
    </row>
    <row r="399" ht="15" customHeight="1">
      <c r="A399" s="1885" t="inlineStr">
        <is>
          <t>Weighted Average Discount Rate - Finance Lease</t>
        </is>
      </c>
      <c r="B399" s="731" t="n"/>
      <c r="C399" s="731" t="n"/>
      <c r="D399" s="731" t="n"/>
      <c r="E399" s="731" t="n"/>
      <c r="F399" s="731" t="n"/>
    </row>
    <row r="400" ht="15" customHeight="1">
      <c r="A400" s="1884" t="inlineStr">
        <is>
          <t>Other</t>
        </is>
      </c>
      <c r="B400" s="734" t="n"/>
      <c r="C400" s="734" t="n"/>
      <c r="D400" s="734" t="n"/>
      <c r="E400" s="734" t="n"/>
      <c r="F400" s="734" t="n"/>
    </row>
    <row r="401" ht="15" customHeight="1">
      <c r="A401" s="1885" t="inlineStr">
        <is>
          <t>Contract Liabilities - Short-Term - Advance Consideration &amp; Progress Billings in Excess of Unbilled Revenue</t>
        </is>
      </c>
      <c r="B401" s="731" t="n"/>
      <c r="C401" s="731" t="n"/>
      <c r="D401" s="731" t="n"/>
      <c r="E401" s="731" t="n"/>
      <c r="F401" s="731" t="n"/>
    </row>
    <row r="402" ht="15" customHeight="1">
      <c r="A402" s="1885" t="inlineStr">
        <is>
          <t>Contract Liabilities - Long-Term - Advance Consideration &amp; Progress Billings in Excess of Unbilled Revenue</t>
        </is>
      </c>
      <c r="B402" s="731" t="n"/>
      <c r="C402" s="731" t="n"/>
      <c r="D402" s="731" t="n"/>
      <c r="E402" s="731" t="n"/>
      <c r="F402" s="731" t="n"/>
    </row>
    <row r="403" ht="15" customHeight="1">
      <c r="A403" s="1885" t="inlineStr">
        <is>
          <t>Minority Interest - Total</t>
        </is>
      </c>
      <c r="B403" s="1807" t="n">
        <v>2316285.25</v>
      </c>
      <c r="C403" s="1807" t="n">
        <v>2411134.16</v>
      </c>
      <c r="D403" s="1807" t="n">
        <v>2083898.19</v>
      </c>
      <c r="E403" s="1807" t="n">
        <v>181418.18</v>
      </c>
      <c r="F403" s="1807" t="n">
        <v>1218502143.91</v>
      </c>
    </row>
    <row r="404" ht="15" customHeight="1">
      <c r="A404" s="1885" t="inlineStr">
        <is>
          <t>Accruals - Short-Term</t>
        </is>
      </c>
      <c r="B404" s="1807" t="n">
        <v>-914575.92</v>
      </c>
      <c r="C404" s="1807" t="n">
        <v>67164991.77</v>
      </c>
      <c r="D404" s="1807" t="n">
        <v>-80639.84</v>
      </c>
      <c r="E404" s="1807" t="n">
        <v>-15659430.74</v>
      </c>
      <c r="F404" s="1807" t="n">
        <v>-1457845043.27</v>
      </c>
    </row>
    <row r="405" ht="15" customHeight="1">
      <c r="A405" s="1885" t="inlineStr">
        <is>
          <t>Asset Accruals</t>
        </is>
      </c>
      <c r="B405" s="1807" t="n">
        <v>885743976.72</v>
      </c>
      <c r="C405" s="1807" t="n">
        <v>1386563304.21</v>
      </c>
      <c r="D405" s="1807" t="n">
        <v>1523914761.08</v>
      </c>
      <c r="E405" s="1807" t="n">
        <v>2888920706.21</v>
      </c>
      <c r="F405" s="1807" t="n">
        <v>9002351044</v>
      </c>
    </row>
    <row r="406" ht="15" customHeight="1">
      <c r="A406" s="1885" t="inlineStr">
        <is>
          <t>Cash &amp; Cash Equivalents - Total</t>
        </is>
      </c>
      <c r="B406" s="1807" t="n">
        <v>10565474.16</v>
      </c>
      <c r="C406" s="1807" t="n">
        <v>20928775.24</v>
      </c>
      <c r="D406" s="1807" t="n">
        <v>40072539.13</v>
      </c>
      <c r="E406" s="1807" t="n">
        <v>18495026.17</v>
      </c>
      <c r="F406" s="1807" t="n">
        <v>6164698518.52</v>
      </c>
    </row>
    <row r="407" ht="15" customHeight="1">
      <c r="A407" s="1885" t="inlineStr">
        <is>
          <t>Cash &amp; Short Term Investments - Total</t>
        </is>
      </c>
      <c r="B407" s="1807" t="n">
        <v>10565474.16</v>
      </c>
      <c r="C407" s="1807" t="n">
        <v>20928775.24</v>
      </c>
      <c r="D407" s="1807" t="n">
        <v>40072539.13</v>
      </c>
      <c r="E407" s="1807" t="n">
        <v>18495026.17</v>
      </c>
      <c r="F407" s="1807" t="n">
        <v>6164698518.52</v>
      </c>
    </row>
    <row r="408" ht="15" customHeight="1">
      <c r="A408" s="1885" t="inlineStr">
        <is>
          <t>Debt - including Preferred Equity &amp; Minority Interest - Total</t>
        </is>
      </c>
      <c r="B408" s="1807" t="n">
        <v>354823471.66</v>
      </c>
      <c r="C408" s="1807" t="n">
        <v>662680307.14</v>
      </c>
      <c r="D408" s="1807" t="n">
        <v>609293858.27</v>
      </c>
      <c r="E408" s="1807" t="n">
        <v>1332436056.53</v>
      </c>
      <c r="F408" s="1807" t="n">
        <v>6818047565.26</v>
      </c>
    </row>
    <row r="409" ht="15" customHeight="1">
      <c r="A409" s="1885" t="inlineStr">
        <is>
          <t>Investments - Permanent</t>
        </is>
      </c>
      <c r="B409" s="731" t="n"/>
      <c r="C409" s="731" t="n"/>
      <c r="D409" s="731" t="n"/>
      <c r="E409" s="731" t="n"/>
      <c r="F409" s="731" t="n"/>
    </row>
    <row r="410" ht="15" customHeight="1">
      <c r="A410" s="1885" t="inlineStr">
        <is>
          <t>Net Book Capital</t>
        </is>
      </c>
      <c r="B410" s="1807" t="n">
        <v>857897111.16</v>
      </c>
      <c r="C410" s="1807" t="n">
        <v>1252067395.81</v>
      </c>
      <c r="D410" s="1807" t="n">
        <v>1309783395.2</v>
      </c>
      <c r="E410" s="1807" t="n">
        <v>2283602941.38</v>
      </c>
      <c r="F410" s="1807" t="n">
        <v>7952791755.85</v>
      </c>
    </row>
    <row r="411" ht="15" customHeight="1">
      <c r="A411" s="1885" t="inlineStr">
        <is>
          <t>Net Operating Assets</t>
        </is>
      </c>
      <c r="B411" s="1807" t="n">
        <v>857897111.16</v>
      </c>
      <c r="C411" s="1807" t="n">
        <v>1252067395.81</v>
      </c>
      <c r="D411" s="1807" t="n">
        <v>1309783395.2</v>
      </c>
      <c r="E411" s="1807" t="n">
        <v>2283602941.38</v>
      </c>
      <c r="F411" s="1807" t="n">
        <v>7952791755.85</v>
      </c>
    </row>
    <row r="412" ht="15" customHeight="1">
      <c r="A412" s="1885" t="inlineStr">
        <is>
          <t>Provisions - Total</t>
        </is>
      </c>
      <c r="B412" s="1807" t="n">
        <v>1038065.32</v>
      </c>
      <c r="C412" s="1807" t="n">
        <v>1484396.88</v>
      </c>
      <c r="D412" s="1807" t="n">
        <v>2512157.75</v>
      </c>
      <c r="E412" s="1807" t="n">
        <v>7744203</v>
      </c>
      <c r="F412" s="1807" t="n">
        <v>10884999.54</v>
      </c>
    </row>
    <row r="413" ht="15" customHeight="1">
      <c r="A413" s="1885" t="inlineStr">
        <is>
          <t>Shareholders Equity - Common</t>
        </is>
      </c>
      <c r="B413" s="1807" t="n">
        <v>513639113.66</v>
      </c>
      <c r="C413" s="1807" t="n">
        <v>610315863.91</v>
      </c>
      <c r="D413" s="1807" t="n">
        <v>740562076.0599999</v>
      </c>
      <c r="E413" s="1807" t="n">
        <v>969661911.02</v>
      </c>
      <c r="F413" s="1807" t="n">
        <v>7299442709.11</v>
      </c>
    </row>
    <row r="414" ht="15" customHeight="1">
      <c r="A414" s="1885" t="inlineStr">
        <is>
          <t>Tangible Total Equity</t>
        </is>
      </c>
      <c r="B414" s="1807" t="n">
        <v>515955398.91</v>
      </c>
      <c r="C414" s="1807" t="n">
        <v>611060331.41</v>
      </c>
      <c r="D414" s="1807" t="n">
        <v>741229307.58</v>
      </c>
      <c r="E414" s="1807" t="n">
        <v>958750687.17</v>
      </c>
      <c r="F414" s="1807" t="n">
        <v>8094631673.94</v>
      </c>
    </row>
    <row r="415" ht="15" customHeight="1">
      <c r="A415" s="1885" t="inlineStr">
        <is>
          <t>Tangible Book Value</t>
        </is>
      </c>
      <c r="B415" s="1807" t="n">
        <v>513639113.66</v>
      </c>
      <c r="C415" s="1807" t="n">
        <v>608649197.25</v>
      </c>
      <c r="D415" s="1807" t="n">
        <v>739145409.39</v>
      </c>
      <c r="E415" s="1807" t="n">
        <v>958569268.99</v>
      </c>
      <c r="F415" s="1807" t="n">
        <v>6876129530.03</v>
      </c>
    </row>
    <row r="416" ht="15" customHeight="1">
      <c r="A416" s="1885" t="inlineStr">
        <is>
          <t>Total Book Capital</t>
        </is>
      </c>
      <c r="B416" s="1807" t="n">
        <v>866146300.0599999</v>
      </c>
      <c r="C416" s="1807" t="n">
        <v>1270585036.89</v>
      </c>
      <c r="D416" s="1807" t="n">
        <v>1347772036.14</v>
      </c>
      <c r="E416" s="1807" t="n">
        <v>2301916549.37</v>
      </c>
      <c r="F416" s="1807" t="n">
        <v>12898988130.46</v>
      </c>
    </row>
    <row r="417" ht="15" customHeight="1">
      <c r="A417" s="1885" t="inlineStr">
        <is>
          <t>Total Capital</t>
        </is>
      </c>
      <c r="B417" s="1807" t="n">
        <v>868462585.3200001</v>
      </c>
      <c r="C417" s="1807" t="n">
        <v>1272996171.05</v>
      </c>
      <c r="D417" s="1807" t="n">
        <v>1349855934.33</v>
      </c>
      <c r="E417" s="1807" t="n">
        <v>2302097967.54</v>
      </c>
      <c r="F417" s="1807" t="n">
        <v>14117490274.37</v>
      </c>
    </row>
    <row r="418" ht="15" customHeight="1">
      <c r="A418" s="1885" t="inlineStr">
        <is>
          <t>Total Long Term Capital</t>
        </is>
      </c>
      <c r="B418" s="1807" t="n">
        <v>809111418.09</v>
      </c>
      <c r="C418" s="1807" t="n">
        <v>1276709478.57</v>
      </c>
      <c r="D418" s="1807" t="n">
        <v>1341388518.44</v>
      </c>
      <c r="E418" s="1807" t="n">
        <v>2323904127.15</v>
      </c>
      <c r="F418" s="1807" t="n">
        <v>11188655322.95</v>
      </c>
    </row>
    <row r="419" ht="15" customHeight="1">
      <c r="A419" s="1885" t="inlineStr">
        <is>
          <t>Total Fixed Assets - Net</t>
        </is>
      </c>
      <c r="B419" s="1807" t="n">
        <v>799460519.85</v>
      </c>
      <c r="C419" s="1807" t="n">
        <v>1188373397.22</v>
      </c>
      <c r="D419" s="1807" t="n">
        <v>1301154304.81</v>
      </c>
      <c r="E419" s="1807" t="n">
        <v>2321068531.72</v>
      </c>
      <c r="F419" s="1807" t="n">
        <v>6479189184.05</v>
      </c>
    </row>
    <row r="420" ht="15" customHeight="1">
      <c r="A420" s="1885" t="inlineStr">
        <is>
          <t>Unearned Revenue - Total</t>
        </is>
      </c>
      <c r="B420" s="1807" t="n">
        <v>171471.77</v>
      </c>
      <c r="C420" s="1807" t="n">
        <v>99478435.63</v>
      </c>
      <c r="D420" s="1807" t="n">
        <v>135124692.73</v>
      </c>
      <c r="E420" s="1807" t="n">
        <v>137850099.06</v>
      </c>
      <c r="F420" s="1807" t="n">
        <v>23842066.05</v>
      </c>
    </row>
    <row r="421" ht="15" customHeight="1">
      <c r="A421" s="1885" t="inlineStr">
        <is>
          <t>Working Capital</t>
        </is>
      </c>
      <c r="B421" s="1807" t="n">
        <v>9650898.24</v>
      </c>
      <c r="C421" s="1807" t="n">
        <v>88093767.01000001</v>
      </c>
      <c r="D421" s="1807" t="n">
        <v>39991899.29</v>
      </c>
      <c r="E421" s="1807" t="n">
        <v>2835595.43</v>
      </c>
      <c r="F421" s="1807" t="n">
        <v>4706853475.25</v>
      </c>
    </row>
    <row r="422" ht="15" customHeight="1">
      <c r="A422" s="1885" t="inlineStr">
        <is>
          <t>Working Capital - Non-Cash</t>
        </is>
      </c>
      <c r="B422" s="1807" t="n">
        <v>-914575.92</v>
      </c>
      <c r="C422" s="1807" t="n">
        <v>67164991.77</v>
      </c>
      <c r="D422" s="1807" t="n">
        <v>-80639.84</v>
      </c>
      <c r="E422" s="1807" t="n">
        <v>-15659430.74</v>
      </c>
      <c r="F422" s="1807" t="n">
        <v>-1457845043.27</v>
      </c>
    </row>
    <row r="423" ht="15" customHeight="1">
      <c r="A423" s="1885" t="inlineStr">
        <is>
          <t>Working Capital excluding Other Current Assets &amp; Liabilities</t>
        </is>
      </c>
      <c r="B423" s="1807" t="n">
        <v>10465956.89</v>
      </c>
      <c r="C423" s="1807" t="n">
        <v>98714491.83</v>
      </c>
      <c r="D423" s="1807" t="n">
        <v>77187966.62</v>
      </c>
      <c r="E423" s="1807" t="n">
        <v>20853492.86</v>
      </c>
      <c r="F423" s="1807" t="n">
        <v>4783523620.91</v>
      </c>
    </row>
    <row r="424" ht="15" customHeight="1">
      <c r="A424" s="1885" t="inlineStr">
        <is>
          <t>Book Value excluding Other Equity</t>
        </is>
      </c>
      <c r="B424" s="1807" t="n">
        <v>510733474.28</v>
      </c>
      <c r="C424" s="1807" t="n">
        <v>607410224.54</v>
      </c>
      <c r="D424" s="1807" t="n">
        <v>665873105.09</v>
      </c>
      <c r="E424" s="1807" t="n">
        <v>966756271.64</v>
      </c>
      <c r="F424" s="1807" t="n">
        <v>7299442709.11</v>
      </c>
    </row>
    <row r="425" ht="15" customHeight="1">
      <c r="A425" s="1885" t="inlineStr">
        <is>
          <t>Total Indefinite-lived Intangible Assets - Net (excl Goodwill) - Supplemental</t>
        </is>
      </c>
      <c r="B425" s="731" t="n"/>
      <c r="C425" s="731" t="n"/>
      <c r="D425" s="731" t="n"/>
      <c r="E425" s="731" t="n"/>
      <c r="F425" s="731" t="n"/>
    </row>
    <row r="426" ht="15" customHeight="1">
      <c r="A426" s="1885" t="inlineStr">
        <is>
          <t>Tangible Common Equity Ratio - Total</t>
        </is>
      </c>
      <c r="B426" s="731" t="n"/>
      <c r="C426" s="731" t="n"/>
      <c r="D426" s="731" t="n"/>
      <c r="E426" s="731" t="n"/>
      <c r="F426" s="731" t="n"/>
    </row>
    <row r="427" ht="15" customHeight="1">
      <c r="A427" s="1885" t="inlineStr">
        <is>
          <t>Order Backlog</t>
        </is>
      </c>
      <c r="B427" s="731" t="n"/>
      <c r="C427" s="731" t="n"/>
      <c r="D427" s="731" t="n"/>
      <c r="E427" s="731" t="n"/>
      <c r="F427" s="731" t="n"/>
    </row>
    <row r="428" ht="15" customHeight="1">
      <c r="A428" s="1885" t="inlineStr">
        <is>
          <t>Customer Liabilities on Acceptances - Assets</t>
        </is>
      </c>
      <c r="B428" s="731" t="n"/>
      <c r="C428" s="731" t="n"/>
      <c r="D428" s="731" t="n"/>
      <c r="E428" s="731" t="n"/>
      <c r="F428" s="731" t="n"/>
    </row>
    <row r="429" ht="15" customHeight="1">
      <c r="A429" s="1885" t="inlineStr">
        <is>
          <t>Customer Liabilities on Acceptances - Liabilities</t>
        </is>
      </c>
      <c r="B429" s="731" t="n"/>
      <c r="C429" s="731" t="n"/>
      <c r="D429" s="731" t="n"/>
      <c r="E429" s="731" t="n"/>
      <c r="F429" s="731" t="n"/>
    </row>
    <row r="430" ht="15" customHeight="1">
      <c r="A430" s="1885" t="inlineStr">
        <is>
          <t>Average Assets Under Management</t>
        </is>
      </c>
      <c r="B430" s="731" t="n"/>
      <c r="C430" s="731" t="n"/>
      <c r="D430" s="731" t="n"/>
      <c r="E430" s="731" t="n"/>
      <c r="F430" s="731" t="n"/>
    </row>
    <row r="431" ht="15" customHeight="1">
      <c r="A431" s="1885" t="inlineStr">
        <is>
          <t>Total High Quality Liquid Assets (HQLA)</t>
        </is>
      </c>
      <c r="B431" s="731" t="n"/>
      <c r="C431" s="731" t="n"/>
      <c r="D431" s="731" t="n"/>
      <c r="E431" s="731" t="n"/>
      <c r="F431" s="731" t="n"/>
    </row>
    <row r="432" ht="15" customHeight="1">
      <c r="A432" s="1885" t="inlineStr">
        <is>
          <t>Total Net Cash Outflows (NCO)</t>
        </is>
      </c>
      <c r="B432" s="731" t="n"/>
      <c r="C432" s="731" t="n"/>
      <c r="D432" s="731" t="n"/>
      <c r="E432" s="731" t="n"/>
      <c r="F432" s="731" t="n"/>
    </row>
    <row r="433" ht="15" customHeight="1">
      <c r="A433" s="1885" t="inlineStr">
        <is>
          <t>Number of Branches - Domestic</t>
        </is>
      </c>
      <c r="B433" s="731" t="n"/>
      <c r="C433" s="731" t="n"/>
      <c r="D433" s="731" t="n"/>
      <c r="E433" s="731" t="n"/>
      <c r="F433" s="731" t="n"/>
    </row>
    <row r="434" ht="15" customHeight="1">
      <c r="A434" s="1885" t="inlineStr">
        <is>
          <t>Number of Branches - Total</t>
        </is>
      </c>
      <c r="B434" s="731" t="n"/>
      <c r="C434" s="731" t="n"/>
      <c r="D434" s="731" t="n"/>
      <c r="E434" s="731" t="n"/>
      <c r="F434" s="731" t="n"/>
    </row>
    <row r="435" ht="15" customHeight="1">
      <c r="A435" s="1885" t="inlineStr">
        <is>
          <t>Number of Branches - Foreign</t>
        </is>
      </c>
      <c r="B435" s="731" t="n"/>
      <c r="C435" s="731" t="n"/>
      <c r="D435" s="731" t="n"/>
      <c r="E435" s="731" t="n"/>
      <c r="F435" s="731" t="n"/>
    </row>
    <row r="436" ht="15" customHeight="1">
      <c r="A436" s="733" t="n"/>
      <c r="B436" s="734" t="n"/>
      <c r="C436" s="734" t="n"/>
      <c r="D436" s="734" t="n"/>
      <c r="E436" s="734" t="n"/>
      <c r="F436" s="734" t="n"/>
    </row>
    <row r="437" ht="15" customHeight="1">
      <c r="A437" s="1885" t="inlineStr">
        <is>
          <t>Tangible Common Equity Ratio - Total</t>
        </is>
      </c>
      <c r="B437" s="731" t="n"/>
      <c r="C437" s="731" t="n"/>
      <c r="D437" s="731" t="n"/>
      <c r="E437" s="731" t="n"/>
      <c r="F437" s="731" t="n"/>
    </row>
    <row r="438" ht="15" customHeight="1">
      <c r="A438" s="1884" t="inlineStr">
        <is>
          <t>Shareholders</t>
        </is>
      </c>
      <c r="B438" s="734" t="n"/>
      <c r="C438" s="734" t="n"/>
      <c r="D438" s="734" t="n"/>
      <c r="E438" s="734" t="n"/>
      <c r="F438" s="734" t="n"/>
    </row>
    <row r="439" ht="15" customHeight="1">
      <c r="A439" s="1885" t="inlineStr">
        <is>
          <t>Common Shareholders - Number</t>
        </is>
      </c>
      <c r="B439" s="731" t="n"/>
      <c r="C439" s="731" t="n"/>
      <c r="D439" s="731" t="n"/>
      <c r="E439" s="1807" t="n">
        <v>10620</v>
      </c>
      <c r="F439" s="1807" t="n">
        <v>68031</v>
      </c>
    </row>
    <row r="440" ht="15" customHeight="1">
      <c r="A440" s="1884" t="inlineStr">
        <is>
          <t>Operating Lease Maturity</t>
        </is>
      </c>
      <c r="B440" s="734" t="n"/>
      <c r="C440" s="734" t="n"/>
      <c r="D440" s="734" t="n"/>
      <c r="E440" s="734" t="n"/>
      <c r="F440" s="734" t="n"/>
    </row>
    <row r="441" ht="15" customHeight="1">
      <c r="A441" s="1885" t="inlineStr">
        <is>
          <t>Operating Lease Payments - Total</t>
        </is>
      </c>
      <c r="B441" s="731" t="n"/>
      <c r="C441" s="731" t="n"/>
      <c r="D441" s="731" t="n"/>
      <c r="E441" s="731" t="n"/>
      <c r="F441" s="731" t="n"/>
    </row>
    <row r="442" ht="15" customHeight="1">
      <c r="A442" s="1886" t="inlineStr">
        <is>
          <t>Operating Lease Payments - Due in Year 1</t>
        </is>
      </c>
      <c r="B442" s="731" t="n"/>
      <c r="C442" s="731" t="n"/>
      <c r="D442" s="731" t="n"/>
      <c r="E442" s="731" t="n"/>
      <c r="F442" s="731" t="n"/>
    </row>
    <row r="443" ht="15" customHeight="1">
      <c r="A443" s="1886" t="inlineStr">
        <is>
          <t>Operating Lease Payments - Due in Year 2</t>
        </is>
      </c>
      <c r="B443" s="731" t="n"/>
      <c r="C443" s="731" t="n"/>
      <c r="D443" s="731" t="n"/>
      <c r="E443" s="731" t="n"/>
      <c r="F443" s="731" t="n"/>
    </row>
    <row r="444" ht="15" customHeight="1">
      <c r="A444" s="1886" t="inlineStr">
        <is>
          <t>Operating Lease Payments - Due in Year 3</t>
        </is>
      </c>
      <c r="B444" s="731" t="n"/>
      <c r="C444" s="731" t="n"/>
      <c r="D444" s="731" t="n"/>
      <c r="E444" s="731" t="n"/>
      <c r="F444" s="731" t="n"/>
    </row>
    <row r="445" ht="15" customHeight="1">
      <c r="A445" s="1886" t="inlineStr">
        <is>
          <t>Operating Lease Payments - Due in Year 4</t>
        </is>
      </c>
      <c r="B445" s="731" t="n"/>
      <c r="C445" s="731" t="n"/>
      <c r="D445" s="731" t="n"/>
      <c r="E445" s="731" t="n"/>
      <c r="F445" s="731" t="n"/>
    </row>
    <row r="446" ht="15" customHeight="1">
      <c r="A446" s="1886" t="inlineStr">
        <is>
          <t>Operating Lease Payments - Due in Year 5</t>
        </is>
      </c>
      <c r="B446" s="731" t="n"/>
      <c r="C446" s="731" t="n"/>
      <c r="D446" s="731" t="n"/>
      <c r="E446" s="731" t="n"/>
      <c r="F446" s="731" t="n"/>
    </row>
    <row r="447" ht="15" customHeight="1">
      <c r="A447" s="1886" t="inlineStr">
        <is>
          <t>Operating Lease Payments - Due in Year 6</t>
        </is>
      </c>
      <c r="B447" s="731" t="n"/>
      <c r="C447" s="731" t="n"/>
      <c r="D447" s="731" t="n"/>
      <c r="E447" s="731" t="n"/>
      <c r="F447" s="731" t="n"/>
    </row>
    <row r="448" ht="15" customHeight="1">
      <c r="A448" s="1886" t="inlineStr">
        <is>
          <t>Operating Lease Payments - Due in Year 7</t>
        </is>
      </c>
      <c r="B448" s="731" t="n"/>
      <c r="C448" s="731" t="n"/>
      <c r="D448" s="731" t="n"/>
      <c r="E448" s="731" t="n"/>
      <c r="F448" s="731" t="n"/>
    </row>
    <row r="449" ht="15" customHeight="1">
      <c r="A449" s="1886" t="inlineStr">
        <is>
          <t>Operating Lease Payments - Due in Year 8</t>
        </is>
      </c>
      <c r="B449" s="731" t="n"/>
      <c r="C449" s="731" t="n"/>
      <c r="D449" s="731" t="n"/>
      <c r="E449" s="731" t="n"/>
      <c r="F449" s="731" t="n"/>
    </row>
    <row r="450" ht="15" customHeight="1">
      <c r="A450" s="1886" t="inlineStr">
        <is>
          <t>Operating Lease Payments - Due in Year 9</t>
        </is>
      </c>
      <c r="B450" s="731" t="n"/>
      <c r="C450" s="731" t="n"/>
      <c r="D450" s="731" t="n"/>
      <c r="E450" s="731" t="n"/>
      <c r="F450" s="731" t="n"/>
    </row>
    <row r="451" ht="15" customHeight="1">
      <c r="A451" s="1886" t="inlineStr">
        <is>
          <t>Operating Lease Payments - Due in Year 10</t>
        </is>
      </c>
      <c r="B451" s="731" t="n"/>
      <c r="C451" s="731" t="n"/>
      <c r="D451" s="731" t="n"/>
      <c r="E451" s="731" t="n"/>
      <c r="F451" s="731" t="n"/>
    </row>
    <row r="452" ht="15" customHeight="1">
      <c r="A452" s="1886" t="inlineStr">
        <is>
          <t>Operating Lease Payments - Remaining Maturities</t>
        </is>
      </c>
      <c r="B452" s="731" t="n"/>
      <c r="C452" s="731" t="n"/>
      <c r="D452" s="731" t="n"/>
      <c r="E452" s="731" t="n"/>
      <c r="F452" s="731" t="n"/>
    </row>
    <row r="453" ht="15" customHeight="1">
      <c r="A453" s="1886" t="inlineStr">
        <is>
          <t>Operating Lease Payments - Interest Cost/Imputed Interest</t>
        </is>
      </c>
      <c r="B453" s="731" t="n"/>
      <c r="C453" s="731" t="n"/>
      <c r="D453" s="731" t="n"/>
      <c r="E453" s="731" t="n"/>
      <c r="F453" s="731" t="n"/>
    </row>
    <row r="454" ht="15" customHeight="1">
      <c r="A454" s="1885" t="inlineStr">
        <is>
          <t>Operating Lease Payments - Due in 2-3 Years</t>
        </is>
      </c>
      <c r="B454" s="731" t="n"/>
      <c r="C454" s="731" t="n"/>
      <c r="D454" s="731" t="n"/>
      <c r="E454" s="731" t="n"/>
      <c r="F454" s="731" t="n"/>
    </row>
    <row r="455" ht="15" customHeight="1">
      <c r="A455" s="1885" t="inlineStr">
        <is>
          <t>Operating Lease Payments - Due in 4-5 Years</t>
        </is>
      </c>
      <c r="B455" s="731" t="n"/>
      <c r="C455" s="731" t="n"/>
      <c r="D455" s="731" t="n"/>
      <c r="E455" s="731" t="n"/>
      <c r="F455" s="731" t="n"/>
    </row>
    <row r="456" ht="15" customHeight="1">
      <c r="A456" s="1885" t="inlineStr">
        <is>
          <t>Operating Lease Payments - Due in Year 6 &amp; Beyond</t>
        </is>
      </c>
      <c r="B456" s="731" t="n"/>
      <c r="C456" s="731" t="n"/>
      <c r="D456" s="731" t="n"/>
      <c r="E456" s="731" t="n"/>
      <c r="F456" s="731" t="n"/>
    </row>
    <row r="457" ht="15" customHeight="1">
      <c r="A457" s="1884" t="inlineStr">
        <is>
          <t>Risk Related</t>
        </is>
      </c>
      <c r="B457" s="734" t="n"/>
      <c r="C457" s="734" t="n"/>
      <c r="D457" s="734" t="n"/>
      <c r="E457" s="734" t="n"/>
      <c r="F457" s="734" t="n"/>
    </row>
    <row r="458" ht="15" customHeight="1">
      <c r="A458" s="1885" t="inlineStr">
        <is>
          <t>Level 1 Assets - Fair Value</t>
        </is>
      </c>
      <c r="B458" s="731" t="n"/>
      <c r="C458" s="731" t="n"/>
      <c r="D458" s="731" t="n"/>
      <c r="E458" s="731" t="n"/>
      <c r="F458" s="731" t="n"/>
    </row>
    <row r="459" ht="15" customHeight="1">
      <c r="A459" s="1885" t="inlineStr">
        <is>
          <t>Level 2 Assets - Fair Value</t>
        </is>
      </c>
      <c r="B459" s="731" t="n"/>
      <c r="C459" s="731" t="n"/>
      <c r="D459" s="731" t="n"/>
      <c r="E459" s="731" t="n"/>
      <c r="F459" s="731" t="n"/>
    </row>
    <row r="460" ht="15" customHeight="1">
      <c r="A460" s="1885" t="inlineStr">
        <is>
          <t>Level 3 Assets - Fair Value</t>
        </is>
      </c>
      <c r="B460" s="731" t="n"/>
      <c r="C460" s="731" t="n"/>
      <c r="D460" s="731" t="n"/>
      <c r="E460" s="731" t="n"/>
      <c r="F460" s="731" t="n"/>
    </row>
    <row r="461" ht="15" customHeight="1">
      <c r="A461" s="1885" t="inlineStr">
        <is>
          <t>Level 1 Liabilities - Fair Value</t>
        </is>
      </c>
      <c r="B461" s="731" t="n"/>
      <c r="C461" s="731" t="n"/>
      <c r="D461" s="731" t="n"/>
      <c r="E461" s="731" t="n"/>
      <c r="F461" s="731" t="n"/>
    </row>
    <row r="462" ht="15" customHeight="1">
      <c r="A462" s="1885" t="inlineStr">
        <is>
          <t>Level 2 Liabilities - Fair Value</t>
        </is>
      </c>
      <c r="B462" s="731" t="n"/>
      <c r="C462" s="731" t="n"/>
      <c r="D462" s="731" t="n"/>
      <c r="E462" s="731" t="n"/>
      <c r="F462" s="731" t="n"/>
    </row>
    <row r="463" ht="15" customHeight="1">
      <c r="A463" s="1885" t="inlineStr">
        <is>
          <t>Level 3 Liabilities - Fair Value</t>
        </is>
      </c>
      <c r="B463" s="731" t="n"/>
      <c r="C463" s="731" t="n"/>
      <c r="D463" s="731" t="n"/>
      <c r="E463" s="731" t="n"/>
      <c r="F463" s="731" t="n"/>
    </row>
    <row r="464" ht="15" customHeight="1">
      <c r="A464" s="1885" t="inlineStr">
        <is>
          <t>Credit Exposure</t>
        </is>
      </c>
      <c r="B464" s="731" t="n"/>
      <c r="C464" s="731" t="n"/>
      <c r="D464" s="731" t="n"/>
      <c r="E464" s="731" t="n"/>
      <c r="F464" s="731" t="n"/>
    </row>
    <row r="465" ht="15" customHeight="1">
      <c r="A465" s="1885" t="inlineStr">
        <is>
          <t>Assets Under Management (AUM)</t>
        </is>
      </c>
      <c r="B465" s="731" t="n"/>
      <c r="C465" s="731" t="n"/>
      <c r="D465" s="731" t="n"/>
      <c r="E465" s="731" t="n"/>
      <c r="F465" s="731" t="n"/>
    </row>
    <row r="466" ht="15" customHeight="1">
      <c r="A466" s="1884" t="inlineStr">
        <is>
          <t>Capital Adequacy</t>
        </is>
      </c>
      <c r="B466" s="734" t="n"/>
      <c r="C466" s="734" t="n"/>
      <c r="D466" s="734" t="n"/>
      <c r="E466" s="734" t="n"/>
      <c r="F466" s="734" t="n"/>
    </row>
    <row r="467" ht="15" customHeight="1">
      <c r="A467" s="1885" t="inlineStr">
        <is>
          <t>Capital Adequacy - Total (Value)</t>
        </is>
      </c>
      <c r="B467" s="731" t="n"/>
      <c r="C467" s="731" t="n"/>
      <c r="D467" s="731" t="n"/>
      <c r="E467" s="731" t="n"/>
      <c r="F467" s="731" t="n"/>
    </row>
    <row r="468" ht="15" customHeight="1">
      <c r="A468" s="1886" t="inlineStr">
        <is>
          <t>Capital Adequacy - Tier 1 (Value)</t>
        </is>
      </c>
      <c r="B468" s="731" t="n"/>
      <c r="C468" s="731" t="n"/>
      <c r="D468" s="731" t="n"/>
      <c r="E468" s="731" t="n"/>
      <c r="F468" s="731" t="n"/>
    </row>
    <row r="469" ht="15" customHeight="1">
      <c r="A469" s="1887" t="inlineStr">
        <is>
          <t>Capital Adequacy - Core Tier 1 (Value)</t>
        </is>
      </c>
      <c r="B469" s="731" t="n"/>
      <c r="C469" s="731" t="n"/>
      <c r="D469" s="731" t="n"/>
      <c r="E469" s="731" t="n"/>
      <c r="F469" s="731" t="n"/>
    </row>
    <row r="470" ht="15" customHeight="1">
      <c r="A470" s="1887" t="inlineStr">
        <is>
          <t>Capital Adequacy - Hybrid Tier 1 (included in Tier 1 Capital - Value)</t>
        </is>
      </c>
      <c r="B470" s="731" t="n"/>
      <c r="C470" s="731" t="n"/>
      <c r="D470" s="731" t="n"/>
      <c r="E470" s="731" t="n"/>
      <c r="F470" s="731" t="n"/>
    </row>
    <row r="471" ht="15" customHeight="1">
      <c r="A471" s="1886" t="inlineStr">
        <is>
          <t>Capital Adequacy - Tier 2 (Value)</t>
        </is>
      </c>
      <c r="B471" s="731" t="n"/>
      <c r="C471" s="731" t="n"/>
      <c r="D471" s="731" t="n"/>
      <c r="E471" s="731" t="n"/>
      <c r="F471" s="731" t="n"/>
    </row>
    <row r="472" ht="15" customHeight="1">
      <c r="A472" s="1886" t="inlineStr">
        <is>
          <t>Capital Adequacy - Tier 3 (Value)</t>
        </is>
      </c>
      <c r="B472" s="731" t="n"/>
      <c r="C472" s="731" t="n"/>
      <c r="D472" s="731" t="n"/>
      <c r="E472" s="731" t="n"/>
      <c r="F472" s="731" t="n"/>
    </row>
    <row r="473" ht="15" customHeight="1">
      <c r="A473" s="1885" t="inlineStr">
        <is>
          <t>Capital Adequacy - Total (%)</t>
        </is>
      </c>
      <c r="B473" s="731" t="n"/>
      <c r="C473" s="731" t="n"/>
      <c r="D473" s="731" t="n"/>
      <c r="E473" s="731" t="n"/>
      <c r="F473" s="731" t="n"/>
    </row>
    <row r="474" ht="15" customHeight="1">
      <c r="A474" s="1886" t="inlineStr">
        <is>
          <t>Capital Adequacy - Tier 1 (%)</t>
        </is>
      </c>
      <c r="B474" s="731" t="n"/>
      <c r="C474" s="731" t="n"/>
      <c r="D474" s="731" t="n"/>
      <c r="E474" s="731" t="n"/>
      <c r="F474" s="731" t="n"/>
    </row>
    <row r="475" ht="15" customHeight="1">
      <c r="A475" s="1887" t="inlineStr">
        <is>
          <t>Capital Adequacy - Core Tier 1 (%)</t>
        </is>
      </c>
      <c r="B475" s="731" t="n"/>
      <c r="C475" s="731" t="n"/>
      <c r="D475" s="731" t="n"/>
      <c r="E475" s="731" t="n"/>
      <c r="F475" s="731" t="n"/>
    </row>
    <row r="476" ht="15" customHeight="1">
      <c r="A476" s="1886" t="inlineStr">
        <is>
          <t>Capital Adequacy - Tier 2 (%)</t>
        </is>
      </c>
      <c r="B476" s="731" t="n"/>
      <c r="C476" s="731" t="n"/>
      <c r="D476" s="731" t="n"/>
      <c r="E476" s="731" t="n"/>
      <c r="F476" s="731" t="n"/>
    </row>
    <row r="477" ht="15" customHeight="1">
      <c r="A477" s="1886" t="inlineStr">
        <is>
          <t>Capital Adequacy - Tier 3 (%)</t>
        </is>
      </c>
      <c r="B477" s="731" t="n"/>
      <c r="C477" s="731" t="n"/>
      <c r="D477" s="731" t="n"/>
      <c r="E477" s="731" t="n"/>
      <c r="F477" s="731" t="n"/>
    </row>
    <row r="478" ht="15" customHeight="1">
      <c r="A478" s="1885" t="inlineStr">
        <is>
          <t>Risk Weighted Assets</t>
        </is>
      </c>
      <c r="B478" s="731" t="n"/>
      <c r="C478" s="731" t="n"/>
      <c r="D478" s="731" t="n"/>
      <c r="E478" s="731" t="n"/>
      <c r="F478" s="731" t="n"/>
    </row>
    <row r="479" ht="15" customHeight="1">
      <c r="A479" s="1885" t="inlineStr">
        <is>
          <t>Liquidity Coverage Ratio - Basel 3 - %</t>
        </is>
      </c>
      <c r="B479" s="731" t="n"/>
      <c r="C479" s="731" t="n"/>
      <c r="D479" s="731" t="n"/>
      <c r="E479" s="731" t="n"/>
      <c r="F479" s="731" t="n"/>
    </row>
    <row r="480" ht="15" customHeight="1">
      <c r="A480" s="1885" t="inlineStr">
        <is>
          <t>Solvency Margin Ratio – Insurance</t>
        </is>
      </c>
      <c r="B480" s="731" t="n"/>
      <c r="C480" s="731" t="n"/>
      <c r="D480" s="731" t="n"/>
      <c r="E480" s="731" t="n"/>
      <c r="F480" s="731" t="n"/>
    </row>
    <row r="481" ht="15" customHeight="1">
      <c r="A481" s="1885" t="inlineStr">
        <is>
          <t>Leverage Ratio - Basel 3 - %</t>
        </is>
      </c>
      <c r="B481" s="731" t="n"/>
      <c r="C481" s="731" t="n"/>
      <c r="D481" s="731" t="n"/>
      <c r="E481" s="731" t="n"/>
      <c r="F481" s="731" t="n"/>
    </row>
    <row r="482" ht="15" customHeight="1">
      <c r="A482" s="1885" t="inlineStr">
        <is>
          <t>Net Stable Funding Ratio - Basel 3 - %</t>
        </is>
      </c>
      <c r="B482" s="731" t="n"/>
      <c r="C482" s="731" t="n"/>
      <c r="D482" s="731" t="n"/>
      <c r="E482" s="731" t="n"/>
      <c r="F482" s="731" t="n"/>
    </row>
    <row r="483" ht="15" customHeight="1">
      <c r="A483" s="1885" t="inlineStr">
        <is>
          <t>Solvency Ratio – Insurance</t>
        </is>
      </c>
      <c r="B483" s="731" t="n"/>
      <c r="C483" s="731" t="n"/>
      <c r="D483" s="731" t="n"/>
      <c r="E483" s="731" t="n"/>
      <c r="F483" s="731" t="n"/>
    </row>
    <row r="484" ht="15" customHeight="1">
      <c r="A484" s="1884" t="inlineStr">
        <is>
          <t>Nonperforming Loans/Assets</t>
        </is>
      </c>
      <c r="B484" s="734" t="n"/>
      <c r="C484" s="734" t="n"/>
      <c r="D484" s="734" t="n"/>
      <c r="E484" s="734" t="n"/>
      <c r="F484" s="734" t="n"/>
    </row>
    <row r="485" ht="15" customHeight="1">
      <c r="A485" s="1885" t="inlineStr">
        <is>
          <t>Non-Performing Assets - Loans &amp; Other</t>
        </is>
      </c>
      <c r="B485" s="731" t="n"/>
      <c r="C485" s="731" t="n"/>
      <c r="D485" s="731" t="n"/>
      <c r="E485" s="731" t="n"/>
      <c r="F485" s="731" t="n"/>
    </row>
    <row r="486" ht="15" customHeight="1">
      <c r="A486" s="1886" t="inlineStr">
        <is>
          <t>Non-Performing Assets - Other than Loans</t>
        </is>
      </c>
      <c r="B486" s="731" t="n"/>
      <c r="C486" s="731" t="n"/>
      <c r="D486" s="731" t="n"/>
      <c r="E486" s="731" t="n"/>
      <c r="F486" s="731" t="n"/>
    </row>
    <row r="487" ht="15" customHeight="1">
      <c r="A487" s="1886" t="inlineStr">
        <is>
          <t>Loans - Non-Performing &amp; Impaired</t>
        </is>
      </c>
      <c r="B487" s="731" t="n"/>
      <c r="C487" s="731" t="n"/>
      <c r="D487" s="731" t="n"/>
      <c r="E487" s="731" t="n"/>
      <c r="F487" s="731" t="n"/>
    </row>
    <row r="488" ht="15" customHeight="1">
      <c r="A488" s="1887" t="inlineStr">
        <is>
          <t>Loans - Impaired -Total</t>
        </is>
      </c>
      <c r="B488" s="731" t="n"/>
      <c r="C488" s="731" t="n"/>
      <c r="D488" s="731" t="n"/>
      <c r="E488" s="731" t="n"/>
      <c r="F488" s="731" t="n"/>
    </row>
    <row r="489" ht="15" customHeight="1">
      <c r="A489" s="1890" t="inlineStr">
        <is>
          <t>Loans - Impaired - Non-Performing</t>
        </is>
      </c>
      <c r="B489" s="731" t="n"/>
      <c r="C489" s="731" t="n"/>
      <c r="D489" s="731" t="n"/>
      <c r="E489" s="731" t="n"/>
      <c r="F489" s="731" t="n"/>
    </row>
    <row r="490" ht="15" customHeight="1">
      <c r="A490" s="1890" t="inlineStr">
        <is>
          <t>Loans - Impaired - Sub-Performing &amp; Performing but Impaired</t>
        </is>
      </c>
      <c r="B490" s="731" t="n"/>
      <c r="C490" s="731" t="n"/>
      <c r="D490" s="731" t="n"/>
      <c r="E490" s="731" t="n"/>
      <c r="F490" s="731" t="n"/>
    </row>
    <row r="491" ht="15" customHeight="1">
      <c r="A491" s="1887" t="inlineStr">
        <is>
          <t>Loans - Performing and Non-Performing - Not Impaired</t>
        </is>
      </c>
      <c r="B491" s="731" t="n"/>
      <c r="C491" s="731" t="n"/>
      <c r="D491" s="731" t="n"/>
      <c r="E491" s="731" t="n"/>
      <c r="F491" s="731" t="n"/>
    </row>
    <row r="492" ht="15" customHeight="1">
      <c r="A492" s="1887" t="inlineStr">
        <is>
          <t>Loans - Non Performing - Not Impaired but Past Due</t>
        </is>
      </c>
      <c r="B492" s="731" t="n"/>
      <c r="C492" s="731" t="n"/>
      <c r="D492" s="731" t="n"/>
      <c r="E492" s="731" t="n"/>
      <c r="F492" s="731" t="n"/>
    </row>
    <row r="493" ht="15" customHeight="1">
      <c r="A493" s="1890" t="inlineStr">
        <is>
          <t>Loans - Non-Performing - Not Impaired but Past Due - 0 to 90 Days</t>
        </is>
      </c>
      <c r="B493" s="731" t="n"/>
      <c r="C493" s="731" t="n"/>
      <c r="D493" s="731" t="n"/>
      <c r="E493" s="731" t="n"/>
      <c r="F493" s="731" t="n"/>
    </row>
    <row r="494" ht="15" customHeight="1">
      <c r="A494" s="1890" t="inlineStr">
        <is>
          <t>Loans - Non-Performing - Not Impaired but Past Due - over 90 Days</t>
        </is>
      </c>
      <c r="B494" s="731" t="n"/>
      <c r="C494" s="731" t="n"/>
      <c r="D494" s="731" t="n"/>
      <c r="E494" s="731" t="n"/>
      <c r="F494" s="731" t="n"/>
    </row>
    <row r="495" ht="15" customHeight="1">
      <c r="A495" s="1887" t="inlineStr">
        <is>
          <t>Loans - Performing - Not Impaired &amp; Not Past Due</t>
        </is>
      </c>
      <c r="B495" s="731" t="n"/>
      <c r="C495" s="731" t="n"/>
      <c r="D495" s="731" t="n"/>
      <c r="E495" s="731" t="n"/>
      <c r="F495" s="731" t="n"/>
    </row>
    <row r="496" ht="15" customHeight="1">
      <c r="A496" s="1886" t="inlineStr">
        <is>
          <t>Impaired Assets - Total</t>
        </is>
      </c>
      <c r="B496" s="731" t="n"/>
      <c r="C496" s="731" t="n"/>
      <c r="D496" s="731" t="n"/>
      <c r="E496" s="731" t="n"/>
      <c r="F496" s="731" t="n"/>
    </row>
    <row r="497" ht="15" customHeight="1">
      <c r="A497" s="1887" t="inlineStr">
        <is>
          <t>Impaired Assets - Impaired Loans and Other</t>
        </is>
      </c>
      <c r="B497" s="731" t="n"/>
      <c r="C497" s="731" t="n"/>
      <c r="D497" s="731" t="n"/>
      <c r="E497" s="731" t="n"/>
      <c r="F497" s="731" t="n"/>
    </row>
    <row r="498" ht="15" customHeight="1">
      <c r="A498" s="1887" t="inlineStr">
        <is>
          <t>Impaired Assets - excluding Impaired Loans</t>
        </is>
      </c>
      <c r="B498" s="731" t="n"/>
      <c r="C498" s="731" t="n"/>
      <c r="D498" s="731" t="n"/>
      <c r="E498" s="731" t="n"/>
      <c r="F498" s="731" t="n"/>
    </row>
    <row r="499" ht="15" customHeight="1">
      <c r="A499" s="1885" t="inlineStr">
        <is>
          <t>Loans - Stage 1 - Gross, Total</t>
        </is>
      </c>
      <c r="B499" s="731" t="n"/>
      <c r="C499" s="731" t="n"/>
      <c r="D499" s="731" t="n"/>
      <c r="E499" s="731" t="n"/>
      <c r="F499" s="731" t="n"/>
    </row>
    <row r="500" ht="15" customHeight="1">
      <c r="A500" s="1885" t="inlineStr">
        <is>
          <t>Loans - Stage 2 - Gross, Total</t>
        </is>
      </c>
      <c r="B500" s="731" t="n"/>
      <c r="C500" s="731" t="n"/>
      <c r="D500" s="731" t="n"/>
      <c r="E500" s="731" t="n"/>
      <c r="F500" s="731" t="n"/>
    </row>
    <row r="501" ht="15" customHeight="1">
      <c r="A501" s="1885" t="inlineStr">
        <is>
          <t>Loans - Stage 3 - Gross, Total</t>
        </is>
      </c>
      <c r="B501" s="731" t="n"/>
      <c r="C501" s="731" t="n"/>
      <c r="D501" s="731" t="n"/>
      <c r="E501" s="731" t="n"/>
      <c r="F501" s="731" t="n"/>
    </row>
    <row r="502" ht="15" customHeight="1">
      <c r="A502" s="1885" t="inlineStr">
        <is>
          <t>Loans - Not Past Due</t>
        </is>
      </c>
      <c r="B502" s="731" t="n"/>
      <c r="C502" s="731" t="n"/>
      <c r="D502" s="731" t="n"/>
      <c r="E502" s="731" t="n"/>
      <c r="F502" s="731" t="n"/>
    </row>
    <row r="503" ht="15" customHeight="1">
      <c r="A503" s="1885" t="inlineStr">
        <is>
          <t>Loans - Total Past Due</t>
        </is>
      </c>
      <c r="B503" s="731" t="n"/>
      <c r="C503" s="731" t="n"/>
      <c r="D503" s="731" t="n"/>
      <c r="E503" s="731" t="n"/>
      <c r="F503" s="731" t="n"/>
    </row>
    <row r="504" ht="15" customHeight="1">
      <c r="A504" s="1886" t="inlineStr">
        <is>
          <t>Loans - Past Due &lt; 90 days</t>
        </is>
      </c>
      <c r="B504" s="731" t="n"/>
      <c r="C504" s="731" t="n"/>
      <c r="D504" s="731" t="n"/>
      <c r="E504" s="731" t="n"/>
      <c r="F504" s="731" t="n"/>
    </row>
    <row r="505" ht="15" customHeight="1">
      <c r="A505" s="1886" t="inlineStr">
        <is>
          <t>Loans - Past Due - Remaining Portion</t>
        </is>
      </c>
      <c r="B505" s="731" t="n"/>
      <c r="C505" s="731" t="n"/>
      <c r="D505" s="731" t="n"/>
      <c r="E505" s="731" t="n"/>
      <c r="F505" s="731" t="n"/>
    </row>
    <row r="506" ht="15" customHeight="1">
      <c r="A506" s="1885" t="inlineStr">
        <is>
          <t>Loans Purchased or Originated Credit-Impaired (POCI) - Gross, Total</t>
        </is>
      </c>
      <c r="B506" s="731" t="n"/>
      <c r="C506" s="731" t="n"/>
      <c r="D506" s="731" t="n"/>
      <c r="E506" s="731" t="n"/>
      <c r="F506" s="731" t="n"/>
    </row>
    <row r="507" ht="15" customHeight="1">
      <c r="A507" s="1885" t="inlineStr">
        <is>
          <t>Other Assets - Stage 1, Gross</t>
        </is>
      </c>
      <c r="B507" s="731" t="n"/>
      <c r="C507" s="731" t="n"/>
      <c r="D507" s="731" t="n"/>
      <c r="E507" s="731" t="n"/>
      <c r="F507" s="731" t="n"/>
    </row>
    <row r="508" ht="15" customHeight="1">
      <c r="A508" s="1885" t="inlineStr">
        <is>
          <t>Other Assets - Stage 2, Gross</t>
        </is>
      </c>
      <c r="B508" s="731" t="n"/>
      <c r="C508" s="731" t="n"/>
      <c r="D508" s="731" t="n"/>
      <c r="E508" s="731" t="n"/>
      <c r="F508" s="731" t="n"/>
    </row>
    <row r="509" ht="15" customHeight="1">
      <c r="A509" s="1885" t="inlineStr">
        <is>
          <t>Other Assets - Stage 3, Gross</t>
        </is>
      </c>
      <c r="B509" s="731" t="n"/>
      <c r="C509" s="731" t="n"/>
      <c r="D509" s="731" t="n"/>
      <c r="E509" s="731" t="n"/>
      <c r="F509" s="731" t="n"/>
    </row>
    <row r="510" ht="15" customHeight="1">
      <c r="A510" s="1885" t="inlineStr">
        <is>
          <t>Loans - Net Non-Performing - Company Reported</t>
        </is>
      </c>
      <c r="B510" s="731" t="n"/>
      <c r="C510" s="731" t="n"/>
      <c r="D510" s="731" t="n"/>
      <c r="E510" s="731" t="n"/>
      <c r="F510" s="731" t="n"/>
    </row>
    <row r="511" ht="15" customHeight="1">
      <c r="A511" s="1885" t="inlineStr">
        <is>
          <t>Loans - Net Non-Performing - %</t>
        </is>
      </c>
      <c r="B511" s="731" t="n"/>
      <c r="C511" s="731" t="n"/>
      <c r="D511" s="731" t="n"/>
      <c r="E511" s="731" t="n"/>
      <c r="F511" s="731" t="n"/>
    </row>
    <row r="512" ht="15" customHeight="1">
      <c r="A512" s="1885" t="inlineStr">
        <is>
          <t>Loans - Gross Non-Performing - As Reported</t>
        </is>
      </c>
      <c r="B512" s="731" t="n"/>
      <c r="C512" s="731" t="n"/>
      <c r="D512" s="731" t="n"/>
      <c r="E512" s="731" t="n"/>
      <c r="F512" s="731" t="n"/>
    </row>
    <row r="513" ht="15" customHeight="1">
      <c r="A513" s="1885" t="inlineStr">
        <is>
          <t>Loans - Gross Non-Performing - As Reported - %</t>
        </is>
      </c>
      <c r="B513" s="731" t="n"/>
      <c r="C513" s="731" t="n"/>
      <c r="D513" s="731" t="n"/>
      <c r="E513" s="731" t="n"/>
      <c r="F513" s="731" t="n"/>
    </row>
    <row r="514" ht="15" customHeight="1">
      <c r="A514" s="1885" t="inlineStr">
        <is>
          <t>Non-Performing Assets - Other than Loans - As Reported</t>
        </is>
      </c>
      <c r="B514" s="731" t="n"/>
      <c r="C514" s="731" t="n"/>
      <c r="D514" s="731" t="n"/>
      <c r="E514" s="731" t="n"/>
      <c r="F514" s="731" t="n"/>
    </row>
    <row r="515" ht="15" customHeight="1">
      <c r="A515" s="1885" t="inlineStr">
        <is>
          <t>Non-Performing Assets - Loans &amp; Other - As Reported</t>
        </is>
      </c>
      <c r="B515" s="731" t="n"/>
      <c r="C515" s="731" t="n"/>
      <c r="D515" s="731" t="n"/>
      <c r="E515" s="731" t="n"/>
      <c r="F515" s="731" t="n"/>
    </row>
    <row r="516" ht="15" customHeight="1">
      <c r="A516" s="1885" t="inlineStr">
        <is>
          <t>Interest Earning Assets - Average</t>
        </is>
      </c>
      <c r="B516" s="731" t="n"/>
      <c r="C516" s="731" t="n"/>
      <c r="D516" s="731" t="n"/>
      <c r="E516" s="731" t="n"/>
      <c r="F516" s="731" t="n"/>
    </row>
    <row r="517" ht="15" customHeight="1">
      <c r="A517" s="1885" t="inlineStr">
        <is>
          <t>Interest Bearing Liabilities - Average</t>
        </is>
      </c>
      <c r="B517" s="731" t="n"/>
      <c r="C517" s="731" t="n"/>
      <c r="D517" s="731" t="n"/>
      <c r="E517" s="731" t="n"/>
      <c r="F517" s="731" t="n"/>
    </row>
    <row r="518" ht="15" customHeight="1">
      <c r="A518" s="1885" t="inlineStr">
        <is>
          <t>Short-Term - Lending</t>
        </is>
      </c>
      <c r="B518" s="731" t="n"/>
      <c r="C518" s="731" t="n"/>
      <c r="D518" s="731" t="n"/>
      <c r="E518" s="731" t="n"/>
      <c r="F518" s="731" t="n"/>
    </row>
    <row r="519" ht="15" customHeight="1">
      <c r="A519" s="1885" t="inlineStr">
        <is>
          <t>Short-Term - Lending to Total Lending - %</t>
        </is>
      </c>
      <c r="B519" s="731" t="n"/>
      <c r="C519" s="731" t="n"/>
      <c r="D519" s="731" t="n"/>
      <c r="E519" s="731" t="n"/>
      <c r="F519" s="731" t="n"/>
    </row>
    <row r="520" ht="15" customHeight="1">
      <c r="A520" s="1885" t="inlineStr">
        <is>
          <t>Long-Term - Lending</t>
        </is>
      </c>
      <c r="B520" s="731" t="n"/>
      <c r="C520" s="731" t="n"/>
      <c r="D520" s="731" t="n"/>
      <c r="E520" s="731" t="n"/>
      <c r="F520" s="731" t="n"/>
    </row>
    <row r="521" ht="15" customHeight="1">
      <c r="A521" s="1885" t="inlineStr">
        <is>
          <t>Long-Term - Lending to Total Lending - %</t>
        </is>
      </c>
      <c r="B521" s="731" t="n"/>
      <c r="C521" s="731" t="n"/>
      <c r="D521" s="731" t="n"/>
      <c r="E521" s="731" t="n"/>
      <c r="F521" s="731" t="n"/>
    </row>
    <row r="522" ht="15" customHeight="1">
      <c r="A522" s="1885" t="inlineStr">
        <is>
          <t>Provision Coverage Ratio - %</t>
        </is>
      </c>
      <c r="B522" s="731" t="n"/>
      <c r="C522" s="731" t="n"/>
      <c r="D522" s="731" t="n"/>
      <c r="E522" s="731" t="n"/>
      <c r="F522" s="731" t="n"/>
    </row>
    <row r="523" ht="15" customHeight="1">
      <c r="A523" s="1885" t="inlineStr">
        <is>
          <t>CASA Ratio - %</t>
        </is>
      </c>
      <c r="B523" s="731" t="n"/>
      <c r="C523" s="731" t="n"/>
      <c r="D523" s="731" t="n"/>
      <c r="E523" s="731" t="n"/>
      <c r="F523" s="731" t="n"/>
    </row>
    <row r="524" ht="15" customHeight="1">
      <c r="A524" s="1885" t="inlineStr">
        <is>
          <t>Collection Efficiency Ratio - %</t>
        </is>
      </c>
      <c r="B524" s="731" t="n"/>
      <c r="C524" s="731" t="n"/>
      <c r="D524" s="731" t="n"/>
      <c r="E524" s="731" t="n"/>
      <c r="F524" s="731" t="n"/>
    </row>
    <row r="525" ht="15" customHeight="1">
      <c r="A525" s="1884" t="inlineStr">
        <is>
          <t>Employees</t>
        </is>
      </c>
      <c r="B525" s="734" t="n"/>
      <c r="C525" s="734" t="n"/>
      <c r="D525" s="734" t="n"/>
      <c r="E525" s="734" t="n"/>
      <c r="F525" s="734" t="n"/>
    </row>
    <row r="526" ht="15" customHeight="1">
      <c r="A526" s="1885" t="inlineStr">
        <is>
          <t>Employees - Full-Time/Full-Time Equivalents - Period End</t>
        </is>
      </c>
      <c r="B526" s="1892" t="n">
        <v>20</v>
      </c>
      <c r="C526" s="1892" t="n">
        <v>23</v>
      </c>
      <c r="D526" s="1892" t="n">
        <v>18</v>
      </c>
      <c r="E526" s="1892" t="n">
        <v>23</v>
      </c>
      <c r="F526" s="1892" t="n">
        <v>35</v>
      </c>
    </row>
    <row r="527" ht="15" customHeight="1">
      <c r="A527" s="1885" t="inlineStr">
        <is>
          <t>Employees - Full-Time/Full-Time Equivalents - Current Date</t>
        </is>
      </c>
      <c r="B527" s="1892" t="n">
        <v>20</v>
      </c>
      <c r="C527" s="1892" t="n">
        <v>23</v>
      </c>
      <c r="D527" s="1892" t="n">
        <v>18</v>
      </c>
      <c r="E527" s="1892" t="n">
        <v>23</v>
      </c>
      <c r="F527" s="1892" t="n">
        <v>35</v>
      </c>
    </row>
    <row r="528" ht="15" customHeight="1">
      <c r="A528" s="1885" t="inlineStr">
        <is>
          <t>Employees - Part-Time - Period End</t>
        </is>
      </c>
      <c r="B528" s="731" t="n"/>
      <c r="C528" s="731" t="n"/>
      <c r="D528" s="731" t="n"/>
      <c r="E528" s="731" t="n"/>
      <c r="F528" s="731" t="n"/>
    </row>
    <row r="529" ht="15" customHeight="1">
      <c r="A529" s="1885" t="inlineStr">
        <is>
          <t>Employees - Full-Time/Full-Time Equiv -Period End-Range High</t>
        </is>
      </c>
      <c r="B529" s="731" t="n"/>
      <c r="C529" s="731" t="n"/>
      <c r="D529" s="731" t="n"/>
      <c r="E529" s="731" t="n"/>
      <c r="F529" s="731" t="n"/>
    </row>
    <row r="530" ht="15" customHeight="1">
      <c r="A530" s="1885" t="inlineStr">
        <is>
          <t>Employees - Full-Time/Full-Time Equiv - Period End-Range Low</t>
        </is>
      </c>
      <c r="B530" s="731" t="n"/>
      <c r="C530" s="731" t="n"/>
      <c r="D530" s="731" t="n"/>
      <c r="E530" s="731" t="n"/>
      <c r="F530" s="731" t="n"/>
    </row>
    <row r="531" ht="15" customHeight="1">
      <c r="A531" s="1884" t="inlineStr">
        <is>
          <t>Japan Specific</t>
        </is>
      </c>
      <c r="B531" s="734" t="n"/>
      <c r="C531" s="734" t="n"/>
      <c r="D531" s="734" t="n"/>
      <c r="E531" s="734" t="n"/>
      <c r="F531" s="734" t="n"/>
    </row>
    <row r="532" ht="15" customHeight="1">
      <c r="A532" s="1885" t="inlineStr">
        <is>
          <t>Reported - Total Assets</t>
        </is>
      </c>
      <c r="B532" s="731" t="n"/>
      <c r="C532" s="731" t="n"/>
      <c r="D532" s="731" t="n"/>
      <c r="E532" s="731" t="n"/>
      <c r="F532" s="731" t="n"/>
    </row>
    <row r="533" ht="15" customHeight="1">
      <c r="A533" s="1885" t="inlineStr">
        <is>
          <t>Reported - Total Liabilities</t>
        </is>
      </c>
      <c r="B533" s="731" t="n"/>
      <c r="C533" s="731" t="n"/>
      <c r="D533" s="731" t="n"/>
      <c r="E533" s="731" t="n"/>
      <c r="F533" s="731" t="n"/>
    </row>
    <row r="534" ht="15" customHeight="1">
      <c r="A534" s="1885" t="inlineStr">
        <is>
          <t>Reported - Shareholders' Equity excluding New Stock Subscription</t>
        </is>
      </c>
      <c r="B534" s="731" t="n"/>
      <c r="C534" s="731" t="n"/>
      <c r="D534" s="731" t="n"/>
      <c r="E534" s="731" t="n"/>
      <c r="F534" s="731" t="n"/>
    </row>
    <row r="535" ht="15" customHeight="1">
      <c r="A535" s="1885" t="inlineStr">
        <is>
          <t>Reported – Shareholders’ Equity</t>
        </is>
      </c>
      <c r="B535" s="731" t="n"/>
      <c r="C535" s="731" t="n"/>
      <c r="D535" s="731" t="n"/>
      <c r="E535" s="731" t="n"/>
      <c r="F535" s="731" t="n"/>
    </row>
    <row r="536" ht="15" customHeight="1">
      <c r="A536" s="1885" t="inlineStr">
        <is>
          <t>Reported - Net Assets</t>
        </is>
      </c>
      <c r="B536" s="731" t="n"/>
      <c r="C536" s="731" t="n"/>
      <c r="D536" s="731" t="n"/>
      <c r="E536" s="731" t="n"/>
      <c r="F536" s="731" t="n"/>
    </row>
    <row r="537" ht="15" customHeight="1">
      <c r="A537" s="1885" t="inlineStr">
        <is>
          <t>Reported - Net Assets to Total Assets</t>
        </is>
      </c>
      <c r="B537" s="731" t="n"/>
      <c r="C537" s="731" t="n"/>
      <c r="D537" s="731" t="n"/>
      <c r="E537" s="731" t="n"/>
      <c r="F537" s="731" t="n"/>
    </row>
    <row r="538" ht="15" customHeight="1">
      <c r="A538" s="1885" t="inlineStr">
        <is>
          <t>Reported - Return on Assets</t>
        </is>
      </c>
      <c r="B538" s="731" t="n"/>
      <c r="C538" s="731" t="n"/>
      <c r="D538" s="731" t="n"/>
      <c r="E538" s="731" t="n"/>
      <c r="F538" s="731" t="n"/>
    </row>
    <row r="539" ht="15" customHeight="1">
      <c r="A539" s="1885" t="inlineStr">
        <is>
          <t>Reported - Return on Equity</t>
        </is>
      </c>
      <c r="B539" s="731" t="n"/>
      <c r="C539" s="731" t="n"/>
      <c r="D539" s="731" t="n"/>
      <c r="E539" s="731" t="n"/>
      <c r="F539" s="731" t="n"/>
    </row>
  </sheetData>
  <pageMargins left="0.5" right="0.5" top="1" bottom="1" header="0.511811023622047" footer="0.511811023622047"/>
  <pageSetup orientation="portrait" fitToHeight="0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204"/>
  <sheetViews>
    <sheetView zoomScaleNormal="100" workbookViewId="0">
      <selection activeCell="L3" sqref="L3"/>
    </sheetView>
  </sheetViews>
  <sheetFormatPr baseColWidth="8" defaultColWidth="8.5703125" defaultRowHeight="14.25"/>
  <cols>
    <col width="13.5703125" customWidth="1" min="1" max="1"/>
    <col width="12.28515625" customWidth="1" min="2" max="2"/>
    <col width="11" customWidth="1" min="5" max="5"/>
    <col width="16.140625" customWidth="1" min="6" max="6"/>
    <col width="10.140625" customWidth="1" min="7" max="7"/>
    <col width="11" customWidth="1" min="8" max="8"/>
    <col width="11.85546875" customWidth="1" min="10" max="10"/>
    <col width="17.5703125" customWidth="1" min="11" max="11"/>
  </cols>
  <sheetData>
    <row r="1" ht="14.25" customHeight="1">
      <c r="A1" s="796" t="n"/>
      <c r="B1" s="1914" t="inlineStr">
        <is>
          <t>IHSG</t>
        </is>
      </c>
      <c r="C1" s="1914" t="inlineStr">
        <is>
          <t>WIFI</t>
        </is>
      </c>
      <c r="D1" s="1914" t="inlineStr">
        <is>
          <t>IHSG</t>
        </is>
      </c>
      <c r="E1" s="1914" t="inlineStr">
        <is>
          <t>BETA</t>
        </is>
      </c>
      <c r="F1" s="890" t="n"/>
      <c r="G1" s="1914" t="inlineStr">
        <is>
          <t>IHSG</t>
        </is>
      </c>
      <c r="H1" s="1914" t="inlineStr">
        <is>
          <t>WIFI</t>
        </is>
      </c>
    </row>
    <row r="2" ht="14.25" customHeight="1">
      <c r="A2" s="1915" t="inlineStr">
        <is>
          <t>Tanggal</t>
        </is>
      </c>
      <c r="B2" s="1916" t="inlineStr">
        <is>
          <t>Price</t>
        </is>
      </c>
      <c r="D2" s="1916" t="inlineStr">
        <is>
          <t>Return</t>
        </is>
      </c>
      <c r="F2" s="1917" t="inlineStr">
        <is>
          <t>Risk Free Return</t>
        </is>
      </c>
      <c r="G2" s="1914" t="inlineStr">
        <is>
          <t>Excess Daily Return</t>
        </is>
      </c>
      <c r="K2" s="1252" t="inlineStr">
        <is>
          <t>Risk Free Rate</t>
        </is>
      </c>
      <c r="L2" s="1918" t="n">
        <v>0.0696</v>
      </c>
    </row>
    <row r="3" ht="14.25" customHeight="1">
      <c r="A3" s="1933" t="inlineStr">
        <is>
          <t>21/08/2026</t>
        </is>
      </c>
      <c r="B3" s="1563" t="n">
        <v>6526</v>
      </c>
      <c r="C3" s="1934" t="n">
        <v>2090</v>
      </c>
      <c r="D3" s="1921">
        <f>B3/B4-1</f>
        <v/>
      </c>
      <c r="E3" s="1921">
        <f>C3/C4-1</f>
        <v/>
      </c>
      <c r="F3" s="1921">
        <f>$L$2/365</f>
        <v/>
      </c>
      <c r="G3" s="1921">
        <f>D3-F3</f>
        <v/>
      </c>
      <c r="H3" s="1921">
        <f>E3-F3</f>
        <v/>
      </c>
      <c r="K3" s="1252" t="inlineStr">
        <is>
          <t>Beta</t>
        </is>
      </c>
      <c r="L3" s="1935">
        <f>SLOPE(E3:E1198,D3:D1198)</f>
        <v/>
      </c>
    </row>
    <row r="4" ht="14.25" customHeight="1">
      <c r="A4" s="1936" t="inlineStr">
        <is>
          <t>20/08/2026</t>
        </is>
      </c>
      <c r="B4" s="1563" t="n">
        <v>6502</v>
      </c>
      <c r="C4" s="1937" t="n">
        <v>2120</v>
      </c>
      <c r="D4" s="1921">
        <f>B4/B5-1</f>
        <v/>
      </c>
      <c r="E4" s="1921">
        <f>C4/C5-1</f>
        <v/>
      </c>
      <c r="F4" s="1921">
        <f>$L$2/365</f>
        <v/>
      </c>
      <c r="G4" s="1921">
        <f>D4-F4</f>
        <v/>
      </c>
      <c r="H4" s="1921">
        <f>E4-F4</f>
        <v/>
      </c>
    </row>
    <row r="5" ht="14.25" customHeight="1">
      <c r="A5" s="1933" t="inlineStr">
        <is>
          <t>19/08/2026</t>
        </is>
      </c>
      <c r="B5" s="1563" t="n">
        <v>6394</v>
      </c>
      <c r="C5" s="1934" t="n">
        <v>2060</v>
      </c>
      <c r="D5" s="1921">
        <f>B5/B6-1</f>
        <v/>
      </c>
      <c r="E5" s="1921">
        <f>C5/C6-1</f>
        <v/>
      </c>
      <c r="F5" s="1921">
        <f>$L$2/365</f>
        <v/>
      </c>
      <c r="G5" s="1921">
        <f>D5-F5</f>
        <v/>
      </c>
      <c r="H5" s="1921">
        <f>E5-F5</f>
        <v/>
      </c>
    </row>
    <row r="6" ht="14.25" customHeight="1">
      <c r="A6" s="1936" t="inlineStr">
        <is>
          <t>18/08/2026</t>
        </is>
      </c>
      <c r="B6" s="1563" t="n">
        <v>6450</v>
      </c>
      <c r="C6" s="1937" t="n">
        <v>2120</v>
      </c>
      <c r="D6" s="1921">
        <f>B6/B7-1</f>
        <v/>
      </c>
      <c r="E6" s="1921">
        <f>C6/C7-1</f>
        <v/>
      </c>
      <c r="F6" s="1921">
        <f>$L$2/365</f>
        <v/>
      </c>
      <c r="G6" s="1921">
        <f>D6-F6</f>
        <v/>
      </c>
      <c r="H6" s="1921">
        <f>E6-F6</f>
        <v/>
      </c>
    </row>
    <row r="7" ht="14.25" customHeight="1">
      <c r="A7" s="1933" t="inlineStr">
        <is>
          <t>14/08/2026</t>
        </is>
      </c>
      <c r="B7" s="1563" t="n">
        <v>6402</v>
      </c>
      <c r="C7" s="1934" t="n">
        <v>1935</v>
      </c>
      <c r="D7" s="1921">
        <f>B7/B8-1</f>
        <v/>
      </c>
      <c r="E7" s="1921">
        <f>C7/C8-1</f>
        <v/>
      </c>
      <c r="F7" s="1921">
        <f>$L$2/365</f>
        <v/>
      </c>
      <c r="G7" s="1921">
        <f>D7-F7</f>
        <v/>
      </c>
      <c r="H7" s="1921">
        <f>E7-F7</f>
        <v/>
      </c>
    </row>
    <row r="8" ht="14.25" customHeight="1">
      <c r="A8" s="1936" t="inlineStr">
        <is>
          <t>13/08/2026</t>
        </is>
      </c>
      <c r="B8" s="1563" t="n">
        <v>6302</v>
      </c>
      <c r="C8" s="1937" t="n">
        <v>1905</v>
      </c>
      <c r="D8" s="1921">
        <f>B8/B9-1</f>
        <v/>
      </c>
      <c r="E8" s="1921">
        <f>C8/C9-1</f>
        <v/>
      </c>
      <c r="F8" s="1921">
        <f>$L$2/365</f>
        <v/>
      </c>
      <c r="G8" s="1921">
        <f>D8-F8</f>
        <v/>
      </c>
      <c r="H8" s="1921">
        <f>E8-F8</f>
        <v/>
      </c>
    </row>
    <row r="9" ht="14.25" customHeight="1">
      <c r="A9" s="1933" t="inlineStr">
        <is>
          <t>12/08/2026</t>
        </is>
      </c>
      <c r="B9" s="1563" t="n">
        <v>6374</v>
      </c>
      <c r="C9" s="1934" t="n">
        <v>1965</v>
      </c>
      <c r="D9" s="1921">
        <f>B9/B10-1</f>
        <v/>
      </c>
      <c r="E9" s="1921">
        <f>C9/C10-1</f>
        <v/>
      </c>
      <c r="F9" s="1921">
        <f>$L$2/365</f>
        <v/>
      </c>
      <c r="G9" s="1921">
        <f>D9-F9</f>
        <v/>
      </c>
      <c r="H9" s="1921">
        <f>E9-F9</f>
        <v/>
      </c>
      <c r="K9" s="891" t="n"/>
      <c r="L9" s="1234" t="n"/>
    </row>
    <row r="10" ht="14.25" customHeight="1">
      <c r="A10" s="1936" t="inlineStr">
        <is>
          <t>11/08/2026</t>
        </is>
      </c>
      <c r="B10" s="1563" t="n">
        <v>6268</v>
      </c>
      <c r="C10" s="1937" t="n">
        <v>1885</v>
      </c>
      <c r="D10" s="1921">
        <f>B10/B11-1</f>
        <v/>
      </c>
      <c r="E10" s="1921">
        <f>C10/C11-1</f>
        <v/>
      </c>
      <c r="F10" s="1921">
        <f>$L$2/365</f>
        <v/>
      </c>
      <c r="G10" s="1921">
        <f>D10-F10</f>
        <v/>
      </c>
      <c r="H10" s="1921">
        <f>E10-F10</f>
        <v/>
      </c>
    </row>
    <row r="11" ht="14.25" customHeight="1">
      <c r="A11" s="1933" t="inlineStr">
        <is>
          <t>10/08/2026</t>
        </is>
      </c>
      <c r="B11" s="1563" t="n">
        <v>6365</v>
      </c>
      <c r="C11" s="1934" t="n">
        <v>1975</v>
      </c>
      <c r="D11" s="1921">
        <f>B11/B12-1</f>
        <v/>
      </c>
      <c r="E11" s="1921">
        <f>C11/C12-1</f>
        <v/>
      </c>
      <c r="F11" s="1921">
        <f>$L$2/365</f>
        <v/>
      </c>
      <c r="G11" s="1921">
        <f>D11-F11</f>
        <v/>
      </c>
      <c r="H11" s="1921">
        <f>E11-F11</f>
        <v/>
      </c>
    </row>
    <row r="12" ht="14.25" customHeight="1">
      <c r="A12" s="1936" t="inlineStr">
        <is>
          <t>07/08/2026</t>
        </is>
      </c>
      <c r="B12" s="1563" t="n">
        <v>6410</v>
      </c>
      <c r="C12" s="1937" t="n">
        <v>2020</v>
      </c>
      <c r="D12" s="1921">
        <f>B12/B13-1</f>
        <v/>
      </c>
      <c r="E12" s="1921">
        <f>C12/C13-1</f>
        <v/>
      </c>
      <c r="F12" s="1921">
        <f>$L$2/365</f>
        <v/>
      </c>
      <c r="G12" s="1921">
        <f>D12-F12</f>
        <v/>
      </c>
      <c r="H12" s="1921">
        <f>E12-F12</f>
        <v/>
      </c>
    </row>
    <row r="13" ht="14.25" customHeight="1">
      <c r="A13" s="1933" t="inlineStr">
        <is>
          <t>06/08/2026</t>
        </is>
      </c>
      <c r="B13" s="1563" t="n">
        <v>6344</v>
      </c>
      <c r="C13" s="1934" t="n">
        <v>1965</v>
      </c>
      <c r="D13" s="1921">
        <f>B13/B14-1</f>
        <v/>
      </c>
      <c r="E13" s="1921">
        <f>C13/C14-1</f>
        <v/>
      </c>
      <c r="F13" s="1921">
        <f>$L$2/365</f>
        <v/>
      </c>
      <c r="G13" s="1921">
        <f>D13-F13</f>
        <v/>
      </c>
      <c r="H13" s="1921">
        <f>E13-F13</f>
        <v/>
      </c>
    </row>
    <row r="14" ht="14.25" customHeight="1">
      <c r="A14" s="1936" t="inlineStr">
        <is>
          <t>05/08/2026</t>
        </is>
      </c>
      <c r="B14" s="1563" t="n">
        <v>6351</v>
      </c>
      <c r="C14" s="1937" t="n">
        <v>1980</v>
      </c>
      <c r="D14" s="1921">
        <f>B14/B15-1</f>
        <v/>
      </c>
      <c r="E14" s="1921">
        <f>C14/C15-1</f>
        <v/>
      </c>
      <c r="F14" s="1921">
        <f>$L$2/365</f>
        <v/>
      </c>
      <c r="G14" s="1921">
        <f>D14-F14</f>
        <v/>
      </c>
      <c r="H14" s="1921">
        <f>E14-F14</f>
        <v/>
      </c>
      <c r="K14" s="806" t="n"/>
      <c r="L14" s="806" t="n"/>
    </row>
    <row r="15" ht="14.25" customHeight="1">
      <c r="A15" s="1933" t="inlineStr">
        <is>
          <t>04/08/2026</t>
        </is>
      </c>
      <c r="B15" s="1563" t="n">
        <v>6320</v>
      </c>
      <c r="C15" s="1934" t="n">
        <v>1950</v>
      </c>
      <c r="D15" s="1921">
        <f>B15/B16-1</f>
        <v/>
      </c>
      <c r="E15" s="1921">
        <f>C15/C16-1</f>
        <v/>
      </c>
      <c r="F15" s="1921">
        <f>$L$2/365</f>
        <v/>
      </c>
      <c r="G15" s="1921">
        <f>D15-F15</f>
        <v/>
      </c>
      <c r="H15" s="1921">
        <f>E15-F15</f>
        <v/>
      </c>
    </row>
    <row r="16" ht="14.25" customHeight="1">
      <c r="A16" s="1936" t="inlineStr">
        <is>
          <t>03/08/2026</t>
        </is>
      </c>
      <c r="B16" s="1563" t="n">
        <v>6234</v>
      </c>
      <c r="C16" s="1937" t="n">
        <v>1960</v>
      </c>
      <c r="D16" s="1921">
        <f>B16/B17-1</f>
        <v/>
      </c>
      <c r="E16" s="1921">
        <f>C16/C17-1</f>
        <v/>
      </c>
      <c r="F16" s="1921">
        <f>$L$2/365</f>
        <v/>
      </c>
      <c r="G16" s="1921">
        <f>D16-F16</f>
        <v/>
      </c>
      <c r="H16" s="1921">
        <f>E16-F16</f>
        <v/>
      </c>
    </row>
    <row r="17" ht="14.25" customHeight="1">
      <c r="A17" s="1933" t="inlineStr">
        <is>
          <t>31/07/2026</t>
        </is>
      </c>
      <c r="B17" s="1563" t="n">
        <v>6236</v>
      </c>
      <c r="C17" s="1934" t="n">
        <v>2000</v>
      </c>
      <c r="D17" s="1921">
        <f>B17/B18-1</f>
        <v/>
      </c>
      <c r="E17" s="1921">
        <f>C17/C18-1</f>
        <v/>
      </c>
      <c r="F17" s="1921">
        <f>$L$2/365</f>
        <v/>
      </c>
      <c r="G17" s="1921">
        <f>D17-F17</f>
        <v/>
      </c>
      <c r="H17" s="1921">
        <f>E17-F17</f>
        <v/>
      </c>
      <c r="K17" s="891" t="n"/>
      <c r="L17" s="891" t="n"/>
      <c r="M17" s="891" t="n"/>
      <c r="N17" s="891" t="n"/>
      <c r="O17" s="891" t="n"/>
      <c r="P17" s="891" t="n"/>
    </row>
    <row r="18" ht="14.25" customHeight="1">
      <c r="A18" s="1936" t="inlineStr">
        <is>
          <t>30/07/2026</t>
        </is>
      </c>
      <c r="B18" s="1563" t="n">
        <v>6186</v>
      </c>
      <c r="C18" s="1937" t="n">
        <v>1970</v>
      </c>
      <c r="D18" s="1921">
        <f>B18/B19-1</f>
        <v/>
      </c>
      <c r="E18" s="1921">
        <f>C18/C19-1</f>
        <v/>
      </c>
      <c r="F18" s="1921">
        <f>$L$2/365</f>
        <v/>
      </c>
      <c r="G18" s="1921">
        <f>D18-F18</f>
        <v/>
      </c>
      <c r="H18" s="1921">
        <f>E18-F18</f>
        <v/>
      </c>
    </row>
    <row r="19" ht="14.25" customHeight="1">
      <c r="A19" s="1933" t="inlineStr">
        <is>
          <t>29/07/2026</t>
        </is>
      </c>
      <c r="B19" s="1563" t="n">
        <v>6091</v>
      </c>
      <c r="C19" s="1934" t="n">
        <v>1960</v>
      </c>
      <c r="D19" s="1921">
        <f>B19/B20-1</f>
        <v/>
      </c>
      <c r="E19" s="1921">
        <f>C19/C20-1</f>
        <v/>
      </c>
      <c r="F19" s="1921">
        <f>$L$2/365</f>
        <v/>
      </c>
      <c r="G19" s="1921">
        <f>D19-F19</f>
        <v/>
      </c>
      <c r="H19" s="1921">
        <f>E19-F19</f>
        <v/>
      </c>
    </row>
    <row r="20" ht="14.25" customHeight="1">
      <c r="A20" s="1936" t="inlineStr">
        <is>
          <t>28/07/2026</t>
        </is>
      </c>
      <c r="B20" s="1563" t="n">
        <v>6131</v>
      </c>
      <c r="C20" s="1937" t="n">
        <v>2000</v>
      </c>
      <c r="D20" s="1921">
        <f>B20/B21-1</f>
        <v/>
      </c>
      <c r="E20" s="1921">
        <f>C20/C21-1</f>
        <v/>
      </c>
      <c r="F20" s="1921">
        <f>$L$2/365</f>
        <v/>
      </c>
      <c r="G20" s="1921">
        <f>D20-F20</f>
        <v/>
      </c>
      <c r="H20" s="1921">
        <f>E20-F20</f>
        <v/>
      </c>
      <c r="K20" s="806" t="n"/>
      <c r="L20" s="806" t="n"/>
      <c r="M20" s="806" t="n"/>
      <c r="N20" s="806" t="n"/>
      <c r="O20" s="806" t="n"/>
      <c r="P20" s="806" t="n"/>
    </row>
    <row r="21" ht="14.25" customHeight="1">
      <c r="A21" s="1933" t="inlineStr">
        <is>
          <t>27/07/2026</t>
        </is>
      </c>
      <c r="B21" s="1563" t="n">
        <v>6186</v>
      </c>
      <c r="C21" s="1934" t="n">
        <v>2010</v>
      </c>
      <c r="D21" s="1921">
        <f>B21/B22-1</f>
        <v/>
      </c>
      <c r="E21" s="1921">
        <f>C21/C22-1</f>
        <v/>
      </c>
      <c r="F21" s="1921">
        <f>$L$2/365</f>
        <v/>
      </c>
      <c r="G21" s="1921">
        <f>D21-F21</f>
        <v/>
      </c>
      <c r="H21" s="1921">
        <f>E21-F21</f>
        <v/>
      </c>
    </row>
    <row r="22" ht="14.25" customHeight="1">
      <c r="A22" s="1936" t="inlineStr">
        <is>
          <t>24/07/2026</t>
        </is>
      </c>
      <c r="B22" s="1563" t="n">
        <v>6196</v>
      </c>
      <c r="C22" s="1937" t="n">
        <v>1940</v>
      </c>
      <c r="D22" s="1921">
        <f>B22/B23-1</f>
        <v/>
      </c>
      <c r="E22" s="1921">
        <f>C22/C23-1</f>
        <v/>
      </c>
      <c r="F22" s="1921">
        <f>$L$2/365</f>
        <v/>
      </c>
      <c r="G22" s="1921">
        <f>D22-F22</f>
        <v/>
      </c>
      <c r="H22" s="1921">
        <f>E22-F22</f>
        <v/>
      </c>
      <c r="K22" s="891" t="n"/>
      <c r="L22" s="891" t="n"/>
      <c r="M22" s="891" t="n"/>
      <c r="N22" s="891" t="n"/>
      <c r="O22" s="891" t="n"/>
      <c r="P22" s="891" t="n"/>
      <c r="Q22" s="891" t="n"/>
      <c r="R22" s="891" t="n"/>
      <c r="S22" s="891" t="n"/>
    </row>
    <row r="23" ht="14.25" customHeight="1">
      <c r="A23" s="1933" t="inlineStr">
        <is>
          <t>23/07/2026</t>
        </is>
      </c>
      <c r="B23" s="1563" t="n">
        <v>6315</v>
      </c>
      <c r="C23" s="1934" t="n">
        <v>2030</v>
      </c>
      <c r="D23" s="1921">
        <f>B23/B24-1</f>
        <v/>
      </c>
      <c r="E23" s="1921">
        <f>C23/C24-1</f>
        <v/>
      </c>
      <c r="F23" s="1921">
        <f>$L$2/365</f>
        <v/>
      </c>
      <c r="G23" s="1921">
        <f>D23-F23</f>
        <v/>
      </c>
      <c r="H23" s="1921">
        <f>E23-F23</f>
        <v/>
      </c>
    </row>
    <row r="24" ht="14.25" customHeight="1">
      <c r="A24" s="1936" t="inlineStr">
        <is>
          <t>22/07/2026</t>
        </is>
      </c>
      <c r="B24" s="1563" t="n">
        <v>6334</v>
      </c>
      <c r="C24" s="1937" t="n">
        <v>2050</v>
      </c>
      <c r="D24" s="1921">
        <f>B24/B25-1</f>
        <v/>
      </c>
      <c r="E24" s="1921">
        <f>C24/C25-1</f>
        <v/>
      </c>
      <c r="F24" s="1921">
        <f>$L$2/365</f>
        <v/>
      </c>
      <c r="G24" s="1921">
        <f>D24-F24</f>
        <v/>
      </c>
      <c r="H24" s="1921">
        <f>E24-F24</f>
        <v/>
      </c>
      <c r="K24" s="806" t="n"/>
      <c r="L24" s="806" t="n"/>
      <c r="M24" s="806" t="n"/>
      <c r="N24" s="806" t="n"/>
      <c r="O24" s="806" t="n"/>
      <c r="P24" s="806" t="n"/>
      <c r="Q24" s="806" t="n"/>
      <c r="R24" s="806" t="n"/>
      <c r="S24" s="806" t="n"/>
    </row>
    <row r="25" ht="14.25" customHeight="1">
      <c r="A25" s="1933" t="inlineStr">
        <is>
          <t>21/07/2026</t>
        </is>
      </c>
      <c r="B25" s="1563" t="n">
        <v>6340</v>
      </c>
      <c r="C25" s="1934" t="n">
        <v>2060</v>
      </c>
      <c r="D25" s="1921">
        <f>B25/B26-1</f>
        <v/>
      </c>
      <c r="E25" s="1921">
        <f>C25/C26-1</f>
        <v/>
      </c>
      <c r="F25" s="1921">
        <f>$L$2/365</f>
        <v/>
      </c>
      <c r="G25" s="1921">
        <f>D25-F25</f>
        <v/>
      </c>
      <c r="H25" s="1921">
        <f>E25-F25</f>
        <v/>
      </c>
    </row>
    <row r="26" ht="14.25" customHeight="1">
      <c r="A26" s="1936" t="inlineStr">
        <is>
          <t>20/07/2026</t>
        </is>
      </c>
      <c r="B26" s="1563" t="n">
        <v>6232</v>
      </c>
      <c r="C26" s="1937" t="n">
        <v>2000</v>
      </c>
      <c r="D26" s="1921">
        <f>B26/B27-1</f>
        <v/>
      </c>
      <c r="E26" s="1921">
        <f>C26/C27-1</f>
        <v/>
      </c>
      <c r="F26" s="1921">
        <f>$L$2/365</f>
        <v/>
      </c>
      <c r="G26" s="1921">
        <f>D26-F26</f>
        <v/>
      </c>
      <c r="H26" s="1921">
        <f>E26-F26</f>
        <v/>
      </c>
    </row>
    <row r="27" ht="14.25" customHeight="1">
      <c r="A27" s="1933" t="inlineStr">
        <is>
          <t>17/07/2026</t>
        </is>
      </c>
      <c r="B27" s="1563" t="n">
        <v>6176</v>
      </c>
      <c r="C27" s="1934" t="n">
        <v>1995</v>
      </c>
      <c r="D27" s="1921">
        <f>B27/B28-1</f>
        <v/>
      </c>
      <c r="E27" s="1921">
        <f>C27/C28-1</f>
        <v/>
      </c>
      <c r="F27" s="1921">
        <f>$L$2/365</f>
        <v/>
      </c>
      <c r="G27" s="1921">
        <f>D27-F27</f>
        <v/>
      </c>
      <c r="H27" s="1921">
        <f>E27-F27</f>
        <v/>
      </c>
    </row>
    <row r="28" ht="14.25" customHeight="1">
      <c r="A28" s="1936" t="inlineStr">
        <is>
          <t>16/07/2026</t>
        </is>
      </c>
      <c r="B28" s="1563" t="n">
        <v>6108</v>
      </c>
      <c r="C28" s="1937" t="n">
        <v>2040</v>
      </c>
      <c r="D28" s="1921">
        <f>B28/B29-1</f>
        <v/>
      </c>
      <c r="E28" s="1921">
        <f>C28/C29-1</f>
        <v/>
      </c>
      <c r="F28" s="1921">
        <f>$L$2/365</f>
        <v/>
      </c>
      <c r="G28" s="1921">
        <f>D28-F28</f>
        <v/>
      </c>
      <c r="H28" s="1921">
        <f>E28-F28</f>
        <v/>
      </c>
    </row>
    <row r="29" ht="14.25" customHeight="1">
      <c r="A29" s="1933" t="inlineStr">
        <is>
          <t>15/07/2026</t>
        </is>
      </c>
      <c r="B29" s="1563" t="n">
        <v>6042</v>
      </c>
      <c r="C29" s="1934" t="n">
        <v>1850</v>
      </c>
      <c r="D29" s="1921">
        <f>B29/B30-1</f>
        <v/>
      </c>
      <c r="E29" s="1921">
        <f>C29/C30-1</f>
        <v/>
      </c>
      <c r="F29" s="1921">
        <f>$L$2/365</f>
        <v/>
      </c>
      <c r="G29" s="1921">
        <f>D29-F29</f>
        <v/>
      </c>
      <c r="H29" s="1921">
        <f>E29-F29</f>
        <v/>
      </c>
    </row>
    <row r="30" ht="14.25" customHeight="1">
      <c r="A30" s="1936" t="inlineStr">
        <is>
          <t>14/07/2026</t>
        </is>
      </c>
      <c r="B30" s="1563" t="n">
        <v>6040</v>
      </c>
      <c r="C30" s="1937" t="n">
        <v>1830</v>
      </c>
      <c r="D30" s="1921">
        <f>B30/B31-1</f>
        <v/>
      </c>
      <c r="E30" s="1921">
        <f>C30/C31-1</f>
        <v/>
      </c>
      <c r="F30" s="1921">
        <f>$L$2/365</f>
        <v/>
      </c>
      <c r="G30" s="1921">
        <f>D30-F30</f>
        <v/>
      </c>
      <c r="H30" s="1921">
        <f>E30-F30</f>
        <v/>
      </c>
    </row>
    <row r="31" ht="14.25" customHeight="1">
      <c r="A31" s="1933" t="inlineStr">
        <is>
          <t>13/07/2026</t>
        </is>
      </c>
      <c r="B31" s="1563" t="n">
        <v>6038</v>
      </c>
      <c r="C31" s="1934" t="n">
        <v>1670</v>
      </c>
      <c r="D31" s="1921">
        <f>B31/B32-1</f>
        <v/>
      </c>
      <c r="E31" s="1921">
        <f>C31/C32-1</f>
        <v/>
      </c>
      <c r="F31" s="1921">
        <f>$L$2/365</f>
        <v/>
      </c>
      <c r="G31" s="1921">
        <f>D31-F31</f>
        <v/>
      </c>
      <c r="H31" s="1921">
        <f>E31-F31</f>
        <v/>
      </c>
    </row>
    <row r="32" ht="14.25" customHeight="1">
      <c r="A32" s="1936" t="inlineStr">
        <is>
          <t>10/07/2026</t>
        </is>
      </c>
      <c r="B32" s="1563" t="n">
        <v>5924</v>
      </c>
      <c r="C32" s="1937" t="n">
        <v>1655</v>
      </c>
      <c r="D32" s="1921">
        <f>B32/B33-1</f>
        <v/>
      </c>
      <c r="E32" s="1921">
        <f>C32/C33-1</f>
        <v/>
      </c>
      <c r="F32" s="1921">
        <f>$L$2/365</f>
        <v/>
      </c>
      <c r="G32" s="1921">
        <f>D32-F32</f>
        <v/>
      </c>
      <c r="H32" s="1921">
        <f>E32-F32</f>
        <v/>
      </c>
    </row>
    <row r="33" ht="14.25" customHeight="1">
      <c r="A33" s="1933" t="inlineStr">
        <is>
          <t>09/07/2026</t>
        </is>
      </c>
      <c r="B33" s="1563" t="n">
        <v>5912</v>
      </c>
      <c r="C33" s="1934" t="n">
        <v>1640</v>
      </c>
      <c r="D33" s="1921">
        <f>B33/B34-1</f>
        <v/>
      </c>
      <c r="E33" s="1921">
        <f>C33/C34-1</f>
        <v/>
      </c>
      <c r="F33" s="1921">
        <f>$L$2/365</f>
        <v/>
      </c>
      <c r="G33" s="1921">
        <f>D33-F33</f>
        <v/>
      </c>
      <c r="H33" s="1921">
        <f>E33-F33</f>
        <v/>
      </c>
    </row>
    <row r="34" ht="14.25" customHeight="1">
      <c r="A34" s="1936" t="inlineStr">
        <is>
          <t>08/07/2026</t>
        </is>
      </c>
      <c r="B34" s="1563" t="n">
        <v>5873</v>
      </c>
      <c r="C34" s="1937" t="n">
        <v>1640</v>
      </c>
      <c r="D34" s="1921">
        <f>B34/B35-1</f>
        <v/>
      </c>
      <c r="E34" s="1921">
        <f>C34/C35-1</f>
        <v/>
      </c>
      <c r="F34" s="1921">
        <f>$L$2/365</f>
        <v/>
      </c>
      <c r="G34" s="1921">
        <f>D34-F34</f>
        <v/>
      </c>
      <c r="H34" s="1921">
        <f>E34-F34</f>
        <v/>
      </c>
    </row>
    <row r="35" ht="14.25" customHeight="1">
      <c r="A35" s="1933" t="inlineStr">
        <is>
          <t>07/07/2026</t>
        </is>
      </c>
      <c r="B35" s="1563" t="n">
        <v>5986</v>
      </c>
      <c r="C35" s="1934" t="n">
        <v>1735</v>
      </c>
      <c r="D35" s="1921">
        <f>B35/B36-1</f>
        <v/>
      </c>
      <c r="E35" s="1921">
        <f>C35/C36-1</f>
        <v/>
      </c>
      <c r="F35" s="1921">
        <f>$L$2/365</f>
        <v/>
      </c>
      <c r="G35" s="1921">
        <f>D35-F35</f>
        <v/>
      </c>
      <c r="H35" s="1921">
        <f>E35-F35</f>
        <v/>
      </c>
    </row>
    <row r="36" ht="14.25" customHeight="1">
      <c r="A36" s="1936" t="inlineStr">
        <is>
          <t>06/07/2026</t>
        </is>
      </c>
      <c r="B36" s="1563" t="n">
        <v>5916</v>
      </c>
      <c r="C36" s="1937" t="n">
        <v>1725</v>
      </c>
      <c r="D36" s="1921">
        <f>B36/B37-1</f>
        <v/>
      </c>
      <c r="E36" s="1921">
        <f>C36/C37-1</f>
        <v/>
      </c>
      <c r="F36" s="1921">
        <f>$L$2/365</f>
        <v/>
      </c>
      <c r="G36" s="1921">
        <f>D36-F36</f>
        <v/>
      </c>
      <c r="H36" s="1921">
        <f>E36-F36</f>
        <v/>
      </c>
    </row>
    <row r="37" ht="14.25" customHeight="1">
      <c r="A37" s="1933" t="inlineStr">
        <is>
          <t>03/07/2026</t>
        </is>
      </c>
      <c r="B37" s="1563" t="n">
        <v>5876</v>
      </c>
      <c r="C37" s="1934" t="n">
        <v>1720</v>
      </c>
      <c r="D37" s="1921">
        <f>B37/B38-1</f>
        <v/>
      </c>
      <c r="E37" s="1921">
        <f>C37/C38-1</f>
        <v/>
      </c>
      <c r="F37" s="1921">
        <f>$L$2/365</f>
        <v/>
      </c>
      <c r="G37" s="1921">
        <f>D37-F37</f>
        <v/>
      </c>
      <c r="H37" s="1921">
        <f>E37-F37</f>
        <v/>
      </c>
    </row>
    <row r="38" ht="14.25" customHeight="1">
      <c r="A38" s="1936" t="inlineStr">
        <is>
          <t>02/07/2026</t>
        </is>
      </c>
      <c r="B38" s="1563" t="n">
        <v>5745</v>
      </c>
      <c r="C38" s="1937" t="n">
        <v>1715</v>
      </c>
      <c r="D38" s="1921">
        <f>B38/B39-1</f>
        <v/>
      </c>
      <c r="E38" s="1921">
        <f>C38/C39-1</f>
        <v/>
      </c>
      <c r="F38" s="1921">
        <f>$L$2/365</f>
        <v/>
      </c>
      <c r="G38" s="1921">
        <f>D38-F38</f>
        <v/>
      </c>
      <c r="H38" s="1921">
        <f>E38-F38</f>
        <v/>
      </c>
    </row>
    <row r="39" ht="14.25" customHeight="1">
      <c r="A39" s="1933" t="inlineStr">
        <is>
          <t>01/07/2026</t>
        </is>
      </c>
      <c r="B39" s="1563" t="n">
        <v>5695</v>
      </c>
      <c r="C39" s="1934" t="n">
        <v>1600</v>
      </c>
      <c r="D39" s="1921">
        <f>B39/B40-1</f>
        <v/>
      </c>
      <c r="E39" s="1921">
        <f>C39/C40-1</f>
        <v/>
      </c>
      <c r="F39" s="1921">
        <f>$L$2/365</f>
        <v/>
      </c>
      <c r="G39" s="1921">
        <f>D39-F39</f>
        <v/>
      </c>
      <c r="H39" s="1921">
        <f>E39-F39</f>
        <v/>
      </c>
    </row>
    <row r="40" ht="14.25" customHeight="1">
      <c r="A40" s="1936" t="inlineStr">
        <is>
          <t>30/06/2026</t>
        </is>
      </c>
      <c r="B40" s="1563" t="n">
        <v>5643</v>
      </c>
      <c r="C40" s="1937" t="n">
        <v>1605</v>
      </c>
      <c r="D40" s="1921">
        <f>B40/B41-1</f>
        <v/>
      </c>
      <c r="E40" s="1921">
        <f>C40/C41-1</f>
        <v/>
      </c>
      <c r="F40" s="1921">
        <f>$L$2/365</f>
        <v/>
      </c>
      <c r="G40" s="1921">
        <f>D40-F40</f>
        <v/>
      </c>
      <c r="H40" s="1921">
        <f>E40-F40</f>
        <v/>
      </c>
    </row>
    <row r="41" ht="14.25" customHeight="1">
      <c r="A41" s="1933" t="inlineStr">
        <is>
          <t>29/06/2026</t>
        </is>
      </c>
      <c r="B41" s="1563" t="n">
        <v>5821</v>
      </c>
      <c r="C41" s="1934" t="n">
        <v>1560</v>
      </c>
      <c r="D41" s="1921">
        <f>B41/B42-1</f>
        <v/>
      </c>
      <c r="E41" s="1921">
        <f>C41/C42-1</f>
        <v/>
      </c>
      <c r="F41" s="1921">
        <f>$L$2/365</f>
        <v/>
      </c>
      <c r="G41" s="1921">
        <f>D41-F41</f>
        <v/>
      </c>
      <c r="H41" s="1921">
        <f>E41-F41</f>
        <v/>
      </c>
    </row>
    <row r="42" ht="14.25" customHeight="1">
      <c r="A42" s="1936" t="inlineStr">
        <is>
          <t>26/06/2026</t>
        </is>
      </c>
      <c r="B42" s="1563" t="n">
        <v>5896</v>
      </c>
      <c r="C42" s="1937" t="n">
        <v>1600</v>
      </c>
      <c r="D42" s="1921">
        <f>B42/B43-1</f>
        <v/>
      </c>
      <c r="E42" s="1921">
        <f>C42/C43-1</f>
        <v/>
      </c>
      <c r="F42" s="1921">
        <f>$L$2/365</f>
        <v/>
      </c>
      <c r="G42" s="1921">
        <f>D42-F42</f>
        <v/>
      </c>
      <c r="H42" s="1921">
        <f>E42-F42</f>
        <v/>
      </c>
    </row>
    <row r="43" ht="14.25" customHeight="1">
      <c r="A43" s="1933" t="inlineStr">
        <is>
          <t>25/06/2026</t>
        </is>
      </c>
      <c r="B43" s="1563" t="n">
        <v>5999</v>
      </c>
      <c r="C43" s="1934" t="n">
        <v>1655</v>
      </c>
      <c r="D43" s="1921">
        <f>B43/B44-1</f>
        <v/>
      </c>
      <c r="E43" s="1921">
        <f>C43/C44-1</f>
        <v/>
      </c>
      <c r="F43" s="1921">
        <f>$L$2/365</f>
        <v/>
      </c>
      <c r="G43" s="1921">
        <f>D43-F43</f>
        <v/>
      </c>
      <c r="H43" s="1921">
        <f>E43-F43</f>
        <v/>
      </c>
    </row>
    <row r="44" ht="14.25" customHeight="1">
      <c r="A44" s="1936" t="inlineStr">
        <is>
          <t>24/06/2026</t>
        </is>
      </c>
      <c r="B44" s="1563" t="n">
        <v>5884</v>
      </c>
      <c r="C44" s="1937" t="n">
        <v>1570</v>
      </c>
      <c r="D44" s="1921">
        <f>B44/B45-1</f>
        <v/>
      </c>
      <c r="E44" s="1921">
        <f>C44/C45-1</f>
        <v/>
      </c>
      <c r="F44" s="1921">
        <f>$L$2/365</f>
        <v/>
      </c>
      <c r="G44" s="1921">
        <f>D44-F44</f>
        <v/>
      </c>
      <c r="H44" s="1921">
        <f>E44-F44</f>
        <v/>
      </c>
    </row>
    <row r="45" ht="14.25" customHeight="1">
      <c r="A45" s="1933" t="inlineStr">
        <is>
          <t>23/06/2026</t>
        </is>
      </c>
      <c r="B45" s="1563" t="n">
        <v>6101</v>
      </c>
      <c r="C45" s="1934" t="n">
        <v>1685</v>
      </c>
      <c r="D45" s="1921">
        <f>B45/B46-1</f>
        <v/>
      </c>
      <c r="E45" s="1921">
        <f>C45/C46-1</f>
        <v/>
      </c>
      <c r="F45" s="1921">
        <f>$L$2/365</f>
        <v/>
      </c>
      <c r="G45" s="1921">
        <f>D45-F45</f>
        <v/>
      </c>
      <c r="H45" s="1921">
        <f>E45-F45</f>
        <v/>
      </c>
    </row>
    <row r="46" ht="14.25" customHeight="1">
      <c r="A46" s="1936" t="inlineStr">
        <is>
          <t>22/06/2026</t>
        </is>
      </c>
      <c r="B46" s="1563" t="n">
        <v>6117</v>
      </c>
      <c r="C46" s="1937" t="n">
        <v>1660</v>
      </c>
      <c r="D46" s="1921">
        <f>B46/B47-1</f>
        <v/>
      </c>
      <c r="E46" s="1921">
        <f>C46/C47-1</f>
        <v/>
      </c>
      <c r="F46" s="1921">
        <f>$L$2/365</f>
        <v/>
      </c>
      <c r="G46" s="1921">
        <f>D46-F46</f>
        <v/>
      </c>
      <c r="H46" s="1921">
        <f>E46-F46</f>
        <v/>
      </c>
    </row>
    <row r="47" ht="14.25" customHeight="1">
      <c r="A47" s="1933" t="inlineStr">
        <is>
          <t>19/06/2026</t>
        </is>
      </c>
      <c r="B47" s="1563" t="n">
        <v>6177</v>
      </c>
      <c r="C47" s="1934" t="n">
        <v>1705</v>
      </c>
      <c r="D47" s="1921">
        <f>B47/B48-1</f>
        <v/>
      </c>
      <c r="E47" s="1921">
        <f>C47/C48-1</f>
        <v/>
      </c>
      <c r="F47" s="1921">
        <f>$L$2/365</f>
        <v/>
      </c>
      <c r="G47" s="1921">
        <f>D47-F47</f>
        <v/>
      </c>
      <c r="H47" s="1921">
        <f>E47-F47</f>
        <v/>
      </c>
    </row>
    <row r="48" ht="14.25" customHeight="1">
      <c r="A48" s="1936" t="inlineStr">
        <is>
          <t>18/06/2026</t>
        </is>
      </c>
      <c r="B48" s="1563" t="n">
        <v>6172</v>
      </c>
      <c r="C48" s="1937" t="n">
        <v>1665</v>
      </c>
      <c r="D48" s="1921">
        <f>B48/B49-1</f>
        <v/>
      </c>
      <c r="E48" s="1921">
        <f>C48/C49-1</f>
        <v/>
      </c>
      <c r="F48" s="1921">
        <f>$L$2/365</f>
        <v/>
      </c>
      <c r="G48" s="1921">
        <f>D48-F48</f>
        <v/>
      </c>
      <c r="H48" s="1921">
        <f>E48-F48</f>
        <v/>
      </c>
    </row>
    <row r="49" ht="14.25" customHeight="1">
      <c r="A49" s="1933" t="inlineStr">
        <is>
          <t>17/06/2026</t>
        </is>
      </c>
      <c r="B49" s="1563" t="n">
        <v>6221</v>
      </c>
      <c r="C49" s="1934" t="n">
        <v>1660</v>
      </c>
      <c r="D49" s="1921">
        <f>B49/B50-1</f>
        <v/>
      </c>
      <c r="E49" s="1921">
        <f>C49/C50-1</f>
        <v/>
      </c>
      <c r="F49" s="1921">
        <f>$L$2/365</f>
        <v/>
      </c>
      <c r="G49" s="1921">
        <f>D49-F49</f>
        <v/>
      </c>
      <c r="H49" s="1921">
        <f>E49-F49</f>
        <v/>
      </c>
    </row>
    <row r="50" ht="14.25" customHeight="1">
      <c r="A50" s="1936" t="inlineStr">
        <is>
          <t>15/06/2026</t>
        </is>
      </c>
      <c r="B50" s="1563" t="n">
        <v>6255</v>
      </c>
      <c r="C50" s="1937" t="n">
        <v>1690</v>
      </c>
      <c r="D50" s="1921">
        <f>B50/B51-1</f>
        <v/>
      </c>
      <c r="E50" s="1921">
        <f>C50/C51-1</f>
        <v/>
      </c>
      <c r="F50" s="1921">
        <f>$L$2/365</f>
        <v/>
      </c>
      <c r="G50" s="1921">
        <f>D50-F50</f>
        <v/>
      </c>
      <c r="H50" s="1921">
        <f>E50-F50</f>
        <v/>
      </c>
    </row>
    <row r="51" ht="14.25" customHeight="1">
      <c r="A51" s="1933" t="inlineStr">
        <is>
          <t>12/06/2026</t>
        </is>
      </c>
      <c r="B51" s="1563" t="n">
        <v>6008</v>
      </c>
      <c r="C51" s="1934" t="n">
        <v>1595</v>
      </c>
      <c r="D51" s="1921">
        <f>B51/B52-1</f>
        <v/>
      </c>
      <c r="E51" s="1921">
        <f>C51/C52-1</f>
        <v/>
      </c>
      <c r="F51" s="1921">
        <f>$L$2/365</f>
        <v/>
      </c>
      <c r="G51" s="1921">
        <f>D51-F51</f>
        <v/>
      </c>
      <c r="H51" s="1921">
        <f>E51-F51</f>
        <v/>
      </c>
    </row>
    <row r="52" ht="14.25" customHeight="1">
      <c r="A52" s="1936" t="inlineStr">
        <is>
          <t>11/06/2026</t>
        </is>
      </c>
      <c r="B52" s="1563" t="n">
        <v>5886</v>
      </c>
      <c r="C52" s="1937" t="n">
        <v>1535</v>
      </c>
      <c r="D52" s="1921">
        <f>B52/B53-1</f>
        <v/>
      </c>
      <c r="E52" s="1921">
        <f>C52/C53-1</f>
        <v/>
      </c>
      <c r="F52" s="1921">
        <f>$L$2/365</f>
        <v/>
      </c>
      <c r="G52" s="1921">
        <f>D52-F52</f>
        <v/>
      </c>
      <c r="H52" s="1921">
        <f>E52-F52</f>
        <v/>
      </c>
    </row>
    <row r="53" ht="14.25" customHeight="1">
      <c r="A53" s="1933" t="inlineStr">
        <is>
          <t>10/06/2026</t>
        </is>
      </c>
      <c r="B53" s="1563" t="n">
        <v>5902</v>
      </c>
      <c r="C53" s="1934" t="n">
        <v>1545</v>
      </c>
      <c r="D53" s="1921">
        <f>B53/B54-1</f>
        <v/>
      </c>
      <c r="E53" s="1921">
        <f>C53/C54-1</f>
        <v/>
      </c>
      <c r="F53" s="1921">
        <f>$L$2/365</f>
        <v/>
      </c>
      <c r="G53" s="1921">
        <f>D53-F53</f>
        <v/>
      </c>
      <c r="H53" s="1921">
        <f>E53-F53</f>
        <v/>
      </c>
    </row>
    <row r="54" ht="14.25" customHeight="1">
      <c r="A54" s="1936" t="inlineStr">
        <is>
          <t>09/06/2026</t>
        </is>
      </c>
      <c r="B54" s="1563" t="n">
        <v>5747</v>
      </c>
      <c r="C54" s="1937" t="n">
        <v>1530</v>
      </c>
      <c r="D54" s="1921">
        <f>B54/B55-1</f>
        <v/>
      </c>
      <c r="E54" s="1921">
        <f>C54/C55-1</f>
        <v/>
      </c>
      <c r="F54" s="1921">
        <f>$L$2/365</f>
        <v/>
      </c>
      <c r="G54" s="1921">
        <f>D54-F54</f>
        <v/>
      </c>
      <c r="H54" s="1921">
        <f>E54-F54</f>
        <v/>
      </c>
    </row>
    <row r="55" ht="14.25" customHeight="1">
      <c r="A55" s="1933" t="inlineStr">
        <is>
          <t>08/06/2026</t>
        </is>
      </c>
      <c r="B55" s="1563" t="n">
        <v>5342</v>
      </c>
      <c r="C55" s="1934" t="n">
        <v>1365</v>
      </c>
      <c r="D55" s="1921">
        <f>B55/B56-1</f>
        <v/>
      </c>
      <c r="E55" s="1921">
        <f>C55/C56-1</f>
        <v/>
      </c>
      <c r="F55" s="1921">
        <f>$L$2/365</f>
        <v/>
      </c>
      <c r="G55" s="1921">
        <f>D55-F55</f>
        <v/>
      </c>
      <c r="H55" s="1921">
        <f>E55-F55</f>
        <v/>
      </c>
    </row>
    <row r="56" ht="14.25" customHeight="1">
      <c r="A56" s="1936" t="inlineStr">
        <is>
          <t>05/06/2026</t>
        </is>
      </c>
      <c r="B56" s="1563" t="n">
        <v>5595</v>
      </c>
      <c r="C56" s="1937" t="n">
        <v>1445</v>
      </c>
      <c r="D56" s="1921">
        <f>B56/B57-1</f>
        <v/>
      </c>
      <c r="E56" s="1921">
        <f>C56/C57-1</f>
        <v/>
      </c>
      <c r="F56" s="1921">
        <f>$L$2/365</f>
        <v/>
      </c>
      <c r="G56" s="1921">
        <f>D56-F56</f>
        <v/>
      </c>
      <c r="H56" s="1921">
        <f>E56-F56</f>
        <v/>
      </c>
    </row>
    <row r="57" ht="14.25" customHeight="1">
      <c r="A57" s="1933" t="inlineStr">
        <is>
          <t>04/06/2026</t>
        </is>
      </c>
      <c r="B57" s="1563" t="n">
        <v>5840</v>
      </c>
      <c r="C57" s="1934" t="n">
        <v>1700</v>
      </c>
      <c r="D57" s="1921">
        <f>B57/B58-1</f>
        <v/>
      </c>
      <c r="E57" s="1921">
        <f>C57/C58-1</f>
        <v/>
      </c>
      <c r="F57" s="1921">
        <f>$L$2/365</f>
        <v/>
      </c>
      <c r="G57" s="1921">
        <f>D57-F57</f>
        <v/>
      </c>
      <c r="H57" s="1921">
        <f>E57-F57</f>
        <v/>
      </c>
    </row>
    <row r="58" ht="14.25" customHeight="1">
      <c r="A58" s="1936" t="inlineStr">
        <is>
          <t>03/06/2026</t>
        </is>
      </c>
      <c r="B58" s="1563" t="n">
        <v>5941</v>
      </c>
      <c r="C58" s="1937" t="n">
        <v>1945</v>
      </c>
      <c r="D58" s="1921">
        <f>B58/B59-1</f>
        <v/>
      </c>
      <c r="E58" s="1921">
        <f>C58/C59-1</f>
        <v/>
      </c>
      <c r="F58" s="1921">
        <f>$L$2/365</f>
        <v/>
      </c>
      <c r="G58" s="1921">
        <f>D58-F58</f>
        <v/>
      </c>
      <c r="H58" s="1921">
        <f>E58-F58</f>
        <v/>
      </c>
    </row>
    <row r="59" ht="14.25" customHeight="1">
      <c r="A59" s="1933" t="inlineStr">
        <is>
          <t>02/06/2026</t>
        </is>
      </c>
      <c r="B59" s="1563" t="n">
        <v>6195</v>
      </c>
      <c r="C59" s="1934" t="n">
        <v>2060</v>
      </c>
      <c r="D59" s="1921">
        <f>B59/B60-1</f>
        <v/>
      </c>
      <c r="E59" s="1921">
        <f>C59/C60-1</f>
        <v/>
      </c>
      <c r="F59" s="1921">
        <f>$L$2/365</f>
        <v/>
      </c>
      <c r="G59" s="1921">
        <f>D59-F59</f>
        <v/>
      </c>
      <c r="H59" s="1921">
        <f>E59-F59</f>
        <v/>
      </c>
    </row>
    <row r="60" ht="14.25" customHeight="1">
      <c r="A60" s="1936" t="inlineStr">
        <is>
          <t>29/05/2026</t>
        </is>
      </c>
      <c r="B60" s="1563" t="n">
        <v>6127</v>
      </c>
      <c r="C60" s="1937" t="n">
        <v>2050</v>
      </c>
      <c r="D60" s="1921">
        <f>B60/B61-1</f>
        <v/>
      </c>
      <c r="E60" s="1921">
        <f>C60/C61-1</f>
        <v/>
      </c>
      <c r="F60" s="1921">
        <f>$L$2/365</f>
        <v/>
      </c>
      <c r="G60" s="1921">
        <f>D60-F60</f>
        <v/>
      </c>
      <c r="H60" s="1921">
        <f>E60-F60</f>
        <v/>
      </c>
    </row>
    <row r="61" ht="14.25" customHeight="1">
      <c r="A61" s="1933" t="inlineStr">
        <is>
          <t>26/05/2026</t>
        </is>
      </c>
      <c r="B61" s="1563" t="n">
        <v>6130</v>
      </c>
      <c r="C61" s="1934" t="n">
        <v>2010</v>
      </c>
      <c r="D61" s="1921">
        <f>B61/B62-1</f>
        <v/>
      </c>
      <c r="E61" s="1921">
        <f>C61/C62-1</f>
        <v/>
      </c>
      <c r="F61" s="1921">
        <f>$L$2/365</f>
        <v/>
      </c>
      <c r="G61" s="1921">
        <f>D61-F61</f>
        <v/>
      </c>
      <c r="H61" s="1921">
        <f>E61-F61</f>
        <v/>
      </c>
    </row>
    <row r="62" ht="14.25" customHeight="1">
      <c r="A62" s="1936" t="inlineStr">
        <is>
          <t>25/05/2026</t>
        </is>
      </c>
      <c r="B62" s="1563" t="n">
        <v>6206</v>
      </c>
      <c r="C62" s="1937" t="n">
        <v>2040</v>
      </c>
      <c r="D62" s="1921">
        <f>B62/B63-1</f>
        <v/>
      </c>
      <c r="E62" s="1921">
        <f>C62/C63-1</f>
        <v/>
      </c>
      <c r="F62" s="1921">
        <f>$L$2/365</f>
        <v/>
      </c>
      <c r="G62" s="1921">
        <f>D62-F62</f>
        <v/>
      </c>
      <c r="H62" s="1921">
        <f>E62-F62</f>
        <v/>
      </c>
    </row>
    <row r="63" ht="14.25" customHeight="1">
      <c r="A63" s="1933" t="inlineStr">
        <is>
          <t>22/05/2026</t>
        </is>
      </c>
      <c r="B63" s="1563" t="n">
        <v>6162</v>
      </c>
      <c r="C63" s="1934" t="n">
        <v>2120</v>
      </c>
      <c r="D63" s="1921">
        <f>B63/B64-1</f>
        <v/>
      </c>
      <c r="E63" s="1921">
        <f>C63/C64-1</f>
        <v/>
      </c>
      <c r="F63" s="1921">
        <f>$L$2/365</f>
        <v/>
      </c>
      <c r="G63" s="1921">
        <f>D63-F63</f>
        <v/>
      </c>
      <c r="H63" s="1921">
        <f>E63-F63</f>
        <v/>
      </c>
    </row>
    <row r="64" ht="14.25" customHeight="1">
      <c r="A64" s="1936" t="inlineStr">
        <is>
          <t>21/05/2026</t>
        </is>
      </c>
      <c r="B64" s="1563" t="n">
        <v>6095</v>
      </c>
      <c r="C64" s="1937" t="n">
        <v>1945</v>
      </c>
      <c r="D64" s="1921">
        <f>B64/B65-1</f>
        <v/>
      </c>
      <c r="E64" s="1921">
        <f>C64/C65-1</f>
        <v/>
      </c>
      <c r="F64" s="1921">
        <f>$L$2/365</f>
        <v/>
      </c>
      <c r="G64" s="1921">
        <f>D64-F64</f>
        <v/>
      </c>
      <c r="H64" s="1921">
        <f>E64-F64</f>
        <v/>
      </c>
    </row>
    <row r="65" ht="14.25" customHeight="1">
      <c r="A65" s="1933" t="inlineStr">
        <is>
          <t>20/05/2026</t>
        </is>
      </c>
      <c r="B65" s="1563" t="n">
        <v>6318</v>
      </c>
      <c r="C65" s="1934" t="n">
        <v>2000</v>
      </c>
      <c r="D65" s="1921">
        <f>B65/B66-1</f>
        <v/>
      </c>
      <c r="E65" s="1921">
        <f>C65/C66-1</f>
        <v/>
      </c>
      <c r="F65" s="1921">
        <f>$L$2/365</f>
        <v/>
      </c>
      <c r="G65" s="1921">
        <f>D65-F65</f>
        <v/>
      </c>
      <c r="H65" s="1921">
        <f>E65-F65</f>
        <v/>
      </c>
    </row>
    <row r="66" ht="14.25" customHeight="1">
      <c r="A66" s="1936" t="inlineStr">
        <is>
          <t>19/05/2026</t>
        </is>
      </c>
      <c r="B66" s="1563" t="n">
        <v>6371</v>
      </c>
      <c r="C66" s="1937" t="n">
        <v>2030</v>
      </c>
      <c r="D66" s="1921">
        <f>B66/B67-1</f>
        <v/>
      </c>
      <c r="E66" s="1921">
        <f>C66/C67-1</f>
        <v/>
      </c>
      <c r="F66" s="1921">
        <f>$L$2/365</f>
        <v/>
      </c>
      <c r="G66" s="1921">
        <f>D66-F66</f>
        <v/>
      </c>
      <c r="H66" s="1921">
        <f>E66-F66</f>
        <v/>
      </c>
    </row>
    <row r="67" ht="14.25" customHeight="1">
      <c r="A67" s="1933" t="inlineStr">
        <is>
          <t>18/05/2026</t>
        </is>
      </c>
      <c r="B67" s="1563" t="n">
        <v>6599</v>
      </c>
      <c r="C67" s="1934" t="n">
        <v>2150</v>
      </c>
      <c r="D67" s="1921">
        <f>B67/B68-1</f>
        <v/>
      </c>
      <c r="E67" s="1921">
        <f>C67/C68-1</f>
        <v/>
      </c>
      <c r="F67" s="1921">
        <f>$L$2/365</f>
        <v/>
      </c>
      <c r="G67" s="1921">
        <f>D67-F67</f>
        <v/>
      </c>
      <c r="H67" s="1921">
        <f>E67-F67</f>
        <v/>
      </c>
    </row>
    <row r="68" ht="14.25" customHeight="1">
      <c r="A68" s="1936" t="inlineStr">
        <is>
          <t>13/05/2026</t>
        </is>
      </c>
      <c r="B68" s="1563" t="n">
        <v>6723</v>
      </c>
      <c r="C68" s="1937" t="n">
        <v>2250</v>
      </c>
      <c r="D68" s="1921">
        <f>B68/B69-1</f>
        <v/>
      </c>
      <c r="E68" s="1921">
        <f>C68/C69-1</f>
        <v/>
      </c>
      <c r="F68" s="1921">
        <f>$L$2/365</f>
        <v/>
      </c>
      <c r="G68" s="1921">
        <f>D68-F68</f>
        <v/>
      </c>
      <c r="H68" s="1921">
        <f>E68-F68</f>
        <v/>
      </c>
    </row>
    <row r="69" ht="14.25" customHeight="1">
      <c r="A69" s="1933" t="inlineStr">
        <is>
          <t>12/05/2026</t>
        </is>
      </c>
      <c r="B69" s="1563" t="n">
        <v>6859</v>
      </c>
      <c r="C69" s="1934" t="n">
        <v>2250</v>
      </c>
      <c r="D69" s="1921">
        <f>B69/B70-1</f>
        <v/>
      </c>
      <c r="E69" s="1921">
        <f>C69/C70-1</f>
        <v/>
      </c>
      <c r="F69" s="1921">
        <f>$L$2/365</f>
        <v/>
      </c>
      <c r="G69" s="1921">
        <f>D69-F69</f>
        <v/>
      </c>
      <c r="H69" s="1921">
        <f>E69-F69</f>
        <v/>
      </c>
    </row>
    <row r="70" ht="14.25" customHeight="1">
      <c r="A70" s="1936" t="inlineStr">
        <is>
          <t>11/05/2026</t>
        </is>
      </c>
      <c r="B70" s="1563" t="n">
        <v>6906</v>
      </c>
      <c r="C70" s="1937" t="n">
        <v>2260</v>
      </c>
      <c r="D70" s="1921">
        <f>B70/B71-1</f>
        <v/>
      </c>
      <c r="E70" s="1921">
        <f>C70/C71-1</f>
        <v/>
      </c>
      <c r="F70" s="1921">
        <f>$L$2/365</f>
        <v/>
      </c>
      <c r="G70" s="1921">
        <f>D70-F70</f>
        <v/>
      </c>
      <c r="H70" s="1921">
        <f>E70-F70</f>
        <v/>
      </c>
    </row>
    <row r="71" ht="14.25" customHeight="1">
      <c r="A71" s="1933" t="inlineStr">
        <is>
          <t>08/05/2026</t>
        </is>
      </c>
      <c r="B71" s="1563" t="n">
        <v>6969</v>
      </c>
      <c r="C71" s="1934" t="n">
        <v>2300</v>
      </c>
      <c r="D71" s="1921">
        <f>B71/B72-1</f>
        <v/>
      </c>
      <c r="E71" s="1921">
        <f>C71/C72-1</f>
        <v/>
      </c>
      <c r="F71" s="1921">
        <f>$L$2/365</f>
        <v/>
      </c>
      <c r="G71" s="1921">
        <f>D71-F71</f>
        <v/>
      </c>
      <c r="H71" s="1921">
        <f>E71-F71</f>
        <v/>
      </c>
    </row>
    <row r="72" ht="14.25" customHeight="1">
      <c r="A72" s="1936" t="inlineStr">
        <is>
          <t>07/05/2026</t>
        </is>
      </c>
      <c r="B72" s="1563" t="n">
        <v>7174</v>
      </c>
      <c r="C72" s="1937" t="n">
        <v>2400</v>
      </c>
      <c r="D72" s="1921">
        <f>B72/B73-1</f>
        <v/>
      </c>
      <c r="E72" s="1921">
        <f>C72/C73-1</f>
        <v/>
      </c>
      <c r="F72" s="1921">
        <f>$L$2/365</f>
        <v/>
      </c>
      <c r="G72" s="1921">
        <f>D72-F72</f>
        <v/>
      </c>
      <c r="H72" s="1921">
        <f>E72-F72</f>
        <v/>
      </c>
    </row>
    <row r="73" ht="14.25" customHeight="1">
      <c r="A73" s="1933" t="inlineStr">
        <is>
          <t>06/05/2026</t>
        </is>
      </c>
      <c r="B73" s="1563" t="n">
        <v>7092</v>
      </c>
      <c r="C73" s="1934" t="n">
        <v>2400</v>
      </c>
      <c r="D73" s="1921">
        <f>B73/B74-1</f>
        <v/>
      </c>
      <c r="E73" s="1921">
        <f>C73/C74-1</f>
        <v/>
      </c>
      <c r="F73" s="1921">
        <f>$L$2/365</f>
        <v/>
      </c>
      <c r="G73" s="1921">
        <f>D73-F73</f>
        <v/>
      </c>
      <c r="H73" s="1921">
        <f>E73-F73</f>
        <v/>
      </c>
    </row>
    <row r="74" ht="14.25" customHeight="1">
      <c r="A74" s="1936" t="inlineStr">
        <is>
          <t>05/05/2026</t>
        </is>
      </c>
      <c r="B74" s="1563" t="n">
        <v>7057</v>
      </c>
      <c r="C74" s="1937" t="n">
        <v>2390</v>
      </c>
      <c r="D74" s="1921">
        <f>B74/B75-1</f>
        <v/>
      </c>
      <c r="E74" s="1921">
        <f>C74/C75-1</f>
        <v/>
      </c>
      <c r="F74" s="1921">
        <f>$L$2/365</f>
        <v/>
      </c>
      <c r="G74" s="1921">
        <f>D74-F74</f>
        <v/>
      </c>
      <c r="H74" s="1921">
        <f>E74-F74</f>
        <v/>
      </c>
    </row>
    <row r="75" ht="14.25" customHeight="1">
      <c r="A75" s="1933" t="inlineStr">
        <is>
          <t>04/05/2026</t>
        </is>
      </c>
      <c r="B75" s="1563" t="n">
        <v>6972</v>
      </c>
      <c r="C75" s="1934" t="n">
        <v>2350</v>
      </c>
      <c r="D75" s="1921">
        <f>B75/B76-1</f>
        <v/>
      </c>
      <c r="E75" s="1921">
        <f>C75/C76-1</f>
        <v/>
      </c>
      <c r="F75" s="1921">
        <f>$L$2/365</f>
        <v/>
      </c>
      <c r="G75" s="1921">
        <f>D75-F75</f>
        <v/>
      </c>
      <c r="H75" s="1921">
        <f>E75-F75</f>
        <v/>
      </c>
    </row>
    <row r="76" ht="14.25" customHeight="1">
      <c r="A76" s="1936" t="inlineStr">
        <is>
          <t>30/04/2026</t>
        </is>
      </c>
      <c r="B76" s="1563" t="n">
        <v>6957</v>
      </c>
      <c r="C76" s="1937" t="n">
        <v>2350</v>
      </c>
      <c r="D76" s="1921">
        <f>B76/B77-1</f>
        <v/>
      </c>
      <c r="E76" s="1921">
        <f>C76/C77-1</f>
        <v/>
      </c>
      <c r="F76" s="1921">
        <f>$L$2/365</f>
        <v/>
      </c>
      <c r="G76" s="1921">
        <f>D76-F76</f>
        <v/>
      </c>
      <c r="H76" s="1921">
        <f>E76-F76</f>
        <v/>
      </c>
    </row>
    <row r="77" ht="14.25" customHeight="1">
      <c r="A77" s="1933" t="inlineStr">
        <is>
          <t>29/04/2026</t>
        </is>
      </c>
      <c r="B77" s="1563" t="n">
        <v>7101</v>
      </c>
      <c r="C77" s="1934" t="n">
        <v>2370</v>
      </c>
      <c r="D77" s="1921">
        <f>B77/B78-1</f>
        <v/>
      </c>
      <c r="E77" s="1921">
        <f>C77/C78-1</f>
        <v/>
      </c>
      <c r="F77" s="1921">
        <f>$L$2/365</f>
        <v/>
      </c>
      <c r="G77" s="1921">
        <f>D77-F77</f>
        <v/>
      </c>
      <c r="H77" s="1921">
        <f>E77-F77</f>
        <v/>
      </c>
    </row>
    <row r="78" ht="14.25" customHeight="1">
      <c r="A78" s="1936" t="inlineStr">
        <is>
          <t>28/04/2026</t>
        </is>
      </c>
      <c r="B78" s="1563" t="n">
        <v>7072</v>
      </c>
      <c r="C78" s="1937" t="n">
        <v>2330</v>
      </c>
      <c r="D78" s="1921">
        <f>B78/B79-1</f>
        <v/>
      </c>
      <c r="E78" s="1921">
        <f>C78/C79-1</f>
        <v/>
      </c>
      <c r="F78" s="1921">
        <f>$L$2/365</f>
        <v/>
      </c>
      <c r="G78" s="1921">
        <f>D78-F78</f>
        <v/>
      </c>
      <c r="H78" s="1921">
        <f>E78-F78</f>
        <v/>
      </c>
    </row>
    <row r="79" ht="14.25" customHeight="1">
      <c r="A79" s="1933" t="inlineStr">
        <is>
          <t>27/04/2026</t>
        </is>
      </c>
      <c r="B79" s="1563" t="n">
        <v>7107</v>
      </c>
      <c r="C79" s="1934" t="n">
        <v>2320</v>
      </c>
      <c r="D79" s="1921">
        <f>B79/B80-1</f>
        <v/>
      </c>
      <c r="E79" s="1921">
        <f>C79/C80-1</f>
        <v/>
      </c>
      <c r="F79" s="1921">
        <f>$L$2/365</f>
        <v/>
      </c>
      <c r="G79" s="1921">
        <f>D79-F79</f>
        <v/>
      </c>
      <c r="H79" s="1921">
        <f>E79-F79</f>
        <v/>
      </c>
    </row>
    <row r="80" ht="14.25" customHeight="1">
      <c r="A80" s="1936" t="inlineStr">
        <is>
          <t>24/04/2026</t>
        </is>
      </c>
      <c r="B80" s="1563" t="n">
        <v>7129</v>
      </c>
      <c r="C80" s="1937" t="n">
        <v>2250</v>
      </c>
      <c r="D80" s="1921">
        <f>B80/B81-1</f>
        <v/>
      </c>
      <c r="E80" s="1921">
        <f>C80/C81-1</f>
        <v/>
      </c>
      <c r="F80" s="1921">
        <f>$L$2/365</f>
        <v/>
      </c>
      <c r="G80" s="1921">
        <f>D80-F80</f>
        <v/>
      </c>
      <c r="H80" s="1921">
        <f>E80-F80</f>
        <v/>
      </c>
    </row>
    <row r="81" ht="14.25" customHeight="1">
      <c r="A81" s="1933" t="inlineStr">
        <is>
          <t>23/04/2026</t>
        </is>
      </c>
      <c r="B81" s="1563" t="n">
        <v>7379</v>
      </c>
      <c r="C81" s="1934" t="n">
        <v>2400</v>
      </c>
      <c r="D81" s="1921">
        <f>B81/B82-1</f>
        <v/>
      </c>
      <c r="E81" s="1921">
        <f>C81/C82-1</f>
        <v/>
      </c>
      <c r="F81" s="1921">
        <f>$L$2/365</f>
        <v/>
      </c>
      <c r="G81" s="1921">
        <f>D81-F81</f>
        <v/>
      </c>
      <c r="H81" s="1921">
        <f>E81-F81</f>
        <v/>
      </c>
    </row>
    <row r="82" ht="14.25" customHeight="1">
      <c r="A82" s="1936" t="inlineStr">
        <is>
          <t>22/04/2026</t>
        </is>
      </c>
      <c r="B82" s="1563" t="n">
        <v>7542</v>
      </c>
      <c r="C82" s="1937" t="n">
        <v>2530</v>
      </c>
      <c r="D82" s="1921">
        <f>B82/B83-1</f>
        <v/>
      </c>
      <c r="E82" s="1921">
        <f>C82/C83-1</f>
        <v/>
      </c>
      <c r="F82" s="1921">
        <f>$L$2/365</f>
        <v/>
      </c>
      <c r="G82" s="1921">
        <f>D82-F82</f>
        <v/>
      </c>
      <c r="H82" s="1921">
        <f>E82-F82</f>
        <v/>
      </c>
    </row>
    <row r="83" ht="14.25" customHeight="1">
      <c r="A83" s="1933" t="inlineStr">
        <is>
          <t>21/04/2026</t>
        </is>
      </c>
      <c r="B83" s="1563" t="n">
        <v>7559</v>
      </c>
      <c r="C83" s="1934" t="n">
        <v>2470</v>
      </c>
      <c r="D83" s="1921">
        <f>B83/B84-1</f>
        <v/>
      </c>
      <c r="E83" s="1921">
        <f>C83/C84-1</f>
        <v/>
      </c>
      <c r="F83" s="1921">
        <f>$L$2/365</f>
        <v/>
      </c>
      <c r="G83" s="1921">
        <f>D83-F83</f>
        <v/>
      </c>
      <c r="H83" s="1921">
        <f>E83-F83</f>
        <v/>
      </c>
    </row>
    <row r="84" ht="14.25" customHeight="1">
      <c r="A84" s="1936" t="inlineStr">
        <is>
          <t>20/04/2026</t>
        </is>
      </c>
      <c r="B84" s="1563" t="n">
        <v>7594</v>
      </c>
      <c r="C84" s="1937" t="n">
        <v>2480</v>
      </c>
      <c r="D84" s="1921">
        <f>B84/B85-1</f>
        <v/>
      </c>
      <c r="E84" s="1921">
        <f>C84/C85-1</f>
        <v/>
      </c>
      <c r="F84" s="1921">
        <f>$L$2/365</f>
        <v/>
      </c>
      <c r="G84" s="1921">
        <f>D84-F84</f>
        <v/>
      </c>
      <c r="H84" s="1921">
        <f>E84-F84</f>
        <v/>
      </c>
    </row>
    <row r="85" ht="14.25" customHeight="1">
      <c r="A85" s="1933" t="inlineStr">
        <is>
          <t>17/04/2026</t>
        </is>
      </c>
      <c r="B85" s="1563" t="n">
        <v>7634</v>
      </c>
      <c r="C85" s="1934" t="n">
        <v>2520</v>
      </c>
      <c r="D85" s="1921">
        <f>B85/B86-1</f>
        <v/>
      </c>
      <c r="E85" s="1921">
        <f>C85/C86-1</f>
        <v/>
      </c>
      <c r="F85" s="1921">
        <f>$L$2/365</f>
        <v/>
      </c>
      <c r="G85" s="1921">
        <f>D85-F85</f>
        <v/>
      </c>
      <c r="H85" s="1921">
        <f>E85-F85</f>
        <v/>
      </c>
    </row>
    <row r="86" ht="14.25" customHeight="1">
      <c r="A86" s="1936" t="inlineStr">
        <is>
          <t>16/04/2026</t>
        </is>
      </c>
      <c r="B86" s="1563" t="n">
        <v>7621</v>
      </c>
      <c r="C86" s="1937" t="n">
        <v>2420</v>
      </c>
      <c r="D86" s="1921">
        <f>B86/B87-1</f>
        <v/>
      </c>
      <c r="E86" s="1921">
        <f>C86/C87-1</f>
        <v/>
      </c>
      <c r="F86" s="1921">
        <f>$L$2/365</f>
        <v/>
      </c>
      <c r="G86" s="1921">
        <f>D86-F86</f>
        <v/>
      </c>
      <c r="H86" s="1921">
        <f>E86-F86</f>
        <v/>
      </c>
    </row>
    <row r="87" ht="14.25" customHeight="1">
      <c r="A87" s="1933" t="inlineStr">
        <is>
          <t>15/04/2026</t>
        </is>
      </c>
      <c r="B87" s="1563" t="n">
        <v>7624</v>
      </c>
      <c r="C87" s="1934" t="n">
        <v>2470</v>
      </c>
      <c r="D87" s="1921">
        <f>B87/B88-1</f>
        <v/>
      </c>
      <c r="E87" s="1921">
        <f>C87/C88-1</f>
        <v/>
      </c>
      <c r="F87" s="1921">
        <f>$L$2/365</f>
        <v/>
      </c>
      <c r="G87" s="1921">
        <f>D87-F87</f>
        <v/>
      </c>
      <c r="H87" s="1921">
        <f>E87-F87</f>
        <v/>
      </c>
    </row>
    <row r="88" ht="14.25" customHeight="1">
      <c r="A88" s="1936" t="inlineStr">
        <is>
          <t>14/04/2026</t>
        </is>
      </c>
      <c r="B88" s="1563" t="n">
        <v>7676</v>
      </c>
      <c r="C88" s="1937" t="n">
        <v>2470</v>
      </c>
      <c r="D88" s="1921">
        <f>B88/B89-1</f>
        <v/>
      </c>
      <c r="E88" s="1921">
        <f>C88/C89-1</f>
        <v/>
      </c>
      <c r="F88" s="1921">
        <f>$L$2/365</f>
        <v/>
      </c>
      <c r="G88" s="1921">
        <f>D88-F88</f>
        <v/>
      </c>
      <c r="H88" s="1921">
        <f>E88-F88</f>
        <v/>
      </c>
    </row>
    <row r="89" ht="14.25" customHeight="1">
      <c r="A89" s="1933" t="inlineStr">
        <is>
          <t>13/04/2026</t>
        </is>
      </c>
      <c r="B89" s="1563" t="n">
        <v>7500</v>
      </c>
      <c r="C89" s="1934" t="n">
        <v>2380</v>
      </c>
      <c r="D89" s="1921">
        <f>B89/B90-1</f>
        <v/>
      </c>
      <c r="E89" s="1921">
        <f>C89/C90-1</f>
        <v/>
      </c>
      <c r="F89" s="1921">
        <f>$L$2/365</f>
        <v/>
      </c>
      <c r="G89" s="1921">
        <f>D89-F89</f>
        <v/>
      </c>
      <c r="H89" s="1921">
        <f>E89-F89</f>
        <v/>
      </c>
    </row>
    <row r="90" ht="14.25" customHeight="1">
      <c r="A90" s="1936" t="inlineStr">
        <is>
          <t>10/04/2026</t>
        </is>
      </c>
      <c r="B90" s="1563" t="n">
        <v>7458</v>
      </c>
      <c r="C90" s="1937" t="n">
        <v>2340</v>
      </c>
      <c r="D90" s="1921">
        <f>B90/B91-1</f>
        <v/>
      </c>
      <c r="E90" s="1921">
        <f>C90/C91-1</f>
        <v/>
      </c>
      <c r="F90" s="1921">
        <f>$L$2/365</f>
        <v/>
      </c>
      <c r="G90" s="1921">
        <f>D90-F90</f>
        <v/>
      </c>
      <c r="H90" s="1921">
        <f>E90-F90</f>
        <v/>
      </c>
    </row>
    <row r="91" ht="14.25" customHeight="1">
      <c r="A91" s="1933" t="inlineStr">
        <is>
          <t>09/04/2026</t>
        </is>
      </c>
      <c r="B91" s="1563" t="n">
        <v>7308</v>
      </c>
      <c r="C91" s="1934" t="n">
        <v>2260</v>
      </c>
      <c r="D91" s="1921">
        <f>B91/B92-1</f>
        <v/>
      </c>
      <c r="E91" s="1921">
        <f>C91/C92-1</f>
        <v/>
      </c>
      <c r="F91" s="1921">
        <f>$L$2/365</f>
        <v/>
      </c>
      <c r="G91" s="1921">
        <f>D91-F91</f>
        <v/>
      </c>
      <c r="H91" s="1921">
        <f>E91-F91</f>
        <v/>
      </c>
    </row>
    <row r="92" ht="14.25" customHeight="1">
      <c r="A92" s="1936" t="inlineStr">
        <is>
          <t>08/04/2026</t>
        </is>
      </c>
      <c r="B92" s="1563" t="n">
        <v>7279</v>
      </c>
      <c r="C92" s="1937" t="n">
        <v>2310</v>
      </c>
      <c r="D92" s="1921">
        <f>B92/B93-1</f>
        <v/>
      </c>
      <c r="E92" s="1921">
        <f>C92/C93-1</f>
        <v/>
      </c>
      <c r="F92" s="1921">
        <f>$L$2/365</f>
        <v/>
      </c>
      <c r="G92" s="1921">
        <f>D92-F92</f>
        <v/>
      </c>
      <c r="H92" s="1921">
        <f>E92-F92</f>
        <v/>
      </c>
    </row>
    <row r="93" ht="14.25" customHeight="1">
      <c r="A93" s="1933" t="inlineStr">
        <is>
          <t>07/04/2026</t>
        </is>
      </c>
      <c r="B93" s="1563" t="n">
        <v>6971</v>
      </c>
      <c r="C93" s="1934" t="n">
        <v>2140</v>
      </c>
      <c r="D93" s="1921">
        <f>B93/B94-1</f>
        <v/>
      </c>
      <c r="E93" s="1921">
        <f>C93/C94-1</f>
        <v/>
      </c>
      <c r="F93" s="1921">
        <f>$L$2/365</f>
        <v/>
      </c>
      <c r="G93" s="1921">
        <f>D93-F93</f>
        <v/>
      </c>
      <c r="H93" s="1921">
        <f>E93-F93</f>
        <v/>
      </c>
    </row>
    <row r="94" ht="14.25" customHeight="1">
      <c r="A94" s="1936" t="inlineStr">
        <is>
          <t>06/04/2026</t>
        </is>
      </c>
      <c r="B94" s="1563" t="n">
        <v>6989</v>
      </c>
      <c r="C94" s="1937" t="n">
        <v>2140</v>
      </c>
      <c r="D94" s="1921">
        <f>B94/B95-1</f>
        <v/>
      </c>
      <c r="E94" s="1921">
        <f>C94/C95-1</f>
        <v/>
      </c>
      <c r="F94" s="1921">
        <f>$L$2/365</f>
        <v/>
      </c>
      <c r="G94" s="1921">
        <f>D94-F94</f>
        <v/>
      </c>
      <c r="H94" s="1921">
        <f>E94-F94</f>
        <v/>
      </c>
    </row>
    <row r="95" ht="14.25" customHeight="1">
      <c r="A95" s="1933" t="inlineStr">
        <is>
          <t>02/04/2026</t>
        </is>
      </c>
      <c r="B95" s="1563" t="n">
        <v>7027</v>
      </c>
      <c r="C95" s="1934" t="n">
        <v>2130</v>
      </c>
      <c r="D95" s="1921">
        <f>B95/B96-1</f>
        <v/>
      </c>
      <c r="E95" s="1921">
        <f>C95/C96-1</f>
        <v/>
      </c>
      <c r="F95" s="1921">
        <f>$L$2/365</f>
        <v/>
      </c>
      <c r="G95" s="1921">
        <f>D95-F95</f>
        <v/>
      </c>
      <c r="H95" s="1921">
        <f>E95-F95</f>
        <v/>
      </c>
    </row>
    <row r="96" ht="14.25" customHeight="1">
      <c r="A96" s="1936" t="inlineStr">
        <is>
          <t>01/04/2026</t>
        </is>
      </c>
      <c r="B96" s="1563" t="n">
        <v>7184</v>
      </c>
      <c r="C96" s="1937" t="n">
        <v>2260</v>
      </c>
      <c r="D96" s="1921">
        <f>B96/B97-1</f>
        <v/>
      </c>
      <c r="E96" s="1921">
        <f>C96/C97-1</f>
        <v/>
      </c>
      <c r="F96" s="1921">
        <f>$L$2/365</f>
        <v/>
      </c>
      <c r="G96" s="1921">
        <f>D96-F96</f>
        <v/>
      </c>
      <c r="H96" s="1921">
        <f>E96-F96</f>
        <v/>
      </c>
    </row>
    <row r="97" ht="14.25" customHeight="1">
      <c r="A97" s="1933" t="inlineStr">
        <is>
          <t>31/03/2026</t>
        </is>
      </c>
      <c r="B97" s="1563" t="n">
        <v>7048</v>
      </c>
      <c r="C97" s="1934" t="n">
        <v>2130</v>
      </c>
      <c r="D97" s="1921">
        <f>B97/B98-1</f>
        <v/>
      </c>
      <c r="E97" s="1921">
        <f>C97/C98-1</f>
        <v/>
      </c>
      <c r="F97" s="1921">
        <f>$L$2/365</f>
        <v/>
      </c>
      <c r="G97" s="1921">
        <f>D97-F97</f>
        <v/>
      </c>
      <c r="H97" s="1921">
        <f>E97-F97</f>
        <v/>
      </c>
    </row>
    <row r="98" ht="14.25" customHeight="1">
      <c r="A98" s="1936" t="inlineStr">
        <is>
          <t>30/03/2026</t>
        </is>
      </c>
      <c r="B98" s="1563" t="n">
        <v>7092</v>
      </c>
      <c r="C98" s="1937" t="n">
        <v>2170</v>
      </c>
      <c r="D98" s="1921">
        <f>B98/B99-1</f>
        <v/>
      </c>
      <c r="E98" s="1921">
        <f>C98/C99-1</f>
        <v/>
      </c>
      <c r="F98" s="1921">
        <f>$L$2/365</f>
        <v/>
      </c>
      <c r="G98" s="1921">
        <f>D98-F98</f>
        <v/>
      </c>
      <c r="H98" s="1921">
        <f>E98-F98</f>
        <v/>
      </c>
    </row>
    <row r="99" ht="14.25" customHeight="1">
      <c r="A99" s="1933" t="inlineStr">
        <is>
          <t>27/03/2026</t>
        </is>
      </c>
      <c r="B99" s="1563" t="n">
        <v>7097</v>
      </c>
      <c r="C99" s="1934" t="n">
        <v>2200</v>
      </c>
      <c r="D99" s="1921">
        <f>B99/B100-1</f>
        <v/>
      </c>
      <c r="E99" s="1921">
        <f>C99/C100-1</f>
        <v/>
      </c>
      <c r="F99" s="1921">
        <f>$L$2/365</f>
        <v/>
      </c>
      <c r="G99" s="1921">
        <f>D99-F99</f>
        <v/>
      </c>
      <c r="H99" s="1921">
        <f>E99-F99</f>
        <v/>
      </c>
    </row>
    <row r="100" ht="14.25" customHeight="1">
      <c r="A100" s="1936" t="inlineStr">
        <is>
          <t>26/03/2026</t>
        </is>
      </c>
      <c r="B100" s="1563" t="n">
        <v>7164</v>
      </c>
      <c r="C100" s="1937" t="n">
        <v>2180</v>
      </c>
      <c r="D100" s="1921">
        <f>B100/B101-1</f>
        <v/>
      </c>
      <c r="E100" s="1921">
        <f>C100/C101-1</f>
        <v/>
      </c>
      <c r="F100" s="1921">
        <f>$L$2/365</f>
        <v/>
      </c>
      <c r="G100" s="1921">
        <f>D100-F100</f>
        <v/>
      </c>
      <c r="H100" s="1921">
        <f>E100-F100</f>
        <v/>
      </c>
    </row>
    <row r="101" ht="14.25" customHeight="1">
      <c r="A101" s="1933" t="inlineStr">
        <is>
          <t>25/03/2026</t>
        </is>
      </c>
      <c r="B101" s="1563" t="n">
        <v>7302</v>
      </c>
      <c r="C101" s="1934" t="n">
        <v>2200</v>
      </c>
      <c r="D101" s="1921">
        <f>B101/B102-1</f>
        <v/>
      </c>
      <c r="E101" s="1921">
        <f>C101/C102-1</f>
        <v/>
      </c>
      <c r="F101" s="1921">
        <f>$L$2/365</f>
        <v/>
      </c>
      <c r="G101" s="1921">
        <f>D101-F101</f>
        <v/>
      </c>
      <c r="H101" s="1921">
        <f>E101-F101</f>
        <v/>
      </c>
    </row>
    <row r="102" ht="14.25" customHeight="1">
      <c r="A102" s="1936" t="inlineStr">
        <is>
          <t>17/03/2026</t>
        </is>
      </c>
      <c r="B102" s="1563" t="n">
        <v>7107</v>
      </c>
      <c r="C102" s="1937" t="n">
        <v>2000</v>
      </c>
      <c r="D102" s="1921">
        <f>B102/B103-1</f>
        <v/>
      </c>
      <c r="E102" s="1921">
        <f>C102/C103-1</f>
        <v/>
      </c>
      <c r="F102" s="1921">
        <f>$L$2/365</f>
        <v/>
      </c>
      <c r="G102" s="1921">
        <f>D102-F102</f>
        <v/>
      </c>
      <c r="H102" s="1921">
        <f>E102-F102</f>
        <v/>
      </c>
    </row>
    <row r="103" ht="14.25" customHeight="1">
      <c r="A103" s="1933" t="inlineStr">
        <is>
          <t>16/03/2026</t>
        </is>
      </c>
      <c r="B103" s="1563" t="n">
        <v>7022</v>
      </c>
      <c r="C103" s="1934" t="n">
        <v>1995</v>
      </c>
      <c r="D103" s="1921">
        <f>B103/B104-1</f>
        <v/>
      </c>
      <c r="E103" s="1921">
        <f>C103/C104-1</f>
        <v/>
      </c>
      <c r="F103" s="1921">
        <f>$L$2/365</f>
        <v/>
      </c>
      <c r="G103" s="1921">
        <f>D103-F103</f>
        <v/>
      </c>
      <c r="H103" s="1921">
        <f>E103-F103</f>
        <v/>
      </c>
    </row>
    <row r="104" ht="14.25" customHeight="1">
      <c r="A104" s="1936" t="inlineStr">
        <is>
          <t>13/03/2026</t>
        </is>
      </c>
      <c r="B104" s="1563" t="n">
        <v>7137</v>
      </c>
      <c r="C104" s="1937" t="n">
        <v>2040</v>
      </c>
      <c r="D104" s="1921">
        <f>B104/B105-1</f>
        <v/>
      </c>
      <c r="E104" s="1921">
        <f>C104/C105-1</f>
        <v/>
      </c>
      <c r="F104" s="1921">
        <f>$L$2/365</f>
        <v/>
      </c>
      <c r="G104" s="1921">
        <f>D104-F104</f>
        <v/>
      </c>
      <c r="H104" s="1921">
        <f>E104-F104</f>
        <v/>
      </c>
    </row>
    <row r="105" ht="14.25" customHeight="1">
      <c r="A105" s="1933" t="inlineStr">
        <is>
          <t>12/03/2026</t>
        </is>
      </c>
      <c r="B105" s="1563" t="n">
        <v>7362</v>
      </c>
      <c r="C105" s="1934" t="n">
        <v>2100</v>
      </c>
      <c r="D105" s="1921">
        <f>B105/B106-1</f>
        <v/>
      </c>
      <c r="E105" s="1921">
        <f>C105/C106-1</f>
        <v/>
      </c>
      <c r="F105" s="1921">
        <f>$L$2/365</f>
        <v/>
      </c>
      <c r="G105" s="1921">
        <f>D105-F105</f>
        <v/>
      </c>
      <c r="H105" s="1921">
        <f>E105-F105</f>
        <v/>
      </c>
    </row>
    <row r="106" ht="14.25" customHeight="1">
      <c r="A106" s="1936" t="inlineStr">
        <is>
          <t>11/03/2026</t>
        </is>
      </c>
      <c r="B106" s="1563" t="n">
        <v>7389</v>
      </c>
      <c r="C106" s="1937" t="n">
        <v>2280</v>
      </c>
      <c r="D106" s="1921">
        <f>B106/B107-1</f>
        <v/>
      </c>
      <c r="E106" s="1921">
        <f>C106/C107-1</f>
        <v/>
      </c>
      <c r="F106" s="1921">
        <f>$L$2/365</f>
        <v/>
      </c>
      <c r="G106" s="1921">
        <f>D106-F106</f>
        <v/>
      </c>
      <c r="H106" s="1921">
        <f>E106-F106</f>
        <v/>
      </c>
    </row>
    <row r="107" ht="14.25" customHeight="1">
      <c r="A107" s="1933" t="inlineStr">
        <is>
          <t>10/03/2026</t>
        </is>
      </c>
      <c r="B107" s="1563" t="n">
        <v>7441</v>
      </c>
      <c r="C107" s="1934" t="n">
        <v>2090</v>
      </c>
      <c r="D107" s="1921">
        <f>B107/B108-1</f>
        <v/>
      </c>
      <c r="E107" s="1921">
        <f>C107/C108-1</f>
        <v/>
      </c>
      <c r="F107" s="1921">
        <f>$L$2/365</f>
        <v/>
      </c>
      <c r="G107" s="1921">
        <f>D107-F107</f>
        <v/>
      </c>
      <c r="H107" s="1921">
        <f>E107-F107</f>
        <v/>
      </c>
    </row>
    <row r="108" ht="14.25" customHeight="1">
      <c r="A108" s="1936" t="inlineStr">
        <is>
          <t>09/03/2026</t>
        </is>
      </c>
      <c r="B108" s="1563" t="n">
        <v>7337</v>
      </c>
      <c r="C108" s="1937" t="n">
        <v>1945</v>
      </c>
      <c r="D108" s="1921">
        <f>B108/B109-1</f>
        <v/>
      </c>
      <c r="E108" s="1921">
        <f>C108/C109-1</f>
        <v/>
      </c>
      <c r="F108" s="1921">
        <f>$L$2/365</f>
        <v/>
      </c>
      <c r="G108" s="1921">
        <f>D108-F108</f>
        <v/>
      </c>
      <c r="H108" s="1921">
        <f>E108-F108</f>
        <v/>
      </c>
    </row>
    <row r="109" ht="14.25" customHeight="1">
      <c r="A109" s="1933" t="inlineStr">
        <is>
          <t>06/03/2026</t>
        </is>
      </c>
      <c r="B109" s="1563" t="n">
        <v>7586</v>
      </c>
      <c r="C109" s="1934" t="n">
        <v>2100</v>
      </c>
      <c r="D109" s="1921">
        <f>B109/B110-1</f>
        <v/>
      </c>
      <c r="E109" s="1921">
        <f>C109/C110-1</f>
        <v/>
      </c>
      <c r="F109" s="1921">
        <f>$L$2/365</f>
        <v/>
      </c>
      <c r="G109" s="1921">
        <f>D109-F109</f>
        <v/>
      </c>
      <c r="H109" s="1921">
        <f>E109-F109</f>
        <v/>
      </c>
    </row>
    <row r="110" ht="14.25" customHeight="1">
      <c r="A110" s="1936" t="inlineStr">
        <is>
          <t>05/03/2026</t>
        </is>
      </c>
      <c r="B110" s="1563" t="n">
        <v>7711</v>
      </c>
      <c r="C110" s="1937" t="n">
        <v>2190</v>
      </c>
      <c r="D110" s="1921">
        <f>B110/B111-1</f>
        <v/>
      </c>
      <c r="E110" s="1921">
        <f>C110/C111-1</f>
        <v/>
      </c>
      <c r="F110" s="1921">
        <f>$L$2/365</f>
        <v/>
      </c>
      <c r="G110" s="1921">
        <f>D110-F110</f>
        <v/>
      </c>
      <c r="H110" s="1921">
        <f>E110-F110</f>
        <v/>
      </c>
    </row>
    <row r="111" ht="14.25" customHeight="1">
      <c r="A111" s="1933" t="inlineStr">
        <is>
          <t>04/03/2026</t>
        </is>
      </c>
      <c r="B111" s="1563" t="n">
        <v>7577</v>
      </c>
      <c r="C111" s="1934" t="n">
        <v>2160</v>
      </c>
      <c r="D111" s="1921">
        <f>B111/B112-1</f>
        <v/>
      </c>
      <c r="E111" s="1921">
        <f>C111/C112-1</f>
        <v/>
      </c>
      <c r="F111" s="1921">
        <f>$L$2/365</f>
        <v/>
      </c>
      <c r="G111" s="1921">
        <f>D111-F111</f>
        <v/>
      </c>
      <c r="H111" s="1921">
        <f>E111-F111</f>
        <v/>
      </c>
    </row>
    <row r="112" ht="14.25" customHeight="1">
      <c r="A112" s="1936" t="inlineStr">
        <is>
          <t>03/03/2026</t>
        </is>
      </c>
      <c r="B112" s="1563" t="n">
        <v>7940</v>
      </c>
      <c r="C112" s="1937" t="n">
        <v>2270</v>
      </c>
      <c r="D112" s="1921">
        <f>B112/B113-1</f>
        <v/>
      </c>
      <c r="E112" s="1921">
        <f>C112/C113-1</f>
        <v/>
      </c>
      <c r="F112" s="1921">
        <f>$L$2/365</f>
        <v/>
      </c>
      <c r="G112" s="1921">
        <f>D112-F112</f>
        <v/>
      </c>
      <c r="H112" s="1921">
        <f>E112-F112</f>
        <v/>
      </c>
    </row>
    <row r="113" ht="14.25" customHeight="1">
      <c r="A113" s="1933" t="inlineStr">
        <is>
          <t>02/03/2026</t>
        </is>
      </c>
      <c r="B113" s="1563" t="n">
        <v>8017</v>
      </c>
      <c r="C113" s="1934" t="n">
        <v>2350</v>
      </c>
      <c r="D113" s="1921">
        <f>B113/B114-1</f>
        <v/>
      </c>
      <c r="E113" s="1921">
        <f>C113/C114-1</f>
        <v/>
      </c>
      <c r="F113" s="1921">
        <f>$L$2/365</f>
        <v/>
      </c>
      <c r="G113" s="1921">
        <f>D113-F113</f>
        <v/>
      </c>
      <c r="H113" s="1921">
        <f>E113-F113</f>
        <v/>
      </c>
    </row>
    <row r="114" ht="14.25" customHeight="1">
      <c r="A114" s="1936" t="inlineStr">
        <is>
          <t>27/02/2026</t>
        </is>
      </c>
      <c r="B114" s="1563" t="n">
        <v>8235</v>
      </c>
      <c r="C114" s="1937" t="n">
        <v>2570</v>
      </c>
      <c r="D114" s="1921">
        <f>B114/B115-1</f>
        <v/>
      </c>
      <c r="E114" s="1921">
        <f>C114/C115-1</f>
        <v/>
      </c>
      <c r="F114" s="1921">
        <f>$L$2/365</f>
        <v/>
      </c>
      <c r="G114" s="1921">
        <f>D114-F114</f>
        <v/>
      </c>
      <c r="H114" s="1921">
        <f>E114-F114</f>
        <v/>
      </c>
    </row>
    <row r="115" ht="14.25" customHeight="1">
      <c r="A115" s="1933" t="inlineStr">
        <is>
          <t>26/02/2026</t>
        </is>
      </c>
      <c r="B115" s="1563" t="n">
        <v>8235</v>
      </c>
      <c r="C115" s="1934" t="n">
        <v>2510</v>
      </c>
      <c r="D115" s="1921">
        <f>B115/B116-1</f>
        <v/>
      </c>
      <c r="E115" s="1921">
        <f>C115/C116-1</f>
        <v/>
      </c>
      <c r="F115" s="1921">
        <f>$L$2/365</f>
        <v/>
      </c>
      <c r="G115" s="1921">
        <f>D115-F115</f>
        <v/>
      </c>
      <c r="H115" s="1921">
        <f>E115-F115</f>
        <v/>
      </c>
    </row>
    <row r="116" ht="14.25" customHeight="1">
      <c r="A116" s="1936" t="inlineStr">
        <is>
          <t>25/02/2026</t>
        </is>
      </c>
      <c r="B116" s="1563" t="n">
        <v>8322</v>
      </c>
      <c r="C116" s="1937" t="n">
        <v>2640</v>
      </c>
      <c r="D116" s="1921">
        <f>B116/B117-1</f>
        <v/>
      </c>
      <c r="E116" s="1921">
        <f>C116/C117-1</f>
        <v/>
      </c>
      <c r="F116" s="1921">
        <f>$L$2/365</f>
        <v/>
      </c>
      <c r="G116" s="1921">
        <f>D116-F116</f>
        <v/>
      </c>
      <c r="H116" s="1921">
        <f>E116-F116</f>
        <v/>
      </c>
    </row>
    <row r="117" ht="14.25" customHeight="1">
      <c r="A117" s="1933" t="inlineStr">
        <is>
          <t>24/02/2026</t>
        </is>
      </c>
      <c r="B117" s="1563" t="n">
        <v>8281</v>
      </c>
      <c r="C117" s="1934" t="n">
        <v>2480</v>
      </c>
      <c r="D117" s="1921">
        <f>B117/B118-1</f>
        <v/>
      </c>
      <c r="E117" s="1921">
        <f>C117/C118-1</f>
        <v/>
      </c>
      <c r="F117" s="1921">
        <f>$L$2/365</f>
        <v/>
      </c>
      <c r="G117" s="1921">
        <f>D117-F117</f>
        <v/>
      </c>
      <c r="H117" s="1921">
        <f>E117-F117</f>
        <v/>
      </c>
    </row>
    <row r="118" ht="14.25" customHeight="1">
      <c r="A118" s="1936" t="inlineStr">
        <is>
          <t>23/02/2026</t>
        </is>
      </c>
      <c r="B118" s="1563" t="n">
        <v>8396</v>
      </c>
      <c r="C118" s="1937" t="n">
        <v>2550</v>
      </c>
      <c r="D118" s="1921">
        <f>B118/B119-1</f>
        <v/>
      </c>
      <c r="E118" s="1921">
        <f>C118/C119-1</f>
        <v/>
      </c>
      <c r="F118" s="1921">
        <f>$L$2/365</f>
        <v/>
      </c>
      <c r="G118" s="1921">
        <f>D118-F118</f>
        <v/>
      </c>
      <c r="H118" s="1921">
        <f>E118-F118</f>
        <v/>
      </c>
    </row>
    <row r="119" ht="14.25" customHeight="1">
      <c r="A119" s="1933" t="inlineStr">
        <is>
          <t>20/02/2026</t>
        </is>
      </c>
      <c r="B119" s="1563" t="n">
        <v>8272</v>
      </c>
      <c r="C119" s="1934" t="n">
        <v>2500</v>
      </c>
      <c r="D119" s="1921">
        <f>B119/B120-1</f>
        <v/>
      </c>
      <c r="E119" s="1921">
        <f>C119/C120-1</f>
        <v/>
      </c>
      <c r="F119" s="1921">
        <f>$L$2/365</f>
        <v/>
      </c>
      <c r="G119" s="1921">
        <f>D119-F119</f>
        <v/>
      </c>
      <c r="H119" s="1921">
        <f>E119-F119</f>
        <v/>
      </c>
    </row>
    <row r="120" ht="14.25" customHeight="1">
      <c r="A120" s="1936" t="inlineStr">
        <is>
          <t>19/02/2026</t>
        </is>
      </c>
      <c r="B120" s="1563" t="n">
        <v>8274</v>
      </c>
      <c r="C120" s="1937" t="n">
        <v>2510</v>
      </c>
      <c r="D120" s="1921">
        <f>B120/B121-1</f>
        <v/>
      </c>
      <c r="E120" s="1921">
        <f>C120/C121-1</f>
        <v/>
      </c>
      <c r="F120" s="1921">
        <f>$L$2/365</f>
        <v/>
      </c>
      <c r="G120" s="1921">
        <f>D120-F120</f>
        <v/>
      </c>
      <c r="H120" s="1921">
        <f>E120-F120</f>
        <v/>
      </c>
    </row>
    <row r="121" ht="14.25" customHeight="1">
      <c r="A121" s="1933" t="inlineStr">
        <is>
          <t>18/02/2026</t>
        </is>
      </c>
      <c r="B121" s="1563" t="n">
        <v>8310</v>
      </c>
      <c r="C121" s="1934" t="n">
        <v>2560</v>
      </c>
      <c r="D121" s="1921">
        <f>B121/B122-1</f>
        <v/>
      </c>
      <c r="E121" s="1921">
        <f>C121/C122-1</f>
        <v/>
      </c>
      <c r="F121" s="1921">
        <f>$L$2/365</f>
        <v/>
      </c>
      <c r="G121" s="1921">
        <f>D121-F121</f>
        <v/>
      </c>
      <c r="H121" s="1921">
        <f>E121-F121</f>
        <v/>
      </c>
    </row>
    <row r="122" ht="14.25" customHeight="1">
      <c r="A122" s="1936" t="inlineStr">
        <is>
          <t>13/02/2026</t>
        </is>
      </c>
      <c r="B122" s="1563" t="n">
        <v>8212</v>
      </c>
      <c r="C122" s="1937" t="n">
        <v>2450</v>
      </c>
      <c r="D122" s="1921">
        <f>B122/B123-1</f>
        <v/>
      </c>
      <c r="E122" s="1921">
        <f>C122/C123-1</f>
        <v/>
      </c>
      <c r="F122" s="1921">
        <f>$L$2/365</f>
        <v/>
      </c>
      <c r="G122" s="1921">
        <f>D122-F122</f>
        <v/>
      </c>
      <c r="H122" s="1921">
        <f>E122-F122</f>
        <v/>
      </c>
    </row>
    <row r="123" ht="14.25" customHeight="1">
      <c r="A123" s="1933" t="inlineStr">
        <is>
          <t>12/02/2026</t>
        </is>
      </c>
      <c r="B123" s="1563" t="n">
        <v>8265</v>
      </c>
      <c r="C123" s="1934" t="n">
        <v>2470</v>
      </c>
      <c r="D123" s="1921">
        <f>B123/B124-1</f>
        <v/>
      </c>
      <c r="E123" s="1921">
        <f>C123/C124-1</f>
        <v/>
      </c>
      <c r="F123" s="1921">
        <f>$L$2/365</f>
        <v/>
      </c>
      <c r="G123" s="1921">
        <f>D123-F123</f>
        <v/>
      </c>
      <c r="H123" s="1921">
        <f>E123-F123</f>
        <v/>
      </c>
    </row>
    <row r="124" ht="14.25" customHeight="1">
      <c r="A124" s="1936" t="inlineStr">
        <is>
          <t>11/02/2026</t>
        </is>
      </c>
      <c r="B124" s="1563" t="n">
        <v>8291</v>
      </c>
      <c r="C124" s="1937" t="n">
        <v>2440</v>
      </c>
      <c r="D124" s="1921">
        <f>B124/B125-1</f>
        <v/>
      </c>
      <c r="E124" s="1921">
        <f>C124/C125-1</f>
        <v/>
      </c>
      <c r="F124" s="1921">
        <f>$L$2/365</f>
        <v/>
      </c>
      <c r="G124" s="1921">
        <f>D124-F124</f>
        <v/>
      </c>
      <c r="H124" s="1921">
        <f>E124-F124</f>
        <v/>
      </c>
    </row>
    <row r="125" ht="14.25" customHeight="1">
      <c r="A125" s="1933" t="inlineStr">
        <is>
          <t>10/02/2026</t>
        </is>
      </c>
      <c r="B125" s="1563" t="n">
        <v>8132</v>
      </c>
      <c r="C125" s="1934" t="n">
        <v>2310</v>
      </c>
      <c r="D125" s="1921">
        <f>B125/B126-1</f>
        <v/>
      </c>
      <c r="E125" s="1921">
        <f>C125/C126-1</f>
        <v/>
      </c>
      <c r="F125" s="1921">
        <f>$L$2/365</f>
        <v/>
      </c>
      <c r="G125" s="1921">
        <f>D125-F125</f>
        <v/>
      </c>
      <c r="H125" s="1921">
        <f>E125-F125</f>
        <v/>
      </c>
    </row>
    <row r="126" ht="14.25" customHeight="1">
      <c r="A126" s="1936" t="inlineStr">
        <is>
          <t>09/02/2026</t>
        </is>
      </c>
      <c r="B126" s="1563" t="n">
        <v>8032</v>
      </c>
      <c r="C126" s="1937" t="n">
        <v>2250</v>
      </c>
      <c r="D126" s="1921">
        <f>B126/B127-1</f>
        <v/>
      </c>
      <c r="E126" s="1921">
        <f>C126/C127-1</f>
        <v/>
      </c>
      <c r="F126" s="1921">
        <f>$L$2/365</f>
        <v/>
      </c>
      <c r="G126" s="1921">
        <f>D126-F126</f>
        <v/>
      </c>
      <c r="H126" s="1921">
        <f>E126-F126</f>
        <v/>
      </c>
    </row>
    <row r="127" ht="14.25" customHeight="1">
      <c r="A127" s="1933" t="inlineStr">
        <is>
          <t>06/02/2026</t>
        </is>
      </c>
      <c r="B127" s="1563" t="n">
        <v>7935</v>
      </c>
      <c r="C127" s="1934" t="n">
        <v>2200</v>
      </c>
      <c r="D127" s="1921">
        <f>B127/B128-1</f>
        <v/>
      </c>
      <c r="E127" s="1921">
        <f>C127/C128-1</f>
        <v/>
      </c>
      <c r="F127" s="1921">
        <f>$L$2/365</f>
        <v/>
      </c>
      <c r="G127" s="1921">
        <f>D127-F127</f>
        <v/>
      </c>
      <c r="H127" s="1921">
        <f>E127-F127</f>
        <v/>
      </c>
    </row>
    <row r="128" ht="14.25" customHeight="1">
      <c r="A128" s="1936" t="inlineStr">
        <is>
          <t>05/02/2026</t>
        </is>
      </c>
      <c r="B128" s="1563" t="n">
        <v>8104</v>
      </c>
      <c r="C128" s="1937" t="n">
        <v>2330</v>
      </c>
      <c r="D128" s="1921">
        <f>B128/B129-1</f>
        <v/>
      </c>
      <c r="E128" s="1921">
        <f>C128/C129-1</f>
        <v/>
      </c>
      <c r="F128" s="1921">
        <f>$L$2/365</f>
        <v/>
      </c>
      <c r="G128" s="1921">
        <f>D128-F128</f>
        <v/>
      </c>
      <c r="H128" s="1921">
        <f>E128-F128</f>
        <v/>
      </c>
    </row>
    <row r="129" ht="14.25" customHeight="1">
      <c r="A129" s="1933" t="inlineStr">
        <is>
          <t>04/02/2026</t>
        </is>
      </c>
      <c r="B129" s="1563" t="n">
        <v>8147</v>
      </c>
      <c r="C129" s="1934" t="n">
        <v>2340</v>
      </c>
      <c r="D129" s="1921">
        <f>B129/B130-1</f>
        <v/>
      </c>
      <c r="E129" s="1921">
        <f>C129/C130-1</f>
        <v/>
      </c>
      <c r="F129" s="1921">
        <f>$L$2/365</f>
        <v/>
      </c>
      <c r="G129" s="1921">
        <f>D129-F129</f>
        <v/>
      </c>
      <c r="H129" s="1921">
        <f>E129-F129</f>
        <v/>
      </c>
    </row>
    <row r="130" ht="14.25" customHeight="1">
      <c r="A130" s="1936" t="inlineStr">
        <is>
          <t>03/02/2026</t>
        </is>
      </c>
      <c r="B130" s="1563" t="n">
        <v>8123</v>
      </c>
      <c r="C130" s="1937" t="n">
        <v>2390</v>
      </c>
      <c r="D130" s="1921">
        <f>B130/B131-1</f>
        <v/>
      </c>
      <c r="E130" s="1921">
        <f>C130/C131-1</f>
        <v/>
      </c>
      <c r="F130" s="1921">
        <f>$L$2/365</f>
        <v/>
      </c>
      <c r="G130" s="1921">
        <f>D130-F130</f>
        <v/>
      </c>
      <c r="H130" s="1921">
        <f>E130-F130</f>
        <v/>
      </c>
    </row>
    <row r="131" ht="14.25" customHeight="1">
      <c r="A131" s="1933" t="inlineStr">
        <is>
          <t>02/02/2026</t>
        </is>
      </c>
      <c r="B131" s="1563" t="n">
        <v>7923</v>
      </c>
      <c r="C131" s="1934" t="n">
        <v>2260</v>
      </c>
      <c r="D131" s="1921">
        <f>B131/B132-1</f>
        <v/>
      </c>
      <c r="E131" s="1921">
        <f>C131/C132-1</f>
        <v/>
      </c>
      <c r="F131" s="1921">
        <f>$L$2/365</f>
        <v/>
      </c>
      <c r="G131" s="1921">
        <f>D131-F131</f>
        <v/>
      </c>
      <c r="H131" s="1921">
        <f>E131-F131</f>
        <v/>
      </c>
    </row>
    <row r="132" ht="14.25" customHeight="1">
      <c r="A132" s="1936" t="inlineStr">
        <is>
          <t>30/01/2026</t>
        </is>
      </c>
      <c r="B132" s="1563" t="n">
        <v>8330</v>
      </c>
      <c r="C132" s="1937" t="n">
        <v>2500</v>
      </c>
      <c r="D132" s="1921">
        <f>B132/B133-1</f>
        <v/>
      </c>
      <c r="E132" s="1921">
        <f>C132/C133-1</f>
        <v/>
      </c>
      <c r="F132" s="1921">
        <f>$L$2/365</f>
        <v/>
      </c>
      <c r="G132" s="1921">
        <f>D132-F132</f>
        <v/>
      </c>
      <c r="H132" s="1921">
        <f>E132-F132</f>
        <v/>
      </c>
    </row>
    <row r="133" ht="14.25" customHeight="1">
      <c r="A133" s="1933" t="inlineStr">
        <is>
          <t>29/01/2026</t>
        </is>
      </c>
      <c r="B133" s="1563" t="n">
        <v>8232</v>
      </c>
      <c r="C133" s="1934" t="n">
        <v>2510</v>
      </c>
      <c r="D133" s="1921">
        <f>B133/B134-1</f>
        <v/>
      </c>
      <c r="E133" s="1921">
        <f>C133/C134-1</f>
        <v/>
      </c>
      <c r="F133" s="1921">
        <f>$L$2/365</f>
        <v/>
      </c>
      <c r="G133" s="1921">
        <f>D133-F133</f>
        <v/>
      </c>
      <c r="H133" s="1921">
        <f>E133-F133</f>
        <v/>
      </c>
    </row>
    <row r="134" ht="14.25" customHeight="1">
      <c r="A134" s="1936" t="inlineStr">
        <is>
          <t>28/01/2026</t>
        </is>
      </c>
      <c r="B134" s="1563" t="n">
        <v>8321</v>
      </c>
      <c r="C134" s="1937" t="n">
        <v>2530</v>
      </c>
      <c r="D134" s="1921">
        <f>B134/B135-1</f>
        <v/>
      </c>
      <c r="E134" s="1921">
        <f>C134/C135-1</f>
        <v/>
      </c>
      <c r="F134" s="1921">
        <f>$L$2/365</f>
        <v/>
      </c>
      <c r="G134" s="1921">
        <f>D134-F134</f>
        <v/>
      </c>
      <c r="H134" s="1921">
        <f>E134-F134</f>
        <v/>
      </c>
    </row>
    <row r="135" ht="14.25" customHeight="1">
      <c r="A135" s="1933" t="inlineStr">
        <is>
          <t>27/01/2026</t>
        </is>
      </c>
      <c r="B135" s="1563" t="n">
        <v>8980</v>
      </c>
      <c r="C135" s="1934" t="n">
        <v>2770</v>
      </c>
      <c r="D135" s="1921">
        <f>B135/B136-1</f>
        <v/>
      </c>
      <c r="E135" s="1921">
        <f>C135/C136-1</f>
        <v/>
      </c>
      <c r="F135" s="1921">
        <f>$L$2/365</f>
        <v/>
      </c>
      <c r="G135" s="1921">
        <f>D135-F135</f>
        <v/>
      </c>
      <c r="H135" s="1921">
        <f>E135-F135</f>
        <v/>
      </c>
    </row>
    <row r="136" ht="14.25" customHeight="1">
      <c r="A136" s="1936" t="inlineStr">
        <is>
          <t>26/01/2026</t>
        </is>
      </c>
      <c r="B136" s="1563" t="n">
        <v>8975</v>
      </c>
      <c r="C136" s="1937" t="n">
        <v>2780</v>
      </c>
      <c r="D136" s="1921">
        <f>B136/B137-1</f>
        <v/>
      </c>
      <c r="E136" s="1921">
        <f>C136/C137-1</f>
        <v/>
      </c>
      <c r="F136" s="1921">
        <f>$L$2/365</f>
        <v/>
      </c>
      <c r="G136" s="1921">
        <f>D136-F136</f>
        <v/>
      </c>
      <c r="H136" s="1921">
        <f>E136-F136</f>
        <v/>
      </c>
    </row>
    <row r="137" ht="14.25" customHeight="1">
      <c r="A137" s="1933" t="inlineStr">
        <is>
          <t>23/01/2026</t>
        </is>
      </c>
      <c r="B137" s="1563" t="n">
        <v>8951</v>
      </c>
      <c r="C137" s="1934" t="n">
        <v>2930</v>
      </c>
      <c r="D137" s="1921">
        <f>B137/B138-1</f>
        <v/>
      </c>
      <c r="E137" s="1921">
        <f>C137/C138-1</f>
        <v/>
      </c>
      <c r="F137" s="1921">
        <f>$L$2/365</f>
        <v/>
      </c>
      <c r="G137" s="1921">
        <f>D137-F137</f>
        <v/>
      </c>
      <c r="H137" s="1921">
        <f>E137-F137</f>
        <v/>
      </c>
    </row>
    <row r="138" ht="14.25" customHeight="1">
      <c r="A138" s="1936" t="inlineStr">
        <is>
          <t>22/01/2026</t>
        </is>
      </c>
      <c r="B138" s="1563" t="n">
        <v>8992</v>
      </c>
      <c r="C138" s="1937" t="n">
        <v>2870</v>
      </c>
      <c r="D138" s="1921">
        <f>B138/B139-1</f>
        <v/>
      </c>
      <c r="E138" s="1921">
        <f>C138/C139-1</f>
        <v/>
      </c>
      <c r="F138" s="1921">
        <f>$L$2/365</f>
        <v/>
      </c>
      <c r="G138" s="1921">
        <f>D138-F138</f>
        <v/>
      </c>
      <c r="H138" s="1921">
        <f>E138-F138</f>
        <v/>
      </c>
    </row>
    <row r="139" ht="14.25" customHeight="1">
      <c r="A139" s="1933" t="inlineStr">
        <is>
          <t>21/01/2026</t>
        </is>
      </c>
      <c r="B139" s="1563" t="n">
        <v>9010</v>
      </c>
      <c r="C139" s="1934" t="n">
        <v>2980</v>
      </c>
      <c r="D139" s="1921">
        <f>B139/B140-1</f>
        <v/>
      </c>
      <c r="E139" s="1921">
        <f>C139/C140-1</f>
        <v/>
      </c>
      <c r="F139" s="1921">
        <f>$L$2/365</f>
        <v/>
      </c>
      <c r="G139" s="1921">
        <f>D139-F139</f>
        <v/>
      </c>
      <c r="H139" s="1921">
        <f>E139-F139</f>
        <v/>
      </c>
    </row>
    <row r="140" ht="14.25" customHeight="1">
      <c r="A140" s="1936" t="inlineStr">
        <is>
          <t>20/01/2026</t>
        </is>
      </c>
      <c r="B140" s="1563" t="n">
        <v>9135</v>
      </c>
      <c r="C140" s="1937" t="n">
        <v>3100</v>
      </c>
      <c r="D140" s="1921">
        <f>B140/B141-1</f>
        <v/>
      </c>
      <c r="E140" s="1921">
        <f>C140/C141-1</f>
        <v/>
      </c>
      <c r="F140" s="1921">
        <f>$L$2/365</f>
        <v/>
      </c>
      <c r="G140" s="1921">
        <f>D140-F140</f>
        <v/>
      </c>
      <c r="H140" s="1921">
        <f>E140-F140</f>
        <v/>
      </c>
    </row>
    <row r="141" ht="14.25" customHeight="1">
      <c r="A141" s="1933" t="inlineStr">
        <is>
          <t>19/01/2026</t>
        </is>
      </c>
      <c r="B141" s="1563" t="n">
        <v>9134</v>
      </c>
      <c r="C141" s="1934" t="n">
        <v>3150</v>
      </c>
      <c r="D141" s="1921">
        <f>B141/B142-1</f>
        <v/>
      </c>
      <c r="E141" s="1921">
        <f>C141/C142-1</f>
        <v/>
      </c>
      <c r="F141" s="1921">
        <f>$L$2/365</f>
        <v/>
      </c>
      <c r="G141" s="1921">
        <f>D141-F141</f>
        <v/>
      </c>
      <c r="H141" s="1921">
        <f>E141-F141</f>
        <v/>
      </c>
    </row>
    <row r="142" ht="14.25" customHeight="1">
      <c r="A142" s="1936" t="inlineStr">
        <is>
          <t>15/01/2026</t>
        </is>
      </c>
      <c r="B142" s="1563" t="n">
        <v>9075</v>
      </c>
      <c r="C142" s="1937" t="n">
        <v>3070</v>
      </c>
      <c r="D142" s="1921">
        <f>B142/B143-1</f>
        <v/>
      </c>
      <c r="E142" s="1921">
        <f>C142/C143-1</f>
        <v/>
      </c>
      <c r="F142" s="1921">
        <f>$L$2/365</f>
        <v/>
      </c>
      <c r="G142" s="1921">
        <f>D142-F142</f>
        <v/>
      </c>
      <c r="H142" s="1921">
        <f>E142-F142</f>
        <v/>
      </c>
    </row>
    <row r="143" ht="14.25" customHeight="1">
      <c r="A143" s="1933" t="inlineStr">
        <is>
          <t>14/01/2026</t>
        </is>
      </c>
      <c r="B143" s="1563" t="n">
        <v>9033</v>
      </c>
      <c r="C143" s="1934" t="n">
        <v>3110</v>
      </c>
      <c r="D143" s="1921">
        <f>B143/B144-1</f>
        <v/>
      </c>
      <c r="E143" s="1921">
        <f>C143/C144-1</f>
        <v/>
      </c>
      <c r="F143" s="1921">
        <f>$L$2/365</f>
        <v/>
      </c>
      <c r="G143" s="1921">
        <f>D143-F143</f>
        <v/>
      </c>
      <c r="H143" s="1921">
        <f>E143-F143</f>
        <v/>
      </c>
    </row>
    <row r="144" ht="14.25" customHeight="1">
      <c r="A144" s="1936" t="inlineStr">
        <is>
          <t>13/01/2026</t>
        </is>
      </c>
      <c r="B144" s="1563" t="n">
        <v>8948</v>
      </c>
      <c r="C144" s="1937" t="n">
        <v>3030</v>
      </c>
      <c r="D144" s="1921">
        <f>B144/B145-1</f>
        <v/>
      </c>
      <c r="E144" s="1921">
        <f>C144/C145-1</f>
        <v/>
      </c>
      <c r="F144" s="1921">
        <f>$L$2/365</f>
        <v/>
      </c>
      <c r="G144" s="1921">
        <f>D144-F144</f>
        <v/>
      </c>
      <c r="H144" s="1921">
        <f>E144-F144</f>
        <v/>
      </c>
    </row>
    <row r="145" ht="14.25" customHeight="1">
      <c r="A145" s="1933" t="inlineStr">
        <is>
          <t>12/01/2026</t>
        </is>
      </c>
      <c r="B145" s="1563" t="n">
        <v>8885</v>
      </c>
      <c r="C145" s="1934" t="n">
        <v>3200</v>
      </c>
      <c r="D145" s="1921">
        <f>B145/B146-1</f>
        <v/>
      </c>
      <c r="E145" s="1921">
        <f>C145/C146-1</f>
        <v/>
      </c>
      <c r="F145" s="1921">
        <f>$L$2/365</f>
        <v/>
      </c>
      <c r="G145" s="1921">
        <f>D145-F145</f>
        <v/>
      </c>
      <c r="H145" s="1921">
        <f>E145-F145</f>
        <v/>
      </c>
    </row>
    <row r="146" ht="14.25" customHeight="1">
      <c r="A146" s="1936" t="inlineStr">
        <is>
          <t>09/01/2026</t>
        </is>
      </c>
      <c r="B146" s="1563" t="n">
        <v>8937</v>
      </c>
      <c r="C146" s="1937" t="n">
        <v>3370</v>
      </c>
      <c r="D146" s="1921">
        <f>B146/B147-1</f>
        <v/>
      </c>
      <c r="E146" s="1921">
        <f>C146/C147-1</f>
        <v/>
      </c>
      <c r="F146" s="1921">
        <f>$L$2/365</f>
        <v/>
      </c>
      <c r="G146" s="1921">
        <f>D146-F146</f>
        <v/>
      </c>
      <c r="H146" s="1921">
        <f>E146-F146</f>
        <v/>
      </c>
    </row>
    <row r="147" ht="14.25" customHeight="1">
      <c r="A147" s="1933" t="inlineStr">
        <is>
          <t>08/01/2026</t>
        </is>
      </c>
      <c r="B147" s="1563" t="n">
        <v>8925</v>
      </c>
      <c r="C147" s="1934" t="n">
        <v>3360</v>
      </c>
      <c r="D147" s="1921">
        <f>B147/B148-1</f>
        <v/>
      </c>
      <c r="E147" s="1921">
        <f>C147/C148-1</f>
        <v/>
      </c>
      <c r="F147" s="1921">
        <f>$L$2/365</f>
        <v/>
      </c>
      <c r="G147" s="1921">
        <f>D147-F147</f>
        <v/>
      </c>
      <c r="H147" s="1921">
        <f>E147-F147</f>
        <v/>
      </c>
    </row>
    <row r="148" ht="14.25" customHeight="1">
      <c r="A148" s="1936" t="inlineStr">
        <is>
          <t>07/01/2026</t>
        </is>
      </c>
      <c r="B148" s="1563" t="n">
        <v>8945</v>
      </c>
      <c r="C148" s="1937" t="n">
        <v>3340</v>
      </c>
      <c r="D148" s="1921">
        <f>B148/B149-1</f>
        <v/>
      </c>
      <c r="E148" s="1921">
        <f>C148/C149-1</f>
        <v/>
      </c>
      <c r="F148" s="1921">
        <f>$L$2/365</f>
        <v/>
      </c>
      <c r="G148" s="1921">
        <f>D148-F148</f>
        <v/>
      </c>
      <c r="H148" s="1921">
        <f>E148-F148</f>
        <v/>
      </c>
    </row>
    <row r="149" ht="14.25" customHeight="1">
      <c r="A149" s="1933" t="inlineStr">
        <is>
          <t>06/01/2026</t>
        </is>
      </c>
      <c r="B149" s="1563" t="n">
        <v>8934</v>
      </c>
      <c r="C149" s="1934" t="n">
        <v>3460</v>
      </c>
      <c r="D149" s="1921">
        <f>B149/B150-1</f>
        <v/>
      </c>
      <c r="E149" s="1921">
        <f>C149/C150-1</f>
        <v/>
      </c>
      <c r="F149" s="1921">
        <f>$L$2/365</f>
        <v/>
      </c>
      <c r="G149" s="1921">
        <f>D149-F149</f>
        <v/>
      </c>
      <c r="H149" s="1921">
        <f>E149-F149</f>
        <v/>
      </c>
    </row>
    <row r="150" ht="14.25" customHeight="1">
      <c r="A150" s="1936" t="inlineStr">
        <is>
          <t>05/01/2026</t>
        </is>
      </c>
      <c r="B150" s="1563" t="n">
        <v>8859</v>
      </c>
      <c r="C150" s="1937" t="n">
        <v>3530</v>
      </c>
      <c r="D150" s="1921">
        <f>B150/B151-1</f>
        <v/>
      </c>
      <c r="E150" s="1921">
        <f>C150/C151-1</f>
        <v/>
      </c>
      <c r="F150" s="1921">
        <f>$L$2/365</f>
        <v/>
      </c>
      <c r="G150" s="1921">
        <f>D150-F150</f>
        <v/>
      </c>
      <c r="H150" s="1921">
        <f>E150-F150</f>
        <v/>
      </c>
    </row>
    <row r="151" ht="14.25" customHeight="1">
      <c r="A151" s="1933" t="inlineStr">
        <is>
          <t>02/01/2026</t>
        </is>
      </c>
      <c r="B151" s="1563" t="n">
        <v>8748</v>
      </c>
      <c r="C151" s="1934" t="n">
        <v>3330</v>
      </c>
      <c r="D151" s="1921">
        <f>B151/B152-1</f>
        <v/>
      </c>
      <c r="E151" s="1921">
        <f>C151/C152-1</f>
        <v/>
      </c>
      <c r="F151" s="1921">
        <f>$L$2/365</f>
        <v/>
      </c>
      <c r="G151" s="1921">
        <f>D151-F151</f>
        <v/>
      </c>
      <c r="H151" s="1921">
        <f>E151-F151</f>
        <v/>
      </c>
    </row>
    <row r="152" ht="14.25" customHeight="1">
      <c r="A152" s="1936" t="inlineStr">
        <is>
          <t>30/12/2025</t>
        </is>
      </c>
      <c r="B152" s="1563" t="n">
        <v>8647</v>
      </c>
      <c r="C152" s="1937" t="n">
        <v>3250</v>
      </c>
      <c r="D152" s="1921">
        <f>B152/B153-1</f>
        <v/>
      </c>
      <c r="E152" s="1921">
        <f>C152/C153-1</f>
        <v/>
      </c>
      <c r="F152" s="1921">
        <f>$L$2/365</f>
        <v/>
      </c>
      <c r="G152" s="1921">
        <f>D152-F152</f>
        <v/>
      </c>
      <c r="H152" s="1921">
        <f>E152-F152</f>
        <v/>
      </c>
    </row>
    <row r="153" ht="14.25" customHeight="1">
      <c r="A153" s="1933" t="inlineStr">
        <is>
          <t>29/12/2025</t>
        </is>
      </c>
      <c r="B153" s="1563" t="n">
        <v>8644</v>
      </c>
      <c r="C153" s="1934" t="n">
        <v>3270</v>
      </c>
      <c r="D153" s="1921">
        <f>B153/B154-1</f>
        <v/>
      </c>
      <c r="E153" s="1921">
        <f>C153/C154-1</f>
        <v/>
      </c>
      <c r="F153" s="1921">
        <f>$L$2/365</f>
        <v/>
      </c>
      <c r="G153" s="1921">
        <f>D153-F153</f>
        <v/>
      </c>
      <c r="H153" s="1921">
        <f>E153-F153</f>
        <v/>
      </c>
    </row>
    <row r="154" ht="14.25" customHeight="1">
      <c r="A154" s="1936" t="inlineStr">
        <is>
          <t>24/12/2025</t>
        </is>
      </c>
      <c r="B154" s="1563" t="n">
        <v>8538</v>
      </c>
      <c r="C154" s="1937" t="n">
        <v>3250</v>
      </c>
      <c r="D154" s="1921">
        <f>B154/B155-1</f>
        <v/>
      </c>
      <c r="E154" s="1921">
        <f>C154/C155-1</f>
        <v/>
      </c>
      <c r="F154" s="1921">
        <f>$L$2/365</f>
        <v/>
      </c>
      <c r="G154" s="1921">
        <f>D154-F154</f>
        <v/>
      </c>
      <c r="H154" s="1921">
        <f>E154-F154</f>
        <v/>
      </c>
    </row>
    <row r="155" ht="14.25" customHeight="1">
      <c r="A155" s="1933" t="inlineStr">
        <is>
          <t>23/12/2025</t>
        </is>
      </c>
      <c r="B155" s="1563" t="n">
        <v>8585</v>
      </c>
      <c r="C155" s="1934" t="n">
        <v>3490</v>
      </c>
      <c r="D155" s="1921">
        <f>B155/B156-1</f>
        <v/>
      </c>
      <c r="E155" s="1921">
        <f>C155/C156-1</f>
        <v/>
      </c>
      <c r="F155" s="1921">
        <f>$L$2/365</f>
        <v/>
      </c>
      <c r="G155" s="1921">
        <f>D155-F155</f>
        <v/>
      </c>
      <c r="H155" s="1921">
        <f>E155-F155</f>
        <v/>
      </c>
    </row>
    <row r="156" ht="14.25" customHeight="1">
      <c r="A156" s="1936" t="inlineStr">
        <is>
          <t>22/12/2025</t>
        </is>
      </c>
      <c r="B156" s="1563" t="n">
        <v>8646</v>
      </c>
      <c r="C156" s="1937" t="n">
        <v>3190</v>
      </c>
      <c r="D156" s="1921">
        <f>B156/B157-1</f>
        <v/>
      </c>
      <c r="E156" s="1921">
        <f>C156/C157-1</f>
        <v/>
      </c>
      <c r="F156" s="1921">
        <f>$L$2/365</f>
        <v/>
      </c>
      <c r="G156" s="1921">
        <f>D156-F156</f>
        <v/>
      </c>
      <c r="H156" s="1921">
        <f>E156-F156</f>
        <v/>
      </c>
    </row>
    <row r="157" ht="14.25" customHeight="1">
      <c r="A157" s="1933" t="inlineStr">
        <is>
          <t>19/12/2025</t>
        </is>
      </c>
      <c r="B157" s="1563" t="n">
        <v>8610</v>
      </c>
      <c r="C157" s="1934" t="n">
        <v>3270</v>
      </c>
      <c r="D157" s="1921">
        <f>B157/B158-1</f>
        <v/>
      </c>
      <c r="E157" s="1921">
        <f>C157/C158-1</f>
        <v/>
      </c>
      <c r="F157" s="1921">
        <f>$L$2/365</f>
        <v/>
      </c>
      <c r="G157" s="1921">
        <f>D157-F157</f>
        <v/>
      </c>
      <c r="H157" s="1921">
        <f>E157-F157</f>
        <v/>
      </c>
    </row>
    <row r="158" ht="14.25" customHeight="1">
      <c r="A158" s="1936" t="inlineStr">
        <is>
          <t>18/12/2025</t>
        </is>
      </c>
      <c r="B158" s="1563" t="n">
        <v>8618</v>
      </c>
      <c r="C158" s="1937" t="n">
        <v>3320</v>
      </c>
      <c r="D158" s="1921">
        <f>B158/B159-1</f>
        <v/>
      </c>
      <c r="E158" s="1921">
        <f>C158/C159-1</f>
        <v/>
      </c>
      <c r="F158" s="1921">
        <f>$L$2/365</f>
        <v/>
      </c>
      <c r="G158" s="1921">
        <f>D158-F158</f>
        <v/>
      </c>
      <c r="H158" s="1921">
        <f>E158-F158</f>
        <v/>
      </c>
    </row>
    <row r="159" ht="14.25" customHeight="1">
      <c r="A159" s="1933" t="inlineStr">
        <is>
          <t>17/12/2025</t>
        </is>
      </c>
      <c r="B159" s="1563" t="n">
        <v>8677</v>
      </c>
      <c r="C159" s="1934" t="n">
        <v>3470</v>
      </c>
      <c r="D159" s="1921">
        <f>B159/B160-1</f>
        <v/>
      </c>
      <c r="E159" s="1921">
        <f>C159/C160-1</f>
        <v/>
      </c>
      <c r="F159" s="1921">
        <f>$L$2/365</f>
        <v/>
      </c>
      <c r="G159" s="1921">
        <f>D159-F159</f>
        <v/>
      </c>
      <c r="H159" s="1921">
        <f>E159-F159</f>
        <v/>
      </c>
    </row>
    <row r="160" ht="14.25" customHeight="1">
      <c r="A160" s="1936" t="inlineStr">
        <is>
          <t>16/12/2025</t>
        </is>
      </c>
      <c r="B160" s="1563" t="n">
        <v>8686</v>
      </c>
      <c r="C160" s="1937" t="n">
        <v>3540</v>
      </c>
      <c r="D160" s="1921">
        <f>B160/B161-1</f>
        <v/>
      </c>
      <c r="E160" s="1921">
        <f>C160/C161-1</f>
        <v/>
      </c>
      <c r="F160" s="1921">
        <f>$L$2/365</f>
        <v/>
      </c>
      <c r="G160" s="1921">
        <f>D160-F160</f>
        <v/>
      </c>
      <c r="H160" s="1921">
        <f>E160-F160</f>
        <v/>
      </c>
    </row>
    <row r="161" ht="14.25" customHeight="1">
      <c r="A161" s="1933" t="inlineStr">
        <is>
          <t>15/12/2025</t>
        </is>
      </c>
      <c r="B161" s="1563" t="n">
        <v>8650</v>
      </c>
      <c r="C161" s="1934" t="n">
        <v>3540</v>
      </c>
      <c r="D161" s="1921">
        <f>B161/B162-1</f>
        <v/>
      </c>
      <c r="E161" s="1921">
        <f>C161/C162-1</f>
        <v/>
      </c>
      <c r="F161" s="1921">
        <f>$L$2/365</f>
        <v/>
      </c>
      <c r="G161" s="1921">
        <f>D161-F161</f>
        <v/>
      </c>
      <c r="H161" s="1921">
        <f>E161-F161</f>
        <v/>
      </c>
    </row>
    <row r="162" ht="14.25" customHeight="1">
      <c r="A162" s="1936" t="inlineStr">
        <is>
          <t>12/12/2025</t>
        </is>
      </c>
      <c r="B162" s="1563" t="n">
        <v>8660</v>
      </c>
      <c r="C162" s="1937" t="n">
        <v>3620</v>
      </c>
      <c r="D162" s="1921">
        <f>B162/B163-1</f>
        <v/>
      </c>
      <c r="E162" s="1921">
        <f>C162/C163-1</f>
        <v/>
      </c>
      <c r="F162" s="1921">
        <f>$L$2/365</f>
        <v/>
      </c>
      <c r="G162" s="1921">
        <f>D162-F162</f>
        <v/>
      </c>
      <c r="H162" s="1921">
        <f>E162-F162</f>
        <v/>
      </c>
    </row>
    <row r="163" ht="14.25" customHeight="1">
      <c r="A163" s="1933" t="inlineStr">
        <is>
          <t>11/12/2025</t>
        </is>
      </c>
      <c r="B163" s="1563" t="n">
        <v>8620</v>
      </c>
      <c r="C163" s="1934" t="n">
        <v>4250</v>
      </c>
      <c r="D163" s="1921">
        <f>B163/B164-1</f>
        <v/>
      </c>
      <c r="E163" s="1921">
        <f>C163/C164-1</f>
        <v/>
      </c>
      <c r="F163" s="1921">
        <f>$L$2/365</f>
        <v/>
      </c>
      <c r="G163" s="1921">
        <f>D163-F163</f>
        <v/>
      </c>
      <c r="H163" s="1921">
        <f>E163-F163</f>
        <v/>
      </c>
    </row>
    <row r="164" ht="14.25" customHeight="1">
      <c r="A164" s="1936" t="inlineStr">
        <is>
          <t>10/12/2025</t>
        </is>
      </c>
      <c r="B164" s="1563" t="n">
        <v>8701</v>
      </c>
      <c r="C164" s="1937" t="n">
        <v>4250</v>
      </c>
      <c r="D164" s="1921">
        <f>B164/B165-1</f>
        <v/>
      </c>
      <c r="E164" s="1921">
        <f>C164/C165-1</f>
        <v/>
      </c>
      <c r="F164" s="1921">
        <f>$L$2/365</f>
        <v/>
      </c>
      <c r="G164" s="1921">
        <f>D164-F164</f>
        <v/>
      </c>
      <c r="H164" s="1921">
        <f>E164-F164</f>
        <v/>
      </c>
    </row>
    <row r="165" ht="14.25" customHeight="1">
      <c r="A165" s="1933" t="inlineStr">
        <is>
          <t>09/12/2025</t>
        </is>
      </c>
      <c r="B165" s="1563" t="n">
        <v>8657</v>
      </c>
      <c r="C165" s="1934" t="n">
        <v>4160</v>
      </c>
      <c r="D165" s="1921">
        <f>B165/B166-1</f>
        <v/>
      </c>
      <c r="E165" s="1921">
        <f>C165/C166-1</f>
        <v/>
      </c>
      <c r="F165" s="1921">
        <f>$L$2/365</f>
        <v/>
      </c>
      <c r="G165" s="1921">
        <f>D165-F165</f>
        <v/>
      </c>
      <c r="H165" s="1921">
        <f>E165-F165</f>
        <v/>
      </c>
    </row>
    <row r="166" ht="14.25" customHeight="1">
      <c r="A166" s="1936" t="inlineStr">
        <is>
          <t>08/12/2025</t>
        </is>
      </c>
      <c r="B166" s="1563" t="n">
        <v>8711</v>
      </c>
      <c r="C166" s="1937" t="n">
        <v>3880</v>
      </c>
      <c r="D166" s="1921">
        <f>B166/B167-1</f>
        <v/>
      </c>
      <c r="E166" s="1921">
        <f>C166/C167-1</f>
        <v/>
      </c>
      <c r="F166" s="1921">
        <f>$L$2/365</f>
        <v/>
      </c>
      <c r="G166" s="1921">
        <f>D166-F166</f>
        <v/>
      </c>
      <c r="H166" s="1921">
        <f>E166-F166</f>
        <v/>
      </c>
    </row>
    <row r="167" ht="14.25" customHeight="1">
      <c r="A167" s="1933" t="inlineStr">
        <is>
          <t>05/12/2025</t>
        </is>
      </c>
      <c r="B167" s="1563" t="n">
        <v>8633</v>
      </c>
      <c r="C167" s="1934" t="n">
        <v>3820</v>
      </c>
      <c r="D167" s="1921">
        <f>B167/B168-1</f>
        <v/>
      </c>
      <c r="E167" s="1921">
        <f>C167/C168-1</f>
        <v/>
      </c>
      <c r="F167" s="1921">
        <f>$L$2/365</f>
        <v/>
      </c>
      <c r="G167" s="1921">
        <f>D167-F167</f>
        <v/>
      </c>
      <c r="H167" s="1921">
        <f>E167-F167</f>
        <v/>
      </c>
    </row>
    <row r="168" ht="14.25" customHeight="1">
      <c r="A168" s="1936" t="inlineStr">
        <is>
          <t>04/12/2025</t>
        </is>
      </c>
      <c r="B168" s="1563" t="n">
        <v>8640</v>
      </c>
      <c r="C168" s="1937" t="n">
        <v>3720</v>
      </c>
      <c r="D168" s="1921">
        <f>B168/B169-1</f>
        <v/>
      </c>
      <c r="E168" s="1921">
        <f>C168/C169-1</f>
        <v/>
      </c>
      <c r="F168" s="1921">
        <f>$L$2/365</f>
        <v/>
      </c>
      <c r="G168" s="1921">
        <f>D168-F168</f>
        <v/>
      </c>
      <c r="H168" s="1921">
        <f>E168-F168</f>
        <v/>
      </c>
    </row>
    <row r="169" ht="14.25" customHeight="1">
      <c r="A169" s="1933" t="inlineStr">
        <is>
          <t>03/12/2025</t>
        </is>
      </c>
      <c r="B169" s="1563" t="n">
        <v>8612</v>
      </c>
      <c r="C169" s="1934" t="n">
        <v>3730</v>
      </c>
      <c r="D169" s="1921">
        <f>B169/B170-1</f>
        <v/>
      </c>
      <c r="E169" s="1921">
        <f>C169/C170-1</f>
        <v/>
      </c>
      <c r="F169" s="1921">
        <f>$L$2/365</f>
        <v/>
      </c>
      <c r="G169" s="1921">
        <f>D169-F169</f>
        <v/>
      </c>
      <c r="H169" s="1921">
        <f>E169-F169</f>
        <v/>
      </c>
    </row>
    <row r="170" ht="14.25" customHeight="1">
      <c r="A170" s="1936" t="inlineStr">
        <is>
          <t>02/12/2025</t>
        </is>
      </c>
      <c r="B170" s="1563" t="n">
        <v>8617</v>
      </c>
      <c r="C170" s="1937" t="n">
        <v>3680</v>
      </c>
      <c r="D170" s="1921">
        <f>B170/B171-1</f>
        <v/>
      </c>
      <c r="E170" s="1921">
        <f>C170/C171-1</f>
        <v/>
      </c>
      <c r="F170" s="1921">
        <f>$L$2/365</f>
        <v/>
      </c>
      <c r="G170" s="1921">
        <f>D170-F170</f>
        <v/>
      </c>
      <c r="H170" s="1921">
        <f>E170-F170</f>
        <v/>
      </c>
    </row>
    <row r="171" ht="14.25" customHeight="1">
      <c r="A171" s="1933" t="inlineStr">
        <is>
          <t>01/12/2025</t>
        </is>
      </c>
      <c r="B171" s="1563" t="n">
        <v>8549</v>
      </c>
      <c r="C171" s="1934" t="n">
        <v>3710</v>
      </c>
      <c r="D171" s="1921">
        <f>B171/B172-1</f>
        <v/>
      </c>
      <c r="E171" s="1921">
        <f>C171/C172-1</f>
        <v/>
      </c>
      <c r="F171" s="1921">
        <f>$L$2/365</f>
        <v/>
      </c>
      <c r="G171" s="1921">
        <f>D171-F171</f>
        <v/>
      </c>
      <c r="H171" s="1921">
        <f>E171-F171</f>
        <v/>
      </c>
    </row>
    <row r="172" ht="14.25" customHeight="1">
      <c r="A172" s="1936" t="inlineStr">
        <is>
          <t>28/11/2025</t>
        </is>
      </c>
      <c r="B172" s="1563" t="n">
        <v>8509</v>
      </c>
      <c r="C172" s="1937" t="n">
        <v>3730</v>
      </c>
      <c r="D172" s="1921">
        <f>B172/B173-1</f>
        <v/>
      </c>
      <c r="E172" s="1921">
        <f>C172/C173-1</f>
        <v/>
      </c>
      <c r="F172" s="1921">
        <f>$L$2/365</f>
        <v/>
      </c>
      <c r="G172" s="1921">
        <f>D172-F172</f>
        <v/>
      </c>
      <c r="H172" s="1921">
        <f>E172-F172</f>
        <v/>
      </c>
    </row>
    <row r="173" ht="14.25" customHeight="1">
      <c r="A173" s="1933" t="inlineStr">
        <is>
          <t>27/11/2025</t>
        </is>
      </c>
      <c r="B173" s="1563" t="n">
        <v>8546</v>
      </c>
      <c r="C173" s="1934" t="n">
        <v>3780</v>
      </c>
      <c r="D173" s="1921">
        <f>B173/B174-1</f>
        <v/>
      </c>
      <c r="E173" s="1921">
        <f>C173/C174-1</f>
        <v/>
      </c>
      <c r="F173" s="1921">
        <f>$L$2/365</f>
        <v/>
      </c>
      <c r="G173" s="1921">
        <f>D173-F173</f>
        <v/>
      </c>
      <c r="H173" s="1921">
        <f>E173-F173</f>
        <v/>
      </c>
    </row>
    <row r="174" ht="14.25" customHeight="1">
      <c r="A174" s="1936" t="inlineStr">
        <is>
          <t>26/11/2025</t>
        </is>
      </c>
      <c r="B174" s="1563" t="n">
        <v>8602</v>
      </c>
      <c r="C174" s="1937" t="n">
        <v>3800</v>
      </c>
      <c r="D174" s="1921">
        <f>B174/B175-1</f>
        <v/>
      </c>
      <c r="E174" s="1921">
        <f>C174/C175-1</f>
        <v/>
      </c>
      <c r="F174" s="1921">
        <f>$L$2/365</f>
        <v/>
      </c>
      <c r="G174" s="1921">
        <f>D174-F174</f>
        <v/>
      </c>
      <c r="H174" s="1921">
        <f>E174-F174</f>
        <v/>
      </c>
    </row>
    <row r="175" ht="14.25" customHeight="1">
      <c r="A175" s="1933" t="inlineStr">
        <is>
          <t>25/11/2025</t>
        </is>
      </c>
      <c r="B175" s="1563" t="n">
        <v>8522</v>
      </c>
      <c r="C175" s="1934" t="n">
        <v>3730</v>
      </c>
      <c r="D175" s="1921">
        <f>B175/B176-1</f>
        <v/>
      </c>
      <c r="E175" s="1921">
        <f>C175/C176-1</f>
        <v/>
      </c>
      <c r="F175" s="1921">
        <f>$L$2/365</f>
        <v/>
      </c>
      <c r="G175" s="1921">
        <f>D175-F175</f>
        <v/>
      </c>
      <c r="H175" s="1921">
        <f>E175-F175</f>
        <v/>
      </c>
    </row>
    <row r="176" ht="14.25" customHeight="1">
      <c r="A176" s="1936" t="inlineStr">
        <is>
          <t>24/11/2025</t>
        </is>
      </c>
      <c r="B176" s="1563" t="n">
        <v>8570</v>
      </c>
      <c r="C176" s="1937" t="n">
        <v>3730</v>
      </c>
      <c r="D176" s="1921">
        <f>B176/B177-1</f>
        <v/>
      </c>
      <c r="E176" s="1921">
        <f>C176/C177-1</f>
        <v/>
      </c>
      <c r="F176" s="1921">
        <f>$L$2/365</f>
        <v/>
      </c>
      <c r="G176" s="1921">
        <f>D176-F176</f>
        <v/>
      </c>
      <c r="H176" s="1921">
        <f>E176-F176</f>
        <v/>
      </c>
    </row>
    <row r="177" ht="14.25" customHeight="1">
      <c r="A177" s="1933" t="inlineStr">
        <is>
          <t>21/11/2025</t>
        </is>
      </c>
      <c r="B177" s="1563" t="n">
        <v>8414</v>
      </c>
      <c r="C177" s="1934" t="n">
        <v>3610</v>
      </c>
      <c r="D177" s="1921">
        <f>B177/B178-1</f>
        <v/>
      </c>
      <c r="E177" s="1921">
        <f>C177/C178-1</f>
        <v/>
      </c>
      <c r="F177" s="1921">
        <f>$L$2/365</f>
        <v/>
      </c>
      <c r="G177" s="1921">
        <f>D177-F177</f>
        <v/>
      </c>
      <c r="H177" s="1921">
        <f>E177-F177</f>
        <v/>
      </c>
    </row>
    <row r="178" ht="14.25" customHeight="1">
      <c r="A178" s="1936" t="inlineStr">
        <is>
          <t>20/11/2025</t>
        </is>
      </c>
      <c r="B178" s="1563" t="n">
        <v>8420</v>
      </c>
      <c r="C178" s="1937" t="n">
        <v>3700</v>
      </c>
      <c r="D178" s="1921">
        <f>B178/B179-1</f>
        <v/>
      </c>
      <c r="E178" s="1921">
        <f>C178/C179-1</f>
        <v/>
      </c>
      <c r="F178" s="1921">
        <f>$L$2/365</f>
        <v/>
      </c>
      <c r="G178" s="1921">
        <f>D178-F178</f>
        <v/>
      </c>
      <c r="H178" s="1921">
        <f>E178-F178</f>
        <v/>
      </c>
    </row>
    <row r="179" ht="14.25" customHeight="1">
      <c r="A179" s="1933" t="inlineStr">
        <is>
          <t>19/11/2025</t>
        </is>
      </c>
      <c r="B179" s="1563" t="n">
        <v>8407</v>
      </c>
      <c r="C179" s="1934" t="n">
        <v>3320</v>
      </c>
      <c r="D179" s="1921">
        <f>B179/B180-1</f>
        <v/>
      </c>
      <c r="E179" s="1921">
        <f>C179/C180-1</f>
        <v/>
      </c>
      <c r="F179" s="1921">
        <f>$L$2/365</f>
        <v/>
      </c>
      <c r="G179" s="1921">
        <f>D179-F179</f>
        <v/>
      </c>
      <c r="H179" s="1921">
        <f>E179-F179</f>
        <v/>
      </c>
    </row>
    <row r="180" ht="14.25" customHeight="1">
      <c r="A180" s="1936" t="inlineStr">
        <is>
          <t>18/11/2025</t>
        </is>
      </c>
      <c r="B180" s="1563" t="n">
        <v>8362</v>
      </c>
      <c r="C180" s="1937" t="n">
        <v>3370</v>
      </c>
      <c r="D180" s="1921">
        <f>B180/B181-1</f>
        <v/>
      </c>
      <c r="E180" s="1921">
        <f>C180/C181-1</f>
        <v/>
      </c>
      <c r="F180" s="1921">
        <f>$L$2/365</f>
        <v/>
      </c>
      <c r="G180" s="1921">
        <f>D180-F180</f>
        <v/>
      </c>
      <c r="H180" s="1921">
        <f>E180-F180</f>
        <v/>
      </c>
    </row>
    <row r="181" ht="14.25" customHeight="1">
      <c r="A181" s="1933" t="inlineStr">
        <is>
          <t>17/11/2025</t>
        </is>
      </c>
      <c r="B181" s="1563" t="n">
        <v>8417</v>
      </c>
      <c r="C181" s="1934" t="n">
        <v>3430</v>
      </c>
      <c r="D181" s="1921">
        <f>B181/B182-1</f>
        <v/>
      </c>
      <c r="E181" s="1921">
        <f>C181/C182-1</f>
        <v/>
      </c>
      <c r="F181" s="1921">
        <f>$L$2/365</f>
        <v/>
      </c>
      <c r="G181" s="1921">
        <f>D181-F181</f>
        <v/>
      </c>
      <c r="H181" s="1921">
        <f>E181-F181</f>
        <v/>
      </c>
    </row>
    <row r="182" ht="14.25" customHeight="1">
      <c r="A182" s="1936" t="inlineStr">
        <is>
          <t>14/11/2025</t>
        </is>
      </c>
      <c r="B182" s="1563" t="n">
        <v>8370</v>
      </c>
      <c r="C182" s="1937" t="n">
        <v>3360</v>
      </c>
      <c r="D182" s="1921">
        <f>B182/B183-1</f>
        <v/>
      </c>
      <c r="E182" s="1921">
        <f>C182/C183-1</f>
        <v/>
      </c>
      <c r="F182" s="1921">
        <f>$L$2/365</f>
        <v/>
      </c>
      <c r="G182" s="1921">
        <f>D182-F182</f>
        <v/>
      </c>
      <c r="H182" s="1921">
        <f>E182-F182</f>
        <v/>
      </c>
    </row>
    <row r="183" ht="14.25" customHeight="1">
      <c r="A183" s="1933" t="inlineStr">
        <is>
          <t>13/11/2025</t>
        </is>
      </c>
      <c r="B183" s="1563" t="n">
        <v>8372</v>
      </c>
      <c r="C183" s="1934" t="n">
        <v>3370</v>
      </c>
      <c r="D183" s="1921">
        <f>B183/B184-1</f>
        <v/>
      </c>
      <c r="E183" s="1921">
        <f>C183/C184-1</f>
        <v/>
      </c>
      <c r="F183" s="1921">
        <f>$L$2/365</f>
        <v/>
      </c>
      <c r="G183" s="1921">
        <f>D183-F183</f>
        <v/>
      </c>
      <c r="H183" s="1921">
        <f>E183-F183</f>
        <v/>
      </c>
    </row>
    <row r="184" ht="14.25" customHeight="1">
      <c r="A184" s="1936" t="inlineStr">
        <is>
          <t>12/11/2025</t>
        </is>
      </c>
      <c r="B184" s="1563" t="n">
        <v>8389</v>
      </c>
      <c r="C184" s="1937" t="n">
        <v>3400</v>
      </c>
      <c r="D184" s="1921">
        <f>B184/B185-1</f>
        <v/>
      </c>
      <c r="E184" s="1921">
        <f>C184/C185-1</f>
        <v/>
      </c>
      <c r="F184" s="1921">
        <f>$L$2/365</f>
        <v/>
      </c>
      <c r="G184" s="1921">
        <f>D184-F184</f>
        <v/>
      </c>
      <c r="H184" s="1921">
        <f>E184-F184</f>
        <v/>
      </c>
    </row>
    <row r="185" ht="14.25" customHeight="1">
      <c r="A185" s="1933" t="inlineStr">
        <is>
          <t>11/11/2025</t>
        </is>
      </c>
      <c r="B185" s="1563" t="n">
        <v>8367</v>
      </c>
      <c r="C185" s="1934" t="n">
        <v>3440</v>
      </c>
      <c r="D185" s="1921">
        <f>B185/B186-1</f>
        <v/>
      </c>
      <c r="E185" s="1921">
        <f>C185/C186-1</f>
        <v/>
      </c>
      <c r="F185" s="1921">
        <f>$L$2/365</f>
        <v/>
      </c>
      <c r="G185" s="1921">
        <f>D185-F185</f>
        <v/>
      </c>
      <c r="H185" s="1921">
        <f>E185-F185</f>
        <v/>
      </c>
    </row>
    <row r="186" ht="14.25" customHeight="1">
      <c r="A186" s="1936" t="inlineStr">
        <is>
          <t>10/11/2025</t>
        </is>
      </c>
      <c r="B186" s="1563" t="n">
        <v>8391</v>
      </c>
      <c r="C186" s="1937" t="n">
        <v>3520</v>
      </c>
      <c r="D186" s="1921">
        <f>B186/B187-1</f>
        <v/>
      </c>
      <c r="E186" s="1921">
        <f>C186/C187-1</f>
        <v/>
      </c>
      <c r="F186" s="1921">
        <f>$L$2/365</f>
        <v/>
      </c>
      <c r="G186" s="1921">
        <f>D186-F186</f>
        <v/>
      </c>
      <c r="H186" s="1921">
        <f>E186-F186</f>
        <v/>
      </c>
    </row>
    <row r="187" ht="14.25" customHeight="1">
      <c r="A187" s="1933" t="inlineStr">
        <is>
          <t>07/11/2025</t>
        </is>
      </c>
      <c r="B187" s="1563" t="n">
        <v>8395</v>
      </c>
      <c r="C187" s="1934" t="n">
        <v>3340</v>
      </c>
      <c r="D187" s="1921">
        <f>B187/B188-1</f>
        <v/>
      </c>
      <c r="E187" s="1921">
        <f>C187/C188-1</f>
        <v/>
      </c>
      <c r="F187" s="1921">
        <f>$L$2/365</f>
        <v/>
      </c>
      <c r="G187" s="1921">
        <f>D187-F187</f>
        <v/>
      </c>
      <c r="H187" s="1921">
        <f>E187-F187</f>
        <v/>
      </c>
    </row>
    <row r="188" ht="14.25" customHeight="1">
      <c r="A188" s="1936" t="inlineStr">
        <is>
          <t>06/11/2025</t>
        </is>
      </c>
      <c r="B188" s="1563" t="n">
        <v>8337</v>
      </c>
      <c r="C188" s="1937" t="n">
        <v>3360</v>
      </c>
      <c r="D188" s="1921">
        <f>B188/B189-1</f>
        <v/>
      </c>
      <c r="E188" s="1921">
        <f>C188/C189-1</f>
        <v/>
      </c>
      <c r="F188" s="1921">
        <f>$L$2/365</f>
        <v/>
      </c>
      <c r="G188" s="1921">
        <f>D188-F188</f>
        <v/>
      </c>
      <c r="H188" s="1921">
        <f>E188-F188</f>
        <v/>
      </c>
    </row>
    <row r="189" ht="14.25" customHeight="1">
      <c r="A189" s="1933" t="inlineStr">
        <is>
          <t>05/11/2025</t>
        </is>
      </c>
      <c r="B189" s="1563" t="n">
        <v>8319</v>
      </c>
      <c r="C189" s="1934" t="n">
        <v>3260</v>
      </c>
      <c r="D189" s="1921">
        <f>B189/B190-1</f>
        <v/>
      </c>
      <c r="E189" s="1921">
        <f>C189/C190-1</f>
        <v/>
      </c>
      <c r="F189" s="1921">
        <f>$L$2/365</f>
        <v/>
      </c>
      <c r="G189" s="1921">
        <f>D189-F189</f>
        <v/>
      </c>
      <c r="H189" s="1921">
        <f>E189-F189</f>
        <v/>
      </c>
    </row>
    <row r="190" ht="14.25" customHeight="1">
      <c r="A190" s="1936" t="inlineStr">
        <is>
          <t>04/11/2025</t>
        </is>
      </c>
      <c r="B190" s="1563" t="n">
        <v>8242</v>
      </c>
      <c r="C190" s="1937" t="n">
        <v>3190</v>
      </c>
      <c r="D190" s="1921">
        <f>B190/B191-1</f>
        <v/>
      </c>
      <c r="E190" s="1921">
        <f>C190/C191-1</f>
        <v/>
      </c>
      <c r="F190" s="1921">
        <f>$L$2/365</f>
        <v/>
      </c>
      <c r="G190" s="1921">
        <f>D190-F190</f>
        <v/>
      </c>
      <c r="H190" s="1921">
        <f>E190-F190</f>
        <v/>
      </c>
    </row>
    <row r="191" ht="14.25" customHeight="1">
      <c r="A191" s="1933" t="inlineStr">
        <is>
          <t>03/11/2025</t>
        </is>
      </c>
      <c r="B191" s="1563" t="n">
        <v>8275</v>
      </c>
      <c r="C191" s="1934" t="n">
        <v>3130</v>
      </c>
      <c r="D191" s="1921">
        <f>B191/B192-1</f>
        <v/>
      </c>
      <c r="E191" s="1921">
        <f>C191/C192-1</f>
        <v/>
      </c>
      <c r="F191" s="1921">
        <f>$L$2/365</f>
        <v/>
      </c>
      <c r="G191" s="1921">
        <f>D191-F191</f>
        <v/>
      </c>
      <c r="H191" s="1921">
        <f>E191-F191</f>
        <v/>
      </c>
    </row>
    <row r="192" ht="14.25" customHeight="1">
      <c r="A192" s="1936" t="inlineStr">
        <is>
          <t>31/10/2025</t>
        </is>
      </c>
      <c r="B192" s="1563" t="n">
        <v>8164</v>
      </c>
      <c r="C192" s="1937" t="n">
        <v>3070</v>
      </c>
      <c r="D192" s="1921">
        <f>B192/B193-1</f>
        <v/>
      </c>
      <c r="E192" s="1921">
        <f>C192/C193-1</f>
        <v/>
      </c>
      <c r="F192" s="1921">
        <f>$L$2/365</f>
        <v/>
      </c>
      <c r="G192" s="1921">
        <f>D192-F192</f>
        <v/>
      </c>
      <c r="H192" s="1921">
        <f>E192-F192</f>
        <v/>
      </c>
    </row>
    <row r="193" ht="14.25" customHeight="1">
      <c r="A193" s="1933" t="inlineStr">
        <is>
          <t>30/10/2025</t>
        </is>
      </c>
      <c r="B193" s="1563" t="n">
        <v>8184</v>
      </c>
      <c r="C193" s="1934" t="n">
        <v>3080</v>
      </c>
      <c r="D193" s="1921">
        <f>B193/B194-1</f>
        <v/>
      </c>
      <c r="E193" s="1921">
        <f>C193/C194-1</f>
        <v/>
      </c>
      <c r="F193" s="1921">
        <f>$L$2/365</f>
        <v/>
      </c>
      <c r="G193" s="1921">
        <f>D193-F193</f>
        <v/>
      </c>
      <c r="H193" s="1921">
        <f>E193-F193</f>
        <v/>
      </c>
    </row>
    <row r="194" ht="14.25" customHeight="1">
      <c r="A194" s="1936" t="inlineStr">
        <is>
          <t>29/10/2025</t>
        </is>
      </c>
      <c r="B194" s="1563" t="n">
        <v>8166</v>
      </c>
      <c r="C194" s="1937" t="n">
        <v>3100</v>
      </c>
      <c r="D194" s="1921">
        <f>B194/B195-1</f>
        <v/>
      </c>
      <c r="E194" s="1921">
        <f>C194/C195-1</f>
        <v/>
      </c>
      <c r="F194" s="1921">
        <f>$L$2/365</f>
        <v/>
      </c>
      <c r="G194" s="1921">
        <f>D194-F194</f>
        <v/>
      </c>
      <c r="H194" s="1921">
        <f>E194-F194</f>
        <v/>
      </c>
    </row>
    <row r="195" ht="14.25" customHeight="1">
      <c r="A195" s="1933" t="inlineStr">
        <is>
          <t>28/10/2025</t>
        </is>
      </c>
      <c r="B195" s="1563" t="n">
        <v>8093</v>
      </c>
      <c r="C195" s="1934" t="n">
        <v>3050</v>
      </c>
      <c r="D195" s="1921">
        <f>B195/B196-1</f>
        <v/>
      </c>
      <c r="E195" s="1921">
        <f>C195/C196-1</f>
        <v/>
      </c>
      <c r="F195" s="1921">
        <f>$L$2/365</f>
        <v/>
      </c>
      <c r="G195" s="1921">
        <f>D195-F195</f>
        <v/>
      </c>
      <c r="H195" s="1921">
        <f>E195-F195</f>
        <v/>
      </c>
    </row>
    <row r="196" ht="14.25" customHeight="1">
      <c r="A196" s="1936" t="inlineStr">
        <is>
          <t>27/10/2025</t>
        </is>
      </c>
      <c r="B196" s="1563" t="n">
        <v>8117</v>
      </c>
      <c r="C196" s="1937" t="n">
        <v>3020</v>
      </c>
      <c r="D196" s="1921">
        <f>B196/B197-1</f>
        <v/>
      </c>
      <c r="E196" s="1921">
        <f>C196/C197-1</f>
        <v/>
      </c>
      <c r="F196" s="1921">
        <f>$L$2/365</f>
        <v/>
      </c>
      <c r="G196" s="1921">
        <f>D196-F196</f>
        <v/>
      </c>
      <c r="H196" s="1921">
        <f>E196-F196</f>
        <v/>
      </c>
    </row>
    <row r="197" ht="14.25" customHeight="1">
      <c r="A197" s="1933" t="inlineStr">
        <is>
          <t>24/10/2025</t>
        </is>
      </c>
      <c r="B197" s="1563" t="n">
        <v>8272</v>
      </c>
      <c r="C197" s="1934" t="n">
        <v>3200</v>
      </c>
      <c r="D197" s="1921">
        <f>B197/B198-1</f>
        <v/>
      </c>
      <c r="E197" s="1921">
        <f>C197/C198-1</f>
        <v/>
      </c>
      <c r="F197" s="1921">
        <f>$L$2/365</f>
        <v/>
      </c>
      <c r="G197" s="1921">
        <f>D197-F197</f>
        <v/>
      </c>
      <c r="H197" s="1921">
        <f>E197-F197</f>
        <v/>
      </c>
    </row>
    <row r="198" ht="14.25" customHeight="1">
      <c r="A198" s="1936" t="inlineStr">
        <is>
          <t>23/10/2025</t>
        </is>
      </c>
      <c r="B198" s="1563" t="n">
        <v>8274</v>
      </c>
      <c r="C198" s="1937" t="n">
        <v>3260</v>
      </c>
      <c r="D198" s="1921">
        <f>B198/B199-1</f>
        <v/>
      </c>
      <c r="E198" s="1921">
        <f>C198/C199-1</f>
        <v/>
      </c>
      <c r="F198" s="1921">
        <f>$L$2/365</f>
        <v/>
      </c>
      <c r="G198" s="1921">
        <f>D198-F198</f>
        <v/>
      </c>
      <c r="H198" s="1921">
        <f>E198-F198</f>
        <v/>
      </c>
    </row>
    <row r="199" ht="14.25" customHeight="1">
      <c r="A199" s="1933" t="inlineStr">
        <is>
          <t>22/10/2025</t>
        </is>
      </c>
      <c r="B199" s="1563" t="n">
        <v>8153</v>
      </c>
      <c r="C199" s="1934" t="n">
        <v>3110</v>
      </c>
      <c r="D199" s="1921">
        <f>B199/B200-1</f>
        <v/>
      </c>
      <c r="E199" s="1921">
        <f>C199/C200-1</f>
        <v/>
      </c>
      <c r="F199" s="1921">
        <f>$L$2/365</f>
        <v/>
      </c>
      <c r="G199" s="1921">
        <f>D199-F199</f>
        <v/>
      </c>
      <c r="H199" s="1921">
        <f>E199-F199</f>
        <v/>
      </c>
    </row>
    <row r="200" ht="14.25" customHeight="1">
      <c r="A200" s="1936" t="inlineStr">
        <is>
          <t>21/10/2025</t>
        </is>
      </c>
      <c r="B200" s="1563" t="n">
        <v>8238</v>
      </c>
      <c r="C200" s="1937" t="n">
        <v>3200</v>
      </c>
      <c r="D200" s="1921">
        <f>B200/B201-1</f>
        <v/>
      </c>
      <c r="E200" s="1921">
        <f>C200/C201-1</f>
        <v/>
      </c>
      <c r="F200" s="1921">
        <f>$L$2/365</f>
        <v/>
      </c>
      <c r="G200" s="1921">
        <f>D200-F200</f>
        <v/>
      </c>
      <c r="H200" s="1921">
        <f>E200-F200</f>
        <v/>
      </c>
    </row>
    <row r="201" ht="14.25" customHeight="1">
      <c r="A201" s="1933" t="inlineStr">
        <is>
          <t>20/10/2025</t>
        </is>
      </c>
      <c r="B201" s="1563" t="n">
        <v>8089</v>
      </c>
      <c r="C201" s="1934" t="n">
        <v>3200</v>
      </c>
      <c r="D201" s="1921">
        <f>B201/B202-1</f>
        <v/>
      </c>
      <c r="E201" s="1921">
        <f>C201/C202-1</f>
        <v/>
      </c>
      <c r="F201" s="1921">
        <f>$L$2/365</f>
        <v/>
      </c>
      <c r="G201" s="1921">
        <f>D201-F201</f>
        <v/>
      </c>
      <c r="H201" s="1921">
        <f>E201-F201</f>
        <v/>
      </c>
    </row>
    <row r="202" ht="14.25" customHeight="1">
      <c r="A202" s="1936" t="inlineStr">
        <is>
          <t>17/10/2025</t>
        </is>
      </c>
      <c r="B202" s="1563" t="n">
        <v>7916</v>
      </c>
      <c r="C202" s="1937" t="n">
        <v>2770</v>
      </c>
      <c r="D202" s="1921">
        <f>B202/B203-1</f>
        <v/>
      </c>
      <c r="E202" s="1921">
        <f>C202/C203-1</f>
        <v/>
      </c>
      <c r="F202" s="1921">
        <f>$L$2/365</f>
        <v/>
      </c>
      <c r="G202" s="1921">
        <f>D202-F202</f>
        <v/>
      </c>
      <c r="H202" s="1921">
        <f>E202-F202</f>
        <v/>
      </c>
    </row>
    <row r="203" ht="14.25" customHeight="1">
      <c r="A203" s="1933" t="inlineStr">
        <is>
          <t>16/10/2025</t>
        </is>
      </c>
      <c r="B203" s="1563" t="n">
        <v>8125</v>
      </c>
      <c r="C203" s="1934" t="n">
        <v>3240</v>
      </c>
      <c r="D203" s="1921">
        <f>B203/B204-1</f>
        <v/>
      </c>
      <c r="E203" s="1921">
        <f>C203/C204-1</f>
        <v/>
      </c>
      <c r="F203" s="1921">
        <f>$L$2/365</f>
        <v/>
      </c>
      <c r="G203" s="1921">
        <f>D203-F203</f>
        <v/>
      </c>
      <c r="H203" s="1921">
        <f>E203-F203</f>
        <v/>
      </c>
    </row>
    <row r="204" ht="14.25" customHeight="1">
      <c r="A204" s="1936" t="inlineStr">
        <is>
          <t>15/10/2025</t>
        </is>
      </c>
      <c r="B204" s="1563" t="n">
        <v>8051</v>
      </c>
      <c r="C204" s="1937" t="n">
        <v>3300</v>
      </c>
      <c r="D204" s="1921">
        <f>B204/B205-1</f>
        <v/>
      </c>
      <c r="E204" s="1921">
        <f>C204/C205-1</f>
        <v/>
      </c>
      <c r="F204" s="1921">
        <f>$L$2/365</f>
        <v/>
      </c>
      <c r="G204" s="1921">
        <f>D204-F204</f>
        <v/>
      </c>
      <c r="H204" s="1921">
        <f>E204-F204</f>
        <v/>
      </c>
    </row>
    <row r="205" ht="14.25" customHeight="1">
      <c r="A205" s="1933" t="inlineStr">
        <is>
          <t>14/10/2025</t>
        </is>
      </c>
      <c r="B205" s="1563" t="n">
        <v>8067</v>
      </c>
      <c r="C205" s="1934" t="n">
        <v>3760</v>
      </c>
      <c r="D205" s="1921">
        <f>B205/B206-1</f>
        <v/>
      </c>
      <c r="E205" s="1921">
        <f>C205/C206-1</f>
        <v/>
      </c>
      <c r="F205" s="1921">
        <f>$L$2/365</f>
        <v/>
      </c>
      <c r="G205" s="1921">
        <f>D205-F205</f>
        <v/>
      </c>
      <c r="H205" s="1921">
        <f>E205-F205</f>
        <v/>
      </c>
    </row>
    <row r="206" ht="14.25" customHeight="1">
      <c r="A206" s="1936" t="inlineStr">
        <is>
          <t>13/10/2025</t>
        </is>
      </c>
      <c r="B206" s="1563" t="n">
        <v>8227</v>
      </c>
      <c r="C206" s="1937" t="n">
        <v>3820</v>
      </c>
      <c r="D206" s="1921">
        <f>B206/B207-1</f>
        <v/>
      </c>
      <c r="E206" s="1921">
        <f>C206/C207-1</f>
        <v/>
      </c>
      <c r="F206" s="1921">
        <f>$L$2/365</f>
        <v/>
      </c>
      <c r="G206" s="1921">
        <f>D206-F206</f>
        <v/>
      </c>
      <c r="H206" s="1921">
        <f>E206-F206</f>
        <v/>
      </c>
    </row>
    <row r="207" ht="14.25" customHeight="1">
      <c r="A207" s="1933" t="inlineStr">
        <is>
          <t>10/10/2025</t>
        </is>
      </c>
      <c r="B207" s="1563" t="n">
        <v>8258</v>
      </c>
      <c r="C207" s="1934" t="n">
        <v>3930</v>
      </c>
      <c r="D207" s="1921">
        <f>B207/B208-1</f>
        <v/>
      </c>
      <c r="E207" s="1921">
        <f>C207/C208-1</f>
        <v/>
      </c>
      <c r="F207" s="1921">
        <f>$L$2/365</f>
        <v/>
      </c>
      <c r="G207" s="1921">
        <f>D207-F207</f>
        <v/>
      </c>
      <c r="H207" s="1921">
        <f>E207-F207</f>
        <v/>
      </c>
    </row>
    <row r="208" ht="14.25" customHeight="1">
      <c r="A208" s="1936" t="inlineStr">
        <is>
          <t>09/10/2025</t>
        </is>
      </c>
      <c r="B208" s="1563" t="n">
        <v>8251</v>
      </c>
      <c r="C208" s="1937" t="n">
        <v>3260</v>
      </c>
      <c r="D208" s="1921">
        <f>B208/B209-1</f>
        <v/>
      </c>
      <c r="E208" s="1921">
        <f>C208/C209-1</f>
        <v/>
      </c>
      <c r="F208" s="1921">
        <f>$L$2/365</f>
        <v/>
      </c>
      <c r="G208" s="1921">
        <f>D208-F208</f>
        <v/>
      </c>
      <c r="H208" s="1921">
        <f>E208-F208</f>
        <v/>
      </c>
    </row>
    <row r="209" ht="14.25" customHeight="1">
      <c r="A209" s="1933" t="inlineStr">
        <is>
          <t>08/10/2025</t>
        </is>
      </c>
      <c r="B209" s="1563" t="n">
        <v>8166</v>
      </c>
      <c r="C209" s="1934" t="n">
        <v>3210</v>
      </c>
      <c r="D209" s="1921">
        <f>B209/B210-1</f>
        <v/>
      </c>
      <c r="E209" s="1921">
        <f>C209/C210-1</f>
        <v/>
      </c>
      <c r="F209" s="1921">
        <f>$L$2/365</f>
        <v/>
      </c>
      <c r="G209" s="1921">
        <f>D209-F209</f>
        <v/>
      </c>
      <c r="H209" s="1921">
        <f>E209-F209</f>
        <v/>
      </c>
    </row>
    <row r="210" ht="14.25" customHeight="1">
      <c r="A210" s="1936" t="inlineStr">
        <is>
          <t>07/10/2025</t>
        </is>
      </c>
      <c r="B210" s="1563" t="n">
        <v>8169</v>
      </c>
      <c r="C210" s="1937" t="n">
        <v>3400</v>
      </c>
      <c r="D210" s="1921">
        <f>B210/B211-1</f>
        <v/>
      </c>
      <c r="E210" s="1921">
        <f>C210/C211-1</f>
        <v/>
      </c>
      <c r="F210" s="1921">
        <f>$L$2/365</f>
        <v/>
      </c>
      <c r="G210" s="1921">
        <f>D210-F210</f>
        <v/>
      </c>
      <c r="H210" s="1921">
        <f>E210-F210</f>
        <v/>
      </c>
    </row>
    <row r="211" ht="14.25" customHeight="1">
      <c r="A211" s="1933" t="inlineStr">
        <is>
          <t>06/10/2025</t>
        </is>
      </c>
      <c r="B211" s="1563" t="n">
        <v>8140</v>
      </c>
      <c r="C211" s="1934" t="n">
        <v>3310</v>
      </c>
      <c r="D211" s="1921">
        <f>B211/B212-1</f>
        <v/>
      </c>
      <c r="E211" s="1921">
        <f>C211/C212-1</f>
        <v/>
      </c>
      <c r="F211" s="1921">
        <f>$L$2/365</f>
        <v/>
      </c>
      <c r="G211" s="1921">
        <f>D211-F211</f>
        <v/>
      </c>
      <c r="H211" s="1921">
        <f>E211-F211</f>
        <v/>
      </c>
    </row>
    <row r="212" ht="14.25" customHeight="1">
      <c r="A212" s="1936" t="inlineStr">
        <is>
          <t>03/10/2025</t>
        </is>
      </c>
      <c r="B212" s="1563" t="n">
        <v>8118</v>
      </c>
      <c r="C212" s="1937" t="n">
        <v>3140</v>
      </c>
      <c r="D212" s="1921">
        <f>B212/B213-1</f>
        <v/>
      </c>
      <c r="E212" s="1921">
        <f>C212/C213-1</f>
        <v/>
      </c>
      <c r="F212" s="1921">
        <f>$L$2/365</f>
        <v/>
      </c>
      <c r="G212" s="1921">
        <f>D212-F212</f>
        <v/>
      </c>
      <c r="H212" s="1921">
        <f>E212-F212</f>
        <v/>
      </c>
    </row>
    <row r="213" ht="14.25" customHeight="1">
      <c r="A213" s="1933" t="inlineStr">
        <is>
          <t>02/10/2025</t>
        </is>
      </c>
      <c r="B213" s="1563" t="n">
        <v>8071</v>
      </c>
      <c r="C213" s="1934" t="n">
        <v>2850</v>
      </c>
      <c r="D213" s="1921">
        <f>B213/B214-1</f>
        <v/>
      </c>
      <c r="E213" s="1921">
        <f>C213/C214-1</f>
        <v/>
      </c>
      <c r="F213" s="1921">
        <f>$L$2/365</f>
        <v/>
      </c>
      <c r="G213" s="1921">
        <f>D213-F213</f>
        <v/>
      </c>
      <c r="H213" s="1921">
        <f>E213-F213</f>
        <v/>
      </c>
    </row>
    <row r="214" ht="14.25" customHeight="1">
      <c r="A214" s="1936" t="inlineStr">
        <is>
          <t>01/10/2025</t>
        </is>
      </c>
      <c r="B214" s="1563" t="n">
        <v>8044</v>
      </c>
      <c r="C214" s="1937" t="n">
        <v>2720</v>
      </c>
      <c r="D214" s="1921">
        <f>B214/B215-1</f>
        <v/>
      </c>
      <c r="E214" s="1921">
        <f>C214/C215-1</f>
        <v/>
      </c>
      <c r="F214" s="1921">
        <f>$L$2/365</f>
        <v/>
      </c>
      <c r="G214" s="1921">
        <f>D214-F214</f>
        <v/>
      </c>
      <c r="H214" s="1921">
        <f>E214-F214</f>
        <v/>
      </c>
    </row>
    <row r="215" ht="14.25" customHeight="1">
      <c r="A215" s="1933" t="inlineStr">
        <is>
          <t>30/09/2025</t>
        </is>
      </c>
      <c r="B215" s="1563" t="n">
        <v>8061</v>
      </c>
      <c r="C215" s="1934" t="n">
        <v>2810</v>
      </c>
      <c r="D215" s="1921">
        <f>B215/B216-1</f>
        <v/>
      </c>
      <c r="E215" s="1921">
        <f>C215/C216-1</f>
        <v/>
      </c>
      <c r="F215" s="1921">
        <f>$L$2/365</f>
        <v/>
      </c>
      <c r="G215" s="1921">
        <f>D215-F215</f>
        <v/>
      </c>
      <c r="H215" s="1921">
        <f>E215-F215</f>
        <v/>
      </c>
    </row>
    <row r="216" ht="14.25" customHeight="1">
      <c r="A216" s="1936" t="inlineStr">
        <is>
          <t>29/09/2025</t>
        </is>
      </c>
      <c r="B216" s="1563" t="n">
        <v>8123</v>
      </c>
      <c r="C216" s="1937" t="n">
        <v>2770</v>
      </c>
      <c r="D216" s="1921">
        <f>B216/B217-1</f>
        <v/>
      </c>
      <c r="E216" s="1921">
        <f>C216/C217-1</f>
        <v/>
      </c>
      <c r="F216" s="1921">
        <f>$L$2/365</f>
        <v/>
      </c>
      <c r="G216" s="1921">
        <f>D216-F216</f>
        <v/>
      </c>
      <c r="H216" s="1921">
        <f>E216-F216</f>
        <v/>
      </c>
    </row>
    <row r="217" ht="14.25" customHeight="1">
      <c r="A217" s="1933" t="inlineStr">
        <is>
          <t>26/09/2025</t>
        </is>
      </c>
      <c r="B217" s="1563" t="n">
        <v>8099</v>
      </c>
      <c r="C217" s="1934" t="n">
        <v>2630</v>
      </c>
      <c r="D217" s="1921">
        <f>B217/B218-1</f>
        <v/>
      </c>
      <c r="E217" s="1921">
        <f>C217/C218-1</f>
        <v/>
      </c>
      <c r="F217" s="1921">
        <f>$L$2/365</f>
        <v/>
      </c>
      <c r="G217" s="1921">
        <f>D217-F217</f>
        <v/>
      </c>
      <c r="H217" s="1921">
        <f>E217-F217</f>
        <v/>
      </c>
    </row>
    <row r="218" ht="14.25" customHeight="1">
      <c r="A218" s="1936" t="inlineStr">
        <is>
          <t>25/09/2025</t>
        </is>
      </c>
      <c r="B218" s="1563" t="n">
        <v>8041</v>
      </c>
      <c r="C218" s="1937" t="n">
        <v>2590</v>
      </c>
      <c r="D218" s="1921">
        <f>B218/B219-1</f>
        <v/>
      </c>
      <c r="E218" s="1921">
        <f>C218/C219-1</f>
        <v/>
      </c>
      <c r="F218" s="1921">
        <f>$L$2/365</f>
        <v/>
      </c>
      <c r="G218" s="1921">
        <f>D218-F218</f>
        <v/>
      </c>
      <c r="H218" s="1921">
        <f>E218-F218</f>
        <v/>
      </c>
    </row>
    <row r="219" ht="14.25" customHeight="1">
      <c r="A219" s="1933" t="inlineStr">
        <is>
          <t>24/09/2025</t>
        </is>
      </c>
      <c r="B219" s="1563" t="n">
        <v>8127</v>
      </c>
      <c r="C219" s="1934" t="n">
        <v>2660</v>
      </c>
      <c r="D219" s="1921">
        <f>B219/B220-1</f>
        <v/>
      </c>
      <c r="E219" s="1921">
        <f>C219/C220-1</f>
        <v/>
      </c>
      <c r="F219" s="1921">
        <f>$L$2/365</f>
        <v/>
      </c>
      <c r="G219" s="1921">
        <f>D219-F219</f>
        <v/>
      </c>
      <c r="H219" s="1921">
        <f>E219-F219</f>
        <v/>
      </c>
    </row>
    <row r="220" ht="14.25" customHeight="1">
      <c r="A220" s="1936" t="inlineStr">
        <is>
          <t>23/09/2025</t>
        </is>
      </c>
      <c r="B220" s="1563" t="n">
        <v>8125</v>
      </c>
      <c r="C220" s="1937" t="n">
        <v>2850</v>
      </c>
      <c r="D220" s="1921">
        <f>B220/B221-1</f>
        <v/>
      </c>
      <c r="E220" s="1921">
        <f>C220/C221-1</f>
        <v/>
      </c>
      <c r="F220" s="1921">
        <f>$L$2/365</f>
        <v/>
      </c>
      <c r="G220" s="1921">
        <f>D220-F220</f>
        <v/>
      </c>
      <c r="H220" s="1921">
        <f>E220-F220</f>
        <v/>
      </c>
    </row>
    <row r="221" ht="14.25" customHeight="1">
      <c r="A221" s="1933" t="inlineStr">
        <is>
          <t>22/09/2025</t>
        </is>
      </c>
      <c r="B221" s="1563" t="n">
        <v>8040</v>
      </c>
      <c r="C221" s="1934" t="n">
        <v>2760</v>
      </c>
      <c r="D221" s="1921">
        <f>B221/B222-1</f>
        <v/>
      </c>
      <c r="E221" s="1921">
        <f>C221/C222-1</f>
        <v/>
      </c>
      <c r="F221" s="1921">
        <f>$L$2/365</f>
        <v/>
      </c>
      <c r="G221" s="1921">
        <f>D221-F221</f>
        <v/>
      </c>
      <c r="H221" s="1921">
        <f>E221-F221</f>
        <v/>
      </c>
    </row>
    <row r="222" ht="14.25" customHeight="1">
      <c r="A222" s="1936" t="inlineStr">
        <is>
          <t>19/09/2025</t>
        </is>
      </c>
      <c r="B222" s="1563" t="n">
        <v>8051</v>
      </c>
      <c r="C222" s="1937" t="n">
        <v>2660</v>
      </c>
      <c r="D222" s="1921">
        <f>B222/B223-1</f>
        <v/>
      </c>
      <c r="E222" s="1921">
        <f>C222/C223-1</f>
        <v/>
      </c>
      <c r="F222" s="1921">
        <f>$L$2/365</f>
        <v/>
      </c>
      <c r="G222" s="1921">
        <f>D222-F222</f>
        <v/>
      </c>
      <c r="H222" s="1921">
        <f>E222-F222</f>
        <v/>
      </c>
    </row>
    <row r="223" ht="14.25" customHeight="1">
      <c r="A223" s="1933" t="inlineStr">
        <is>
          <t>18/09/2025</t>
        </is>
      </c>
      <c r="B223" s="1563" t="n">
        <v>8008</v>
      </c>
      <c r="C223" s="1934" t="n">
        <v>2640</v>
      </c>
      <c r="D223" s="1921">
        <f>B223/B224-1</f>
        <v/>
      </c>
      <c r="E223" s="1921">
        <f>C223/C224-1</f>
        <v/>
      </c>
      <c r="F223" s="1921">
        <f>$L$2/365</f>
        <v/>
      </c>
      <c r="G223" s="1921">
        <f>D223-F223</f>
        <v/>
      </c>
      <c r="H223" s="1921">
        <f>E223-F223</f>
        <v/>
      </c>
    </row>
    <row r="224" ht="14.25" customHeight="1">
      <c r="A224" s="1936" t="inlineStr">
        <is>
          <t>17/09/2025</t>
        </is>
      </c>
      <c r="B224" s="1563" t="n">
        <v>8025</v>
      </c>
      <c r="C224" s="1937" t="n">
        <v>2580</v>
      </c>
      <c r="D224" s="1921">
        <f>B224/B225-1</f>
        <v/>
      </c>
      <c r="E224" s="1921">
        <f>C224/C225-1</f>
        <v/>
      </c>
      <c r="F224" s="1921">
        <f>$L$2/365</f>
        <v/>
      </c>
      <c r="G224" s="1921">
        <f>D224-F224</f>
        <v/>
      </c>
      <c r="H224" s="1921">
        <f>E224-F224</f>
        <v/>
      </c>
    </row>
    <row r="225" ht="14.25" customHeight="1">
      <c r="A225" s="1933" t="inlineStr">
        <is>
          <t>16/09/2025</t>
        </is>
      </c>
      <c r="B225" s="1563" t="n">
        <v>7958</v>
      </c>
      <c r="C225" s="1934" t="n">
        <v>2650</v>
      </c>
      <c r="D225" s="1921">
        <f>B225/B226-1</f>
        <v/>
      </c>
      <c r="E225" s="1921">
        <f>C225/C226-1</f>
        <v/>
      </c>
      <c r="F225" s="1921">
        <f>$L$2/365</f>
        <v/>
      </c>
      <c r="G225" s="1921">
        <f>D225-F225</f>
        <v/>
      </c>
      <c r="H225" s="1921">
        <f>E225-F225</f>
        <v/>
      </c>
    </row>
    <row r="226" ht="14.25" customHeight="1">
      <c r="A226" s="1936" t="inlineStr">
        <is>
          <t>15/09/2025</t>
        </is>
      </c>
      <c r="B226" s="1563" t="n">
        <v>7937</v>
      </c>
      <c r="C226" s="1937" t="n">
        <v>2670</v>
      </c>
      <c r="D226" s="1921">
        <f>B226/B227-1</f>
        <v/>
      </c>
      <c r="E226" s="1921">
        <f>C226/C227-1</f>
        <v/>
      </c>
      <c r="F226" s="1921">
        <f>$L$2/365</f>
        <v/>
      </c>
      <c r="G226" s="1921">
        <f>D226-F226</f>
        <v/>
      </c>
      <c r="H226" s="1921">
        <f>E226-F226</f>
        <v/>
      </c>
    </row>
    <row r="227" ht="14.25" customHeight="1">
      <c r="A227" s="1933" t="inlineStr">
        <is>
          <t>12/09/2025</t>
        </is>
      </c>
      <c r="B227" s="1563" t="n">
        <v>7854</v>
      </c>
      <c r="C227" s="1934" t="n">
        <v>2600</v>
      </c>
      <c r="D227" s="1921">
        <f>B227/B228-1</f>
        <v/>
      </c>
      <c r="E227" s="1921">
        <f>C227/C228-1</f>
        <v/>
      </c>
      <c r="F227" s="1921">
        <f>$L$2/365</f>
        <v/>
      </c>
      <c r="G227" s="1921">
        <f>D227-F227</f>
        <v/>
      </c>
      <c r="H227" s="1921">
        <f>E227-F227</f>
        <v/>
      </c>
    </row>
    <row r="228" ht="14.25" customHeight="1">
      <c r="A228" s="1936" t="inlineStr">
        <is>
          <t>11/09/2025</t>
        </is>
      </c>
      <c r="B228" s="1563" t="n">
        <v>7748</v>
      </c>
      <c r="C228" s="1937" t="n">
        <v>2580</v>
      </c>
      <c r="D228" s="1921">
        <f>B228/B229-1</f>
        <v/>
      </c>
      <c r="E228" s="1921">
        <f>C228/C229-1</f>
        <v/>
      </c>
      <c r="F228" s="1921">
        <f>$L$2/365</f>
        <v/>
      </c>
      <c r="G228" s="1921">
        <f>D228-F228</f>
        <v/>
      </c>
      <c r="H228" s="1921">
        <f>E228-F228</f>
        <v/>
      </c>
    </row>
    <row r="229" ht="14.25" customHeight="1">
      <c r="A229" s="1933" t="inlineStr">
        <is>
          <t>10/09/2025</t>
        </is>
      </c>
      <c r="B229" s="1563" t="n">
        <v>7699</v>
      </c>
      <c r="C229" s="1934" t="n">
        <v>2570</v>
      </c>
      <c r="D229" s="1921">
        <f>B229/B230-1</f>
        <v/>
      </c>
      <c r="E229" s="1921">
        <f>C229/C230-1</f>
        <v/>
      </c>
      <c r="F229" s="1921">
        <f>$L$2/365</f>
        <v/>
      </c>
      <c r="G229" s="1921">
        <f>D229-F229</f>
        <v/>
      </c>
      <c r="H229" s="1921">
        <f>E229-F229</f>
        <v/>
      </c>
    </row>
    <row r="230" ht="14.25" customHeight="1">
      <c r="A230" s="1936" t="inlineStr">
        <is>
          <t>09/09/2025</t>
        </is>
      </c>
      <c r="B230" s="1563" t="n">
        <v>7629</v>
      </c>
      <c r="C230" s="1937" t="n">
        <v>2570</v>
      </c>
      <c r="D230" s="1921">
        <f>B230/B231-1</f>
        <v/>
      </c>
      <c r="E230" s="1921">
        <f>C230/C231-1</f>
        <v/>
      </c>
      <c r="F230" s="1921">
        <f>$L$2/365</f>
        <v/>
      </c>
      <c r="G230" s="1921">
        <f>D230-F230</f>
        <v/>
      </c>
      <c r="H230" s="1921">
        <f>E230-F230</f>
        <v/>
      </c>
    </row>
    <row r="231" ht="14.25" customHeight="1">
      <c r="A231" s="1933" t="inlineStr">
        <is>
          <t>08/09/2025</t>
        </is>
      </c>
      <c r="B231" s="1563" t="n">
        <v>7767</v>
      </c>
      <c r="C231" s="1934" t="n">
        <v>2510</v>
      </c>
      <c r="D231" s="1921">
        <f>B231/B232-1</f>
        <v/>
      </c>
      <c r="E231" s="1921">
        <f>C231/C232-1</f>
        <v/>
      </c>
      <c r="F231" s="1921">
        <f>$L$2/365</f>
        <v/>
      </c>
      <c r="G231" s="1921">
        <f>D231-F231</f>
        <v/>
      </c>
      <c r="H231" s="1921">
        <f>E231-F231</f>
        <v/>
      </c>
    </row>
    <row r="232" ht="14.25" customHeight="1">
      <c r="A232" s="1936" t="inlineStr">
        <is>
          <t>04/09/2025</t>
        </is>
      </c>
      <c r="B232" s="1563" t="n">
        <v>7867</v>
      </c>
      <c r="C232" s="1937" t="n">
        <v>2580</v>
      </c>
      <c r="D232" s="1921">
        <f>B232/B233-1</f>
        <v/>
      </c>
      <c r="E232" s="1921">
        <f>C232/C233-1</f>
        <v/>
      </c>
      <c r="F232" s="1921">
        <f>$L$2/365</f>
        <v/>
      </c>
      <c r="G232" s="1921">
        <f>D232-F232</f>
        <v/>
      </c>
      <c r="H232" s="1921">
        <f>E232-F232</f>
        <v/>
      </c>
    </row>
    <row r="233" ht="14.25" customHeight="1">
      <c r="A233" s="1933" t="inlineStr">
        <is>
          <t>03/09/2025</t>
        </is>
      </c>
      <c r="B233" s="1563" t="n">
        <v>7886</v>
      </c>
      <c r="C233" s="1934" t="n">
        <v>2560</v>
      </c>
      <c r="D233" s="1921">
        <f>B233/B234-1</f>
        <v/>
      </c>
      <c r="E233" s="1921">
        <f>C233/C234-1</f>
        <v/>
      </c>
      <c r="F233" s="1921">
        <f>$L$2/365</f>
        <v/>
      </c>
      <c r="G233" s="1921">
        <f>D233-F233</f>
        <v/>
      </c>
      <c r="H233" s="1921">
        <f>E233-F233</f>
        <v/>
      </c>
    </row>
    <row r="234" ht="14.25" customHeight="1">
      <c r="A234" s="1936" t="inlineStr">
        <is>
          <t>02/09/2025</t>
        </is>
      </c>
      <c r="B234" s="1563" t="n">
        <v>7802</v>
      </c>
      <c r="C234" s="1937" t="n">
        <v>2600</v>
      </c>
      <c r="D234" s="1921">
        <f>B234/B235-1</f>
        <v/>
      </c>
      <c r="E234" s="1921">
        <f>C234/C235-1</f>
        <v/>
      </c>
      <c r="F234" s="1921">
        <f>$L$2/365</f>
        <v/>
      </c>
      <c r="G234" s="1921">
        <f>D234-F234</f>
        <v/>
      </c>
      <c r="H234" s="1921">
        <f>E234-F234</f>
        <v/>
      </c>
    </row>
    <row r="235" ht="14.25" customHeight="1">
      <c r="A235" s="1933" t="inlineStr">
        <is>
          <t>01/09/2025</t>
        </is>
      </c>
      <c r="B235" s="1563" t="n">
        <v>7736</v>
      </c>
      <c r="C235" s="1934" t="n">
        <v>2530</v>
      </c>
      <c r="D235" s="1921">
        <f>B235/B236-1</f>
        <v/>
      </c>
      <c r="E235" s="1921">
        <f>C235/C236-1</f>
        <v/>
      </c>
      <c r="F235" s="1921">
        <f>$L$2/365</f>
        <v/>
      </c>
      <c r="G235" s="1921">
        <f>D235-F235</f>
        <v/>
      </c>
      <c r="H235" s="1921">
        <f>E235-F235</f>
        <v/>
      </c>
    </row>
    <row r="236" ht="14.25" customHeight="1">
      <c r="A236" s="1936" t="inlineStr">
        <is>
          <t>29/08/2025</t>
        </is>
      </c>
      <c r="B236" s="1563" t="n">
        <v>7830</v>
      </c>
      <c r="C236" s="1937" t="n">
        <v>2690</v>
      </c>
      <c r="D236" s="1921">
        <f>B236/B237-1</f>
        <v/>
      </c>
      <c r="E236" s="1921">
        <f>C236/C237-1</f>
        <v/>
      </c>
      <c r="F236" s="1921">
        <f>$L$2/365</f>
        <v/>
      </c>
      <c r="G236" s="1921">
        <f>D236-F236</f>
        <v/>
      </c>
      <c r="H236" s="1921">
        <f>E236-F236</f>
        <v/>
      </c>
    </row>
    <row r="237" ht="14.25" customHeight="1">
      <c r="A237" s="1933" t="inlineStr">
        <is>
          <t>28/08/2025</t>
        </is>
      </c>
      <c r="B237" s="1563" t="n">
        <v>7952</v>
      </c>
      <c r="C237" s="1934" t="n">
        <v>2880</v>
      </c>
      <c r="D237" s="1921">
        <f>B237/B238-1</f>
        <v/>
      </c>
      <c r="E237" s="1921">
        <f>C237/C238-1</f>
        <v/>
      </c>
      <c r="F237" s="1921">
        <f>$L$2/365</f>
        <v/>
      </c>
      <c r="G237" s="1921">
        <f>D237-F237</f>
        <v/>
      </c>
      <c r="H237" s="1921">
        <f>E237-F237</f>
        <v/>
      </c>
    </row>
    <row r="238" ht="14.25" customHeight="1">
      <c r="A238" s="1936" t="inlineStr">
        <is>
          <t>27/08/2025</t>
        </is>
      </c>
      <c r="B238" s="1563" t="n">
        <v>7936</v>
      </c>
      <c r="C238" s="1937" t="n">
        <v>3050</v>
      </c>
      <c r="D238" s="1921">
        <f>B238/B239-1</f>
        <v/>
      </c>
      <c r="E238" s="1921">
        <f>C238/C239-1</f>
        <v/>
      </c>
      <c r="F238" s="1921">
        <f>$L$2/365</f>
        <v/>
      </c>
      <c r="G238" s="1921">
        <f>D238-F238</f>
        <v/>
      </c>
      <c r="H238" s="1921">
        <f>E238-F238</f>
        <v/>
      </c>
    </row>
    <row r="239" ht="14.25" customHeight="1">
      <c r="A239" s="1933" t="inlineStr">
        <is>
          <t>26/08/2025</t>
        </is>
      </c>
      <c r="B239" s="1563" t="n">
        <v>7906</v>
      </c>
      <c r="C239" s="1934" t="n">
        <v>2870</v>
      </c>
      <c r="D239" s="1921">
        <f>B239/B240-1</f>
        <v/>
      </c>
      <c r="E239" s="1921">
        <f>C239/C240-1</f>
        <v/>
      </c>
      <c r="F239" s="1921">
        <f>$L$2/365</f>
        <v/>
      </c>
      <c r="G239" s="1921">
        <f>D239-F239</f>
        <v/>
      </c>
      <c r="H239" s="1921">
        <f>E239-F239</f>
        <v/>
      </c>
    </row>
    <row r="240" ht="14.25" customHeight="1">
      <c r="A240" s="1936" t="inlineStr">
        <is>
          <t>25/08/2025</t>
        </is>
      </c>
      <c r="B240" s="1563" t="n">
        <v>7927</v>
      </c>
      <c r="C240" s="1937" t="n">
        <v>2800</v>
      </c>
      <c r="D240" s="1921">
        <f>B240/B241-1</f>
        <v/>
      </c>
      <c r="E240" s="1921">
        <f>C240/C241-1</f>
        <v/>
      </c>
      <c r="F240" s="1921">
        <f>$L$2/365</f>
        <v/>
      </c>
      <c r="G240" s="1921">
        <f>D240-F240</f>
        <v/>
      </c>
      <c r="H240" s="1921">
        <f>E240-F240</f>
        <v/>
      </c>
    </row>
    <row r="241" ht="14.25" customHeight="1">
      <c r="A241" s="1933" t="inlineStr">
        <is>
          <t>22/08/2025</t>
        </is>
      </c>
      <c r="B241" s="1563" t="n">
        <v>7859</v>
      </c>
      <c r="C241" s="1934" t="n">
        <v>2740</v>
      </c>
      <c r="D241" s="1921">
        <f>B241/B242-1</f>
        <v/>
      </c>
      <c r="E241" s="1921">
        <f>C241/C242-1</f>
        <v/>
      </c>
      <c r="F241" s="1921">
        <f>$L$2/365</f>
        <v/>
      </c>
      <c r="G241" s="1921">
        <f>D241-F241</f>
        <v/>
      </c>
      <c r="H241" s="1921">
        <f>E241-F241</f>
        <v/>
      </c>
    </row>
    <row r="242" ht="14.25" customHeight="1">
      <c r="A242" s="1936" t="inlineStr">
        <is>
          <t>21/08/2025</t>
        </is>
      </c>
      <c r="B242" s="1563" t="n">
        <v>7891</v>
      </c>
      <c r="C242" s="1937" t="n">
        <v>2780</v>
      </c>
      <c r="D242" s="1921">
        <f>B242/B243-1</f>
        <v/>
      </c>
      <c r="E242" s="1921">
        <f>C242/C243-1</f>
        <v/>
      </c>
      <c r="F242" s="1921">
        <f>$L$2/365</f>
        <v/>
      </c>
      <c r="G242" s="1921">
        <f>D242-F242</f>
        <v/>
      </c>
      <c r="H242" s="1921">
        <f>E242-F242</f>
        <v/>
      </c>
    </row>
    <row r="243" ht="14.25" customHeight="1">
      <c r="A243" s="1933" t="inlineStr">
        <is>
          <t>20/08/2025</t>
        </is>
      </c>
      <c r="B243" s="1563" t="n">
        <v>7944</v>
      </c>
      <c r="C243" s="1934" t="n">
        <v>2760</v>
      </c>
      <c r="D243" s="1921">
        <f>B243/B244-1</f>
        <v/>
      </c>
      <c r="E243" s="1921">
        <f>C243/C244-1</f>
        <v/>
      </c>
      <c r="F243" s="1921">
        <f>$L$2/365</f>
        <v/>
      </c>
      <c r="G243" s="1921">
        <f>D243-F243</f>
        <v/>
      </c>
      <c r="H243" s="1921">
        <f>E243-F243</f>
        <v/>
      </c>
    </row>
    <row r="244" ht="14.25" customHeight="1">
      <c r="A244" s="1936" t="inlineStr">
        <is>
          <t>19/08/2025</t>
        </is>
      </c>
      <c r="B244" s="1563" t="n">
        <v>7863</v>
      </c>
      <c r="C244" s="1937" t="n">
        <v>2720</v>
      </c>
      <c r="D244" s="1921">
        <f>B244/B245-1</f>
        <v/>
      </c>
      <c r="E244" s="1921">
        <f>C244/C245-1</f>
        <v/>
      </c>
      <c r="F244" s="1921">
        <f>$L$2/365</f>
        <v/>
      </c>
      <c r="G244" s="1921">
        <f>D244-F244</f>
        <v/>
      </c>
      <c r="H244" s="1921">
        <f>E244-F244</f>
        <v/>
      </c>
    </row>
    <row r="245" ht="14.25" customHeight="1">
      <c r="A245" s="1933" t="inlineStr">
        <is>
          <t>15/08/2025</t>
        </is>
      </c>
      <c r="B245" s="1563" t="n">
        <v>7898</v>
      </c>
      <c r="C245" s="1934" t="n">
        <v>2770</v>
      </c>
      <c r="D245" s="1921">
        <f>B245/B246-1</f>
        <v/>
      </c>
      <c r="E245" s="1921">
        <f>C245/C246-1</f>
        <v/>
      </c>
      <c r="F245" s="1921">
        <f>$L$2/365</f>
        <v/>
      </c>
      <c r="G245" s="1921">
        <f>D245-F245</f>
        <v/>
      </c>
      <c r="H245" s="1921">
        <f>E245-F245</f>
        <v/>
      </c>
    </row>
    <row r="246" ht="14.25" customHeight="1">
      <c r="A246" s="1936" t="inlineStr">
        <is>
          <t>14/08/2025</t>
        </is>
      </c>
      <c r="B246" s="1563" t="n">
        <v>7931</v>
      </c>
      <c r="C246" s="1937" t="n">
        <v>2900</v>
      </c>
      <c r="D246" s="1921">
        <f>B246/B247-1</f>
        <v/>
      </c>
      <c r="E246" s="1921">
        <f>C246/C247-1</f>
        <v/>
      </c>
      <c r="F246" s="1921">
        <f>$L$2/365</f>
        <v/>
      </c>
      <c r="G246" s="1921">
        <f>D246-F246</f>
        <v/>
      </c>
      <c r="H246" s="1921">
        <f>E246-F246</f>
        <v/>
      </c>
    </row>
    <row r="247" ht="14.25" customHeight="1">
      <c r="A247" s="1933" t="inlineStr">
        <is>
          <t>13/08/2025</t>
        </is>
      </c>
      <c r="B247" s="1563" t="n">
        <v>7893</v>
      </c>
      <c r="C247" s="1934" t="n">
        <v>2710</v>
      </c>
      <c r="D247" s="1921">
        <f>B247/B248-1</f>
        <v/>
      </c>
      <c r="E247" s="1921">
        <f>C247/C248-1</f>
        <v/>
      </c>
      <c r="F247" s="1921">
        <f>$L$2/365</f>
        <v/>
      </c>
      <c r="G247" s="1921">
        <f>D247-F247</f>
        <v/>
      </c>
      <c r="H247" s="1921">
        <f>E247-F247</f>
        <v/>
      </c>
    </row>
    <row r="248" ht="14.25" customHeight="1">
      <c r="A248" s="1936" t="inlineStr">
        <is>
          <t>12/08/2025</t>
        </is>
      </c>
      <c r="B248" s="1563" t="n">
        <v>7792</v>
      </c>
      <c r="C248" s="1937" t="n">
        <v>2710</v>
      </c>
      <c r="D248" s="1921">
        <f>B248/B249-1</f>
        <v/>
      </c>
      <c r="E248" s="1921">
        <f>C248/C249-1</f>
        <v/>
      </c>
      <c r="F248" s="1921">
        <f>$L$2/365</f>
        <v/>
      </c>
      <c r="G248" s="1921">
        <f>D248-F248</f>
        <v/>
      </c>
      <c r="H248" s="1921">
        <f>E248-F248</f>
        <v/>
      </c>
    </row>
    <row r="249" ht="14.25" customHeight="1">
      <c r="A249" s="1933" t="inlineStr">
        <is>
          <t>11/08/2025</t>
        </is>
      </c>
      <c r="B249" s="1563" t="n">
        <v>7606</v>
      </c>
      <c r="C249" s="1934" t="n">
        <v>2700</v>
      </c>
      <c r="D249" s="1921">
        <f>B249/B250-1</f>
        <v/>
      </c>
      <c r="E249" s="1921">
        <f>C249/C250-1</f>
        <v/>
      </c>
      <c r="F249" s="1921">
        <f>$L$2/365</f>
        <v/>
      </c>
      <c r="G249" s="1921">
        <f>D249-F249</f>
        <v/>
      </c>
      <c r="H249" s="1921">
        <f>E249-F249</f>
        <v/>
      </c>
    </row>
    <row r="250" ht="14.25" customHeight="1">
      <c r="A250" s="1936" t="inlineStr">
        <is>
          <t>08/08/2025</t>
        </is>
      </c>
      <c r="B250" s="1563" t="n">
        <v>7533</v>
      </c>
      <c r="C250" s="1937" t="n">
        <v>2560</v>
      </c>
      <c r="D250" s="1921">
        <f>B250/B251-1</f>
        <v/>
      </c>
      <c r="E250" s="1921">
        <f>C250/C251-1</f>
        <v/>
      </c>
      <c r="F250" s="1921">
        <f>$L$2/365</f>
        <v/>
      </c>
      <c r="G250" s="1921">
        <f>D250-F250</f>
        <v/>
      </c>
      <c r="H250" s="1921">
        <f>E250-F250</f>
        <v/>
      </c>
    </row>
    <row r="251" ht="14.25" customHeight="1">
      <c r="A251" s="1933" t="inlineStr">
        <is>
          <t>07/08/2025</t>
        </is>
      </c>
      <c r="B251" s="1563" t="n">
        <v>7490</v>
      </c>
      <c r="C251" s="1934" t="n">
        <v>2620</v>
      </c>
      <c r="D251" s="1921">
        <f>B251/B252-1</f>
        <v/>
      </c>
      <c r="E251" s="1921">
        <f>C251/C252-1</f>
        <v/>
      </c>
      <c r="F251" s="1921">
        <f>$L$2/365</f>
        <v/>
      </c>
      <c r="G251" s="1921">
        <f>D251-F251</f>
        <v/>
      </c>
      <c r="H251" s="1921">
        <f>E251-F251</f>
        <v/>
      </c>
    </row>
    <row r="252" ht="14.25" customHeight="1">
      <c r="A252" s="1936" t="inlineStr">
        <is>
          <t>06/08/2025</t>
        </is>
      </c>
      <c r="B252" s="1563" t="n">
        <v>7504</v>
      </c>
      <c r="C252" s="1937" t="n">
        <v>2730</v>
      </c>
      <c r="D252" s="1921">
        <f>B252/B253-1</f>
        <v/>
      </c>
      <c r="E252" s="1921">
        <f>C252/C253-1</f>
        <v/>
      </c>
      <c r="F252" s="1921">
        <f>$L$2/365</f>
        <v/>
      </c>
      <c r="G252" s="1921">
        <f>D252-F252</f>
        <v/>
      </c>
      <c r="H252" s="1921">
        <f>E252-F252</f>
        <v/>
      </c>
    </row>
    <row r="253" ht="14.25" customHeight="1">
      <c r="A253" s="1933" t="inlineStr">
        <is>
          <t>05/08/2025</t>
        </is>
      </c>
      <c r="B253" s="1563" t="n">
        <v>7515</v>
      </c>
      <c r="C253" s="1934" t="n">
        <v>2700</v>
      </c>
      <c r="D253" s="1921">
        <f>B253/B254-1</f>
        <v/>
      </c>
      <c r="E253" s="1921">
        <f>C253/C254-1</f>
        <v/>
      </c>
      <c r="F253" s="1921">
        <f>$L$2/365</f>
        <v/>
      </c>
      <c r="G253" s="1921">
        <f>D253-F253</f>
        <v/>
      </c>
      <c r="H253" s="1921">
        <f>E253-F253</f>
        <v/>
      </c>
    </row>
    <row r="254" ht="14.25" customHeight="1">
      <c r="A254" s="1936" t="inlineStr">
        <is>
          <t>04/08/2025</t>
        </is>
      </c>
      <c r="B254" s="1563" t="n">
        <v>7465</v>
      </c>
      <c r="C254" s="1937" t="n">
        <v>2790</v>
      </c>
      <c r="D254" s="1921">
        <f>B254/B255-1</f>
        <v/>
      </c>
      <c r="E254" s="1921">
        <f>C254/C255-1</f>
        <v/>
      </c>
      <c r="F254" s="1921">
        <f>$L$2/365</f>
        <v/>
      </c>
      <c r="G254" s="1921">
        <f>D254-F254</f>
        <v/>
      </c>
      <c r="H254" s="1921">
        <f>E254-F254</f>
        <v/>
      </c>
    </row>
    <row r="255" ht="14.25" customHeight="1">
      <c r="A255" s="1933" t="inlineStr">
        <is>
          <t>01/08/2025</t>
        </is>
      </c>
      <c r="B255" s="1563" t="n">
        <v>7538</v>
      </c>
      <c r="C255" s="1934" t="n">
        <v>2820</v>
      </c>
      <c r="D255" s="1921">
        <f>B255/B256-1</f>
        <v/>
      </c>
      <c r="E255" s="1921">
        <f>C255/C256-1</f>
        <v/>
      </c>
      <c r="F255" s="1921">
        <f>$L$2/365</f>
        <v/>
      </c>
      <c r="G255" s="1921">
        <f>D255-F255</f>
        <v/>
      </c>
      <c r="H255" s="1921">
        <f>E255-F255</f>
        <v/>
      </c>
    </row>
    <row r="256" ht="14.25" customHeight="1">
      <c r="A256" s="1936" t="inlineStr">
        <is>
          <t>31/07/2025</t>
        </is>
      </c>
      <c r="B256" s="1563" t="n">
        <v>7484</v>
      </c>
      <c r="C256" s="1937" t="n">
        <v>2800</v>
      </c>
      <c r="D256" s="1921">
        <f>B256/B257-1</f>
        <v/>
      </c>
      <c r="E256" s="1921">
        <f>C256/C257-1</f>
        <v/>
      </c>
      <c r="F256" s="1921">
        <f>$L$2/365</f>
        <v/>
      </c>
      <c r="G256" s="1921">
        <f>D256-F256</f>
        <v/>
      </c>
      <c r="H256" s="1921">
        <f>E256-F256</f>
        <v/>
      </c>
    </row>
    <row r="257" ht="14.25" customHeight="1">
      <c r="A257" s="1933" t="inlineStr">
        <is>
          <t>30/07/2025</t>
        </is>
      </c>
      <c r="B257" s="1563" t="n">
        <v>7550</v>
      </c>
      <c r="C257" s="1934" t="n">
        <v>2890</v>
      </c>
      <c r="D257" s="1921">
        <f>B257/B258-1</f>
        <v/>
      </c>
      <c r="E257" s="1921">
        <f>C257/C258-1</f>
        <v/>
      </c>
      <c r="F257" s="1921">
        <f>$L$2/365</f>
        <v/>
      </c>
      <c r="G257" s="1921">
        <f>D257-F257</f>
        <v/>
      </c>
      <c r="H257" s="1921">
        <f>E257-F257</f>
        <v/>
      </c>
    </row>
    <row r="258" ht="14.25" customHeight="1">
      <c r="A258" s="1936" t="inlineStr">
        <is>
          <t>29/07/2025</t>
        </is>
      </c>
      <c r="B258" s="1563" t="n">
        <v>7618</v>
      </c>
      <c r="C258" s="1937" t="n">
        <v>2840</v>
      </c>
      <c r="D258" s="1921">
        <f>B258/B259-1</f>
        <v/>
      </c>
      <c r="E258" s="1921">
        <f>C258/C259-1</f>
        <v/>
      </c>
      <c r="F258" s="1921">
        <f>$L$2/365</f>
        <v/>
      </c>
      <c r="G258" s="1921">
        <f>D258-F258</f>
        <v/>
      </c>
      <c r="H258" s="1921">
        <f>E258-F258</f>
        <v/>
      </c>
    </row>
    <row r="259" ht="14.25" customHeight="1">
      <c r="A259" s="1933" t="inlineStr">
        <is>
          <t>28/07/2025</t>
        </is>
      </c>
      <c r="B259" s="1563" t="n">
        <v>7615</v>
      </c>
      <c r="C259" s="1934" t="n">
        <v>2670</v>
      </c>
      <c r="D259" s="1921">
        <f>B259/B260-1</f>
        <v/>
      </c>
      <c r="E259" s="1921">
        <f>C259/C260-1</f>
        <v/>
      </c>
      <c r="F259" s="1921">
        <f>$L$2/365</f>
        <v/>
      </c>
      <c r="G259" s="1921">
        <f>D259-F259</f>
        <v/>
      </c>
      <c r="H259" s="1921">
        <f>E259-F259</f>
        <v/>
      </c>
    </row>
    <row r="260" ht="14.25" customHeight="1">
      <c r="A260" s="1936" t="inlineStr">
        <is>
          <t>25/07/2025</t>
        </is>
      </c>
      <c r="B260" s="1563" t="n">
        <v>7544</v>
      </c>
      <c r="C260" s="1937" t="n">
        <v>2850</v>
      </c>
      <c r="D260" s="1921">
        <f>B260/B261-1</f>
        <v/>
      </c>
      <c r="E260" s="1921">
        <f>C260/C261-1</f>
        <v/>
      </c>
      <c r="F260" s="1921">
        <f>$L$2/365</f>
        <v/>
      </c>
      <c r="G260" s="1921">
        <f>D260-F260</f>
        <v/>
      </c>
      <c r="H260" s="1921">
        <f>E260-F260</f>
        <v/>
      </c>
    </row>
    <row r="261" ht="14.25" customHeight="1">
      <c r="A261" s="1933" t="inlineStr">
        <is>
          <t>24/07/2025</t>
        </is>
      </c>
      <c r="B261" s="1563" t="n">
        <v>7531</v>
      </c>
      <c r="C261" s="1934" t="n">
        <v>2760</v>
      </c>
      <c r="D261" s="1921">
        <f>B261/B262-1</f>
        <v/>
      </c>
      <c r="E261" s="1921">
        <f>C261/C262-1</f>
        <v/>
      </c>
      <c r="F261" s="1921">
        <f>$L$2/365</f>
        <v/>
      </c>
      <c r="G261" s="1921">
        <f>D261-F261</f>
        <v/>
      </c>
      <c r="H261" s="1921">
        <f>E261-F261</f>
        <v/>
      </c>
    </row>
    <row r="262" ht="14.25" customHeight="1">
      <c r="A262" s="1936" t="inlineStr">
        <is>
          <t>23/07/2025</t>
        </is>
      </c>
      <c r="B262" s="1563" t="n">
        <v>7469</v>
      </c>
      <c r="C262" s="1937" t="n">
        <v>2760</v>
      </c>
      <c r="D262" s="1921">
        <f>B262/B263-1</f>
        <v/>
      </c>
      <c r="E262" s="1921">
        <f>C262/C263-1</f>
        <v/>
      </c>
      <c r="F262" s="1921">
        <f>$L$2/365</f>
        <v/>
      </c>
      <c r="G262" s="1921">
        <f>D262-F262</f>
        <v/>
      </c>
      <c r="H262" s="1921">
        <f>E262-F262</f>
        <v/>
      </c>
    </row>
    <row r="263" ht="14.25" customHeight="1">
      <c r="A263" s="1933" t="inlineStr">
        <is>
          <t>22/07/2025</t>
        </is>
      </c>
      <c r="B263" s="1563" t="n">
        <v>7345</v>
      </c>
      <c r="C263" s="1934" t="n">
        <v>2830</v>
      </c>
      <c r="D263" s="1921">
        <f>B263/B264-1</f>
        <v/>
      </c>
      <c r="E263" s="1921">
        <f>C263/C264-1</f>
        <v/>
      </c>
      <c r="F263" s="1921">
        <f>$L$2/365</f>
        <v/>
      </c>
      <c r="G263" s="1921">
        <f>D263-F263</f>
        <v/>
      </c>
      <c r="H263" s="1921">
        <f>E263-F263</f>
        <v/>
      </c>
    </row>
    <row r="264" ht="14.25" customHeight="1">
      <c r="A264" s="1936" t="inlineStr">
        <is>
          <t>21/07/2025</t>
        </is>
      </c>
      <c r="B264" s="1563" t="n">
        <v>7398</v>
      </c>
      <c r="C264" s="1937" t="n">
        <v>2950</v>
      </c>
      <c r="D264" s="1921">
        <f>B264/B265-1</f>
        <v/>
      </c>
      <c r="E264" s="1921">
        <f>C264/C265-1</f>
        <v/>
      </c>
      <c r="F264" s="1921">
        <f>$L$2/365</f>
        <v/>
      </c>
      <c r="G264" s="1921">
        <f>D264-F264</f>
        <v/>
      </c>
      <c r="H264" s="1921">
        <f>E264-F264</f>
        <v/>
      </c>
    </row>
    <row r="265" ht="14.25" customHeight="1">
      <c r="A265" s="1933" t="inlineStr">
        <is>
          <t>18/07/2025</t>
        </is>
      </c>
      <c r="B265" s="1563" t="n">
        <v>7312</v>
      </c>
      <c r="C265" s="1934" t="n">
        <v>2700</v>
      </c>
      <c r="D265" s="1921">
        <f>B265/B266-1</f>
        <v/>
      </c>
      <c r="E265" s="1921">
        <f>C265/C266-1</f>
        <v/>
      </c>
      <c r="F265" s="1921">
        <f>$L$2/365</f>
        <v/>
      </c>
      <c r="G265" s="1921">
        <f>D265-F265</f>
        <v/>
      </c>
      <c r="H265" s="1921">
        <f>E265-F265</f>
        <v/>
      </c>
    </row>
    <row r="266" ht="14.25" customHeight="1">
      <c r="A266" s="1936" t="inlineStr">
        <is>
          <t>17/07/2025</t>
        </is>
      </c>
      <c r="B266" s="1563" t="n">
        <v>7287</v>
      </c>
      <c r="C266" s="1937" t="n">
        <v>2200</v>
      </c>
      <c r="D266" s="1921">
        <f>B266/B267-1</f>
        <v/>
      </c>
      <c r="E266" s="1921">
        <f>C266/C267-1</f>
        <v/>
      </c>
      <c r="F266" s="1921">
        <f>$L$2/365</f>
        <v/>
      </c>
      <c r="G266" s="1921">
        <f>D266-F266</f>
        <v/>
      </c>
      <c r="H266" s="1921">
        <f>E266-F266</f>
        <v/>
      </c>
    </row>
    <row r="267" ht="14.25" customHeight="1">
      <c r="A267" s="1933" t="inlineStr">
        <is>
          <t>16/07/2025</t>
        </is>
      </c>
      <c r="B267" s="1563" t="n">
        <v>7192</v>
      </c>
      <c r="C267" s="1934" t="n">
        <v>2060</v>
      </c>
      <c r="D267" s="1921">
        <f>B267/B268-1</f>
        <v/>
      </c>
      <c r="E267" s="1921">
        <f>C267/C268-1</f>
        <v/>
      </c>
      <c r="F267" s="1921">
        <f>$L$2/365</f>
        <v/>
      </c>
      <c r="G267" s="1921">
        <f>D267-F267</f>
        <v/>
      </c>
      <c r="H267" s="1921">
        <f>E267-F267</f>
        <v/>
      </c>
    </row>
    <row r="268" ht="14.25" customHeight="1">
      <c r="A268" s="1936" t="inlineStr">
        <is>
          <t>15/07/2025</t>
        </is>
      </c>
      <c r="B268" s="1563" t="n">
        <v>7140</v>
      </c>
      <c r="C268" s="1937" t="n">
        <v>2110</v>
      </c>
      <c r="D268" s="1921">
        <f>B268/B269-1</f>
        <v/>
      </c>
      <c r="E268" s="1921">
        <f>C268/C269-1</f>
        <v/>
      </c>
      <c r="F268" s="1921">
        <f>$L$2/365</f>
        <v/>
      </c>
      <c r="G268" s="1921">
        <f>D268-F268</f>
        <v/>
      </c>
      <c r="H268" s="1921">
        <f>E268-F268</f>
        <v/>
      </c>
    </row>
    <row r="269" ht="14.25" customHeight="1">
      <c r="A269" s="1933" t="inlineStr">
        <is>
          <t>14/07/2025</t>
        </is>
      </c>
      <c r="B269" s="1563" t="n">
        <v>7097</v>
      </c>
      <c r="C269" s="1934" t="n">
        <v>2040</v>
      </c>
      <c r="D269" s="1921">
        <f>B269/B270-1</f>
        <v/>
      </c>
      <c r="E269" s="1921">
        <f>C269/C270-1</f>
        <v/>
      </c>
      <c r="F269" s="1921">
        <f>$L$2/365</f>
        <v/>
      </c>
      <c r="G269" s="1921">
        <f>D269-F269</f>
        <v/>
      </c>
      <c r="H269" s="1921">
        <f>E269-F269</f>
        <v/>
      </c>
    </row>
    <row r="270" ht="14.25" customHeight="1">
      <c r="A270" s="1936" t="inlineStr">
        <is>
          <t>11/07/2025</t>
        </is>
      </c>
      <c r="B270" s="1563" t="n">
        <v>7047</v>
      </c>
      <c r="C270" s="1937" t="n">
        <v>2050</v>
      </c>
      <c r="D270" s="1921">
        <f>B270/B271-1</f>
        <v/>
      </c>
      <c r="E270" s="1921">
        <f>C270/C271-1</f>
        <v/>
      </c>
      <c r="F270" s="1921">
        <f>$L$2/365</f>
        <v/>
      </c>
      <c r="G270" s="1921">
        <f>D270-F270</f>
        <v/>
      </c>
      <c r="H270" s="1921">
        <f>E270-F270</f>
        <v/>
      </c>
    </row>
    <row r="271" ht="14.25" customHeight="1">
      <c r="A271" s="1933" t="inlineStr">
        <is>
          <t>10/07/2025</t>
        </is>
      </c>
      <c r="B271" s="1563" t="n">
        <v>7005</v>
      </c>
      <c r="C271" s="1934" t="n">
        <v>2020</v>
      </c>
      <c r="D271" s="1921">
        <f>B271/B272-1</f>
        <v/>
      </c>
      <c r="E271" s="1921">
        <f>C271/C272-1</f>
        <v/>
      </c>
      <c r="F271" s="1921">
        <f>$L$2/365</f>
        <v/>
      </c>
      <c r="G271" s="1921">
        <f>D271-F271</f>
        <v/>
      </c>
      <c r="H271" s="1921">
        <f>E271-F271</f>
        <v/>
      </c>
    </row>
    <row r="272" ht="14.25" customHeight="1">
      <c r="A272" s="1936" t="inlineStr">
        <is>
          <t>09/07/2025</t>
        </is>
      </c>
      <c r="B272" s="1563" t="n">
        <v>6944</v>
      </c>
      <c r="C272" s="1937" t="n">
        <v>2010</v>
      </c>
      <c r="D272" s="1921">
        <f>B272/B273-1</f>
        <v/>
      </c>
      <c r="E272" s="1921">
        <f>C272/C273-1</f>
        <v/>
      </c>
      <c r="F272" s="1921">
        <f>$L$2/365</f>
        <v/>
      </c>
      <c r="G272" s="1921">
        <f>D272-F272</f>
        <v/>
      </c>
      <c r="H272" s="1921">
        <f>E272-F272</f>
        <v/>
      </c>
    </row>
    <row r="273" ht="14.25" customHeight="1">
      <c r="A273" s="1933" t="inlineStr">
        <is>
          <t>08/07/2025</t>
        </is>
      </c>
      <c r="B273" s="1563" t="n">
        <v>6904</v>
      </c>
      <c r="C273" s="1934" t="n">
        <v>2020</v>
      </c>
      <c r="D273" s="1921">
        <f>B273/B274-1</f>
        <v/>
      </c>
      <c r="E273" s="1921">
        <f>C273/C274-1</f>
        <v/>
      </c>
      <c r="F273" s="1921">
        <f>$L$2/365</f>
        <v/>
      </c>
      <c r="G273" s="1921">
        <f>D273-F273</f>
        <v/>
      </c>
      <c r="H273" s="1921">
        <f>E273-F273</f>
        <v/>
      </c>
    </row>
    <row r="274" ht="14.25" customHeight="1">
      <c r="A274" s="1936" t="inlineStr">
        <is>
          <t>07/07/2025</t>
        </is>
      </c>
      <c r="B274" s="1563" t="n">
        <v>6901</v>
      </c>
      <c r="C274" s="1937" t="n">
        <v>2020</v>
      </c>
      <c r="D274" s="1921">
        <f>B274/B275-1</f>
        <v/>
      </c>
      <c r="E274" s="1921">
        <f>C274/C275-1</f>
        <v/>
      </c>
      <c r="F274" s="1921">
        <f>$L$2/365</f>
        <v/>
      </c>
      <c r="G274" s="1921">
        <f>D274-F274</f>
        <v/>
      </c>
      <c r="H274" s="1921">
        <f>E274-F274</f>
        <v/>
      </c>
    </row>
    <row r="275" ht="14.25" customHeight="1">
      <c r="A275" s="1933" t="inlineStr">
        <is>
          <t>04/07/2025</t>
        </is>
      </c>
      <c r="B275" s="1563" t="n">
        <v>6865</v>
      </c>
      <c r="C275" s="1934" t="n">
        <v>2000</v>
      </c>
      <c r="D275" s="1921">
        <f>B275/B276-1</f>
        <v/>
      </c>
      <c r="E275" s="1921">
        <f>C275/C276-1</f>
        <v/>
      </c>
      <c r="F275" s="1921">
        <f>$L$2/365</f>
        <v/>
      </c>
      <c r="G275" s="1921">
        <f>D275-F275</f>
        <v/>
      </c>
      <c r="H275" s="1921">
        <f>E275-F275</f>
        <v/>
      </c>
    </row>
    <row r="276" ht="14.25" customHeight="1">
      <c r="A276" s="1936" t="inlineStr">
        <is>
          <t>03/07/2025</t>
        </is>
      </c>
      <c r="B276" s="1563" t="n">
        <v>6878</v>
      </c>
      <c r="C276" s="1937" t="n">
        <v>1990</v>
      </c>
      <c r="D276" s="1921">
        <f>B276/B277-1</f>
        <v/>
      </c>
      <c r="E276" s="1921">
        <f>C276/C277-1</f>
        <v/>
      </c>
      <c r="F276" s="1921">
        <f>$L$2/365</f>
        <v/>
      </c>
      <c r="G276" s="1921">
        <f>D276-F276</f>
        <v/>
      </c>
      <c r="H276" s="1921">
        <f>E276-F276</f>
        <v/>
      </c>
    </row>
    <row r="277" ht="14.25" customHeight="1">
      <c r="A277" s="1933" t="inlineStr">
        <is>
          <t>02/07/2025</t>
        </is>
      </c>
      <c r="B277" s="1563" t="n">
        <v>6881</v>
      </c>
      <c r="C277" s="1934" t="n">
        <v>1980</v>
      </c>
      <c r="D277" s="1921">
        <f>B277/B278-1</f>
        <v/>
      </c>
      <c r="E277" s="1921">
        <f>C277/C278-1</f>
        <v/>
      </c>
      <c r="F277" s="1921">
        <f>$L$2/365</f>
        <v/>
      </c>
      <c r="G277" s="1921">
        <f>D277-F277</f>
        <v/>
      </c>
      <c r="H277" s="1921">
        <f>E277-F277</f>
        <v/>
      </c>
    </row>
    <row r="278" ht="14.25" customHeight="1">
      <c r="A278" s="1936" t="inlineStr">
        <is>
          <t>01/07/2025</t>
        </is>
      </c>
      <c r="B278" s="1563" t="n">
        <v>6915</v>
      </c>
      <c r="C278" s="1937" t="n">
        <v>1995</v>
      </c>
      <c r="D278" s="1921">
        <f>B278/B279-1</f>
        <v/>
      </c>
      <c r="E278" s="1921">
        <f>C278/C279-1</f>
        <v/>
      </c>
      <c r="F278" s="1921">
        <f>$L$2/365</f>
        <v/>
      </c>
      <c r="G278" s="1921">
        <f>D278-F278</f>
        <v/>
      </c>
      <c r="H278" s="1921">
        <f>E278-F278</f>
        <v/>
      </c>
    </row>
    <row r="279" ht="14.25" customHeight="1">
      <c r="A279" s="1933" t="inlineStr">
        <is>
          <t>30/06/2025</t>
        </is>
      </c>
      <c r="B279" s="1563" t="n">
        <v>6928</v>
      </c>
      <c r="C279" s="1934" t="n">
        <v>2020</v>
      </c>
      <c r="D279" s="1921">
        <f>B279/B280-1</f>
        <v/>
      </c>
      <c r="E279" s="1921">
        <f>C279/C280-1</f>
        <v/>
      </c>
      <c r="F279" s="1921">
        <f>$L$2/365</f>
        <v/>
      </c>
      <c r="G279" s="1921">
        <f>D279-F279</f>
        <v/>
      </c>
      <c r="H279" s="1921">
        <f>E279-F279</f>
        <v/>
      </c>
    </row>
    <row r="280" ht="14.25" customHeight="1">
      <c r="A280" s="1936" t="inlineStr">
        <is>
          <t>26/06/2025</t>
        </is>
      </c>
      <c r="B280" s="1563" t="n">
        <v>6897</v>
      </c>
      <c r="C280" s="1937" t="n">
        <v>2060</v>
      </c>
      <c r="D280" s="1921">
        <f>B280/B281-1</f>
        <v/>
      </c>
      <c r="E280" s="1921">
        <f>C280/C281-1</f>
        <v/>
      </c>
      <c r="F280" s="1921">
        <f>$L$2/365</f>
        <v/>
      </c>
      <c r="G280" s="1921">
        <f>D280-F280</f>
        <v/>
      </c>
      <c r="H280" s="1921">
        <f>E280-F280</f>
        <v/>
      </c>
    </row>
    <row r="281" ht="14.25" customHeight="1">
      <c r="A281" s="1933" t="inlineStr">
        <is>
          <t>25/06/2025</t>
        </is>
      </c>
      <c r="B281" s="1563" t="n">
        <v>6832</v>
      </c>
      <c r="C281" s="1934" t="n">
        <v>2060</v>
      </c>
      <c r="D281" s="1921">
        <f>B281/B282-1</f>
        <v/>
      </c>
      <c r="E281" s="1921">
        <f>C281/C282-1</f>
        <v/>
      </c>
      <c r="F281" s="1921">
        <f>$L$2/365</f>
        <v/>
      </c>
      <c r="G281" s="1921">
        <f>D281-F281</f>
        <v/>
      </c>
      <c r="H281" s="1921">
        <f>E281-F281</f>
        <v/>
      </c>
    </row>
    <row r="282" ht="14.25" customHeight="1">
      <c r="A282" s="1936" t="inlineStr">
        <is>
          <t>24/06/2025</t>
        </is>
      </c>
      <c r="B282" s="1563" t="n">
        <v>6869</v>
      </c>
      <c r="C282" s="1937" t="n">
        <v>2150</v>
      </c>
      <c r="D282" s="1921">
        <f>B282/B283-1</f>
        <v/>
      </c>
      <c r="E282" s="1921">
        <f>C282/C283-1</f>
        <v/>
      </c>
      <c r="F282" s="1921">
        <f>$L$2/365</f>
        <v/>
      </c>
      <c r="G282" s="1921">
        <f>D282-F282</f>
        <v/>
      </c>
      <c r="H282" s="1921">
        <f>E282-F282</f>
        <v/>
      </c>
    </row>
    <row r="283" ht="14.25" customHeight="1">
      <c r="A283" s="1933" t="inlineStr">
        <is>
          <t>23/06/2025</t>
        </is>
      </c>
      <c r="B283" s="1563" t="n">
        <v>6787</v>
      </c>
      <c r="C283" s="1934" t="n">
        <v>2050</v>
      </c>
      <c r="D283" s="1921">
        <f>B283/B284-1</f>
        <v/>
      </c>
      <c r="E283" s="1921">
        <f>C283/C284-1</f>
        <v/>
      </c>
      <c r="F283" s="1921">
        <f>$L$2/365</f>
        <v/>
      </c>
      <c r="G283" s="1921">
        <f>D283-F283</f>
        <v/>
      </c>
      <c r="H283" s="1921">
        <f>E283-F283</f>
        <v/>
      </c>
    </row>
    <row r="284" ht="14.25" customHeight="1">
      <c r="A284" s="1936" t="inlineStr">
        <is>
          <t>20/06/2025</t>
        </is>
      </c>
      <c r="B284" s="1563" t="n">
        <v>6907</v>
      </c>
      <c r="C284" s="1937" t="n">
        <v>2080</v>
      </c>
      <c r="D284" s="1921">
        <f>B284/B285-1</f>
        <v/>
      </c>
      <c r="E284" s="1921">
        <f>C284/C285-1</f>
        <v/>
      </c>
      <c r="F284" s="1921">
        <f>$L$2/365</f>
        <v/>
      </c>
      <c r="G284" s="1921">
        <f>D284-F284</f>
        <v/>
      </c>
      <c r="H284" s="1921">
        <f>E284-F284</f>
        <v/>
      </c>
    </row>
    <row r="285" ht="14.25" customHeight="1">
      <c r="A285" s="1933" t="inlineStr">
        <is>
          <t>19/06/2025</t>
        </is>
      </c>
      <c r="B285" s="1563" t="n">
        <v>6969</v>
      </c>
      <c r="C285" s="1934" t="n">
        <v>1995</v>
      </c>
      <c r="D285" s="1921">
        <f>B285/B286-1</f>
        <v/>
      </c>
      <c r="E285" s="1921">
        <f>C285/C286-1</f>
        <v/>
      </c>
      <c r="F285" s="1921">
        <f>$L$2/365</f>
        <v/>
      </c>
      <c r="G285" s="1921">
        <f>D285-F285</f>
        <v/>
      </c>
      <c r="H285" s="1921">
        <f>E285-F285</f>
        <v/>
      </c>
    </row>
    <row r="286" ht="14.25" customHeight="1">
      <c r="A286" s="1936" t="inlineStr">
        <is>
          <t>18/06/2025</t>
        </is>
      </c>
      <c r="B286" s="1563" t="n">
        <v>7108</v>
      </c>
      <c r="C286" s="1937" t="n">
        <v>2010</v>
      </c>
      <c r="D286" s="1921">
        <f>B286/B287-1</f>
        <v/>
      </c>
      <c r="E286" s="1921">
        <f>C286/C287-1</f>
        <v/>
      </c>
      <c r="F286" s="1921">
        <f>$L$2/365</f>
        <v/>
      </c>
      <c r="G286" s="1921">
        <f>D286-F286</f>
        <v/>
      </c>
      <c r="H286" s="1921">
        <f>E286-F286</f>
        <v/>
      </c>
    </row>
    <row r="287" ht="14.25" customHeight="1">
      <c r="A287" s="1933" t="inlineStr">
        <is>
          <t>17/06/2025</t>
        </is>
      </c>
      <c r="B287" s="1563" t="n">
        <v>7156</v>
      </c>
      <c r="C287" s="1934" t="n">
        <v>2030</v>
      </c>
      <c r="D287" s="1921">
        <f>B287/B288-1</f>
        <v/>
      </c>
      <c r="E287" s="1921">
        <f>C287/C288-1</f>
        <v/>
      </c>
      <c r="F287" s="1921">
        <f>$L$2/365</f>
        <v/>
      </c>
      <c r="G287" s="1921">
        <f>D287-F287</f>
        <v/>
      </c>
      <c r="H287" s="1921">
        <f>E287-F287</f>
        <v/>
      </c>
    </row>
    <row r="288" ht="14.25" customHeight="1">
      <c r="A288" s="1936" t="inlineStr">
        <is>
          <t>16/06/2025</t>
        </is>
      </c>
      <c r="B288" s="1563" t="n">
        <v>7118</v>
      </c>
      <c r="C288" s="1937" t="n">
        <v>2040</v>
      </c>
      <c r="D288" s="1921">
        <f>B288/B289-1</f>
        <v/>
      </c>
      <c r="E288" s="1921">
        <f>C288/C289-1</f>
        <v/>
      </c>
      <c r="F288" s="1921">
        <f>$L$2/365</f>
        <v/>
      </c>
      <c r="G288" s="1921">
        <f>D288-F288</f>
        <v/>
      </c>
      <c r="H288" s="1921">
        <f>E288-F288</f>
        <v/>
      </c>
    </row>
    <row r="289" ht="14.25" customHeight="1">
      <c r="A289" s="1933" t="inlineStr">
        <is>
          <t>13/06/2025</t>
        </is>
      </c>
      <c r="B289" s="1563" t="n">
        <v>7166</v>
      </c>
      <c r="C289" s="1934" t="n">
        <v>2060</v>
      </c>
      <c r="D289" s="1921">
        <f>B289/B290-1</f>
        <v/>
      </c>
      <c r="E289" s="1921">
        <f>C289/C290-1</f>
        <v/>
      </c>
      <c r="F289" s="1921">
        <f>$L$2/365</f>
        <v/>
      </c>
      <c r="G289" s="1921">
        <f>D289-F289</f>
        <v/>
      </c>
      <c r="H289" s="1921">
        <f>E289-F289</f>
        <v/>
      </c>
    </row>
    <row r="290" ht="14.25" customHeight="1">
      <c r="A290" s="1936" t="inlineStr">
        <is>
          <t>12/06/2025</t>
        </is>
      </c>
      <c r="B290" s="1563" t="n">
        <v>7204</v>
      </c>
      <c r="C290" s="1937" t="n">
        <v>2060</v>
      </c>
      <c r="D290" s="1921">
        <f>B290/B291-1</f>
        <v/>
      </c>
      <c r="E290" s="1921">
        <f>C290/C291-1</f>
        <v/>
      </c>
      <c r="F290" s="1921">
        <f>$L$2/365</f>
        <v/>
      </c>
      <c r="G290" s="1921">
        <f>D290-F290</f>
        <v/>
      </c>
      <c r="H290" s="1921">
        <f>E290-F290</f>
        <v/>
      </c>
    </row>
    <row r="291" ht="14.25" customHeight="1">
      <c r="A291" s="1933" t="inlineStr">
        <is>
          <t>11/06/2025</t>
        </is>
      </c>
      <c r="B291" s="1563" t="n">
        <v>7222</v>
      </c>
      <c r="C291" s="1934" t="n">
        <v>2150</v>
      </c>
      <c r="D291" s="1921">
        <f>B291/B292-1</f>
        <v/>
      </c>
      <c r="E291" s="1921">
        <f>C291/C292-1</f>
        <v/>
      </c>
      <c r="F291" s="1921">
        <f>$L$2/365</f>
        <v/>
      </c>
      <c r="G291" s="1921">
        <f>D291-F291</f>
        <v/>
      </c>
      <c r="H291" s="1921">
        <f>E291-F291</f>
        <v/>
      </c>
    </row>
    <row r="292" ht="14.25" customHeight="1">
      <c r="A292" s="1936" t="inlineStr">
        <is>
          <t>10/06/2025</t>
        </is>
      </c>
      <c r="B292" s="1563" t="n">
        <v>7231</v>
      </c>
      <c r="C292" s="1937" t="n">
        <v>2050</v>
      </c>
      <c r="D292" s="1921">
        <f>B292/B293-1</f>
        <v/>
      </c>
      <c r="E292" s="1921">
        <f>C292/C293-1</f>
        <v/>
      </c>
      <c r="F292" s="1921">
        <f>$L$2/365</f>
        <v/>
      </c>
      <c r="G292" s="1921">
        <f>D292-F292</f>
        <v/>
      </c>
      <c r="H292" s="1921">
        <f>E292-F292</f>
        <v/>
      </c>
    </row>
    <row r="293" ht="14.25" customHeight="1">
      <c r="A293" s="1933" t="inlineStr">
        <is>
          <t>05/06/2025</t>
        </is>
      </c>
      <c r="B293" s="1563" t="n">
        <v>7113</v>
      </c>
      <c r="C293" s="1934" t="n">
        <v>2040</v>
      </c>
      <c r="D293" s="1921">
        <f>B293/B294-1</f>
        <v/>
      </c>
      <c r="E293" s="1921">
        <f>C293/C294-1</f>
        <v/>
      </c>
      <c r="F293" s="1921">
        <f>$L$2/365</f>
        <v/>
      </c>
      <c r="G293" s="1921">
        <f>D293-F293</f>
        <v/>
      </c>
      <c r="H293" s="1921">
        <f>E293-F293</f>
        <v/>
      </c>
    </row>
    <row r="294" ht="14.25" customHeight="1">
      <c r="A294" s="1936" t="inlineStr">
        <is>
          <t>04/06/2025</t>
        </is>
      </c>
      <c r="B294" s="1563" t="n">
        <v>7069</v>
      </c>
      <c r="C294" s="1937" t="n">
        <v>2090</v>
      </c>
      <c r="D294" s="1921">
        <f>B294/B295-1</f>
        <v/>
      </c>
      <c r="E294" s="1921">
        <f>C294/C295-1</f>
        <v/>
      </c>
      <c r="F294" s="1921">
        <f>$L$2/365</f>
        <v/>
      </c>
      <c r="G294" s="1921">
        <f>D294-F294</f>
        <v/>
      </c>
      <c r="H294" s="1921">
        <f>E294-F294</f>
        <v/>
      </c>
    </row>
    <row r="295" ht="14.25" customHeight="1">
      <c r="A295" s="1933" t="inlineStr">
        <is>
          <t>03/06/2025</t>
        </is>
      </c>
      <c r="B295" s="1563" t="n">
        <v>7045</v>
      </c>
      <c r="C295" s="1934" t="n">
        <v>2230</v>
      </c>
      <c r="D295" s="1921">
        <f>B295/B296-1</f>
        <v/>
      </c>
      <c r="E295" s="1921">
        <f>C295/C296-1</f>
        <v/>
      </c>
      <c r="F295" s="1921">
        <f>$L$2/365</f>
        <v/>
      </c>
      <c r="G295" s="1921">
        <f>D295-F295</f>
        <v/>
      </c>
      <c r="H295" s="1921">
        <f>E295-F295</f>
        <v/>
      </c>
    </row>
    <row r="296" ht="14.25" customHeight="1">
      <c r="A296" s="1936" t="inlineStr">
        <is>
          <t>02/06/2025</t>
        </is>
      </c>
      <c r="B296" s="1563" t="n">
        <v>7065</v>
      </c>
      <c r="C296" s="1937" t="n">
        <v>2080</v>
      </c>
      <c r="D296" s="1921">
        <f>B296/B297-1</f>
        <v/>
      </c>
      <c r="E296" s="1921">
        <f>C296/C297-1</f>
        <v/>
      </c>
      <c r="F296" s="1921">
        <f>$L$2/365</f>
        <v/>
      </c>
      <c r="G296" s="1921">
        <f>D296-F296</f>
        <v/>
      </c>
      <c r="H296" s="1921">
        <f>E296-F296</f>
        <v/>
      </c>
    </row>
    <row r="297" ht="14.25" customHeight="1">
      <c r="A297" s="1933" t="inlineStr">
        <is>
          <t>28/05/2025</t>
        </is>
      </c>
      <c r="B297" s="1563" t="n">
        <v>7176</v>
      </c>
      <c r="C297" s="1934" t="n">
        <v>2010</v>
      </c>
      <c r="D297" s="1921">
        <f>B297/B298-1</f>
        <v/>
      </c>
      <c r="E297" s="1921">
        <f>C297/C298-1</f>
        <v/>
      </c>
      <c r="F297" s="1921">
        <f>$L$2/365</f>
        <v/>
      </c>
      <c r="G297" s="1921">
        <f>D297-F297</f>
        <v/>
      </c>
      <c r="H297" s="1921">
        <f>E297-F297</f>
        <v/>
      </c>
    </row>
    <row r="298" ht="14.25" customHeight="1">
      <c r="A298" s="1936" t="inlineStr">
        <is>
          <t>27/05/2025</t>
        </is>
      </c>
      <c r="B298" s="1563" t="n">
        <v>7199</v>
      </c>
      <c r="C298" s="1937" t="n">
        <v>2010</v>
      </c>
      <c r="D298" s="1921">
        <f>B298/B299-1</f>
        <v/>
      </c>
      <c r="E298" s="1921">
        <f>C298/C299-1</f>
        <v/>
      </c>
      <c r="F298" s="1921">
        <f>$L$2/365</f>
        <v/>
      </c>
      <c r="G298" s="1921">
        <f>D298-F298</f>
        <v/>
      </c>
      <c r="H298" s="1921">
        <f>E298-F298</f>
        <v/>
      </c>
    </row>
    <row r="299" ht="14.25" customHeight="1">
      <c r="A299" s="1933" t="inlineStr">
        <is>
          <t>26/05/2025</t>
        </is>
      </c>
      <c r="B299" s="1563" t="n">
        <v>7188</v>
      </c>
      <c r="C299" s="1934" t="n">
        <v>2000</v>
      </c>
      <c r="D299" s="1921">
        <f>B299/B300-1</f>
        <v/>
      </c>
      <c r="E299" s="1921">
        <f>C299/C300-1</f>
        <v/>
      </c>
      <c r="F299" s="1921">
        <f>$L$2/365</f>
        <v/>
      </c>
      <c r="G299" s="1921">
        <f>D299-F299</f>
        <v/>
      </c>
      <c r="H299" s="1921">
        <f>E299-F299</f>
        <v/>
      </c>
    </row>
    <row r="300" ht="14.25" customHeight="1">
      <c r="A300" s="1936" t="inlineStr">
        <is>
          <t>23/05/2025</t>
        </is>
      </c>
      <c r="B300" s="1563" t="n">
        <v>7214</v>
      </c>
      <c r="C300" s="1937" t="n">
        <v>2000</v>
      </c>
      <c r="D300" s="1921">
        <f>B300/B301-1</f>
        <v/>
      </c>
      <c r="E300" s="1921">
        <f>C300/C301-1</f>
        <v/>
      </c>
      <c r="F300" s="1921">
        <f>$L$2/365</f>
        <v/>
      </c>
      <c r="G300" s="1921">
        <f>D300-F300</f>
        <v/>
      </c>
      <c r="H300" s="1921">
        <f>E300-F300</f>
        <v/>
      </c>
    </row>
    <row r="301" ht="14.25" customHeight="1">
      <c r="A301" s="1933" t="inlineStr">
        <is>
          <t>22/05/2025</t>
        </is>
      </c>
      <c r="B301" s="1563" t="n">
        <v>7167</v>
      </c>
      <c r="C301" s="1934" t="n">
        <v>2000</v>
      </c>
      <c r="D301" s="1921">
        <f>B301/B302-1</f>
        <v/>
      </c>
      <c r="E301" s="1921">
        <f>C301/C302-1</f>
        <v/>
      </c>
      <c r="F301" s="1921">
        <f>$L$2/365</f>
        <v/>
      </c>
      <c r="G301" s="1921">
        <f>D301-F301</f>
        <v/>
      </c>
      <c r="H301" s="1921">
        <f>E301-F301</f>
        <v/>
      </c>
    </row>
    <row r="302" ht="14.25" customHeight="1">
      <c r="A302" s="1936" t="inlineStr">
        <is>
          <t>21/05/2025</t>
        </is>
      </c>
      <c r="B302" s="1563" t="n">
        <v>7142</v>
      </c>
      <c r="C302" s="1937" t="n">
        <v>2020</v>
      </c>
      <c r="D302" s="1921">
        <f>B302/B303-1</f>
        <v/>
      </c>
      <c r="E302" s="1921">
        <f>C302/C303-1</f>
        <v/>
      </c>
      <c r="F302" s="1921">
        <f>$L$2/365</f>
        <v/>
      </c>
      <c r="G302" s="1921">
        <f>D302-F302</f>
        <v/>
      </c>
      <c r="H302" s="1921">
        <f>E302-F302</f>
        <v/>
      </c>
    </row>
    <row r="303" ht="14.25" customHeight="1">
      <c r="A303" s="1933" t="inlineStr">
        <is>
          <t>20/05/2025</t>
        </is>
      </c>
      <c r="B303" s="1563" t="n">
        <v>7095</v>
      </c>
      <c r="C303" s="1934" t="n">
        <v>2050</v>
      </c>
      <c r="D303" s="1921">
        <f>B303/B304-1</f>
        <v/>
      </c>
      <c r="E303" s="1921">
        <f>C303/C304-1</f>
        <v/>
      </c>
      <c r="F303" s="1921">
        <f>$L$2/365</f>
        <v/>
      </c>
      <c r="G303" s="1921">
        <f>D303-F303</f>
        <v/>
      </c>
      <c r="H303" s="1921">
        <f>E303-F303</f>
        <v/>
      </c>
    </row>
    <row r="304" ht="14.25" customHeight="1">
      <c r="A304" s="1936" t="inlineStr">
        <is>
          <t>19/05/2025</t>
        </is>
      </c>
      <c r="B304" s="1563" t="n">
        <v>7141</v>
      </c>
      <c r="C304" s="1937" t="n">
        <v>2080</v>
      </c>
      <c r="D304" s="1921">
        <f>B304/B305-1</f>
        <v/>
      </c>
      <c r="E304" s="1921">
        <f>C304/C305-1</f>
        <v/>
      </c>
      <c r="F304" s="1921">
        <f>$L$2/365</f>
        <v/>
      </c>
      <c r="G304" s="1921">
        <f>D304-F304</f>
        <v/>
      </c>
      <c r="H304" s="1921">
        <f>E304-F304</f>
        <v/>
      </c>
    </row>
    <row r="305" ht="14.25" customHeight="1">
      <c r="A305" s="1933" t="inlineStr">
        <is>
          <t>16/05/2025</t>
        </is>
      </c>
      <c r="B305" s="1563" t="n">
        <v>7107</v>
      </c>
      <c r="C305" s="1934" t="n">
        <v>2030</v>
      </c>
      <c r="D305" s="1921">
        <f>B305/B306-1</f>
        <v/>
      </c>
      <c r="E305" s="1921">
        <f>C305/C306-1</f>
        <v/>
      </c>
      <c r="F305" s="1921">
        <f>$L$2/365</f>
        <v/>
      </c>
      <c r="G305" s="1921">
        <f>D305-F305</f>
        <v/>
      </c>
      <c r="H305" s="1921">
        <f>E305-F305</f>
        <v/>
      </c>
    </row>
    <row r="306" ht="14.25" customHeight="1">
      <c r="A306" s="1936" t="inlineStr">
        <is>
          <t>15/05/2025</t>
        </is>
      </c>
      <c r="B306" s="1563" t="n">
        <v>7040</v>
      </c>
      <c r="C306" s="1937" t="n">
        <v>2020</v>
      </c>
      <c r="D306" s="1921">
        <f>B306/B307-1</f>
        <v/>
      </c>
      <c r="E306" s="1921">
        <f>C306/C307-1</f>
        <v/>
      </c>
      <c r="F306" s="1921">
        <f>$L$2/365</f>
        <v/>
      </c>
      <c r="G306" s="1921">
        <f>D306-F306</f>
        <v/>
      </c>
      <c r="H306" s="1921">
        <f>E306-F306</f>
        <v/>
      </c>
    </row>
    <row r="307" ht="14.25" customHeight="1">
      <c r="A307" s="1933" t="inlineStr">
        <is>
          <t>14/05/2025</t>
        </is>
      </c>
      <c r="B307" s="1563" t="n">
        <v>6980</v>
      </c>
      <c r="C307" s="1934" t="n">
        <v>2050</v>
      </c>
      <c r="D307" s="1921">
        <f>B307/B308-1</f>
        <v/>
      </c>
      <c r="E307" s="1921">
        <f>C307/C308-1</f>
        <v/>
      </c>
      <c r="F307" s="1921">
        <f>$L$2/365</f>
        <v/>
      </c>
      <c r="G307" s="1921">
        <f>D307-F307</f>
        <v/>
      </c>
      <c r="H307" s="1921">
        <f>E307-F307</f>
        <v/>
      </c>
    </row>
    <row r="308" ht="14.25" customHeight="1">
      <c r="A308" s="1936" t="inlineStr">
        <is>
          <t>09/05/2025</t>
        </is>
      </c>
      <c r="B308" s="1563" t="n">
        <v>6833</v>
      </c>
      <c r="C308" s="1937" t="n">
        <v>2020</v>
      </c>
      <c r="D308" s="1921">
        <f>B308/B309-1</f>
        <v/>
      </c>
      <c r="E308" s="1921">
        <f>C308/C309-1</f>
        <v/>
      </c>
      <c r="F308" s="1921">
        <f>$L$2/365</f>
        <v/>
      </c>
      <c r="G308" s="1921">
        <f>D308-F308</f>
        <v/>
      </c>
      <c r="H308" s="1921">
        <f>E308-F308</f>
        <v/>
      </c>
    </row>
    <row r="309" ht="14.25" customHeight="1">
      <c r="A309" s="1933" t="inlineStr">
        <is>
          <t>08/05/2025</t>
        </is>
      </c>
      <c r="B309" s="1563" t="n">
        <v>6828</v>
      </c>
      <c r="C309" s="1934" t="n">
        <v>2090</v>
      </c>
      <c r="D309" s="1921">
        <f>B309/B310-1</f>
        <v/>
      </c>
      <c r="E309" s="1921">
        <f>C309/C310-1</f>
        <v/>
      </c>
      <c r="F309" s="1921">
        <f>$L$2/365</f>
        <v/>
      </c>
      <c r="G309" s="1921">
        <f>D309-F309</f>
        <v/>
      </c>
      <c r="H309" s="1921">
        <f>E309-F309</f>
        <v/>
      </c>
    </row>
    <row r="310" ht="14.25" customHeight="1">
      <c r="A310" s="1936" t="inlineStr">
        <is>
          <t>07/05/2025</t>
        </is>
      </c>
      <c r="B310" s="1563" t="n">
        <v>6926</v>
      </c>
      <c r="C310" s="1937" t="n">
        <v>2110</v>
      </c>
      <c r="D310" s="1921">
        <f>B310/B311-1</f>
        <v/>
      </c>
      <c r="E310" s="1921">
        <f>C310/C311-1</f>
        <v/>
      </c>
      <c r="F310" s="1921">
        <f>$L$2/365</f>
        <v/>
      </c>
      <c r="G310" s="1921">
        <f>D310-F310</f>
        <v/>
      </c>
      <c r="H310" s="1921">
        <f>E310-F310</f>
        <v/>
      </c>
    </row>
    <row r="311" ht="14.25" customHeight="1">
      <c r="A311" s="1933" t="inlineStr">
        <is>
          <t>06/05/2025</t>
        </is>
      </c>
      <c r="B311" s="1563" t="n">
        <v>6898</v>
      </c>
      <c r="C311" s="1934" t="n">
        <v>2170</v>
      </c>
      <c r="D311" s="1921">
        <f>B311/B312-1</f>
        <v/>
      </c>
      <c r="E311" s="1921">
        <f>C311/C312-1</f>
        <v/>
      </c>
      <c r="F311" s="1921">
        <f>$L$2/365</f>
        <v/>
      </c>
      <c r="G311" s="1921">
        <f>D311-F311</f>
        <v/>
      </c>
      <c r="H311" s="1921">
        <f>E311-F311</f>
        <v/>
      </c>
    </row>
    <row r="312" ht="14.25" customHeight="1">
      <c r="A312" s="1936" t="inlineStr">
        <is>
          <t>05/05/2025</t>
        </is>
      </c>
      <c r="B312" s="1563" t="n">
        <v>6832</v>
      </c>
      <c r="C312" s="1937" t="n">
        <v>2190</v>
      </c>
      <c r="D312" s="1921">
        <f>B312/B313-1</f>
        <v/>
      </c>
      <c r="E312" s="1921">
        <f>C312/C313-1</f>
        <v/>
      </c>
      <c r="F312" s="1921">
        <f>$L$2/365</f>
        <v/>
      </c>
      <c r="G312" s="1921">
        <f>D312-F312</f>
        <v/>
      </c>
      <c r="H312" s="1921">
        <f>E312-F312</f>
        <v/>
      </c>
    </row>
    <row r="313" ht="14.25" customHeight="1">
      <c r="A313" s="1933" t="inlineStr">
        <is>
          <t>02/05/2025</t>
        </is>
      </c>
      <c r="B313" s="1563" t="n">
        <v>6816</v>
      </c>
      <c r="C313" s="1934" t="n">
        <v>2170</v>
      </c>
      <c r="D313" s="1921">
        <f>B313/B314-1</f>
        <v/>
      </c>
      <c r="E313" s="1921">
        <f>C313/C314-1</f>
        <v/>
      </c>
      <c r="F313" s="1921">
        <f>$L$2/365</f>
        <v/>
      </c>
      <c r="G313" s="1921">
        <f>D313-F313</f>
        <v/>
      </c>
      <c r="H313" s="1921">
        <f>E313-F313</f>
        <v/>
      </c>
    </row>
    <row r="314" ht="14.25" customHeight="1">
      <c r="A314" s="1936" t="inlineStr">
        <is>
          <t>30/04/2025</t>
        </is>
      </c>
      <c r="B314" s="1563" t="n">
        <v>6767</v>
      </c>
      <c r="C314" s="1937" t="n">
        <v>2210</v>
      </c>
      <c r="D314" s="1921">
        <f>B314/B315-1</f>
        <v/>
      </c>
      <c r="E314" s="1921">
        <f>C314/C315-1</f>
        <v/>
      </c>
      <c r="F314" s="1921">
        <f>$L$2/365</f>
        <v/>
      </c>
      <c r="G314" s="1921">
        <f>D314-F314</f>
        <v/>
      </c>
      <c r="H314" s="1921">
        <f>E314-F314</f>
        <v/>
      </c>
    </row>
    <row r="315" ht="14.25" customHeight="1">
      <c r="A315" s="1933" t="inlineStr">
        <is>
          <t>29/04/2025</t>
        </is>
      </c>
      <c r="B315" s="1563" t="n">
        <v>6749</v>
      </c>
      <c r="C315" s="1934" t="n">
        <v>2270</v>
      </c>
      <c r="D315" s="1921">
        <f>B315/B316-1</f>
        <v/>
      </c>
      <c r="E315" s="1921">
        <f>C315/C316-1</f>
        <v/>
      </c>
      <c r="F315" s="1921">
        <f>$L$2/365</f>
        <v/>
      </c>
      <c r="G315" s="1921">
        <f>D315-F315</f>
        <v/>
      </c>
      <c r="H315" s="1921">
        <f>E315-F315</f>
        <v/>
      </c>
    </row>
    <row r="316" ht="14.25" customHeight="1">
      <c r="A316" s="1936" t="inlineStr">
        <is>
          <t>28/04/2025</t>
        </is>
      </c>
      <c r="B316" s="1563" t="n">
        <v>6723</v>
      </c>
      <c r="C316" s="1937" t="n">
        <v>2260</v>
      </c>
      <c r="D316" s="1921">
        <f>B316/B317-1</f>
        <v/>
      </c>
      <c r="E316" s="1921">
        <f>C316/C317-1</f>
        <v/>
      </c>
      <c r="F316" s="1921">
        <f>$L$2/365</f>
        <v/>
      </c>
      <c r="G316" s="1921">
        <f>D316-F316</f>
        <v/>
      </c>
      <c r="H316" s="1921">
        <f>E316-F316</f>
        <v/>
      </c>
    </row>
    <row r="317" ht="14.25" customHeight="1">
      <c r="A317" s="1933" t="inlineStr">
        <is>
          <t>25/04/2025</t>
        </is>
      </c>
      <c r="B317" s="1563" t="n">
        <v>6679</v>
      </c>
      <c r="C317" s="1934" t="n">
        <v>2230</v>
      </c>
      <c r="D317" s="1921">
        <f>B317/B318-1</f>
        <v/>
      </c>
      <c r="E317" s="1921">
        <f>C317/C318-1</f>
        <v/>
      </c>
      <c r="F317" s="1921">
        <f>$L$2/365</f>
        <v/>
      </c>
      <c r="G317" s="1921">
        <f>D317-F317</f>
        <v/>
      </c>
      <c r="H317" s="1921">
        <f>E317-F317</f>
        <v/>
      </c>
    </row>
    <row r="318" ht="14.25" customHeight="1">
      <c r="A318" s="1936" t="inlineStr">
        <is>
          <t>24/04/2025</t>
        </is>
      </c>
      <c r="B318" s="1563" t="n">
        <v>6613</v>
      </c>
      <c r="C318" s="1937" t="n">
        <v>2180</v>
      </c>
      <c r="D318" s="1921">
        <f>B318/B319-1</f>
        <v/>
      </c>
      <c r="E318" s="1921">
        <f>C318/C319-1</f>
        <v/>
      </c>
      <c r="F318" s="1921">
        <f>$L$2/365</f>
        <v/>
      </c>
      <c r="G318" s="1921">
        <f>D318-F318</f>
        <v/>
      </c>
      <c r="H318" s="1921">
        <f>E318-F318</f>
        <v/>
      </c>
    </row>
    <row r="319" ht="14.25" customHeight="1">
      <c r="A319" s="1933" t="inlineStr">
        <is>
          <t>23/04/2025</t>
        </is>
      </c>
      <c r="B319" s="1563" t="n">
        <v>6634</v>
      </c>
      <c r="C319" s="1934" t="n">
        <v>2200</v>
      </c>
      <c r="D319" s="1921">
        <f>B319/B320-1</f>
        <v/>
      </c>
      <c r="E319" s="1921">
        <f>C319/C320-1</f>
        <v/>
      </c>
      <c r="F319" s="1921">
        <f>$L$2/365</f>
        <v/>
      </c>
      <c r="G319" s="1921">
        <f>D319-F319</f>
        <v/>
      </c>
      <c r="H319" s="1921">
        <f>E319-F319</f>
        <v/>
      </c>
    </row>
    <row r="320" ht="14.25" customHeight="1">
      <c r="A320" s="1936" t="inlineStr">
        <is>
          <t>22/04/2025</t>
        </is>
      </c>
      <c r="B320" s="1563" t="n">
        <v>6538</v>
      </c>
      <c r="C320" s="1937" t="n">
        <v>2180</v>
      </c>
      <c r="D320" s="1921">
        <f>B320/B321-1</f>
        <v/>
      </c>
      <c r="E320" s="1921">
        <f>C320/C321-1</f>
        <v/>
      </c>
      <c r="F320" s="1921">
        <f>$L$2/365</f>
        <v/>
      </c>
      <c r="G320" s="1921">
        <f>D320-F320</f>
        <v/>
      </c>
      <c r="H320" s="1921">
        <f>E320-F320</f>
        <v/>
      </c>
    </row>
    <row r="321" ht="14.25" customHeight="1">
      <c r="A321" s="1933" t="inlineStr">
        <is>
          <t>21/04/2025</t>
        </is>
      </c>
      <c r="B321" s="1563" t="n">
        <v>6446</v>
      </c>
      <c r="C321" s="1934" t="n">
        <v>2190</v>
      </c>
      <c r="D321" s="1921">
        <f>B321/B322-1</f>
        <v/>
      </c>
      <c r="E321" s="1921">
        <f>C321/C322-1</f>
        <v/>
      </c>
      <c r="F321" s="1921">
        <f>$L$2/365</f>
        <v/>
      </c>
      <c r="G321" s="1921">
        <f>D321-F321</f>
        <v/>
      </c>
      <c r="H321" s="1921">
        <f>E321-F321</f>
        <v/>
      </c>
    </row>
    <row r="322" ht="14.25" customHeight="1">
      <c r="A322" s="1936" t="inlineStr">
        <is>
          <t>17/04/2025</t>
        </is>
      </c>
      <c r="B322" s="1563" t="n">
        <v>6438</v>
      </c>
      <c r="C322" s="1937" t="n">
        <v>2210</v>
      </c>
      <c r="D322" s="1921">
        <f>B322/B323-1</f>
        <v/>
      </c>
      <c r="E322" s="1921">
        <f>C322/C323-1</f>
        <v/>
      </c>
      <c r="F322" s="1921">
        <f>$L$2/365</f>
        <v/>
      </c>
      <c r="G322" s="1921">
        <f>D322-F322</f>
        <v/>
      </c>
      <c r="H322" s="1921">
        <f>E322-F322</f>
        <v/>
      </c>
    </row>
    <row r="323" ht="14.25" customHeight="1">
      <c r="A323" s="1933" t="inlineStr">
        <is>
          <t>16/04/2025</t>
        </is>
      </c>
      <c r="B323" s="1563" t="n">
        <v>6400</v>
      </c>
      <c r="C323" s="1934" t="n">
        <v>2220</v>
      </c>
      <c r="D323" s="1921">
        <f>B323/B324-1</f>
        <v/>
      </c>
      <c r="E323" s="1921">
        <f>C323/C324-1</f>
        <v/>
      </c>
      <c r="F323" s="1921">
        <f>$L$2/365</f>
        <v/>
      </c>
      <c r="G323" s="1921">
        <f>D323-F323</f>
        <v/>
      </c>
      <c r="H323" s="1921">
        <f>E323-F323</f>
        <v/>
      </c>
    </row>
    <row r="324" ht="14.25" customHeight="1">
      <c r="A324" s="1936" t="inlineStr">
        <is>
          <t>15/04/2025</t>
        </is>
      </c>
      <c r="B324" s="1563" t="n">
        <v>6442</v>
      </c>
      <c r="C324" s="1937" t="n">
        <v>2200</v>
      </c>
      <c r="D324" s="1921">
        <f>B324/B325-1</f>
        <v/>
      </c>
      <c r="E324" s="1921">
        <f>C324/C325-1</f>
        <v/>
      </c>
      <c r="F324" s="1921">
        <f>$L$2/365</f>
        <v/>
      </c>
      <c r="G324" s="1921">
        <f>D324-F324</f>
        <v/>
      </c>
      <c r="H324" s="1921">
        <f>E324-F324</f>
        <v/>
      </c>
    </row>
    <row r="325" ht="14.25" customHeight="1">
      <c r="A325" s="1933" t="inlineStr">
        <is>
          <t>14/04/2025</t>
        </is>
      </c>
      <c r="B325" s="1563" t="n">
        <v>6369</v>
      </c>
      <c r="C325" s="1934" t="n">
        <v>2330</v>
      </c>
      <c r="D325" s="1921">
        <f>B325/B326-1</f>
        <v/>
      </c>
      <c r="E325" s="1921">
        <f>C325/C326-1</f>
        <v/>
      </c>
      <c r="F325" s="1921">
        <f>$L$2/365</f>
        <v/>
      </c>
      <c r="G325" s="1921">
        <f>D325-F325</f>
        <v/>
      </c>
      <c r="H325" s="1921">
        <f>E325-F325</f>
        <v/>
      </c>
    </row>
    <row r="326" ht="14.25" customHeight="1">
      <c r="A326" s="1936" t="inlineStr">
        <is>
          <t>11/04/2025</t>
        </is>
      </c>
      <c r="B326" s="1563" t="n">
        <v>6262</v>
      </c>
      <c r="C326" s="1937" t="n">
        <v>2250</v>
      </c>
      <c r="D326" s="1921">
        <f>B326/B327-1</f>
        <v/>
      </c>
      <c r="E326" s="1921">
        <f>C326/C327-1</f>
        <v/>
      </c>
      <c r="F326" s="1921">
        <f>$L$2/365</f>
        <v/>
      </c>
      <c r="G326" s="1921">
        <f>D326-F326</f>
        <v/>
      </c>
      <c r="H326" s="1921">
        <f>E326-F326</f>
        <v/>
      </c>
    </row>
    <row r="327" ht="14.25" customHeight="1">
      <c r="A327" s="1933" t="inlineStr">
        <is>
          <t>10/04/2025</t>
        </is>
      </c>
      <c r="B327" s="1563" t="n">
        <v>6254</v>
      </c>
      <c r="C327" s="1934" t="n">
        <v>1980</v>
      </c>
      <c r="D327" s="1921">
        <f>B327/B328-1</f>
        <v/>
      </c>
      <c r="E327" s="1921">
        <f>C327/C328-1</f>
        <v/>
      </c>
      <c r="F327" s="1921">
        <f>$L$2/365</f>
        <v/>
      </c>
      <c r="G327" s="1921">
        <f>D327-F327</f>
        <v/>
      </c>
      <c r="H327" s="1921">
        <f>E327-F327</f>
        <v/>
      </c>
    </row>
    <row r="328" ht="14.25" customHeight="1">
      <c r="A328" s="1936" t="inlineStr">
        <is>
          <t>09/04/2025</t>
        </is>
      </c>
      <c r="B328" s="1563" t="n">
        <v>5968</v>
      </c>
      <c r="C328" s="1937" t="n">
        <v>1585</v>
      </c>
      <c r="D328" s="1921">
        <f>B328/B329-1</f>
        <v/>
      </c>
      <c r="E328" s="1921">
        <f>C328/C329-1</f>
        <v/>
      </c>
      <c r="F328" s="1921">
        <f>$L$2/365</f>
        <v/>
      </c>
      <c r="G328" s="1921">
        <f>D328-F328</f>
        <v/>
      </c>
      <c r="H328" s="1921">
        <f>E328-F328</f>
        <v/>
      </c>
    </row>
    <row r="329" ht="14.25" customHeight="1">
      <c r="A329" s="1933" t="inlineStr">
        <is>
          <t>08/04/2025</t>
        </is>
      </c>
      <c r="B329" s="1563" t="n">
        <v>5996</v>
      </c>
      <c r="C329" s="1934" t="n">
        <v>1590</v>
      </c>
      <c r="D329" s="1921">
        <f>B329/B330-1</f>
        <v/>
      </c>
      <c r="E329" s="1921">
        <f>C329/C330-1</f>
        <v/>
      </c>
      <c r="F329" s="1921">
        <f>$L$2/365</f>
        <v/>
      </c>
      <c r="G329" s="1921">
        <f>D329-F329</f>
        <v/>
      </c>
      <c r="H329" s="1921">
        <f>E329-F329</f>
        <v/>
      </c>
    </row>
    <row r="330" ht="14.25" customHeight="1">
      <c r="A330" s="1936" t="inlineStr">
        <is>
          <t>27/03/2025</t>
        </is>
      </c>
      <c r="B330" s="1563" t="n">
        <v>6511</v>
      </c>
      <c r="C330" s="1937" t="n">
        <v>1800</v>
      </c>
      <c r="D330" s="1921">
        <f>B330/B331-1</f>
        <v/>
      </c>
      <c r="E330" s="1921">
        <f>C330/C331-1</f>
        <v/>
      </c>
      <c r="F330" s="1921">
        <f>$L$2/365</f>
        <v/>
      </c>
      <c r="G330" s="1921">
        <f>D330-F330</f>
        <v/>
      </c>
      <c r="H330" s="1921">
        <f>E330-F330</f>
        <v/>
      </c>
    </row>
    <row r="331" ht="14.25" customHeight="1">
      <c r="A331" s="1933" t="inlineStr">
        <is>
          <t>26/03/2025</t>
        </is>
      </c>
      <c r="B331" s="1563" t="n">
        <v>6472</v>
      </c>
      <c r="C331" s="1934" t="n">
        <v>1790</v>
      </c>
      <c r="D331" s="1921">
        <f>B331/B332-1</f>
        <v/>
      </c>
      <c r="E331" s="1921">
        <f>C331/C332-1</f>
        <v/>
      </c>
      <c r="F331" s="1921">
        <f>$L$2/365</f>
        <v/>
      </c>
      <c r="G331" s="1921">
        <f>D331-F331</f>
        <v/>
      </c>
      <c r="H331" s="1921">
        <f>E331-F331</f>
        <v/>
      </c>
    </row>
    <row r="332" ht="14.25" customHeight="1">
      <c r="A332" s="1936" t="inlineStr">
        <is>
          <t>25/03/2025</t>
        </is>
      </c>
      <c r="B332" s="1563" t="n">
        <v>6236</v>
      </c>
      <c r="C332" s="1937" t="n">
        <v>1770</v>
      </c>
      <c r="D332" s="1921">
        <f>B332/B333-1</f>
        <v/>
      </c>
      <c r="E332" s="1921">
        <f>C332/C333-1</f>
        <v/>
      </c>
      <c r="F332" s="1921">
        <f>$L$2/365</f>
        <v/>
      </c>
      <c r="G332" s="1921">
        <f>D332-F332</f>
        <v/>
      </c>
      <c r="H332" s="1921">
        <f>E332-F332</f>
        <v/>
      </c>
    </row>
    <row r="333" ht="14.25" customHeight="1">
      <c r="A333" s="1933" t="inlineStr">
        <is>
          <t>24/03/2025</t>
        </is>
      </c>
      <c r="B333" s="1563" t="n">
        <v>6161</v>
      </c>
      <c r="C333" s="1934" t="n">
        <v>1830</v>
      </c>
      <c r="D333" s="1921">
        <f>B333/B334-1</f>
        <v/>
      </c>
      <c r="E333" s="1921">
        <f>C333/C334-1</f>
        <v/>
      </c>
      <c r="F333" s="1921">
        <f>$L$2/365</f>
        <v/>
      </c>
      <c r="G333" s="1921">
        <f>D333-F333</f>
        <v/>
      </c>
      <c r="H333" s="1921">
        <f>E333-F333</f>
        <v/>
      </c>
    </row>
    <row r="334" ht="14.25" customHeight="1">
      <c r="A334" s="1936" t="inlineStr">
        <is>
          <t>21/03/2025</t>
        </is>
      </c>
      <c r="B334" s="1563" t="n">
        <v>6258</v>
      </c>
      <c r="C334" s="1937" t="n">
        <v>1945</v>
      </c>
      <c r="D334" s="1921">
        <f>B334/B335-1</f>
        <v/>
      </c>
      <c r="E334" s="1921">
        <f>C334/C335-1</f>
        <v/>
      </c>
      <c r="F334" s="1921">
        <f>$L$2/365</f>
        <v/>
      </c>
      <c r="G334" s="1921">
        <f>D334-F334</f>
        <v/>
      </c>
      <c r="H334" s="1921">
        <f>E334-F334</f>
        <v/>
      </c>
    </row>
    <row r="335" ht="14.25" customHeight="1">
      <c r="A335" s="1933" t="inlineStr">
        <is>
          <t>20/03/2025</t>
        </is>
      </c>
      <c r="B335" s="1563" t="n">
        <v>6382</v>
      </c>
      <c r="C335" s="1934" t="n">
        <v>2050</v>
      </c>
      <c r="D335" s="1921">
        <f>B335/B336-1</f>
        <v/>
      </c>
      <c r="E335" s="1921">
        <f>C335/C336-1</f>
        <v/>
      </c>
      <c r="F335" s="1921">
        <f>$L$2/365</f>
        <v/>
      </c>
      <c r="G335" s="1921">
        <f>D335-F335</f>
        <v/>
      </c>
      <c r="H335" s="1921">
        <f>E335-F335</f>
        <v/>
      </c>
    </row>
    <row r="336" ht="14.25" customHeight="1">
      <c r="A336" s="1936" t="inlineStr">
        <is>
          <t>19/03/2025</t>
        </is>
      </c>
      <c r="B336" s="1563" t="n">
        <v>6312</v>
      </c>
      <c r="C336" s="1937" t="n">
        <v>1925</v>
      </c>
      <c r="D336" s="1921">
        <f>B336/B337-1</f>
        <v/>
      </c>
      <c r="E336" s="1921">
        <f>C336/C337-1</f>
        <v/>
      </c>
      <c r="F336" s="1921">
        <f>$L$2/365</f>
        <v/>
      </c>
      <c r="G336" s="1921">
        <f>D336-F336</f>
        <v/>
      </c>
      <c r="H336" s="1921">
        <f>E336-F336</f>
        <v/>
      </c>
    </row>
    <row r="337" ht="14.25" customHeight="1">
      <c r="A337" s="1933" t="inlineStr">
        <is>
          <t>18/03/2025</t>
        </is>
      </c>
      <c r="B337" s="1563" t="n">
        <v>6223</v>
      </c>
      <c r="C337" s="1934" t="n">
        <v>1775</v>
      </c>
      <c r="D337" s="1921">
        <f>B337/B338-1</f>
        <v/>
      </c>
      <c r="E337" s="1921">
        <f>C337/C338-1</f>
        <v/>
      </c>
      <c r="F337" s="1921">
        <f>$L$2/365</f>
        <v/>
      </c>
      <c r="G337" s="1921">
        <f>D337-F337</f>
        <v/>
      </c>
      <c r="H337" s="1921">
        <f>E337-F337</f>
        <v/>
      </c>
    </row>
    <row r="338" ht="14.25" customHeight="1">
      <c r="A338" s="1936" t="inlineStr">
        <is>
          <t>17/03/2025</t>
        </is>
      </c>
      <c r="B338" s="1563" t="n">
        <v>6472</v>
      </c>
      <c r="C338" s="1937" t="n">
        <v>1700</v>
      </c>
      <c r="D338" s="1921">
        <f>B338/B339-1</f>
        <v/>
      </c>
      <c r="E338" s="1921">
        <f>C338/C339-1</f>
        <v/>
      </c>
      <c r="F338" s="1921">
        <f>$L$2/365</f>
        <v/>
      </c>
      <c r="G338" s="1921">
        <f>D338-F338</f>
        <v/>
      </c>
      <c r="H338" s="1921">
        <f>E338-F338</f>
        <v/>
      </c>
    </row>
    <row r="339" ht="14.25" customHeight="1">
      <c r="A339" s="1933" t="inlineStr">
        <is>
          <t>14/03/2025</t>
        </is>
      </c>
      <c r="B339" s="1563" t="n">
        <v>6516</v>
      </c>
      <c r="C339" s="1934" t="n">
        <v>1735</v>
      </c>
      <c r="D339" s="1921">
        <f>B339/B340-1</f>
        <v/>
      </c>
      <c r="E339" s="1921">
        <f>C339/C340-1</f>
        <v/>
      </c>
      <c r="F339" s="1921">
        <f>$L$2/365</f>
        <v/>
      </c>
      <c r="G339" s="1921">
        <f>D339-F339</f>
        <v/>
      </c>
      <c r="H339" s="1921">
        <f>E339-F339</f>
        <v/>
      </c>
    </row>
    <row r="340" ht="14.25" customHeight="1">
      <c r="A340" s="1936" t="inlineStr">
        <is>
          <t>13/03/2025</t>
        </is>
      </c>
      <c r="B340" s="1563" t="n">
        <v>6647</v>
      </c>
      <c r="C340" s="1937" t="n">
        <v>1935</v>
      </c>
      <c r="D340" s="1921">
        <f>B340/B341-1</f>
        <v/>
      </c>
      <c r="E340" s="1921">
        <f>C340/C341-1</f>
        <v/>
      </c>
      <c r="F340" s="1921">
        <f>$L$2/365</f>
        <v/>
      </c>
      <c r="G340" s="1921">
        <f>D340-F340</f>
        <v/>
      </c>
      <c r="H340" s="1921">
        <f>E340-F340</f>
        <v/>
      </c>
    </row>
    <row r="341" ht="14.25" customHeight="1">
      <c r="A341" s="1933" t="inlineStr">
        <is>
          <t>12/03/2025</t>
        </is>
      </c>
      <c r="B341" s="1563" t="n">
        <v>6665</v>
      </c>
      <c r="C341" s="1934" t="n">
        <v>1625</v>
      </c>
      <c r="D341" s="1921">
        <f>B341/B342-1</f>
        <v/>
      </c>
      <c r="E341" s="1921">
        <f>C341/C342-1</f>
        <v/>
      </c>
      <c r="F341" s="1921">
        <f>$L$2/365</f>
        <v/>
      </c>
      <c r="G341" s="1921">
        <f>D341-F341</f>
        <v/>
      </c>
      <c r="H341" s="1921">
        <f>E341-F341</f>
        <v/>
      </c>
    </row>
    <row r="342" ht="14.25" customHeight="1">
      <c r="A342" s="1936" t="inlineStr">
        <is>
          <t>11/03/2025</t>
        </is>
      </c>
      <c r="B342" s="1563" t="n">
        <v>6546</v>
      </c>
      <c r="C342" s="1937" t="n">
        <v>1880</v>
      </c>
      <c r="D342" s="1921">
        <f>B342/B343-1</f>
        <v/>
      </c>
      <c r="E342" s="1921">
        <f>C342/C343-1</f>
        <v/>
      </c>
      <c r="F342" s="1921">
        <f>$L$2/365</f>
        <v/>
      </c>
      <c r="G342" s="1921">
        <f>D342-F342</f>
        <v/>
      </c>
      <c r="H342" s="1921">
        <f>E342-F342</f>
        <v/>
      </c>
    </row>
    <row r="343" ht="14.25" customHeight="1">
      <c r="A343" s="1933" t="inlineStr">
        <is>
          <t>10/03/2025</t>
        </is>
      </c>
      <c r="B343" s="1563" t="n">
        <v>6598</v>
      </c>
      <c r="C343" s="1934" t="n">
        <v>2150</v>
      </c>
      <c r="D343" s="1921">
        <f>B343/B344-1</f>
        <v/>
      </c>
      <c r="E343" s="1921">
        <f>C343/C344-1</f>
        <v/>
      </c>
      <c r="F343" s="1921">
        <f>$L$2/365</f>
        <v/>
      </c>
      <c r="G343" s="1921">
        <f>D343-F343</f>
        <v/>
      </c>
      <c r="H343" s="1921">
        <f>E343-F343</f>
        <v/>
      </c>
    </row>
    <row r="344" ht="14.25" customHeight="1">
      <c r="A344" s="1936" t="inlineStr">
        <is>
          <t>07/03/2025</t>
        </is>
      </c>
      <c r="B344" s="1563" t="n">
        <v>6636</v>
      </c>
      <c r="C344" s="1937" t="n">
        <v>2330</v>
      </c>
      <c r="D344" s="1921">
        <f>B344/B345-1</f>
        <v/>
      </c>
      <c r="E344" s="1921">
        <f>C344/C345-1</f>
        <v/>
      </c>
      <c r="F344" s="1921">
        <f>$L$2/365</f>
        <v/>
      </c>
      <c r="G344" s="1921">
        <f>D344-F344</f>
        <v/>
      </c>
      <c r="H344" s="1921">
        <f>E344-F344</f>
        <v/>
      </c>
    </row>
    <row r="345" ht="14.25" customHeight="1">
      <c r="A345" s="1933" t="inlineStr">
        <is>
          <t>06/03/2025</t>
        </is>
      </c>
      <c r="B345" s="1563" t="n">
        <v>6618</v>
      </c>
      <c r="C345" s="1934" t="n">
        <v>2230</v>
      </c>
      <c r="D345" s="1921">
        <f>B345/B346-1</f>
        <v/>
      </c>
      <c r="E345" s="1921">
        <f>C345/C346-1</f>
        <v/>
      </c>
      <c r="F345" s="1921">
        <f>$L$2/365</f>
        <v/>
      </c>
      <c r="G345" s="1921">
        <f>D345-F345</f>
        <v/>
      </c>
      <c r="H345" s="1921">
        <f>E345-F345</f>
        <v/>
      </c>
    </row>
    <row r="346" ht="14.25" customHeight="1">
      <c r="A346" s="1936" t="inlineStr">
        <is>
          <t>05/03/2025</t>
        </is>
      </c>
      <c r="B346" s="1563" t="n">
        <v>6531</v>
      </c>
      <c r="C346" s="1937" t="n">
        <v>2160</v>
      </c>
      <c r="D346" s="1921">
        <f>B346/B347-1</f>
        <v/>
      </c>
      <c r="E346" s="1921">
        <f>C346/C347-1</f>
        <v/>
      </c>
      <c r="F346" s="1921">
        <f>$L$2/365</f>
        <v/>
      </c>
      <c r="G346" s="1921">
        <f>D346-F346</f>
        <v/>
      </c>
      <c r="H346" s="1921">
        <f>E346-F346</f>
        <v/>
      </c>
    </row>
    <row r="347" ht="14.25" customHeight="1">
      <c r="A347" s="1933" t="inlineStr">
        <is>
          <t>04/03/2025</t>
        </is>
      </c>
      <c r="B347" s="1563" t="n">
        <v>6380</v>
      </c>
      <c r="C347" s="1934" t="n">
        <v>2070</v>
      </c>
      <c r="D347" s="1921">
        <f>B347/B348-1</f>
        <v/>
      </c>
      <c r="E347" s="1921">
        <f>C347/C348-1</f>
        <v/>
      </c>
      <c r="F347" s="1921">
        <f>$L$2/365</f>
        <v/>
      </c>
      <c r="G347" s="1921">
        <f>D347-F347</f>
        <v/>
      </c>
      <c r="H347" s="1921">
        <f>E347-F347</f>
        <v/>
      </c>
    </row>
    <row r="348" ht="14.25" customHeight="1">
      <c r="A348" s="1936" t="inlineStr">
        <is>
          <t>03/03/2025</t>
        </is>
      </c>
      <c r="B348" s="1563" t="n">
        <v>6520</v>
      </c>
      <c r="C348" s="1937" t="n">
        <v>2510</v>
      </c>
      <c r="D348" s="1921">
        <f>B348/B349-1</f>
        <v/>
      </c>
      <c r="E348" s="1921">
        <f>C348/C349-1</f>
        <v/>
      </c>
      <c r="F348" s="1921">
        <f>$L$2/365</f>
        <v/>
      </c>
      <c r="G348" s="1921">
        <f>D348-F348</f>
        <v/>
      </c>
      <c r="H348" s="1921">
        <f>E348-F348</f>
        <v/>
      </c>
    </row>
    <row r="349" ht="14.25" customHeight="1">
      <c r="A349" s="1933" t="inlineStr">
        <is>
          <t>28/02/2025</t>
        </is>
      </c>
      <c r="B349" s="1563" t="n">
        <v>6271</v>
      </c>
      <c r="C349" s="1934" t="n">
        <v>2380</v>
      </c>
      <c r="D349" s="1921">
        <f>B349/B350-1</f>
        <v/>
      </c>
      <c r="E349" s="1921">
        <f>C349/C350-1</f>
        <v/>
      </c>
      <c r="F349" s="1921">
        <f>$L$2/365</f>
        <v/>
      </c>
      <c r="G349" s="1921">
        <f>D349-F349</f>
        <v/>
      </c>
      <c r="H349" s="1921">
        <f>E349-F349</f>
        <v/>
      </c>
    </row>
    <row r="350" ht="14.25" customHeight="1">
      <c r="A350" s="1936" t="inlineStr">
        <is>
          <t>27/02/2025</t>
        </is>
      </c>
      <c r="B350" s="1563" t="n">
        <v>6485</v>
      </c>
      <c r="C350" s="1937" t="n">
        <v>2570</v>
      </c>
      <c r="D350" s="1921">
        <f>B350/B351-1</f>
        <v/>
      </c>
      <c r="E350" s="1921">
        <f>C350/C351-1</f>
        <v/>
      </c>
      <c r="F350" s="1921">
        <f>$L$2/365</f>
        <v/>
      </c>
      <c r="G350" s="1921">
        <f>D350-F350</f>
        <v/>
      </c>
      <c r="H350" s="1921">
        <f>E350-F350</f>
        <v/>
      </c>
    </row>
    <row r="351" ht="14.25" customHeight="1">
      <c r="A351" s="1933" t="inlineStr">
        <is>
          <t>26/02/2025</t>
        </is>
      </c>
      <c r="B351" s="1563" t="n">
        <v>6606</v>
      </c>
      <c r="C351" s="1934" t="n">
        <v>2610</v>
      </c>
      <c r="D351" s="1921">
        <f>B351/B352-1</f>
        <v/>
      </c>
      <c r="E351" s="1921">
        <f>C351/C352-1</f>
        <v/>
      </c>
      <c r="F351" s="1921">
        <f>$L$2/365</f>
        <v/>
      </c>
      <c r="G351" s="1921">
        <f>D351-F351</f>
        <v/>
      </c>
      <c r="H351" s="1921">
        <f>E351-F351</f>
        <v/>
      </c>
    </row>
    <row r="352" ht="14.25" customHeight="1">
      <c r="A352" s="1936" t="inlineStr">
        <is>
          <t>25/02/2025</t>
        </is>
      </c>
      <c r="B352" s="1563" t="n">
        <v>6587</v>
      </c>
      <c r="C352" s="1937" t="n">
        <v>2210</v>
      </c>
      <c r="D352" s="1921">
        <f>B352/B353-1</f>
        <v/>
      </c>
      <c r="E352" s="1921">
        <f>C352/C353-1</f>
        <v/>
      </c>
      <c r="F352" s="1921">
        <f>$L$2/365</f>
        <v/>
      </c>
      <c r="G352" s="1921">
        <f>D352-F352</f>
        <v/>
      </c>
      <c r="H352" s="1921">
        <f>E352-F352</f>
        <v/>
      </c>
    </row>
    <row r="353" ht="14.25" customHeight="1">
      <c r="A353" s="1933" t="inlineStr">
        <is>
          <t>24/02/2025</t>
        </is>
      </c>
      <c r="B353" s="1563" t="n">
        <v>6750</v>
      </c>
      <c r="C353" s="1934" t="n">
        <v>2450</v>
      </c>
      <c r="D353" s="1921">
        <f>B353/B354-1</f>
        <v/>
      </c>
      <c r="E353" s="1921">
        <f>C353/C354-1</f>
        <v/>
      </c>
      <c r="F353" s="1921">
        <f>$L$2/365</f>
        <v/>
      </c>
      <c r="G353" s="1921">
        <f>D353-F353</f>
        <v/>
      </c>
      <c r="H353" s="1921">
        <f>E353-F353</f>
        <v/>
      </c>
    </row>
    <row r="354" ht="14.25" customHeight="1">
      <c r="A354" s="1936" t="inlineStr">
        <is>
          <t>21/02/2025</t>
        </is>
      </c>
      <c r="B354" s="1563" t="n">
        <v>6803</v>
      </c>
      <c r="C354" s="1937" t="n">
        <v>2330</v>
      </c>
      <c r="D354" s="1921">
        <f>B354/B355-1</f>
        <v/>
      </c>
      <c r="E354" s="1921">
        <f>C354/C355-1</f>
        <v/>
      </c>
      <c r="F354" s="1921">
        <f>$L$2/365</f>
        <v/>
      </c>
      <c r="G354" s="1921">
        <f>D354-F354</f>
        <v/>
      </c>
      <c r="H354" s="1921">
        <f>E354-F354</f>
        <v/>
      </c>
    </row>
    <row r="355" ht="14.25" customHeight="1">
      <c r="A355" s="1933" t="inlineStr">
        <is>
          <t>20/02/2025</t>
        </is>
      </c>
      <c r="B355" s="1563" t="n">
        <v>6788</v>
      </c>
      <c r="C355" s="1934" t="n">
        <v>2070</v>
      </c>
      <c r="D355" s="1921">
        <f>B355/B356-1</f>
        <v/>
      </c>
      <c r="E355" s="1921">
        <f>C355/C356-1</f>
        <v/>
      </c>
      <c r="F355" s="1921">
        <f>$L$2/365</f>
        <v/>
      </c>
      <c r="G355" s="1921">
        <f>D355-F355</f>
        <v/>
      </c>
      <c r="H355" s="1921">
        <f>E355-F355</f>
        <v/>
      </c>
    </row>
    <row r="356" ht="14.25" customHeight="1">
      <c r="A356" s="1936" t="inlineStr">
        <is>
          <t>19/02/2025</t>
        </is>
      </c>
      <c r="B356" s="1563" t="n">
        <v>6795</v>
      </c>
      <c r="C356" s="1937" t="n">
        <v>1770</v>
      </c>
      <c r="D356" s="1921">
        <f>B356/B357-1</f>
        <v/>
      </c>
      <c r="E356" s="1921">
        <f>C356/C357-1</f>
        <v/>
      </c>
      <c r="F356" s="1921">
        <f>$L$2/365</f>
        <v/>
      </c>
      <c r="G356" s="1921">
        <f>D356-F356</f>
        <v/>
      </c>
      <c r="H356" s="1921">
        <f>E356-F356</f>
        <v/>
      </c>
    </row>
    <row r="357" ht="14.25" customHeight="1">
      <c r="A357" s="1933" t="inlineStr">
        <is>
          <t>18/02/2025</t>
        </is>
      </c>
      <c r="B357" s="1563" t="n">
        <v>6874</v>
      </c>
      <c r="C357" s="1934" t="n">
        <v>1675</v>
      </c>
      <c r="D357" s="1921">
        <f>B357/B358-1</f>
        <v/>
      </c>
      <c r="E357" s="1921">
        <f>C357/C358-1</f>
        <v/>
      </c>
      <c r="F357" s="1921">
        <f>$L$2/365</f>
        <v/>
      </c>
      <c r="G357" s="1921">
        <f>D357-F357</f>
        <v/>
      </c>
      <c r="H357" s="1921">
        <f>E357-F357</f>
        <v/>
      </c>
    </row>
    <row r="358" ht="14.25" customHeight="1">
      <c r="A358" s="1936" t="inlineStr">
        <is>
          <t>17/02/2025</t>
        </is>
      </c>
      <c r="B358" s="1563" t="n">
        <v>6831</v>
      </c>
      <c r="C358" s="1937" t="n">
        <v>1725</v>
      </c>
      <c r="D358" s="1921">
        <f>B358/B359-1</f>
        <v/>
      </c>
      <c r="E358" s="1921">
        <f>C358/C359-1</f>
        <v/>
      </c>
      <c r="F358" s="1921">
        <f>$L$2/365</f>
        <v/>
      </c>
      <c r="G358" s="1921">
        <f>D358-F358</f>
        <v/>
      </c>
      <c r="H358" s="1921">
        <f>E358-F358</f>
        <v/>
      </c>
    </row>
    <row r="359" ht="14.25" customHeight="1">
      <c r="A359" s="1933" t="inlineStr">
        <is>
          <t>14/02/2025</t>
        </is>
      </c>
      <c r="B359" s="1563" t="n">
        <v>6638</v>
      </c>
      <c r="C359" s="1934" t="n">
        <v>1800</v>
      </c>
      <c r="D359" s="1921">
        <f>B359/B360-1</f>
        <v/>
      </c>
      <c r="E359" s="1921">
        <f>C359/C360-1</f>
        <v/>
      </c>
      <c r="F359" s="1921">
        <f>$L$2/365</f>
        <v/>
      </c>
      <c r="G359" s="1921">
        <f>D359-F359</f>
        <v/>
      </c>
      <c r="H359" s="1921">
        <f>E359-F359</f>
        <v/>
      </c>
    </row>
    <row r="360" ht="14.25" customHeight="1">
      <c r="A360" s="1936" t="inlineStr">
        <is>
          <t>13/02/2025</t>
        </is>
      </c>
      <c r="B360" s="1563" t="n">
        <v>6614</v>
      </c>
      <c r="C360" s="1937" t="n">
        <v>1650</v>
      </c>
      <c r="D360" s="1921">
        <f>B360/B361-1</f>
        <v/>
      </c>
      <c r="E360" s="1921">
        <f>C360/C361-1</f>
        <v/>
      </c>
      <c r="F360" s="1921">
        <f>$L$2/365</f>
        <v/>
      </c>
      <c r="G360" s="1921">
        <f>D360-F360</f>
        <v/>
      </c>
      <c r="H360" s="1921">
        <f>E360-F360</f>
        <v/>
      </c>
    </row>
    <row r="361" ht="14.25" customHeight="1">
      <c r="A361" s="1933" t="inlineStr">
        <is>
          <t>12/02/2025</t>
        </is>
      </c>
      <c r="B361" s="1563" t="n">
        <v>6646</v>
      </c>
      <c r="C361" s="1934" t="n">
        <v>1500</v>
      </c>
      <c r="D361" s="1921">
        <f>B361/B362-1</f>
        <v/>
      </c>
      <c r="E361" s="1921">
        <f>C361/C362-1</f>
        <v/>
      </c>
      <c r="F361" s="1921">
        <f>$L$2/365</f>
        <v/>
      </c>
      <c r="G361" s="1921">
        <f>D361-F361</f>
        <v/>
      </c>
      <c r="H361" s="1921">
        <f>E361-F361</f>
        <v/>
      </c>
    </row>
    <row r="362" ht="14.25" customHeight="1">
      <c r="A362" s="1936" t="inlineStr">
        <is>
          <t>11/02/2025</t>
        </is>
      </c>
      <c r="B362" s="1563" t="n">
        <v>6532</v>
      </c>
      <c r="C362" s="1937" t="n">
        <v>1365</v>
      </c>
      <c r="D362" s="1921">
        <f>B362/B363-1</f>
        <v/>
      </c>
      <c r="E362" s="1921">
        <f>C362/C363-1</f>
        <v/>
      </c>
      <c r="F362" s="1921">
        <f>$L$2/365</f>
        <v/>
      </c>
      <c r="G362" s="1921">
        <f>D362-F362</f>
        <v/>
      </c>
      <c r="H362" s="1921">
        <f>E362-F362</f>
        <v/>
      </c>
    </row>
    <row r="363" ht="14.25" customHeight="1">
      <c r="A363" s="1933" t="inlineStr">
        <is>
          <t>10/02/2025</t>
        </is>
      </c>
      <c r="B363" s="1563" t="n">
        <v>6648</v>
      </c>
      <c r="C363" s="1934" t="n">
        <v>1515</v>
      </c>
      <c r="D363" s="1921">
        <f>B363/B364-1</f>
        <v/>
      </c>
      <c r="E363" s="1921">
        <f>C363/C364-1</f>
        <v/>
      </c>
      <c r="F363" s="1921">
        <f>$L$2/365</f>
        <v/>
      </c>
      <c r="G363" s="1921">
        <f>D363-F363</f>
        <v/>
      </c>
      <c r="H363" s="1921">
        <f>E363-F363</f>
        <v/>
      </c>
    </row>
    <row r="364" ht="14.25" customHeight="1">
      <c r="A364" s="1936" t="inlineStr">
        <is>
          <t>07/02/2025</t>
        </is>
      </c>
      <c r="B364" s="1563" t="n">
        <v>6743</v>
      </c>
      <c r="C364" s="1937" t="n">
        <v>1680</v>
      </c>
      <c r="D364" s="1921">
        <f>B364/B365-1</f>
        <v/>
      </c>
      <c r="E364" s="1921">
        <f>C364/C365-1</f>
        <v/>
      </c>
      <c r="F364" s="1921">
        <f>$L$2/365</f>
        <v/>
      </c>
      <c r="G364" s="1921">
        <f>D364-F364</f>
        <v/>
      </c>
      <c r="H364" s="1921">
        <f>E364-F364</f>
        <v/>
      </c>
    </row>
    <row r="365" ht="14.25" customHeight="1">
      <c r="A365" s="1933" t="inlineStr">
        <is>
          <t>06/02/2025</t>
        </is>
      </c>
      <c r="B365" s="1563" t="n">
        <v>6876</v>
      </c>
      <c r="C365" s="1934" t="n">
        <v>1530</v>
      </c>
      <c r="D365" s="1921">
        <f>B365/B366-1</f>
        <v/>
      </c>
      <c r="E365" s="1921">
        <f>C365/C366-1</f>
        <v/>
      </c>
      <c r="F365" s="1921">
        <f>$L$2/365</f>
        <v/>
      </c>
      <c r="G365" s="1921">
        <f>D365-F365</f>
        <v/>
      </c>
      <c r="H365" s="1921">
        <f>E365-F365</f>
        <v/>
      </c>
    </row>
    <row r="366" ht="14.25" customHeight="1">
      <c r="A366" s="1936" t="inlineStr">
        <is>
          <t>03/02/2025</t>
        </is>
      </c>
      <c r="B366" s="1563" t="n">
        <v>7030</v>
      </c>
      <c r="C366" s="1937" t="n">
        <v>1395</v>
      </c>
      <c r="D366" s="1921">
        <f>B366/B367-1</f>
        <v/>
      </c>
      <c r="E366" s="1921">
        <f>C366/C367-1</f>
        <v/>
      </c>
      <c r="F366" s="1921">
        <f>$L$2/365</f>
        <v/>
      </c>
      <c r="G366" s="1921">
        <f>D366-F366</f>
        <v/>
      </c>
      <c r="H366" s="1921">
        <f>E366-F366</f>
        <v/>
      </c>
    </row>
    <row r="367" ht="14.25" customHeight="1">
      <c r="A367" s="1933" t="inlineStr">
        <is>
          <t>30/01/2025</t>
        </is>
      </c>
      <c r="B367" s="1563" t="n">
        <v>7073</v>
      </c>
      <c r="C367" s="1934" t="n">
        <v>1225</v>
      </c>
      <c r="D367" s="1921">
        <f>B367/B368-1</f>
        <v/>
      </c>
      <c r="E367" s="1921">
        <f>C367/C368-1</f>
        <v/>
      </c>
      <c r="F367" s="1921">
        <f>$L$2/365</f>
        <v/>
      </c>
      <c r="G367" s="1921">
        <f>D367-F367</f>
        <v/>
      </c>
      <c r="H367" s="1921">
        <f>E367-F367</f>
        <v/>
      </c>
    </row>
    <row r="368" ht="14.25" customHeight="1">
      <c r="A368" s="1936" t="inlineStr">
        <is>
          <t>24/01/2025</t>
        </is>
      </c>
      <c r="B368" s="1563" t="n">
        <v>7166</v>
      </c>
      <c r="C368" s="1938" t="inlineStr">
        <is>
          <t>980</t>
        </is>
      </c>
      <c r="D368" s="1921">
        <f>B368/B369-1</f>
        <v/>
      </c>
      <c r="E368" s="1921">
        <f>C368/C369-1</f>
        <v/>
      </c>
      <c r="F368" s="1921">
        <f>$L$2/365</f>
        <v/>
      </c>
      <c r="G368" s="1921">
        <f>D368-F368</f>
        <v/>
      </c>
      <c r="H368" s="1921">
        <f>E368-F368</f>
        <v/>
      </c>
    </row>
    <row r="369" ht="14.25" customHeight="1">
      <c r="A369" s="1933" t="inlineStr">
        <is>
          <t>23/01/2025</t>
        </is>
      </c>
      <c r="B369" s="1563" t="n">
        <v>7233</v>
      </c>
      <c r="C369" s="1939" t="inlineStr">
        <is>
          <t>905</t>
        </is>
      </c>
      <c r="D369" s="1921">
        <f>B369/B370-1</f>
        <v/>
      </c>
      <c r="E369" s="1921">
        <f>C369/C370-1</f>
        <v/>
      </c>
      <c r="F369" s="1921">
        <f>$L$2/365</f>
        <v/>
      </c>
      <c r="G369" s="1921">
        <f>D369-F369</f>
        <v/>
      </c>
      <c r="H369" s="1921">
        <f>E369-F369</f>
        <v/>
      </c>
    </row>
    <row r="370" ht="14.25" customHeight="1">
      <c r="A370" s="1936" t="inlineStr">
        <is>
          <t>22/01/2025</t>
        </is>
      </c>
      <c r="B370" s="1563" t="n">
        <v>7257</v>
      </c>
      <c r="C370" s="1938" t="inlineStr">
        <is>
          <t>905</t>
        </is>
      </c>
      <c r="D370" s="1921">
        <f>B370/B371-1</f>
        <v/>
      </c>
      <c r="E370" s="1921">
        <f>C370/C371-1</f>
        <v/>
      </c>
      <c r="F370" s="1921">
        <f>$L$2/365</f>
        <v/>
      </c>
      <c r="G370" s="1921">
        <f>D370-F370</f>
        <v/>
      </c>
      <c r="H370" s="1921">
        <f>E370-F370</f>
        <v/>
      </c>
    </row>
    <row r="371" ht="14.25" customHeight="1">
      <c r="A371" s="1933" t="inlineStr">
        <is>
          <t>21/01/2025</t>
        </is>
      </c>
      <c r="B371" s="1563" t="n">
        <v>7182</v>
      </c>
      <c r="C371" s="1939" t="inlineStr">
        <is>
          <t>980</t>
        </is>
      </c>
      <c r="D371" s="1921">
        <f>B371/B372-1</f>
        <v/>
      </c>
      <c r="E371" s="1921">
        <f>C371/C372-1</f>
        <v/>
      </c>
      <c r="F371" s="1921">
        <f>$L$2/365</f>
        <v/>
      </c>
      <c r="G371" s="1921">
        <f>D371-F371</f>
        <v/>
      </c>
      <c r="H371" s="1921">
        <f>E371-F371</f>
        <v/>
      </c>
    </row>
    <row r="372" ht="14.25" customHeight="1">
      <c r="A372" s="1936" t="inlineStr">
        <is>
          <t>20/01/2025</t>
        </is>
      </c>
      <c r="B372" s="1563" t="n">
        <v>7171</v>
      </c>
      <c r="C372" s="1938" t="inlineStr">
        <is>
          <t>985</t>
        </is>
      </c>
      <c r="D372" s="1921">
        <f>B372/B373-1</f>
        <v/>
      </c>
      <c r="E372" s="1921">
        <f>C372/C373-1</f>
        <v/>
      </c>
      <c r="F372" s="1921">
        <f>$L$2/365</f>
        <v/>
      </c>
      <c r="G372" s="1921">
        <f>D372-F372</f>
        <v/>
      </c>
      <c r="H372" s="1921">
        <f>E372-F372</f>
        <v/>
      </c>
    </row>
    <row r="373" ht="14.25" customHeight="1">
      <c r="A373" s="1933" t="inlineStr">
        <is>
          <t>17/01/2025</t>
        </is>
      </c>
      <c r="B373" s="1563" t="n">
        <v>7155</v>
      </c>
      <c r="C373" s="1939" t="inlineStr">
        <is>
          <t>920</t>
        </is>
      </c>
      <c r="D373" s="1921">
        <f>B373/B374-1</f>
        <v/>
      </c>
      <c r="E373" s="1921">
        <f>C373/C374-1</f>
        <v/>
      </c>
      <c r="F373" s="1921">
        <f>$L$2/365</f>
        <v/>
      </c>
      <c r="G373" s="1921">
        <f>D373-F373</f>
        <v/>
      </c>
      <c r="H373" s="1921">
        <f>E373-F373</f>
        <v/>
      </c>
    </row>
    <row r="374" ht="14.25" customHeight="1">
      <c r="A374" s="1936" t="inlineStr">
        <is>
          <t>16/01/2025</t>
        </is>
      </c>
      <c r="B374" s="1563" t="n">
        <v>7108</v>
      </c>
      <c r="C374" s="1938" t="inlineStr">
        <is>
          <t>915</t>
        </is>
      </c>
      <c r="D374" s="1921">
        <f>B374/B375-1</f>
        <v/>
      </c>
      <c r="E374" s="1921">
        <f>C374/C375-1</f>
        <v/>
      </c>
      <c r="F374" s="1921">
        <f>$L$2/365</f>
        <v/>
      </c>
      <c r="G374" s="1921">
        <f>D374-F374</f>
        <v/>
      </c>
      <c r="H374" s="1921">
        <f>E374-F374</f>
        <v/>
      </c>
    </row>
    <row r="375" ht="14.25" customHeight="1">
      <c r="A375" s="1933" t="inlineStr">
        <is>
          <t>15/01/2025</t>
        </is>
      </c>
      <c r="B375" s="1563" t="n">
        <v>7080</v>
      </c>
      <c r="C375" s="1939" t="inlineStr">
        <is>
          <t>735</t>
        </is>
      </c>
      <c r="D375" s="1921">
        <f>B375/B376-1</f>
        <v/>
      </c>
      <c r="E375" s="1921">
        <f>C375/C376-1</f>
        <v/>
      </c>
      <c r="F375" s="1921">
        <f>$L$2/365</f>
        <v/>
      </c>
      <c r="G375" s="1921">
        <f>D375-F375</f>
        <v/>
      </c>
      <c r="H375" s="1921">
        <f>E375-F375</f>
        <v/>
      </c>
    </row>
    <row r="376" ht="14.25" customHeight="1">
      <c r="A376" s="1936" t="inlineStr">
        <is>
          <t>14/01/2025</t>
        </is>
      </c>
      <c r="B376" s="1563" t="n">
        <v>6957</v>
      </c>
      <c r="C376" s="1938" t="inlineStr">
        <is>
          <t>590</t>
        </is>
      </c>
      <c r="D376" s="1921">
        <f>B376/B377-1</f>
        <v/>
      </c>
      <c r="E376" s="1921">
        <f>C376/C377-1</f>
        <v/>
      </c>
      <c r="F376" s="1921">
        <f>$L$2/365</f>
        <v/>
      </c>
      <c r="G376" s="1921">
        <f>D376-F376</f>
        <v/>
      </c>
      <c r="H376" s="1921">
        <f>E376-F376</f>
        <v/>
      </c>
    </row>
    <row r="377" ht="14.25" customHeight="1">
      <c r="A377" s="1933" t="inlineStr">
        <is>
          <t>13/01/2025</t>
        </is>
      </c>
      <c r="B377" s="1563" t="n">
        <v>7017</v>
      </c>
      <c r="C377" s="1939" t="inlineStr">
        <is>
          <t>474</t>
        </is>
      </c>
      <c r="D377" s="1921">
        <f>B377/B378-1</f>
        <v/>
      </c>
      <c r="E377" s="1921">
        <f>C377/C378-1</f>
        <v/>
      </c>
      <c r="F377" s="1921">
        <f>$L$2/365</f>
        <v/>
      </c>
      <c r="G377" s="1921">
        <f>D377-F377</f>
        <v/>
      </c>
      <c r="H377" s="1921">
        <f>E377-F377</f>
        <v/>
      </c>
    </row>
    <row r="378" ht="14.25" customHeight="1">
      <c r="A378" s="1936" t="inlineStr">
        <is>
          <t>10/01/2025</t>
        </is>
      </c>
      <c r="B378" s="1563" t="n">
        <v>7089</v>
      </c>
      <c r="C378" s="1938" t="inlineStr">
        <is>
          <t>380</t>
        </is>
      </c>
      <c r="D378" s="1921">
        <f>B378/B379-1</f>
        <v/>
      </c>
      <c r="E378" s="1921">
        <f>C378/C379-1</f>
        <v/>
      </c>
      <c r="F378" s="1921">
        <f>$L$2/365</f>
        <v/>
      </c>
      <c r="G378" s="1921">
        <f>D378-F378</f>
        <v/>
      </c>
      <c r="H378" s="1921">
        <f>E378-F378</f>
        <v/>
      </c>
    </row>
    <row r="379" ht="14.25" customHeight="1">
      <c r="A379" s="1933" t="inlineStr">
        <is>
          <t>09/01/2025</t>
        </is>
      </c>
      <c r="B379" s="1563" t="n">
        <v>7065</v>
      </c>
      <c r="C379" s="1939" t="inlineStr">
        <is>
          <t>374</t>
        </is>
      </c>
      <c r="D379" s="1921">
        <f>B379/B380-1</f>
        <v/>
      </c>
      <c r="E379" s="1921">
        <f>C379/C380-1</f>
        <v/>
      </c>
      <c r="F379" s="1921">
        <f>$L$2/365</f>
        <v/>
      </c>
      <c r="G379" s="1921">
        <f>D379-F379</f>
        <v/>
      </c>
      <c r="H379" s="1921">
        <f>E379-F379</f>
        <v/>
      </c>
    </row>
    <row r="380" ht="14.25" customHeight="1">
      <c r="A380" s="1936" t="inlineStr">
        <is>
          <t>08/01/2025</t>
        </is>
      </c>
      <c r="B380" s="1563" t="n">
        <v>7080</v>
      </c>
      <c r="C380" s="1938" t="inlineStr">
        <is>
          <t>374</t>
        </is>
      </c>
      <c r="D380" s="1921">
        <f>B380/B381-1</f>
        <v/>
      </c>
      <c r="E380" s="1921">
        <f>C380/C381-1</f>
        <v/>
      </c>
      <c r="F380" s="1921">
        <f>$L$2/365</f>
        <v/>
      </c>
      <c r="G380" s="1921">
        <f>D380-F380</f>
        <v/>
      </c>
      <c r="H380" s="1921">
        <f>E380-F380</f>
        <v/>
      </c>
    </row>
    <row r="381" ht="14.25" customHeight="1">
      <c r="A381" s="1933" t="inlineStr">
        <is>
          <t>07/01/2025</t>
        </is>
      </c>
      <c r="B381" s="1563" t="n">
        <v>7083</v>
      </c>
      <c r="C381" s="1939" t="inlineStr">
        <is>
          <t>396</t>
        </is>
      </c>
      <c r="D381" s="1921">
        <f>B381/B382-1</f>
        <v/>
      </c>
      <c r="E381" s="1921">
        <f>C381/C382-1</f>
        <v/>
      </c>
      <c r="F381" s="1921">
        <f>$L$2/365</f>
        <v/>
      </c>
      <c r="G381" s="1921">
        <f>D381-F381</f>
        <v/>
      </c>
      <c r="H381" s="1921">
        <f>E381-F381</f>
        <v/>
      </c>
    </row>
    <row r="382" ht="14.25" customHeight="1">
      <c r="A382" s="1936" t="inlineStr">
        <is>
          <t>06/01/2025</t>
        </is>
      </c>
      <c r="B382" s="1563" t="n">
        <v>7080</v>
      </c>
      <c r="C382" s="1938" t="inlineStr">
        <is>
          <t>394</t>
        </is>
      </c>
      <c r="D382" s="1921">
        <f>B382/B383-1</f>
        <v/>
      </c>
      <c r="E382" s="1921">
        <f>C382/C383-1</f>
        <v/>
      </c>
      <c r="F382" s="1921">
        <f>$L$2/365</f>
        <v/>
      </c>
      <c r="G382" s="1921">
        <f>D382-F382</f>
        <v/>
      </c>
      <c r="H382" s="1921">
        <f>E382-F382</f>
        <v/>
      </c>
    </row>
    <row r="383" ht="14.25" customHeight="1">
      <c r="A383" s="1933" t="inlineStr">
        <is>
          <t>03/01/2025</t>
        </is>
      </c>
      <c r="B383" s="1563" t="n">
        <v>7164</v>
      </c>
      <c r="C383" s="1939" t="inlineStr">
        <is>
          <t>400</t>
        </is>
      </c>
      <c r="D383" s="1921">
        <f>B383/B384-1</f>
        <v/>
      </c>
      <c r="E383" s="1921">
        <f>C383/C384-1</f>
        <v/>
      </c>
      <c r="F383" s="1921">
        <f>$L$2/365</f>
        <v/>
      </c>
      <c r="G383" s="1921">
        <f>D383-F383</f>
        <v/>
      </c>
      <c r="H383" s="1921">
        <f>E383-F383</f>
        <v/>
      </c>
    </row>
    <row r="384" ht="14.25" customHeight="1">
      <c r="A384" s="1936" t="inlineStr">
        <is>
          <t>02/01/2025</t>
        </is>
      </c>
      <c r="B384" s="1563" t="n">
        <v>7163</v>
      </c>
      <c r="C384" s="1938" t="inlineStr">
        <is>
          <t>410</t>
        </is>
      </c>
      <c r="D384" s="1921">
        <f>B384/B385-1</f>
        <v/>
      </c>
      <c r="E384" s="1921">
        <f>C384/C385-1</f>
        <v/>
      </c>
      <c r="F384" s="1921">
        <f>$L$2/365</f>
        <v/>
      </c>
      <c r="G384" s="1921">
        <f>D384-F384</f>
        <v/>
      </c>
      <c r="H384" s="1921">
        <f>E384-F384</f>
        <v/>
      </c>
    </row>
    <row r="385" ht="14.25" customHeight="1">
      <c r="A385" s="1933" t="inlineStr">
        <is>
          <t>30/12/2024</t>
        </is>
      </c>
      <c r="B385" s="1563" t="n">
        <v>7080</v>
      </c>
      <c r="C385" s="1939" t="inlineStr">
        <is>
          <t>410</t>
        </is>
      </c>
      <c r="D385" s="1921">
        <f>B385/B386-1</f>
        <v/>
      </c>
      <c r="E385" s="1921">
        <f>C385/C386-1</f>
        <v/>
      </c>
      <c r="F385" s="1921">
        <f>$L$2/365</f>
        <v/>
      </c>
      <c r="G385" s="1921">
        <f>D385-F385</f>
        <v/>
      </c>
      <c r="H385" s="1921">
        <f>E385-F385</f>
        <v/>
      </c>
    </row>
    <row r="386" ht="14.25" customHeight="1">
      <c r="A386" s="1936" t="inlineStr">
        <is>
          <t>27/12/2024</t>
        </is>
      </c>
      <c r="B386" s="1563" t="n">
        <v>7037</v>
      </c>
      <c r="C386" s="1938" t="inlineStr">
        <is>
          <t>418</t>
        </is>
      </c>
      <c r="D386" s="1921">
        <f>B386/B387-1</f>
        <v/>
      </c>
      <c r="E386" s="1921">
        <f>C386/C387-1</f>
        <v/>
      </c>
      <c r="F386" s="1921">
        <f>$L$2/365</f>
        <v/>
      </c>
      <c r="G386" s="1921">
        <f>D386-F386</f>
        <v/>
      </c>
      <c r="H386" s="1921">
        <f>E386-F386</f>
        <v/>
      </c>
    </row>
    <row r="387" ht="14.25" customHeight="1">
      <c r="A387" s="1933" t="inlineStr">
        <is>
          <t>24/12/2024</t>
        </is>
      </c>
      <c r="B387" s="1563" t="n">
        <v>7066</v>
      </c>
      <c r="C387" s="1939" t="inlineStr">
        <is>
          <t>404</t>
        </is>
      </c>
      <c r="D387" s="1921">
        <f>B387/B388-1</f>
        <v/>
      </c>
      <c r="E387" s="1921">
        <f>C387/C388-1</f>
        <v/>
      </c>
      <c r="F387" s="1921">
        <f>$L$2/365</f>
        <v/>
      </c>
      <c r="G387" s="1921">
        <f>D387-F387</f>
        <v/>
      </c>
      <c r="H387" s="1921">
        <f>E387-F387</f>
        <v/>
      </c>
    </row>
    <row r="388" ht="14.25" customHeight="1">
      <c r="A388" s="1936" t="inlineStr">
        <is>
          <t>23/12/2024</t>
        </is>
      </c>
      <c r="B388" s="1563" t="n">
        <v>7096</v>
      </c>
      <c r="C388" s="1938" t="inlineStr">
        <is>
          <t>404</t>
        </is>
      </c>
      <c r="D388" s="1921">
        <f>B388/B389-1</f>
        <v/>
      </c>
      <c r="E388" s="1921">
        <f>C388/C389-1</f>
        <v/>
      </c>
      <c r="F388" s="1921">
        <f>$L$2/365</f>
        <v/>
      </c>
      <c r="G388" s="1921">
        <f>D388-F388</f>
        <v/>
      </c>
      <c r="H388" s="1921">
        <f>E388-F388</f>
        <v/>
      </c>
    </row>
    <row r="389" ht="14.25" customHeight="1">
      <c r="A389" s="1933" t="inlineStr">
        <is>
          <t>20/12/2024</t>
        </is>
      </c>
      <c r="B389" s="1563" t="n">
        <v>6984</v>
      </c>
      <c r="C389" s="1939" t="inlineStr">
        <is>
          <t>398</t>
        </is>
      </c>
      <c r="D389" s="1921">
        <f>B389/B390-1</f>
        <v/>
      </c>
      <c r="E389" s="1921">
        <f>C389/C390-1</f>
        <v/>
      </c>
      <c r="F389" s="1921">
        <f>$L$2/365</f>
        <v/>
      </c>
      <c r="G389" s="1921">
        <f>D389-F389</f>
        <v/>
      </c>
      <c r="H389" s="1921">
        <f>E389-F389</f>
        <v/>
      </c>
    </row>
    <row r="390" ht="14.25" customHeight="1">
      <c r="A390" s="1936" t="inlineStr">
        <is>
          <t>19/12/2024</t>
        </is>
      </c>
      <c r="B390" s="1563" t="n">
        <v>6977</v>
      </c>
      <c r="C390" s="1938" t="inlineStr">
        <is>
          <t>400</t>
        </is>
      </c>
      <c r="D390" s="1921">
        <f>B390/B391-1</f>
        <v/>
      </c>
      <c r="E390" s="1921">
        <f>C390/C391-1</f>
        <v/>
      </c>
      <c r="F390" s="1921">
        <f>$L$2/365</f>
        <v/>
      </c>
      <c r="G390" s="1921">
        <f>D390-F390</f>
        <v/>
      </c>
      <c r="H390" s="1921">
        <f>E390-F390</f>
        <v/>
      </c>
    </row>
    <row r="391" ht="14.25" customHeight="1">
      <c r="A391" s="1933" t="inlineStr">
        <is>
          <t>18/12/2024</t>
        </is>
      </c>
      <c r="B391" s="1563" t="n">
        <v>7108</v>
      </c>
      <c r="C391" s="1939" t="inlineStr">
        <is>
          <t>412</t>
        </is>
      </c>
      <c r="D391" s="1921">
        <f>B391/B392-1</f>
        <v/>
      </c>
      <c r="E391" s="1921">
        <f>C391/C392-1</f>
        <v/>
      </c>
      <c r="F391" s="1921">
        <f>$L$2/365</f>
        <v/>
      </c>
      <c r="G391" s="1921">
        <f>D391-F391</f>
        <v/>
      </c>
      <c r="H391" s="1921">
        <f>E391-F391</f>
        <v/>
      </c>
    </row>
    <row r="392" ht="14.25" customHeight="1">
      <c r="A392" s="1936" t="inlineStr">
        <is>
          <t>17/12/2024</t>
        </is>
      </c>
      <c r="B392" s="1563" t="n">
        <v>7158</v>
      </c>
      <c r="C392" s="1938" t="inlineStr">
        <is>
          <t>406</t>
        </is>
      </c>
      <c r="D392" s="1921">
        <f>B392/B393-1</f>
        <v/>
      </c>
      <c r="E392" s="1921">
        <f>C392/C393-1</f>
        <v/>
      </c>
      <c r="F392" s="1921">
        <f>$L$2/365</f>
        <v/>
      </c>
      <c r="G392" s="1921">
        <f>D392-F392</f>
        <v/>
      </c>
      <c r="H392" s="1921">
        <f>E392-F392</f>
        <v/>
      </c>
    </row>
    <row r="393" ht="14.25" customHeight="1">
      <c r="A393" s="1933" t="inlineStr">
        <is>
          <t>16/12/2024</t>
        </is>
      </c>
      <c r="B393" s="1563" t="n">
        <v>7259</v>
      </c>
      <c r="C393" s="1939" t="inlineStr">
        <is>
          <t>418</t>
        </is>
      </c>
      <c r="D393" s="1921">
        <f>B393/B394-1</f>
        <v/>
      </c>
      <c r="E393" s="1921">
        <f>C393/C394-1</f>
        <v/>
      </c>
      <c r="F393" s="1921">
        <f>$L$2/365</f>
        <v/>
      </c>
      <c r="G393" s="1921">
        <f>D393-F393</f>
        <v/>
      </c>
      <c r="H393" s="1921">
        <f>E393-F393</f>
        <v/>
      </c>
    </row>
    <row r="394" ht="14.25" customHeight="1">
      <c r="A394" s="1936" t="inlineStr">
        <is>
          <t>13/12/2024</t>
        </is>
      </c>
      <c r="B394" s="1563" t="n">
        <v>7325</v>
      </c>
      <c r="C394" s="1938" t="inlineStr">
        <is>
          <t>416</t>
        </is>
      </c>
      <c r="D394" s="1921">
        <f>B394/B395-1</f>
        <v/>
      </c>
      <c r="E394" s="1921">
        <f>C394/C395-1</f>
        <v/>
      </c>
      <c r="F394" s="1921">
        <f>$L$2/365</f>
        <v/>
      </c>
      <c r="G394" s="1921">
        <f>D394-F394</f>
        <v/>
      </c>
      <c r="H394" s="1921">
        <f>E394-F394</f>
        <v/>
      </c>
    </row>
    <row r="395" ht="14.25" customHeight="1">
      <c r="A395" s="1933" t="inlineStr">
        <is>
          <t>12/12/2024</t>
        </is>
      </c>
      <c r="B395" s="1563" t="n">
        <v>7394</v>
      </c>
      <c r="C395" s="1939" t="inlineStr">
        <is>
          <t>420</t>
        </is>
      </c>
      <c r="D395" s="1921">
        <f>B395/B396-1</f>
        <v/>
      </c>
      <c r="E395" s="1921">
        <f>C395/C396-1</f>
        <v/>
      </c>
      <c r="F395" s="1921">
        <f>$L$2/365</f>
        <v/>
      </c>
      <c r="G395" s="1921">
        <f>D395-F395</f>
        <v/>
      </c>
      <c r="H395" s="1921">
        <f>E395-F395</f>
        <v/>
      </c>
    </row>
    <row r="396" ht="14.25" customHeight="1">
      <c r="A396" s="1936" t="inlineStr">
        <is>
          <t>11/12/2024</t>
        </is>
      </c>
      <c r="B396" s="1563" t="n">
        <v>7465</v>
      </c>
      <c r="C396" s="1938" t="inlineStr">
        <is>
          <t>418</t>
        </is>
      </c>
      <c r="D396" s="1921">
        <f>B396/B397-1</f>
        <v/>
      </c>
      <c r="E396" s="1921">
        <f>C396/C397-1</f>
        <v/>
      </c>
      <c r="F396" s="1921">
        <f>$L$2/365</f>
        <v/>
      </c>
      <c r="G396" s="1921">
        <f>D396-F396</f>
        <v/>
      </c>
      <c r="H396" s="1921">
        <f>E396-F396</f>
        <v/>
      </c>
    </row>
    <row r="397" ht="14.25" customHeight="1">
      <c r="A397" s="1933" t="inlineStr">
        <is>
          <t>10/12/2024</t>
        </is>
      </c>
      <c r="B397" s="1563" t="n">
        <v>7453</v>
      </c>
      <c r="C397" s="1939" t="inlineStr">
        <is>
          <t>420</t>
        </is>
      </c>
      <c r="D397" s="1921">
        <f>B397/B398-1</f>
        <v/>
      </c>
      <c r="E397" s="1921">
        <f>C397/C398-1</f>
        <v/>
      </c>
      <c r="F397" s="1921">
        <f>$L$2/365</f>
        <v/>
      </c>
      <c r="G397" s="1921">
        <f>D397-F397</f>
        <v/>
      </c>
      <c r="H397" s="1921">
        <f>E397-F397</f>
        <v/>
      </c>
    </row>
    <row r="398" ht="14.25" customHeight="1">
      <c r="A398" s="1936" t="inlineStr">
        <is>
          <t>09/12/2024</t>
        </is>
      </c>
      <c r="B398" s="1563" t="n">
        <v>7438</v>
      </c>
      <c r="C398" s="1938" t="inlineStr">
        <is>
          <t>430</t>
        </is>
      </c>
      <c r="D398" s="1921">
        <f>B398/B399-1</f>
        <v/>
      </c>
      <c r="E398" s="1921">
        <f>C398/C399-1</f>
        <v/>
      </c>
      <c r="F398" s="1921">
        <f>$L$2/365</f>
        <v/>
      </c>
      <c r="G398" s="1921">
        <f>D398-F398</f>
        <v/>
      </c>
      <c r="H398" s="1921">
        <f>E398-F398</f>
        <v/>
      </c>
    </row>
    <row r="399" ht="14.25" customHeight="1">
      <c r="A399" s="1933" t="inlineStr">
        <is>
          <t>06/12/2024</t>
        </is>
      </c>
      <c r="B399" s="1563" t="n">
        <v>7383</v>
      </c>
      <c r="C399" s="1939" t="inlineStr">
        <is>
          <t>430</t>
        </is>
      </c>
      <c r="D399" s="1921">
        <f>B399/B400-1</f>
        <v/>
      </c>
      <c r="E399" s="1921">
        <f>C399/C400-1</f>
        <v/>
      </c>
      <c r="F399" s="1921">
        <f>$L$2/365</f>
        <v/>
      </c>
      <c r="G399" s="1921">
        <f>D399-F399</f>
        <v/>
      </c>
      <c r="H399" s="1921">
        <f>E399-F399</f>
        <v/>
      </c>
    </row>
    <row r="400" ht="14.25" customHeight="1">
      <c r="A400" s="1936" t="inlineStr">
        <is>
          <t>05/12/2024</t>
        </is>
      </c>
      <c r="B400" s="1563" t="n">
        <v>7313</v>
      </c>
      <c r="C400" s="1938" t="inlineStr">
        <is>
          <t>432</t>
        </is>
      </c>
      <c r="D400" s="1921">
        <f>B400/B401-1</f>
        <v/>
      </c>
      <c r="E400" s="1921">
        <f>C400/C401-1</f>
        <v/>
      </c>
      <c r="F400" s="1921">
        <f>$L$2/365</f>
        <v/>
      </c>
      <c r="G400" s="1921">
        <f>D400-F400</f>
        <v/>
      </c>
      <c r="H400" s="1921">
        <f>E400-F400</f>
        <v/>
      </c>
    </row>
    <row r="401" ht="14.25" customHeight="1">
      <c r="A401" s="1933" t="inlineStr">
        <is>
          <t>04/12/2024</t>
        </is>
      </c>
      <c r="B401" s="1563" t="n">
        <v>7327</v>
      </c>
      <c r="C401" s="1939" t="inlineStr">
        <is>
          <t>428</t>
        </is>
      </c>
      <c r="D401" s="1921">
        <f>B401/B402-1</f>
        <v/>
      </c>
      <c r="E401" s="1921">
        <f>C401/C402-1</f>
        <v/>
      </c>
      <c r="F401" s="1921">
        <f>$L$2/365</f>
        <v/>
      </c>
      <c r="G401" s="1921">
        <f>D401-F401</f>
        <v/>
      </c>
      <c r="H401" s="1921">
        <f>E401-F401</f>
        <v/>
      </c>
    </row>
    <row r="402" ht="14.25" customHeight="1">
      <c r="A402" s="1936" t="inlineStr">
        <is>
          <t>03/12/2024</t>
        </is>
      </c>
      <c r="B402" s="1563" t="n">
        <v>7196</v>
      </c>
      <c r="C402" s="1938" t="inlineStr">
        <is>
          <t>428</t>
        </is>
      </c>
      <c r="D402" s="1921">
        <f>B402/B403-1</f>
        <v/>
      </c>
      <c r="E402" s="1921">
        <f>C402/C403-1</f>
        <v/>
      </c>
      <c r="F402" s="1921">
        <f>$L$2/365</f>
        <v/>
      </c>
      <c r="G402" s="1921">
        <f>D402-F402</f>
        <v/>
      </c>
      <c r="H402" s="1921">
        <f>E402-F402</f>
        <v/>
      </c>
    </row>
    <row r="403" ht="14.25" customHeight="1">
      <c r="A403" s="1933" t="inlineStr">
        <is>
          <t>02/12/2024</t>
        </is>
      </c>
      <c r="B403" s="1563" t="n">
        <v>7047</v>
      </c>
      <c r="C403" s="1939" t="inlineStr">
        <is>
          <t>422</t>
        </is>
      </c>
      <c r="D403" s="1921">
        <f>B403/B404-1</f>
        <v/>
      </c>
      <c r="E403" s="1921">
        <f>C403/C404-1</f>
        <v/>
      </c>
      <c r="F403" s="1921">
        <f>$L$2/365</f>
        <v/>
      </c>
      <c r="G403" s="1921">
        <f>D403-F403</f>
        <v/>
      </c>
      <c r="H403" s="1921">
        <f>E403-F403</f>
        <v/>
      </c>
    </row>
    <row r="404" ht="14.25" customHeight="1">
      <c r="A404" s="1936" t="inlineStr">
        <is>
          <t>29/11/2024</t>
        </is>
      </c>
      <c r="B404" s="1563" t="n">
        <v>7114</v>
      </c>
      <c r="C404" s="1938" t="inlineStr">
        <is>
          <t>430</t>
        </is>
      </c>
      <c r="D404" s="1921">
        <f>B404/B405-1</f>
        <v/>
      </c>
      <c r="E404" s="1921">
        <f>C404/C405-1</f>
        <v/>
      </c>
      <c r="F404" s="1921">
        <f>$L$2/365</f>
        <v/>
      </c>
      <c r="G404" s="1921">
        <f>D404-F404</f>
        <v/>
      </c>
      <c r="H404" s="1921">
        <f>E404-F404</f>
        <v/>
      </c>
    </row>
    <row r="405" ht="14.25" customHeight="1">
      <c r="A405" s="1933" t="inlineStr">
        <is>
          <t>28/11/2024</t>
        </is>
      </c>
      <c r="B405" s="1563" t="n">
        <v>7200</v>
      </c>
      <c r="C405" s="1939" t="inlineStr">
        <is>
          <t>424</t>
        </is>
      </c>
      <c r="D405" s="1921">
        <f>B405/B406-1</f>
        <v/>
      </c>
      <c r="E405" s="1921">
        <f>C405/C406-1</f>
        <v/>
      </c>
      <c r="F405" s="1921">
        <f>$L$2/365</f>
        <v/>
      </c>
      <c r="G405" s="1921">
        <f>D405-F405</f>
        <v/>
      </c>
      <c r="H405" s="1921">
        <f>E405-F405</f>
        <v/>
      </c>
    </row>
    <row r="406" ht="14.25" customHeight="1">
      <c r="A406" s="1936" t="inlineStr">
        <is>
          <t>26/11/2024</t>
        </is>
      </c>
      <c r="B406" s="1563" t="n">
        <v>7246</v>
      </c>
      <c r="C406" s="1938" t="inlineStr">
        <is>
          <t>426</t>
        </is>
      </c>
      <c r="D406" s="1921">
        <f>B406/B407-1</f>
        <v/>
      </c>
      <c r="E406" s="1921">
        <f>C406/C407-1</f>
        <v/>
      </c>
      <c r="F406" s="1921">
        <f>$L$2/365</f>
        <v/>
      </c>
      <c r="G406" s="1921">
        <f>D406-F406</f>
        <v/>
      </c>
      <c r="H406" s="1921">
        <f>E406-F406</f>
        <v/>
      </c>
    </row>
    <row r="407" ht="14.25" customHeight="1">
      <c r="A407" s="1933" t="inlineStr">
        <is>
          <t>25/11/2024</t>
        </is>
      </c>
      <c r="B407" s="1563" t="n">
        <v>7314</v>
      </c>
      <c r="C407" s="1939" t="inlineStr">
        <is>
          <t>420</t>
        </is>
      </c>
      <c r="D407" s="1921">
        <f>B407/B408-1</f>
        <v/>
      </c>
      <c r="E407" s="1921">
        <f>C407/C408-1</f>
        <v/>
      </c>
      <c r="F407" s="1921">
        <f>$L$2/365</f>
        <v/>
      </c>
      <c r="G407" s="1921">
        <f>D407-F407</f>
        <v/>
      </c>
      <c r="H407" s="1921">
        <f>E407-F407</f>
        <v/>
      </c>
    </row>
    <row r="408" ht="14.25" customHeight="1">
      <c r="A408" s="1936" t="inlineStr">
        <is>
          <t>22/11/2024</t>
        </is>
      </c>
      <c r="B408" s="1563" t="n">
        <v>7196</v>
      </c>
      <c r="C408" s="1938" t="inlineStr">
        <is>
          <t>434</t>
        </is>
      </c>
      <c r="D408" s="1921">
        <f>B408/B409-1</f>
        <v/>
      </c>
      <c r="E408" s="1921">
        <f>C408/C409-1</f>
        <v/>
      </c>
      <c r="F408" s="1921">
        <f>$L$2/365</f>
        <v/>
      </c>
      <c r="G408" s="1921">
        <f>D408-F408</f>
        <v/>
      </c>
      <c r="H408" s="1921">
        <f>E408-F408</f>
        <v/>
      </c>
    </row>
    <row r="409" ht="14.25" customHeight="1">
      <c r="A409" s="1933" t="inlineStr">
        <is>
          <t>21/11/2024</t>
        </is>
      </c>
      <c r="B409" s="1563" t="n">
        <v>7141</v>
      </c>
      <c r="C409" s="1939" t="inlineStr">
        <is>
          <t>440</t>
        </is>
      </c>
      <c r="D409" s="1921">
        <f>B409/B410-1</f>
        <v/>
      </c>
      <c r="E409" s="1921">
        <f>C409/C410-1</f>
        <v/>
      </c>
      <c r="F409" s="1921">
        <f>$L$2/365</f>
        <v/>
      </c>
      <c r="G409" s="1921">
        <f>D409-F409</f>
        <v/>
      </c>
      <c r="H409" s="1921">
        <f>E409-F409</f>
        <v/>
      </c>
    </row>
    <row r="410" ht="14.25" customHeight="1">
      <c r="A410" s="1936" t="inlineStr">
        <is>
          <t>20/11/2024</t>
        </is>
      </c>
      <c r="B410" s="1563" t="n">
        <v>7180</v>
      </c>
      <c r="C410" s="1938" t="inlineStr">
        <is>
          <t>428</t>
        </is>
      </c>
      <c r="D410" s="1921">
        <f>B410/B411-1</f>
        <v/>
      </c>
      <c r="E410" s="1921">
        <f>C410/C411-1</f>
        <v/>
      </c>
      <c r="F410" s="1921">
        <f>$L$2/365</f>
        <v/>
      </c>
      <c r="G410" s="1921">
        <f>D410-F410</f>
        <v/>
      </c>
      <c r="H410" s="1921">
        <f>E410-F410</f>
        <v/>
      </c>
    </row>
    <row r="411" ht="14.25" customHeight="1">
      <c r="A411" s="1933" t="inlineStr">
        <is>
          <t>19/11/2024</t>
        </is>
      </c>
      <c r="B411" s="1563" t="n">
        <v>7196</v>
      </c>
      <c r="C411" s="1939" t="inlineStr">
        <is>
          <t>432</t>
        </is>
      </c>
      <c r="D411" s="1921">
        <f>B411/B412-1</f>
        <v/>
      </c>
      <c r="E411" s="1921">
        <f>C411/C412-1</f>
        <v/>
      </c>
      <c r="F411" s="1921">
        <f>$L$2/365</f>
        <v/>
      </c>
      <c r="G411" s="1921">
        <f>D411-F411</f>
        <v/>
      </c>
      <c r="H411" s="1921">
        <f>E411-F411</f>
        <v/>
      </c>
    </row>
    <row r="412" ht="14.25" customHeight="1">
      <c r="A412" s="1936" t="inlineStr">
        <is>
          <t>18/11/2024</t>
        </is>
      </c>
      <c r="B412" s="1563" t="n">
        <v>7134</v>
      </c>
      <c r="C412" s="1938" t="inlineStr">
        <is>
          <t>428</t>
        </is>
      </c>
      <c r="D412" s="1921">
        <f>B412/B413-1</f>
        <v/>
      </c>
      <c r="E412" s="1921">
        <f>C412/C413-1</f>
        <v/>
      </c>
      <c r="F412" s="1921">
        <f>$L$2/365</f>
        <v/>
      </c>
      <c r="G412" s="1921">
        <f>D412-F412</f>
        <v/>
      </c>
      <c r="H412" s="1921">
        <f>E412-F412</f>
        <v/>
      </c>
    </row>
    <row r="413" ht="14.25" customHeight="1">
      <c r="A413" s="1933" t="inlineStr">
        <is>
          <t>15/11/2024</t>
        </is>
      </c>
      <c r="B413" s="1563" t="n">
        <v>7161</v>
      </c>
      <c r="C413" s="1939" t="inlineStr">
        <is>
          <t>440</t>
        </is>
      </c>
      <c r="D413" s="1921">
        <f>B413/B414-1</f>
        <v/>
      </c>
      <c r="E413" s="1921">
        <f>C413/C414-1</f>
        <v/>
      </c>
      <c r="F413" s="1921">
        <f>$L$2/365</f>
        <v/>
      </c>
      <c r="G413" s="1921">
        <f>D413-F413</f>
        <v/>
      </c>
      <c r="H413" s="1921">
        <f>E413-F413</f>
        <v/>
      </c>
    </row>
    <row r="414" ht="14.25" customHeight="1">
      <c r="A414" s="1936" t="inlineStr">
        <is>
          <t>14/11/2024</t>
        </is>
      </c>
      <c r="B414" s="1563" t="n">
        <v>7215</v>
      </c>
      <c r="C414" s="1938" t="inlineStr">
        <is>
          <t>458</t>
        </is>
      </c>
      <c r="D414" s="1921">
        <f>B414/B415-1</f>
        <v/>
      </c>
      <c r="E414" s="1921">
        <f>C414/C415-1</f>
        <v/>
      </c>
      <c r="F414" s="1921">
        <f>$L$2/365</f>
        <v/>
      </c>
      <c r="G414" s="1921">
        <f>D414-F414</f>
        <v/>
      </c>
      <c r="H414" s="1921">
        <f>E414-F414</f>
        <v/>
      </c>
    </row>
    <row r="415" ht="14.25" customHeight="1">
      <c r="A415" s="1933" t="inlineStr">
        <is>
          <t>13/11/2024</t>
        </is>
      </c>
      <c r="B415" s="1563" t="n">
        <v>7309</v>
      </c>
      <c r="C415" s="1939" t="inlineStr">
        <is>
          <t>436</t>
        </is>
      </c>
      <c r="D415" s="1921">
        <f>B415/B416-1</f>
        <v/>
      </c>
      <c r="E415" s="1921">
        <f>C415/C416-1</f>
        <v/>
      </c>
      <c r="F415" s="1921">
        <f>$L$2/365</f>
        <v/>
      </c>
      <c r="G415" s="1921">
        <f>D415-F415</f>
        <v/>
      </c>
      <c r="H415" s="1921">
        <f>E415-F415</f>
        <v/>
      </c>
    </row>
    <row r="416" ht="14.25" customHeight="1">
      <c r="A416" s="1936" t="inlineStr">
        <is>
          <t>12/11/2024</t>
        </is>
      </c>
      <c r="B416" s="1563" t="n">
        <v>7322</v>
      </c>
      <c r="C416" s="1938" t="inlineStr">
        <is>
          <t>438</t>
        </is>
      </c>
      <c r="D416" s="1921">
        <f>B416/B417-1</f>
        <v/>
      </c>
      <c r="E416" s="1921">
        <f>C416/C417-1</f>
        <v/>
      </c>
      <c r="F416" s="1921">
        <f>$L$2/365</f>
        <v/>
      </c>
      <c r="G416" s="1921">
        <f>D416-F416</f>
        <v/>
      </c>
      <c r="H416" s="1921">
        <f>E416-F416</f>
        <v/>
      </c>
    </row>
    <row r="417" ht="14.25" customHeight="1">
      <c r="A417" s="1933" t="inlineStr">
        <is>
          <t>11/11/2024</t>
        </is>
      </c>
      <c r="B417" s="1563" t="n">
        <v>7266</v>
      </c>
      <c r="C417" s="1939" t="inlineStr">
        <is>
          <t>410</t>
        </is>
      </c>
      <c r="D417" s="1921">
        <f>B417/B418-1</f>
        <v/>
      </c>
      <c r="E417" s="1921">
        <f>C417/C418-1</f>
        <v/>
      </c>
      <c r="F417" s="1921">
        <f>$L$2/365</f>
        <v/>
      </c>
      <c r="G417" s="1921">
        <f>D417-F417</f>
        <v/>
      </c>
      <c r="H417" s="1921">
        <f>E417-F417</f>
        <v/>
      </c>
    </row>
    <row r="418" ht="14.25" customHeight="1">
      <c r="A418" s="1936" t="inlineStr">
        <is>
          <t>08/11/2024</t>
        </is>
      </c>
      <c r="B418" s="1563" t="n">
        <v>7287</v>
      </c>
      <c r="C418" s="1938" t="inlineStr">
        <is>
          <t>406</t>
        </is>
      </c>
      <c r="D418" s="1921">
        <f>B418/B419-1</f>
        <v/>
      </c>
      <c r="E418" s="1921">
        <f>C418/C419-1</f>
        <v/>
      </c>
      <c r="F418" s="1921">
        <f>$L$2/365</f>
        <v/>
      </c>
      <c r="G418" s="1921">
        <f>D418-F418</f>
        <v/>
      </c>
      <c r="H418" s="1921">
        <f>E418-F418</f>
        <v/>
      </c>
    </row>
    <row r="419" ht="14.25" customHeight="1">
      <c r="A419" s="1933" t="inlineStr">
        <is>
          <t>07/11/2024</t>
        </is>
      </c>
      <c r="B419" s="1563" t="n">
        <v>7244</v>
      </c>
      <c r="C419" s="1939" t="inlineStr">
        <is>
          <t>432</t>
        </is>
      </c>
      <c r="D419" s="1921">
        <f>B419/B420-1</f>
        <v/>
      </c>
      <c r="E419" s="1921">
        <f>C419/C420-1</f>
        <v/>
      </c>
      <c r="F419" s="1921">
        <f>$L$2/365</f>
        <v/>
      </c>
      <c r="G419" s="1921">
        <f>D419-F419</f>
        <v/>
      </c>
      <c r="H419" s="1921">
        <f>E419-F419</f>
        <v/>
      </c>
    </row>
    <row r="420" ht="14.25" customHeight="1">
      <c r="A420" s="1936" t="inlineStr">
        <is>
          <t>06/11/2024</t>
        </is>
      </c>
      <c r="B420" s="1563" t="n">
        <v>7384</v>
      </c>
      <c r="C420" s="1938" t="inlineStr">
        <is>
          <t>384</t>
        </is>
      </c>
      <c r="D420" s="1921">
        <f>B420/B421-1</f>
        <v/>
      </c>
      <c r="E420" s="1921">
        <f>C420/C421-1</f>
        <v/>
      </c>
      <c r="F420" s="1921">
        <f>$L$2/365</f>
        <v/>
      </c>
      <c r="G420" s="1921">
        <f>D420-F420</f>
        <v/>
      </c>
      <c r="H420" s="1921">
        <f>E420-F420</f>
        <v/>
      </c>
    </row>
    <row r="421" ht="14.25" customHeight="1">
      <c r="A421" s="1933" t="inlineStr">
        <is>
          <t>05/11/2024</t>
        </is>
      </c>
      <c r="B421" s="1563" t="n">
        <v>7492</v>
      </c>
      <c r="C421" s="1939" t="inlineStr">
        <is>
          <t>372</t>
        </is>
      </c>
      <c r="D421" s="1921">
        <f>B421/B422-1</f>
        <v/>
      </c>
      <c r="E421" s="1921">
        <f>C421/C422-1</f>
        <v/>
      </c>
      <c r="F421" s="1921">
        <f>$L$2/365</f>
        <v/>
      </c>
      <c r="G421" s="1921">
        <f>D421-F421</f>
        <v/>
      </c>
      <c r="H421" s="1921">
        <f>E421-F421</f>
        <v/>
      </c>
    </row>
    <row r="422" ht="14.25" customHeight="1">
      <c r="A422" s="1936" t="inlineStr">
        <is>
          <t>04/11/2024</t>
        </is>
      </c>
      <c r="B422" s="1563" t="n">
        <v>7480</v>
      </c>
      <c r="C422" s="1938" t="inlineStr">
        <is>
          <t>380</t>
        </is>
      </c>
      <c r="D422" s="1921">
        <f>B422/B423-1</f>
        <v/>
      </c>
      <c r="E422" s="1921">
        <f>C422/C423-1</f>
        <v/>
      </c>
      <c r="F422" s="1921">
        <f>$L$2/365</f>
        <v/>
      </c>
      <c r="G422" s="1921">
        <f>D422-F422</f>
        <v/>
      </c>
      <c r="H422" s="1921">
        <f>E422-F422</f>
        <v/>
      </c>
    </row>
    <row r="423" ht="14.25" customHeight="1">
      <c r="A423" s="1933" t="inlineStr">
        <is>
          <t>01/11/2024</t>
        </is>
      </c>
      <c r="B423" s="1563" t="n">
        <v>7505</v>
      </c>
      <c r="C423" s="1939" t="inlineStr">
        <is>
          <t>378</t>
        </is>
      </c>
      <c r="D423" s="1921">
        <f>B423/B424-1</f>
        <v/>
      </c>
      <c r="E423" s="1921">
        <f>C423/C424-1</f>
        <v/>
      </c>
      <c r="F423" s="1921">
        <f>$L$2/365</f>
        <v/>
      </c>
      <c r="G423" s="1921">
        <f>D423-F423</f>
        <v/>
      </c>
      <c r="H423" s="1921">
        <f>E423-F423</f>
        <v/>
      </c>
    </row>
    <row r="424" ht="14.25" customHeight="1">
      <c r="A424" s="1936" t="inlineStr">
        <is>
          <t>31/10/2024</t>
        </is>
      </c>
      <c r="B424" s="1563" t="n">
        <v>7574</v>
      </c>
      <c r="C424" s="1938" t="inlineStr">
        <is>
          <t>374</t>
        </is>
      </c>
      <c r="D424" s="1921">
        <f>B424/B425-1</f>
        <v/>
      </c>
      <c r="E424" s="1921">
        <f>C424/C425-1</f>
        <v/>
      </c>
      <c r="F424" s="1921">
        <f>$L$2/365</f>
        <v/>
      </c>
      <c r="G424" s="1921">
        <f>D424-F424</f>
        <v/>
      </c>
      <c r="H424" s="1921">
        <f>E424-F424</f>
        <v/>
      </c>
    </row>
    <row r="425" ht="14.25" customHeight="1">
      <c r="A425" s="1933" t="inlineStr">
        <is>
          <t>30/10/2024</t>
        </is>
      </c>
      <c r="B425" s="1563" t="n">
        <v>7570</v>
      </c>
      <c r="C425" s="1939" t="inlineStr">
        <is>
          <t>380</t>
        </is>
      </c>
      <c r="D425" s="1921">
        <f>B425/B426-1</f>
        <v/>
      </c>
      <c r="E425" s="1921">
        <f>C425/C426-1</f>
        <v/>
      </c>
      <c r="F425" s="1921">
        <f>$L$2/365</f>
        <v/>
      </c>
      <c r="G425" s="1921">
        <f>D425-F425</f>
        <v/>
      </c>
      <c r="H425" s="1921">
        <f>E425-F425</f>
        <v/>
      </c>
    </row>
    <row r="426" ht="14.25" customHeight="1">
      <c r="A426" s="1936" t="inlineStr">
        <is>
          <t>29/10/2024</t>
        </is>
      </c>
      <c r="B426" s="1563" t="n">
        <v>7607</v>
      </c>
      <c r="C426" s="1938" t="inlineStr">
        <is>
          <t>384</t>
        </is>
      </c>
      <c r="D426" s="1921">
        <f>B426/B427-1</f>
        <v/>
      </c>
      <c r="E426" s="1921">
        <f>C426/C427-1</f>
        <v/>
      </c>
      <c r="F426" s="1921">
        <f>$L$2/365</f>
        <v/>
      </c>
      <c r="G426" s="1921">
        <f>D426-F426</f>
        <v/>
      </c>
      <c r="H426" s="1921">
        <f>E426-F426</f>
        <v/>
      </c>
    </row>
    <row r="427" ht="14.25" customHeight="1">
      <c r="A427" s="1933" t="inlineStr">
        <is>
          <t>28/10/2024</t>
        </is>
      </c>
      <c r="B427" s="1563" t="n">
        <v>7635</v>
      </c>
      <c r="C427" s="1939" t="inlineStr">
        <is>
          <t>390</t>
        </is>
      </c>
      <c r="D427" s="1921">
        <f>B427/B428-1</f>
        <v/>
      </c>
      <c r="E427" s="1921">
        <f>C427/C428-1</f>
        <v/>
      </c>
      <c r="F427" s="1921">
        <f>$L$2/365</f>
        <v/>
      </c>
      <c r="G427" s="1921">
        <f>D427-F427</f>
        <v/>
      </c>
      <c r="H427" s="1921">
        <f>E427-F427</f>
        <v/>
      </c>
    </row>
    <row r="428" ht="14.25" customHeight="1">
      <c r="A428" s="1936" t="inlineStr">
        <is>
          <t>25/10/2024</t>
        </is>
      </c>
      <c r="B428" s="1563" t="n">
        <v>7695</v>
      </c>
      <c r="C428" s="1938" t="inlineStr">
        <is>
          <t>410</t>
        </is>
      </c>
      <c r="D428" s="1921">
        <f>B428/B429-1</f>
        <v/>
      </c>
      <c r="E428" s="1921">
        <f>C428/C429-1</f>
        <v/>
      </c>
      <c r="F428" s="1921">
        <f>$L$2/365</f>
        <v/>
      </c>
      <c r="G428" s="1921">
        <f>D428-F428</f>
        <v/>
      </c>
      <c r="H428" s="1921">
        <f>E428-F428</f>
        <v/>
      </c>
    </row>
    <row r="429" ht="14.25" customHeight="1">
      <c r="A429" s="1933" t="inlineStr">
        <is>
          <t>24/10/2024</t>
        </is>
      </c>
      <c r="B429" s="1563" t="n">
        <v>7717</v>
      </c>
      <c r="C429" s="1939" t="inlineStr">
        <is>
          <t>420</t>
        </is>
      </c>
      <c r="D429" s="1921">
        <f>B429/B430-1</f>
        <v/>
      </c>
      <c r="E429" s="1921">
        <f>C429/C430-1</f>
        <v/>
      </c>
      <c r="F429" s="1921">
        <f>$L$2/365</f>
        <v/>
      </c>
      <c r="G429" s="1921">
        <f>D429-F429</f>
        <v/>
      </c>
      <c r="H429" s="1921">
        <f>E429-F429</f>
        <v/>
      </c>
    </row>
    <row r="430" ht="14.25" customHeight="1">
      <c r="A430" s="1936" t="inlineStr">
        <is>
          <t>23/10/2024</t>
        </is>
      </c>
      <c r="B430" s="1563" t="n">
        <v>7788</v>
      </c>
      <c r="C430" s="1938" t="inlineStr">
        <is>
          <t>410</t>
        </is>
      </c>
      <c r="D430" s="1921">
        <f>B430/B431-1</f>
        <v/>
      </c>
      <c r="E430" s="1921">
        <f>C430/C431-1</f>
        <v/>
      </c>
      <c r="F430" s="1921">
        <f>$L$2/365</f>
        <v/>
      </c>
      <c r="G430" s="1921">
        <f>D430-F430</f>
        <v/>
      </c>
      <c r="H430" s="1921">
        <f>E430-F430</f>
        <v/>
      </c>
    </row>
    <row r="431" ht="14.25" customHeight="1">
      <c r="A431" s="1933" t="inlineStr">
        <is>
          <t>22/10/2024</t>
        </is>
      </c>
      <c r="B431" s="1563" t="n">
        <v>7789</v>
      </c>
      <c r="C431" s="1939" t="inlineStr">
        <is>
          <t>426</t>
        </is>
      </c>
      <c r="D431" s="1921">
        <f>B431/B432-1</f>
        <v/>
      </c>
      <c r="E431" s="1921">
        <f>C431/C432-1</f>
        <v/>
      </c>
      <c r="F431" s="1921">
        <f>$L$2/365</f>
        <v/>
      </c>
      <c r="G431" s="1921">
        <f>D431-F431</f>
        <v/>
      </c>
      <c r="H431" s="1921">
        <f>E431-F431</f>
        <v/>
      </c>
    </row>
    <row r="432" ht="14.25" customHeight="1">
      <c r="A432" s="1936" t="inlineStr">
        <is>
          <t>21/10/2024</t>
        </is>
      </c>
      <c r="B432" s="1563" t="n">
        <v>7773</v>
      </c>
      <c r="C432" s="1938" t="inlineStr">
        <is>
          <t>422</t>
        </is>
      </c>
      <c r="D432" s="1921">
        <f>B432/B433-1</f>
        <v/>
      </c>
      <c r="E432" s="1921">
        <f>C432/C433-1</f>
        <v/>
      </c>
      <c r="F432" s="1921">
        <f>$L$2/365</f>
        <v/>
      </c>
      <c r="G432" s="1921">
        <f>D432-F432</f>
        <v/>
      </c>
      <c r="H432" s="1921">
        <f>E432-F432</f>
        <v/>
      </c>
    </row>
    <row r="433" ht="14.25" customHeight="1">
      <c r="A433" s="1933" t="inlineStr">
        <is>
          <t>18/10/2024</t>
        </is>
      </c>
      <c r="B433" s="1563" t="n">
        <v>7760</v>
      </c>
      <c r="C433" s="1939" t="inlineStr">
        <is>
          <t>356</t>
        </is>
      </c>
      <c r="D433" s="1921">
        <f>B433/B434-1</f>
        <v/>
      </c>
      <c r="E433" s="1921">
        <f>C433/C434-1</f>
        <v/>
      </c>
      <c r="F433" s="1921">
        <f>$L$2/365</f>
        <v/>
      </c>
      <c r="G433" s="1921">
        <f>D433-F433</f>
        <v/>
      </c>
      <c r="H433" s="1921">
        <f>E433-F433</f>
        <v/>
      </c>
    </row>
    <row r="434" ht="14.25" customHeight="1">
      <c r="A434" s="1936" t="inlineStr">
        <is>
          <t>17/10/2024</t>
        </is>
      </c>
      <c r="B434" s="1563" t="n">
        <v>7735</v>
      </c>
      <c r="C434" s="1938" t="inlineStr">
        <is>
          <t>318</t>
        </is>
      </c>
      <c r="D434" s="1921">
        <f>B434/B435-1</f>
        <v/>
      </c>
      <c r="E434" s="1921">
        <f>C434/C435-1</f>
        <v/>
      </c>
      <c r="F434" s="1921">
        <f>$L$2/365</f>
        <v/>
      </c>
      <c r="G434" s="1921">
        <f>D434-F434</f>
        <v/>
      </c>
      <c r="H434" s="1921">
        <f>E434-F434</f>
        <v/>
      </c>
    </row>
    <row r="435" ht="14.25" customHeight="1">
      <c r="A435" s="1933" t="inlineStr">
        <is>
          <t>16/10/2024</t>
        </is>
      </c>
      <c r="B435" s="1563" t="n">
        <v>7649</v>
      </c>
      <c r="C435" s="1939" t="inlineStr">
        <is>
          <t>316</t>
        </is>
      </c>
      <c r="D435" s="1921">
        <f>B435/B436-1</f>
        <v/>
      </c>
      <c r="E435" s="1921">
        <f>C435/C436-1</f>
        <v/>
      </c>
      <c r="F435" s="1921">
        <f>$L$2/365</f>
        <v/>
      </c>
      <c r="G435" s="1921">
        <f>D435-F435</f>
        <v/>
      </c>
      <c r="H435" s="1921">
        <f>E435-F435</f>
        <v/>
      </c>
    </row>
    <row r="436" ht="14.25" customHeight="1">
      <c r="A436" s="1936" t="inlineStr">
        <is>
          <t>15/10/2024</t>
        </is>
      </c>
      <c r="B436" s="1563" t="n">
        <v>7627</v>
      </c>
      <c r="C436" s="1938" t="inlineStr">
        <is>
          <t>306</t>
        </is>
      </c>
      <c r="D436" s="1921">
        <f>B436/B437-1</f>
        <v/>
      </c>
      <c r="E436" s="1921">
        <f>C436/C437-1</f>
        <v/>
      </c>
      <c r="F436" s="1921">
        <f>$L$2/365</f>
        <v/>
      </c>
      <c r="G436" s="1921">
        <f>D436-F436</f>
        <v/>
      </c>
      <c r="H436" s="1921">
        <f>E436-F436</f>
        <v/>
      </c>
    </row>
    <row r="437" ht="14.25" customHeight="1">
      <c r="A437" s="1933" t="inlineStr">
        <is>
          <t>14/10/2024</t>
        </is>
      </c>
      <c r="B437" s="1563" t="n">
        <v>7560</v>
      </c>
      <c r="C437" s="1939" t="inlineStr">
        <is>
          <t>308</t>
        </is>
      </c>
      <c r="D437" s="1921">
        <f>B437/B438-1</f>
        <v/>
      </c>
      <c r="E437" s="1921">
        <f>C437/C438-1</f>
        <v/>
      </c>
      <c r="F437" s="1921">
        <f>$L$2/365</f>
        <v/>
      </c>
      <c r="G437" s="1921">
        <f>D437-F437</f>
        <v/>
      </c>
      <c r="H437" s="1921">
        <f>E437-F437</f>
        <v/>
      </c>
    </row>
    <row r="438" ht="14.25" customHeight="1">
      <c r="A438" s="1936" t="inlineStr">
        <is>
          <t>11/10/2024</t>
        </is>
      </c>
      <c r="B438" s="1563" t="n">
        <v>7521</v>
      </c>
      <c r="C438" s="1938" t="inlineStr">
        <is>
          <t>276</t>
        </is>
      </c>
      <c r="D438" s="1921">
        <f>B438/B439-1</f>
        <v/>
      </c>
      <c r="E438" s="1921">
        <f>C438/C439-1</f>
        <v/>
      </c>
      <c r="F438" s="1921">
        <f>$L$2/365</f>
        <v/>
      </c>
      <c r="G438" s="1921">
        <f>D438-F438</f>
        <v/>
      </c>
      <c r="H438" s="1921">
        <f>E438-F438</f>
        <v/>
      </c>
    </row>
    <row r="439" ht="14.25" customHeight="1">
      <c r="A439" s="1933" t="inlineStr">
        <is>
          <t>10/10/2024</t>
        </is>
      </c>
      <c r="B439" s="1563" t="n">
        <v>7480</v>
      </c>
      <c r="C439" s="1939" t="inlineStr">
        <is>
          <t>274</t>
        </is>
      </c>
      <c r="D439" s="1921">
        <f>B439/B440-1</f>
        <v/>
      </c>
      <c r="E439" s="1921">
        <f>C439/C440-1</f>
        <v/>
      </c>
      <c r="F439" s="1921">
        <f>$L$2/365</f>
        <v/>
      </c>
      <c r="G439" s="1921">
        <f>D439-F439</f>
        <v/>
      </c>
      <c r="H439" s="1921">
        <f>E439-F439</f>
        <v/>
      </c>
    </row>
    <row r="440" ht="14.25" customHeight="1">
      <c r="A440" s="1936" t="inlineStr">
        <is>
          <t>09/10/2024</t>
        </is>
      </c>
      <c r="B440" s="1563" t="n">
        <v>7501</v>
      </c>
      <c r="C440" s="1938" t="inlineStr">
        <is>
          <t>274</t>
        </is>
      </c>
      <c r="D440" s="1921">
        <f>B440/B441-1</f>
        <v/>
      </c>
      <c r="E440" s="1921">
        <f>C440/C441-1</f>
        <v/>
      </c>
      <c r="F440" s="1921">
        <f>$L$2/365</f>
        <v/>
      </c>
      <c r="G440" s="1921">
        <f>D440-F440</f>
        <v/>
      </c>
      <c r="H440" s="1921">
        <f>E440-F440</f>
        <v/>
      </c>
    </row>
    <row r="441" ht="14.25" customHeight="1">
      <c r="A441" s="1933" t="inlineStr">
        <is>
          <t>08/10/2024</t>
        </is>
      </c>
      <c r="B441" s="1563" t="n">
        <v>7557</v>
      </c>
      <c r="C441" s="1939" t="inlineStr">
        <is>
          <t>278</t>
        </is>
      </c>
      <c r="D441" s="1921">
        <f>B441/B442-1</f>
        <v/>
      </c>
      <c r="E441" s="1921">
        <f>C441/C442-1</f>
        <v/>
      </c>
      <c r="F441" s="1921">
        <f>$L$2/365</f>
        <v/>
      </c>
      <c r="G441" s="1921">
        <f>D441-F441</f>
        <v/>
      </c>
      <c r="H441" s="1921">
        <f>E441-F441</f>
        <v/>
      </c>
    </row>
    <row r="442" ht="14.25" customHeight="1">
      <c r="A442" s="1936" t="inlineStr">
        <is>
          <t>07/10/2024</t>
        </is>
      </c>
      <c r="B442" s="1563" t="n">
        <v>7504</v>
      </c>
      <c r="C442" s="1938" t="inlineStr">
        <is>
          <t>270</t>
        </is>
      </c>
      <c r="D442" s="1921">
        <f>B442/B443-1</f>
        <v/>
      </c>
      <c r="E442" s="1921">
        <f>C442/C443-1</f>
        <v/>
      </c>
      <c r="F442" s="1921">
        <f>$L$2/365</f>
        <v/>
      </c>
      <c r="G442" s="1921">
        <f>D442-F442</f>
        <v/>
      </c>
      <c r="H442" s="1921">
        <f>E442-F442</f>
        <v/>
      </c>
    </row>
    <row r="443" ht="14.25" customHeight="1">
      <c r="A443" s="1933" t="inlineStr">
        <is>
          <t>04/10/2024</t>
        </is>
      </c>
      <c r="B443" s="1563" t="n">
        <v>7496</v>
      </c>
      <c r="C443" s="1939" t="inlineStr">
        <is>
          <t>264</t>
        </is>
      </c>
      <c r="D443" s="1921">
        <f>B443/B444-1</f>
        <v/>
      </c>
      <c r="E443" s="1921">
        <f>C443/C444-1</f>
        <v/>
      </c>
      <c r="F443" s="1921">
        <f>$L$2/365</f>
        <v/>
      </c>
      <c r="G443" s="1921">
        <f>D443-F443</f>
        <v/>
      </c>
      <c r="H443" s="1921">
        <f>E443-F443</f>
        <v/>
      </c>
    </row>
    <row r="444" ht="14.25" customHeight="1">
      <c r="A444" s="1936" t="inlineStr">
        <is>
          <t>03/10/2024</t>
        </is>
      </c>
      <c r="B444" s="1563" t="n">
        <v>7544</v>
      </c>
      <c r="C444" s="1938" t="inlineStr">
        <is>
          <t>268</t>
        </is>
      </c>
      <c r="D444" s="1921">
        <f>B444/B445-1</f>
        <v/>
      </c>
      <c r="E444" s="1921">
        <f>C444/C445-1</f>
        <v/>
      </c>
      <c r="F444" s="1921">
        <f>$L$2/365</f>
        <v/>
      </c>
      <c r="G444" s="1921">
        <f>D444-F444</f>
        <v/>
      </c>
      <c r="H444" s="1921">
        <f>E444-F444</f>
        <v/>
      </c>
    </row>
    <row r="445" ht="14.25" customHeight="1">
      <c r="A445" s="1933" t="inlineStr">
        <is>
          <t>02/10/2024</t>
        </is>
      </c>
      <c r="B445" s="1563" t="n">
        <v>7563</v>
      </c>
      <c r="C445" s="1939" t="inlineStr">
        <is>
          <t>256</t>
        </is>
      </c>
      <c r="D445" s="1921">
        <f>B445/B446-1</f>
        <v/>
      </c>
      <c r="E445" s="1921">
        <f>C445/C446-1</f>
        <v/>
      </c>
      <c r="F445" s="1921">
        <f>$L$2/365</f>
        <v/>
      </c>
      <c r="G445" s="1921">
        <f>D445-F445</f>
        <v/>
      </c>
      <c r="H445" s="1921">
        <f>E445-F445</f>
        <v/>
      </c>
    </row>
    <row r="446" ht="14.25" customHeight="1">
      <c r="A446" s="1936" t="inlineStr">
        <is>
          <t>01/10/2024</t>
        </is>
      </c>
      <c r="B446" s="1563" t="n">
        <v>7642</v>
      </c>
      <c r="C446" s="1938" t="inlineStr">
        <is>
          <t>266</t>
        </is>
      </c>
      <c r="D446" s="1921">
        <f>B446/B447-1</f>
        <v/>
      </c>
      <c r="E446" s="1921">
        <f>C446/C447-1</f>
        <v/>
      </c>
      <c r="F446" s="1921">
        <f>$L$2/365</f>
        <v/>
      </c>
      <c r="G446" s="1921">
        <f>D446-F446</f>
        <v/>
      </c>
      <c r="H446" s="1921">
        <f>E446-F446</f>
        <v/>
      </c>
    </row>
    <row r="447" ht="14.25" customHeight="1">
      <c r="A447" s="1933" t="inlineStr">
        <is>
          <t>30/09/2024</t>
        </is>
      </c>
      <c r="B447" s="1563" t="n">
        <v>7528</v>
      </c>
      <c r="C447" s="1939" t="inlineStr">
        <is>
          <t>266</t>
        </is>
      </c>
      <c r="D447" s="1921">
        <f>B447/B448-1</f>
        <v/>
      </c>
      <c r="E447" s="1921">
        <f>C447/C448-1</f>
        <v/>
      </c>
      <c r="F447" s="1921">
        <f>$L$2/365</f>
        <v/>
      </c>
      <c r="G447" s="1921">
        <f>D447-F447</f>
        <v/>
      </c>
      <c r="H447" s="1921">
        <f>E447-F447</f>
        <v/>
      </c>
    </row>
    <row r="448" ht="14.25" customHeight="1">
      <c r="A448" s="1936" t="inlineStr">
        <is>
          <t>27/09/2024</t>
        </is>
      </c>
      <c r="B448" s="1563" t="n">
        <v>7697</v>
      </c>
      <c r="C448" s="1938" t="inlineStr">
        <is>
          <t>258</t>
        </is>
      </c>
      <c r="D448" s="1921">
        <f>B448/B449-1</f>
        <v/>
      </c>
      <c r="E448" s="1921">
        <f>C448/C449-1</f>
        <v/>
      </c>
      <c r="F448" s="1921">
        <f>$L$2/365</f>
        <v/>
      </c>
      <c r="G448" s="1921">
        <f>D448-F448</f>
        <v/>
      </c>
      <c r="H448" s="1921">
        <f>E448-F448</f>
        <v/>
      </c>
    </row>
    <row r="449" ht="14.25" customHeight="1">
      <c r="A449" s="1933" t="inlineStr">
        <is>
          <t>26/09/2024</t>
        </is>
      </c>
      <c r="B449" s="1563" t="n">
        <v>7745</v>
      </c>
      <c r="C449" s="1939" t="inlineStr">
        <is>
          <t>270</t>
        </is>
      </c>
      <c r="D449" s="1921">
        <f>B449/B450-1</f>
        <v/>
      </c>
      <c r="E449" s="1921">
        <f>C449/C450-1</f>
        <v/>
      </c>
      <c r="F449" s="1921">
        <f>$L$2/365</f>
        <v/>
      </c>
      <c r="G449" s="1921">
        <f>D449-F449</f>
        <v/>
      </c>
      <c r="H449" s="1921">
        <f>E449-F449</f>
        <v/>
      </c>
    </row>
    <row r="450" ht="14.25" customHeight="1">
      <c r="A450" s="1936" t="inlineStr">
        <is>
          <t>25/09/2024</t>
        </is>
      </c>
      <c r="B450" s="1563" t="n">
        <v>7741</v>
      </c>
      <c r="C450" s="1938" t="inlineStr">
        <is>
          <t>270</t>
        </is>
      </c>
      <c r="D450" s="1921">
        <f>B450/B451-1</f>
        <v/>
      </c>
      <c r="E450" s="1921">
        <f>C450/C451-1</f>
        <v/>
      </c>
      <c r="F450" s="1921">
        <f>$L$2/365</f>
        <v/>
      </c>
      <c r="G450" s="1921">
        <f>D450-F450</f>
        <v/>
      </c>
      <c r="H450" s="1921">
        <f>E450-F450</f>
        <v/>
      </c>
    </row>
    <row r="451" ht="14.25" customHeight="1">
      <c r="A451" s="1933" t="inlineStr">
        <is>
          <t>24/09/2024</t>
        </is>
      </c>
      <c r="B451" s="1563" t="n">
        <v>7778</v>
      </c>
      <c r="C451" s="1939" t="inlineStr">
        <is>
          <t>274</t>
        </is>
      </c>
      <c r="D451" s="1921">
        <f>B451/B452-1</f>
        <v/>
      </c>
      <c r="E451" s="1921">
        <f>C451/C452-1</f>
        <v/>
      </c>
      <c r="F451" s="1921">
        <f>$L$2/365</f>
        <v/>
      </c>
      <c r="G451" s="1921">
        <f>D451-F451</f>
        <v/>
      </c>
      <c r="H451" s="1921">
        <f>E451-F451</f>
        <v/>
      </c>
    </row>
    <row r="452" ht="14.25" customHeight="1">
      <c r="A452" s="1936" t="inlineStr">
        <is>
          <t>23/09/2024</t>
        </is>
      </c>
      <c r="B452" s="1563" t="n">
        <v>7776</v>
      </c>
      <c r="C452" s="1938" t="inlineStr">
        <is>
          <t>274</t>
        </is>
      </c>
      <c r="D452" s="1921">
        <f>B452/B453-1</f>
        <v/>
      </c>
      <c r="E452" s="1921">
        <f>C452/C453-1</f>
        <v/>
      </c>
      <c r="F452" s="1921">
        <f>$L$2/365</f>
        <v/>
      </c>
      <c r="G452" s="1921">
        <f>D452-F452</f>
        <v/>
      </c>
      <c r="H452" s="1921">
        <f>E452-F452</f>
        <v/>
      </c>
    </row>
    <row r="453" ht="14.25" customHeight="1">
      <c r="A453" s="1933" t="inlineStr">
        <is>
          <t>20/09/2024</t>
        </is>
      </c>
      <c r="B453" s="1563" t="n">
        <v>7743</v>
      </c>
      <c r="C453" s="1939" t="inlineStr">
        <is>
          <t>274</t>
        </is>
      </c>
      <c r="D453" s="1921">
        <f>B453/B454-1</f>
        <v/>
      </c>
      <c r="E453" s="1921">
        <f>C453/C454-1</f>
        <v/>
      </c>
      <c r="F453" s="1921">
        <f>$L$2/365</f>
        <v/>
      </c>
      <c r="G453" s="1921">
        <f>D453-F453</f>
        <v/>
      </c>
      <c r="H453" s="1921">
        <f>E453-F453</f>
        <v/>
      </c>
    </row>
    <row r="454" ht="14.25" customHeight="1">
      <c r="A454" s="1936" t="inlineStr">
        <is>
          <t>19/09/2024</t>
        </is>
      </c>
      <c r="B454" s="1563" t="n">
        <v>7905</v>
      </c>
      <c r="C454" s="1938" t="inlineStr">
        <is>
          <t>278</t>
        </is>
      </c>
      <c r="D454" s="1921">
        <f>B454/B455-1</f>
        <v/>
      </c>
      <c r="E454" s="1921">
        <f>C454/C455-1</f>
        <v/>
      </c>
      <c r="F454" s="1921">
        <f>$L$2/365</f>
        <v/>
      </c>
      <c r="G454" s="1921">
        <f>D454-F454</f>
        <v/>
      </c>
      <c r="H454" s="1921">
        <f>E454-F454</f>
        <v/>
      </c>
    </row>
    <row r="455" ht="14.25" customHeight="1">
      <c r="A455" s="1933" t="inlineStr">
        <is>
          <t>18/09/2024</t>
        </is>
      </c>
      <c r="B455" s="1563" t="n">
        <v>7829</v>
      </c>
      <c r="C455" s="1939" t="inlineStr">
        <is>
          <t>276</t>
        </is>
      </c>
      <c r="D455" s="1921">
        <f>B455/B456-1</f>
        <v/>
      </c>
      <c r="E455" s="1921">
        <f>C455/C456-1</f>
        <v/>
      </c>
      <c r="F455" s="1921">
        <f>$L$2/365</f>
        <v/>
      </c>
      <c r="G455" s="1921">
        <f>D455-F455</f>
        <v/>
      </c>
      <c r="H455" s="1921">
        <f>E455-F455</f>
        <v/>
      </c>
    </row>
    <row r="456" ht="14.25" customHeight="1">
      <c r="A456" s="1936" t="inlineStr">
        <is>
          <t>17/09/2024</t>
        </is>
      </c>
      <c r="B456" s="1563" t="n">
        <v>7832</v>
      </c>
      <c r="C456" s="1938" t="inlineStr">
        <is>
          <t>280</t>
        </is>
      </c>
      <c r="D456" s="1921">
        <f>B456/B457-1</f>
        <v/>
      </c>
      <c r="E456" s="1921">
        <f>C456/C457-1</f>
        <v/>
      </c>
      <c r="F456" s="1921">
        <f>$L$2/365</f>
        <v/>
      </c>
      <c r="G456" s="1921">
        <f>D456-F456</f>
        <v/>
      </c>
      <c r="H456" s="1921">
        <f>E456-F456</f>
        <v/>
      </c>
    </row>
    <row r="457" ht="14.25" customHeight="1">
      <c r="A457" s="1933" t="inlineStr">
        <is>
          <t>13/09/2024</t>
        </is>
      </c>
      <c r="B457" s="1563" t="n">
        <v>7812</v>
      </c>
      <c r="C457" s="1939" t="inlineStr">
        <is>
          <t>264</t>
        </is>
      </c>
      <c r="D457" s="1921">
        <f>B457/B458-1</f>
        <v/>
      </c>
      <c r="E457" s="1921">
        <f>C457/C458-1</f>
        <v/>
      </c>
      <c r="F457" s="1921">
        <f>$L$2/365</f>
        <v/>
      </c>
      <c r="G457" s="1921">
        <f>D457-F457</f>
        <v/>
      </c>
      <c r="H457" s="1921">
        <f>E457-F457</f>
        <v/>
      </c>
    </row>
    <row r="458" ht="14.25" customHeight="1">
      <c r="A458" s="1936" t="inlineStr">
        <is>
          <t>12/09/2024</t>
        </is>
      </c>
      <c r="B458" s="1563" t="n">
        <v>7798</v>
      </c>
      <c r="C458" s="1938" t="inlineStr">
        <is>
          <t>264</t>
        </is>
      </c>
      <c r="D458" s="1921">
        <f>B458/B459-1</f>
        <v/>
      </c>
      <c r="E458" s="1921">
        <f>C458/C459-1</f>
        <v/>
      </c>
      <c r="F458" s="1921">
        <f>$L$2/365</f>
        <v/>
      </c>
      <c r="G458" s="1921">
        <f>D458-F458</f>
        <v/>
      </c>
      <c r="H458" s="1921">
        <f>E458-F458</f>
        <v/>
      </c>
    </row>
    <row r="459" ht="14.25" customHeight="1">
      <c r="A459" s="1933" t="inlineStr">
        <is>
          <t>11/09/2024</t>
        </is>
      </c>
      <c r="B459" s="1563" t="n">
        <v>7761</v>
      </c>
      <c r="C459" s="1939" t="inlineStr">
        <is>
          <t>266</t>
        </is>
      </c>
      <c r="D459" s="1921">
        <f>B459/B460-1</f>
        <v/>
      </c>
      <c r="E459" s="1921">
        <f>C459/C460-1</f>
        <v/>
      </c>
      <c r="F459" s="1921">
        <f>$L$2/365</f>
        <v/>
      </c>
      <c r="G459" s="1921">
        <f>D459-F459</f>
        <v/>
      </c>
      <c r="H459" s="1921">
        <f>E459-F459</f>
        <v/>
      </c>
    </row>
    <row r="460" ht="14.25" customHeight="1">
      <c r="A460" s="1936" t="inlineStr">
        <is>
          <t>10/09/2024</t>
        </is>
      </c>
      <c r="B460" s="1563" t="n">
        <v>7761</v>
      </c>
      <c r="C460" s="1938" t="inlineStr">
        <is>
          <t>264</t>
        </is>
      </c>
      <c r="D460" s="1921">
        <f>B460/B461-1</f>
        <v/>
      </c>
      <c r="E460" s="1921">
        <f>C460/C461-1</f>
        <v/>
      </c>
      <c r="F460" s="1921">
        <f>$L$2/365</f>
        <v/>
      </c>
      <c r="G460" s="1921">
        <f>D460-F460</f>
        <v/>
      </c>
      <c r="H460" s="1921">
        <f>E460-F460</f>
        <v/>
      </c>
    </row>
    <row r="461" ht="14.25" customHeight="1">
      <c r="A461" s="1933" t="inlineStr">
        <is>
          <t>09/09/2024</t>
        </is>
      </c>
      <c r="B461" s="1563" t="n">
        <v>7703</v>
      </c>
      <c r="C461" s="1939" t="inlineStr">
        <is>
          <t>250</t>
        </is>
      </c>
      <c r="D461" s="1921">
        <f>B461/B462-1</f>
        <v/>
      </c>
      <c r="E461" s="1921">
        <f>C461/C462-1</f>
        <v/>
      </c>
      <c r="F461" s="1921">
        <f>$L$2/365</f>
        <v/>
      </c>
      <c r="G461" s="1921">
        <f>D461-F461</f>
        <v/>
      </c>
      <c r="H461" s="1921">
        <f>E461-F461</f>
        <v/>
      </c>
    </row>
    <row r="462" ht="14.25" customHeight="1">
      <c r="A462" s="1936" t="inlineStr">
        <is>
          <t>06/09/2024</t>
        </is>
      </c>
      <c r="B462" s="1563" t="n">
        <v>7722</v>
      </c>
      <c r="C462" s="1938" t="inlineStr">
        <is>
          <t>268</t>
        </is>
      </c>
      <c r="D462" s="1921">
        <f>B462/B463-1</f>
        <v/>
      </c>
      <c r="E462" s="1921">
        <f>C462/C463-1</f>
        <v/>
      </c>
      <c r="F462" s="1921">
        <f>$L$2/365</f>
        <v/>
      </c>
      <c r="G462" s="1921">
        <f>D462-F462</f>
        <v/>
      </c>
      <c r="H462" s="1921">
        <f>E462-F462</f>
        <v/>
      </c>
    </row>
    <row r="463" ht="14.25" customHeight="1">
      <c r="A463" s="1933" t="inlineStr">
        <is>
          <t>05/09/2024</t>
        </is>
      </c>
      <c r="B463" s="1563" t="n">
        <v>7681</v>
      </c>
      <c r="C463" s="1939" t="inlineStr">
        <is>
          <t>274</t>
        </is>
      </c>
      <c r="D463" s="1921">
        <f>B463/B464-1</f>
        <v/>
      </c>
      <c r="E463" s="1921">
        <f>C463/C464-1</f>
        <v/>
      </c>
      <c r="F463" s="1921">
        <f>$L$2/365</f>
        <v/>
      </c>
      <c r="G463" s="1921">
        <f>D463-F463</f>
        <v/>
      </c>
      <c r="H463" s="1921">
        <f>E463-F463</f>
        <v/>
      </c>
    </row>
    <row r="464" ht="14.25" customHeight="1">
      <c r="A464" s="1936" t="inlineStr">
        <is>
          <t>04/09/2024</t>
        </is>
      </c>
      <c r="B464" s="1563" t="n">
        <v>7673</v>
      </c>
      <c r="C464" s="1938" t="inlineStr">
        <is>
          <t>272</t>
        </is>
      </c>
      <c r="D464" s="1921">
        <f>B464/B465-1</f>
        <v/>
      </c>
      <c r="E464" s="1921">
        <f>C464/C465-1</f>
        <v/>
      </c>
      <c r="F464" s="1921">
        <f>$L$2/365</f>
        <v/>
      </c>
      <c r="G464" s="1921">
        <f>D464-F464</f>
        <v/>
      </c>
      <c r="H464" s="1921">
        <f>E464-F464</f>
        <v/>
      </c>
    </row>
    <row r="465" ht="14.25" customHeight="1">
      <c r="A465" s="1933" t="inlineStr">
        <is>
          <t>03/09/2024</t>
        </is>
      </c>
      <c r="B465" s="1563" t="n">
        <v>7617</v>
      </c>
      <c r="C465" s="1939" t="inlineStr">
        <is>
          <t>282</t>
        </is>
      </c>
      <c r="D465" s="1921">
        <f>B465/B466-1</f>
        <v/>
      </c>
      <c r="E465" s="1921">
        <f>C465/C466-1</f>
        <v/>
      </c>
      <c r="F465" s="1921">
        <f>$L$2/365</f>
        <v/>
      </c>
      <c r="G465" s="1921">
        <f>D465-F465</f>
        <v/>
      </c>
      <c r="H465" s="1921">
        <f>E465-F465</f>
        <v/>
      </c>
    </row>
    <row r="466" ht="14.25" customHeight="1">
      <c r="A466" s="1936" t="inlineStr">
        <is>
          <t>02/09/2024</t>
        </is>
      </c>
      <c r="B466" s="1563" t="n">
        <v>7695</v>
      </c>
      <c r="C466" s="1938" t="inlineStr">
        <is>
          <t>276</t>
        </is>
      </c>
      <c r="D466" s="1921">
        <f>B466/B467-1</f>
        <v/>
      </c>
      <c r="E466" s="1921">
        <f>C466/C467-1</f>
        <v/>
      </c>
      <c r="F466" s="1921">
        <f>$L$2/365</f>
        <v/>
      </c>
      <c r="G466" s="1921">
        <f>D466-F466</f>
        <v/>
      </c>
      <c r="H466" s="1921">
        <f>E466-F466</f>
        <v/>
      </c>
    </row>
    <row r="467" ht="14.25" customHeight="1">
      <c r="A467" s="1933" t="inlineStr">
        <is>
          <t>30/08/2024</t>
        </is>
      </c>
      <c r="B467" s="1563" t="n">
        <v>7671</v>
      </c>
      <c r="C467" s="1939" t="inlineStr">
        <is>
          <t>280</t>
        </is>
      </c>
      <c r="D467" s="1921">
        <f>B467/B468-1</f>
        <v/>
      </c>
      <c r="E467" s="1921">
        <f>C467/C468-1</f>
        <v/>
      </c>
      <c r="F467" s="1921">
        <f>$L$2/365</f>
        <v/>
      </c>
      <c r="G467" s="1921">
        <f>D467-F467</f>
        <v/>
      </c>
      <c r="H467" s="1921">
        <f>E467-F467</f>
        <v/>
      </c>
    </row>
    <row r="468" ht="14.25" customHeight="1">
      <c r="A468" s="1936" t="inlineStr">
        <is>
          <t>29/08/2024</t>
        </is>
      </c>
      <c r="B468" s="1563" t="n">
        <v>7628</v>
      </c>
      <c r="C468" s="1938" t="inlineStr">
        <is>
          <t>282</t>
        </is>
      </c>
      <c r="D468" s="1921">
        <f>B468/B469-1</f>
        <v/>
      </c>
      <c r="E468" s="1921">
        <f>C468/C469-1</f>
        <v/>
      </c>
      <c r="F468" s="1921">
        <f>$L$2/365</f>
        <v/>
      </c>
      <c r="G468" s="1921">
        <f>D468-F468</f>
        <v/>
      </c>
      <c r="H468" s="1921">
        <f>E468-F468</f>
        <v/>
      </c>
    </row>
    <row r="469" ht="14.25" customHeight="1">
      <c r="A469" s="1933" t="inlineStr">
        <is>
          <t>28/08/2024</t>
        </is>
      </c>
      <c r="B469" s="1563" t="n">
        <v>7659</v>
      </c>
      <c r="C469" s="1939" t="inlineStr">
        <is>
          <t>278</t>
        </is>
      </c>
      <c r="D469" s="1921">
        <f>B469/B470-1</f>
        <v/>
      </c>
      <c r="E469" s="1921">
        <f>C469/C470-1</f>
        <v/>
      </c>
      <c r="F469" s="1921">
        <f>$L$2/365</f>
        <v/>
      </c>
      <c r="G469" s="1921">
        <f>D469-F469</f>
        <v/>
      </c>
      <c r="H469" s="1921">
        <f>E469-F469</f>
        <v/>
      </c>
    </row>
    <row r="470" ht="14.25" customHeight="1">
      <c r="A470" s="1936" t="inlineStr">
        <is>
          <t>27/08/2024</t>
        </is>
      </c>
      <c r="B470" s="1563" t="n">
        <v>7598</v>
      </c>
      <c r="C470" s="1938" t="inlineStr">
        <is>
          <t>284</t>
        </is>
      </c>
      <c r="D470" s="1921">
        <f>B470/B471-1</f>
        <v/>
      </c>
      <c r="E470" s="1921">
        <f>C470/C471-1</f>
        <v/>
      </c>
      <c r="F470" s="1921">
        <f>$L$2/365</f>
        <v/>
      </c>
      <c r="G470" s="1921">
        <f>D470-F470</f>
        <v/>
      </c>
      <c r="H470" s="1921">
        <f>E470-F470</f>
        <v/>
      </c>
    </row>
    <row r="471" ht="14.25" customHeight="1">
      <c r="A471" s="1933" t="inlineStr">
        <is>
          <t>26/08/2024</t>
        </is>
      </c>
      <c r="B471" s="1563" t="n">
        <v>7606</v>
      </c>
      <c r="C471" s="1939" t="inlineStr">
        <is>
          <t>294</t>
        </is>
      </c>
      <c r="D471" s="1921">
        <f>B471/B472-1</f>
        <v/>
      </c>
      <c r="E471" s="1921">
        <f>C471/C472-1</f>
        <v/>
      </c>
      <c r="F471" s="1921">
        <f>$L$2/365</f>
        <v/>
      </c>
      <c r="G471" s="1921">
        <f>D471-F471</f>
        <v/>
      </c>
      <c r="H471" s="1921">
        <f>E471-F471</f>
        <v/>
      </c>
    </row>
    <row r="472" ht="14.25" customHeight="1">
      <c r="A472" s="1936" t="inlineStr">
        <is>
          <t>23/08/2024</t>
        </is>
      </c>
      <c r="B472" s="1563" t="n">
        <v>7544</v>
      </c>
      <c r="C472" s="1938" t="inlineStr">
        <is>
          <t>294</t>
        </is>
      </c>
      <c r="D472" s="1921">
        <f>B472/B473-1</f>
        <v/>
      </c>
      <c r="E472" s="1921">
        <f>C472/C473-1</f>
        <v/>
      </c>
      <c r="F472" s="1921">
        <f>$L$2/365</f>
        <v/>
      </c>
      <c r="G472" s="1921">
        <f>D472-F472</f>
        <v/>
      </c>
      <c r="H472" s="1921">
        <f>E472-F472</f>
        <v/>
      </c>
    </row>
    <row r="473" ht="14.25" customHeight="1">
      <c r="A473" s="1933" t="inlineStr">
        <is>
          <t>22/08/2024</t>
        </is>
      </c>
      <c r="B473" s="1563" t="n">
        <v>7489</v>
      </c>
      <c r="C473" s="1939" t="inlineStr">
        <is>
          <t>284</t>
        </is>
      </c>
      <c r="D473" s="1921">
        <f>B473/B474-1</f>
        <v/>
      </c>
      <c r="E473" s="1921">
        <f>C473/C474-1</f>
        <v/>
      </c>
      <c r="F473" s="1921">
        <f>$L$2/365</f>
        <v/>
      </c>
      <c r="G473" s="1921">
        <f>D473-F473</f>
        <v/>
      </c>
      <c r="H473" s="1921">
        <f>E473-F473</f>
        <v/>
      </c>
    </row>
    <row r="474" ht="14.25" customHeight="1">
      <c r="A474" s="1936" t="inlineStr">
        <is>
          <t>21/08/2024</t>
        </is>
      </c>
      <c r="B474" s="1563" t="n">
        <v>7555</v>
      </c>
      <c r="C474" s="1938" t="inlineStr">
        <is>
          <t>286</t>
        </is>
      </c>
      <c r="D474" s="1921">
        <f>B474/B475-1</f>
        <v/>
      </c>
      <c r="E474" s="1921">
        <f>C474/C475-1</f>
        <v/>
      </c>
      <c r="F474" s="1921">
        <f>$L$2/365</f>
        <v/>
      </c>
      <c r="G474" s="1921">
        <f>D474-F474</f>
        <v/>
      </c>
      <c r="H474" s="1921">
        <f>E474-F474</f>
        <v/>
      </c>
    </row>
    <row r="475" ht="14.25" customHeight="1">
      <c r="A475" s="1933" t="inlineStr">
        <is>
          <t>20/08/2024</t>
        </is>
      </c>
      <c r="B475" s="1563" t="n">
        <v>7534</v>
      </c>
      <c r="C475" s="1939" t="inlineStr">
        <is>
          <t>306</t>
        </is>
      </c>
      <c r="D475" s="1921">
        <f>B475/B476-1</f>
        <v/>
      </c>
      <c r="E475" s="1921">
        <f>C475/C476-1</f>
        <v/>
      </c>
      <c r="F475" s="1921">
        <f>$L$2/365</f>
        <v/>
      </c>
      <c r="G475" s="1921">
        <f>D475-F475</f>
        <v/>
      </c>
      <c r="H475" s="1921">
        <f>E475-F475</f>
        <v/>
      </c>
    </row>
    <row r="476" ht="14.25" customHeight="1">
      <c r="A476" s="1936" t="inlineStr">
        <is>
          <t>19/08/2024</t>
        </is>
      </c>
      <c r="B476" s="1563" t="n">
        <v>7467</v>
      </c>
      <c r="C476" s="1938" t="inlineStr">
        <is>
          <t>292</t>
        </is>
      </c>
      <c r="D476" s="1921">
        <f>B476/B477-1</f>
        <v/>
      </c>
      <c r="E476" s="1921">
        <f>C476/C477-1</f>
        <v/>
      </c>
      <c r="F476" s="1921">
        <f>$L$2/365</f>
        <v/>
      </c>
      <c r="G476" s="1921">
        <f>D476-F476</f>
        <v/>
      </c>
      <c r="H476" s="1921">
        <f>E476-F476</f>
        <v/>
      </c>
    </row>
    <row r="477" ht="14.25" customHeight="1">
      <c r="A477" s="1933" t="inlineStr">
        <is>
          <t>16/08/2024</t>
        </is>
      </c>
      <c r="B477" s="1563" t="n">
        <v>7432</v>
      </c>
      <c r="C477" s="1939" t="inlineStr">
        <is>
          <t>258</t>
        </is>
      </c>
      <c r="D477" s="1921">
        <f>B477/B478-1</f>
        <v/>
      </c>
      <c r="E477" s="1921">
        <f>C477/C478-1</f>
        <v/>
      </c>
      <c r="F477" s="1921">
        <f>$L$2/365</f>
        <v/>
      </c>
      <c r="G477" s="1921">
        <f>D477-F477</f>
        <v/>
      </c>
      <c r="H477" s="1921">
        <f>E477-F477</f>
        <v/>
      </c>
    </row>
    <row r="478" ht="14.25" customHeight="1">
      <c r="A478" s="1936" t="inlineStr">
        <is>
          <t>15/08/2024</t>
        </is>
      </c>
      <c r="B478" s="1563" t="n">
        <v>7410</v>
      </c>
      <c r="C478" s="1938" t="inlineStr">
        <is>
          <t>252</t>
        </is>
      </c>
      <c r="D478" s="1921">
        <f>B478/B479-1</f>
        <v/>
      </c>
      <c r="E478" s="1921">
        <f>C478/C479-1</f>
        <v/>
      </c>
      <c r="F478" s="1921">
        <f>$L$2/365</f>
        <v/>
      </c>
      <c r="G478" s="1921">
        <f>D478-F478</f>
        <v/>
      </c>
      <c r="H478" s="1921">
        <f>E478-F478</f>
        <v/>
      </c>
    </row>
    <row r="479" ht="14.25" customHeight="1">
      <c r="A479" s="1933" t="inlineStr">
        <is>
          <t>14/08/2024</t>
        </is>
      </c>
      <c r="B479" s="1563" t="n">
        <v>7436</v>
      </c>
      <c r="C479" s="1939" t="inlineStr">
        <is>
          <t>240</t>
        </is>
      </c>
      <c r="D479" s="1921">
        <f>B479/B480-1</f>
        <v/>
      </c>
      <c r="E479" s="1921">
        <f>C479/C480-1</f>
        <v/>
      </c>
      <c r="F479" s="1921">
        <f>$L$2/365</f>
        <v/>
      </c>
      <c r="G479" s="1921">
        <f>D479-F479</f>
        <v/>
      </c>
      <c r="H479" s="1921">
        <f>E479-F479</f>
        <v/>
      </c>
    </row>
    <row r="480" ht="14.25" customHeight="1">
      <c r="A480" s="1936" t="inlineStr">
        <is>
          <t>13/08/2024</t>
        </is>
      </c>
      <c r="B480" s="1563" t="n">
        <v>7357</v>
      </c>
      <c r="C480" s="1938" t="inlineStr">
        <is>
          <t>246</t>
        </is>
      </c>
      <c r="D480" s="1921">
        <f>B480/B481-1</f>
        <v/>
      </c>
      <c r="E480" s="1921">
        <f>C480/C481-1</f>
        <v/>
      </c>
      <c r="F480" s="1921">
        <f>$L$2/365</f>
        <v/>
      </c>
      <c r="G480" s="1921">
        <f>D480-F480</f>
        <v/>
      </c>
      <c r="H480" s="1921">
        <f>E480-F480</f>
        <v/>
      </c>
    </row>
    <row r="481" ht="14.25" customHeight="1">
      <c r="A481" s="1933" t="inlineStr">
        <is>
          <t>12/08/2024</t>
        </is>
      </c>
      <c r="B481" s="1563" t="n">
        <v>7298</v>
      </c>
      <c r="C481" s="1939" t="inlineStr">
        <is>
          <t>232</t>
        </is>
      </c>
      <c r="D481" s="1921">
        <f>B481/B482-1</f>
        <v/>
      </c>
      <c r="E481" s="1921">
        <f>C481/C482-1</f>
        <v/>
      </c>
      <c r="F481" s="1921">
        <f>$L$2/365</f>
        <v/>
      </c>
      <c r="G481" s="1921">
        <f>D481-F481</f>
        <v/>
      </c>
      <c r="H481" s="1921">
        <f>E481-F481</f>
        <v/>
      </c>
    </row>
    <row r="482" ht="14.25" customHeight="1">
      <c r="A482" s="1936" t="inlineStr">
        <is>
          <t>09/08/2024</t>
        </is>
      </c>
      <c r="B482" s="1563" t="n">
        <v>7257</v>
      </c>
      <c r="C482" s="1938" t="inlineStr">
        <is>
          <t>230</t>
        </is>
      </c>
      <c r="D482" s="1921">
        <f>B482/B483-1</f>
        <v/>
      </c>
      <c r="E482" s="1921">
        <f>C482/C483-1</f>
        <v/>
      </c>
      <c r="F482" s="1921">
        <f>$L$2/365</f>
        <v/>
      </c>
      <c r="G482" s="1921">
        <f>D482-F482</f>
        <v/>
      </c>
      <c r="H482" s="1921">
        <f>E482-F482</f>
        <v/>
      </c>
    </row>
    <row r="483" ht="14.25" customHeight="1">
      <c r="A483" s="1933" t="inlineStr">
        <is>
          <t>08/08/2024</t>
        </is>
      </c>
      <c r="B483" s="1563" t="n">
        <v>7195</v>
      </c>
      <c r="C483" s="1939" t="inlineStr">
        <is>
          <t>224</t>
        </is>
      </c>
      <c r="D483" s="1921">
        <f>B483/B484-1</f>
        <v/>
      </c>
      <c r="E483" s="1921">
        <f>C483/C484-1</f>
        <v/>
      </c>
      <c r="F483" s="1921">
        <f>$L$2/365</f>
        <v/>
      </c>
      <c r="G483" s="1921">
        <f>D483-F483</f>
        <v/>
      </c>
      <c r="H483" s="1921">
        <f>E483-F483</f>
        <v/>
      </c>
    </row>
    <row r="484" ht="14.25" customHeight="1">
      <c r="A484" s="1936" t="inlineStr">
        <is>
          <t>07/08/2024</t>
        </is>
      </c>
      <c r="B484" s="1563" t="n">
        <v>7212</v>
      </c>
      <c r="C484" s="1938" t="inlineStr">
        <is>
          <t>224</t>
        </is>
      </c>
      <c r="D484" s="1921">
        <f>B484/B485-1</f>
        <v/>
      </c>
      <c r="E484" s="1921">
        <f>C484/C485-1</f>
        <v/>
      </c>
      <c r="F484" s="1921">
        <f>$L$2/365</f>
        <v/>
      </c>
      <c r="G484" s="1921">
        <f>D484-F484</f>
        <v/>
      </c>
      <c r="H484" s="1921">
        <f>E484-F484</f>
        <v/>
      </c>
    </row>
    <row r="485" ht="14.25" customHeight="1">
      <c r="A485" s="1933" t="inlineStr">
        <is>
          <t>06/08/2024</t>
        </is>
      </c>
      <c r="B485" s="1563" t="n">
        <v>7129</v>
      </c>
      <c r="C485" s="1939" t="inlineStr">
        <is>
          <t>220</t>
        </is>
      </c>
      <c r="D485" s="1921">
        <f>B485/B486-1</f>
        <v/>
      </c>
      <c r="E485" s="1921">
        <f>C485/C486-1</f>
        <v/>
      </c>
      <c r="F485" s="1921">
        <f>$L$2/365</f>
        <v/>
      </c>
      <c r="G485" s="1921">
        <f>D485-F485</f>
        <v/>
      </c>
      <c r="H485" s="1921">
        <f>E485-F485</f>
        <v/>
      </c>
    </row>
    <row r="486" ht="14.25" customHeight="1">
      <c r="A486" s="1936" t="inlineStr">
        <is>
          <t>05/08/2024</t>
        </is>
      </c>
      <c r="B486" s="1563" t="n">
        <v>7060</v>
      </c>
      <c r="C486" s="1938" t="inlineStr">
        <is>
          <t>208</t>
        </is>
      </c>
      <c r="D486" s="1921">
        <f>B486/B487-1</f>
        <v/>
      </c>
      <c r="E486" s="1921">
        <f>C486/C487-1</f>
        <v/>
      </c>
      <c r="F486" s="1921">
        <f>$L$2/365</f>
        <v/>
      </c>
      <c r="G486" s="1921">
        <f>D486-F486</f>
        <v/>
      </c>
      <c r="H486" s="1921">
        <f>E486-F486</f>
        <v/>
      </c>
    </row>
    <row r="487" ht="14.25" customHeight="1">
      <c r="A487" s="1933" t="inlineStr">
        <is>
          <t>02/08/2024</t>
        </is>
      </c>
      <c r="B487" s="1563" t="n">
        <v>7308</v>
      </c>
      <c r="C487" s="1939" t="inlineStr">
        <is>
          <t>214</t>
        </is>
      </c>
      <c r="D487" s="1921">
        <f>B487/B488-1</f>
        <v/>
      </c>
      <c r="E487" s="1921">
        <f>C487/C488-1</f>
        <v/>
      </c>
      <c r="F487" s="1921">
        <f>$L$2/365</f>
        <v/>
      </c>
      <c r="G487" s="1921">
        <f>D487-F487</f>
        <v/>
      </c>
      <c r="H487" s="1921">
        <f>E487-F487</f>
        <v/>
      </c>
    </row>
    <row r="488" ht="14.25" customHeight="1">
      <c r="A488" s="1936" t="inlineStr">
        <is>
          <t>01/08/2024</t>
        </is>
      </c>
      <c r="B488" s="1563" t="n">
        <v>7326</v>
      </c>
      <c r="C488" s="1938" t="inlineStr">
        <is>
          <t>224</t>
        </is>
      </c>
      <c r="D488" s="1921">
        <f>B488/B489-1</f>
        <v/>
      </c>
      <c r="E488" s="1921">
        <f>C488/C489-1</f>
        <v/>
      </c>
      <c r="F488" s="1921">
        <f>$L$2/365</f>
        <v/>
      </c>
      <c r="G488" s="1921">
        <f>D488-F488</f>
        <v/>
      </c>
      <c r="H488" s="1921">
        <f>E488-F488</f>
        <v/>
      </c>
    </row>
    <row r="489" ht="14.25" customHeight="1">
      <c r="A489" s="1933" t="inlineStr">
        <is>
          <t>31/07/2024</t>
        </is>
      </c>
      <c r="B489" s="1563" t="n">
        <v>7256</v>
      </c>
      <c r="C489" s="1939" t="inlineStr">
        <is>
          <t>232</t>
        </is>
      </c>
      <c r="D489" s="1921">
        <f>B489/B490-1</f>
        <v/>
      </c>
      <c r="E489" s="1921">
        <f>C489/C490-1</f>
        <v/>
      </c>
      <c r="F489" s="1921">
        <f>$L$2/365</f>
        <v/>
      </c>
      <c r="G489" s="1921">
        <f>D489-F489</f>
        <v/>
      </c>
      <c r="H489" s="1921">
        <f>E489-F489</f>
        <v/>
      </c>
    </row>
    <row r="490" ht="14.25" customHeight="1">
      <c r="A490" s="1936" t="inlineStr">
        <is>
          <t>30/07/2024</t>
        </is>
      </c>
      <c r="B490" s="1563" t="n">
        <v>7242</v>
      </c>
      <c r="C490" s="1938" t="inlineStr">
        <is>
          <t>200</t>
        </is>
      </c>
      <c r="D490" s="1921">
        <f>B490/B491-1</f>
        <v/>
      </c>
      <c r="E490" s="1921">
        <f>C490/C491-1</f>
        <v/>
      </c>
      <c r="F490" s="1921">
        <f>$L$2/365</f>
        <v/>
      </c>
      <c r="G490" s="1921">
        <f>D490-F490</f>
        <v/>
      </c>
      <c r="H490" s="1921">
        <f>E490-F490</f>
        <v/>
      </c>
    </row>
    <row r="491" ht="14.25" customHeight="1">
      <c r="A491" s="1933" t="inlineStr">
        <is>
          <t>29/07/2024</t>
        </is>
      </c>
      <c r="B491" s="1563" t="n">
        <v>7289</v>
      </c>
      <c r="C491" s="1939" t="inlineStr">
        <is>
          <t>200</t>
        </is>
      </c>
      <c r="D491" s="1921">
        <f>B491/B492-1</f>
        <v/>
      </c>
      <c r="E491" s="1921">
        <f>C491/C492-1</f>
        <v/>
      </c>
      <c r="F491" s="1921">
        <f>$L$2/365</f>
        <v/>
      </c>
      <c r="G491" s="1921">
        <f>D491-F491</f>
        <v/>
      </c>
      <c r="H491" s="1921">
        <f>E491-F491</f>
        <v/>
      </c>
    </row>
    <row r="492" ht="14.25" customHeight="1">
      <c r="A492" s="1936" t="inlineStr">
        <is>
          <t>26/07/2024</t>
        </is>
      </c>
      <c r="B492" s="1563" t="n">
        <v>7288</v>
      </c>
      <c r="C492" s="1938" t="inlineStr">
        <is>
          <t>202</t>
        </is>
      </c>
      <c r="D492" s="1921">
        <f>B492/B493-1</f>
        <v/>
      </c>
      <c r="E492" s="1921">
        <f>C492/C493-1</f>
        <v/>
      </c>
      <c r="F492" s="1921">
        <f>$L$2/365</f>
        <v/>
      </c>
      <c r="G492" s="1921">
        <f>D492-F492</f>
        <v/>
      </c>
      <c r="H492" s="1921">
        <f>E492-F492</f>
        <v/>
      </c>
    </row>
    <row r="493" ht="14.25" customHeight="1">
      <c r="A493" s="1933" t="inlineStr">
        <is>
          <t>25/07/2024</t>
        </is>
      </c>
      <c r="B493" s="1563" t="n">
        <v>7240</v>
      </c>
      <c r="C493" s="1939" t="inlineStr">
        <is>
          <t>198</t>
        </is>
      </c>
      <c r="D493" s="1921">
        <f>B493/B494-1</f>
        <v/>
      </c>
      <c r="E493" s="1921">
        <f>C493/C494-1</f>
        <v/>
      </c>
      <c r="F493" s="1921">
        <f>$L$2/365</f>
        <v/>
      </c>
      <c r="G493" s="1921">
        <f>D493-F493</f>
        <v/>
      </c>
      <c r="H493" s="1921">
        <f>E493-F493</f>
        <v/>
      </c>
    </row>
    <row r="494" ht="14.25" customHeight="1">
      <c r="A494" s="1936" t="inlineStr">
        <is>
          <t>24/07/2024</t>
        </is>
      </c>
      <c r="B494" s="1563" t="n">
        <v>7263</v>
      </c>
      <c r="C494" s="1938" t="inlineStr">
        <is>
          <t>196</t>
        </is>
      </c>
      <c r="D494" s="1921">
        <f>B494/B495-1</f>
        <v/>
      </c>
      <c r="E494" s="1921">
        <f>C494/C495-1</f>
        <v/>
      </c>
      <c r="F494" s="1921">
        <f>$L$2/365</f>
        <v/>
      </c>
      <c r="G494" s="1921">
        <f>D494-F494</f>
        <v/>
      </c>
      <c r="H494" s="1921">
        <f>E494-F494</f>
        <v/>
      </c>
    </row>
    <row r="495" ht="14.25" customHeight="1">
      <c r="A495" s="1933" t="inlineStr">
        <is>
          <t>23/07/2024</t>
        </is>
      </c>
      <c r="B495" s="1563" t="n">
        <v>7314</v>
      </c>
      <c r="C495" s="1939" t="inlineStr">
        <is>
          <t>200</t>
        </is>
      </c>
      <c r="D495" s="1921">
        <f>B495/B496-1</f>
        <v/>
      </c>
      <c r="E495" s="1921">
        <f>C495/C496-1</f>
        <v/>
      </c>
      <c r="F495" s="1921">
        <f>$L$2/365</f>
        <v/>
      </c>
      <c r="G495" s="1921">
        <f>D495-F495</f>
        <v/>
      </c>
      <c r="H495" s="1921">
        <f>E495-F495</f>
        <v/>
      </c>
    </row>
    <row r="496" ht="14.25" customHeight="1">
      <c r="A496" s="1936" t="inlineStr">
        <is>
          <t>22/07/2024</t>
        </is>
      </c>
      <c r="B496" s="1563" t="n">
        <v>7322</v>
      </c>
      <c r="C496" s="1938" t="inlineStr">
        <is>
          <t>197</t>
        </is>
      </c>
      <c r="D496" s="1921">
        <f>B496/B497-1</f>
        <v/>
      </c>
      <c r="E496" s="1921">
        <f>C496/C497-1</f>
        <v/>
      </c>
      <c r="F496" s="1921">
        <f>$L$2/365</f>
        <v/>
      </c>
      <c r="G496" s="1921">
        <f>D496-F496</f>
        <v/>
      </c>
      <c r="H496" s="1921">
        <f>E496-F496</f>
        <v/>
      </c>
    </row>
    <row r="497" ht="14.25" customHeight="1">
      <c r="A497" s="1933" t="inlineStr">
        <is>
          <t>19/07/2024</t>
        </is>
      </c>
      <c r="B497" s="1563" t="n">
        <v>7294</v>
      </c>
      <c r="C497" s="1939" t="inlineStr">
        <is>
          <t>197</t>
        </is>
      </c>
      <c r="D497" s="1921">
        <f>B497/B498-1</f>
        <v/>
      </c>
      <c r="E497" s="1921">
        <f>C497/C498-1</f>
        <v/>
      </c>
      <c r="F497" s="1921">
        <f>$L$2/365</f>
        <v/>
      </c>
      <c r="G497" s="1921">
        <f>D497-F497</f>
        <v/>
      </c>
      <c r="H497" s="1921">
        <f>E497-F497</f>
        <v/>
      </c>
    </row>
    <row r="498" ht="14.25" customHeight="1">
      <c r="A498" s="1936" t="inlineStr">
        <is>
          <t>18/07/2024</t>
        </is>
      </c>
      <c r="B498" s="1563" t="n">
        <v>7321</v>
      </c>
      <c r="C498" s="1938" t="inlineStr">
        <is>
          <t>200</t>
        </is>
      </c>
      <c r="D498" s="1921">
        <f>B498/B499-1</f>
        <v/>
      </c>
      <c r="E498" s="1921">
        <f>C498/C499-1</f>
        <v/>
      </c>
      <c r="F498" s="1921">
        <f>$L$2/365</f>
        <v/>
      </c>
      <c r="G498" s="1921">
        <f>D498-F498</f>
        <v/>
      </c>
      <c r="H498" s="1921">
        <f>E498-F498</f>
        <v/>
      </c>
    </row>
    <row r="499" ht="14.25" customHeight="1">
      <c r="A499" s="1933" t="inlineStr">
        <is>
          <t>17/07/2024</t>
        </is>
      </c>
      <c r="B499" s="1563" t="n">
        <v>7224</v>
      </c>
      <c r="C499" s="1939" t="inlineStr">
        <is>
          <t>216</t>
        </is>
      </c>
      <c r="D499" s="1921">
        <f>B499/B500-1</f>
        <v/>
      </c>
      <c r="E499" s="1921">
        <f>C499/C500-1</f>
        <v/>
      </c>
      <c r="F499" s="1921">
        <f>$L$2/365</f>
        <v/>
      </c>
      <c r="G499" s="1921">
        <f>D499-F499</f>
        <v/>
      </c>
      <c r="H499" s="1921">
        <f>E499-F499</f>
        <v/>
      </c>
    </row>
    <row r="500" ht="14.25" customHeight="1">
      <c r="A500" s="1936" t="inlineStr">
        <is>
          <t>16/07/2024</t>
        </is>
      </c>
      <c r="B500" s="1563" t="n">
        <v>7224</v>
      </c>
      <c r="C500" s="1938" t="inlineStr">
        <is>
          <t>208</t>
        </is>
      </c>
      <c r="D500" s="1921">
        <f>B500/B501-1</f>
        <v/>
      </c>
      <c r="E500" s="1921">
        <f>C500/C501-1</f>
        <v/>
      </c>
      <c r="F500" s="1921">
        <f>$L$2/365</f>
        <v/>
      </c>
      <c r="G500" s="1921">
        <f>D500-F500</f>
        <v/>
      </c>
      <c r="H500" s="1921">
        <f>E500-F500</f>
        <v/>
      </c>
    </row>
    <row r="501" ht="14.25" customHeight="1">
      <c r="A501" s="1933" t="inlineStr">
        <is>
          <t>15/07/2024</t>
        </is>
      </c>
      <c r="B501" s="1563" t="n">
        <v>7279</v>
      </c>
      <c r="C501" s="1939" t="inlineStr">
        <is>
          <t>204</t>
        </is>
      </c>
      <c r="D501" s="1921">
        <f>B501/B502-1</f>
        <v/>
      </c>
      <c r="E501" s="1921">
        <f>C501/C502-1</f>
        <v/>
      </c>
      <c r="F501" s="1921">
        <f>$L$2/365</f>
        <v/>
      </c>
      <c r="G501" s="1921">
        <f>D501-F501</f>
        <v/>
      </c>
      <c r="H501" s="1921">
        <f>E501-F501</f>
        <v/>
      </c>
    </row>
    <row r="502" ht="14.25" customHeight="1">
      <c r="A502" s="1936" t="inlineStr">
        <is>
          <t>12/07/2024</t>
        </is>
      </c>
      <c r="B502" s="1563" t="n">
        <v>7328</v>
      </c>
      <c r="C502" s="1938" t="inlineStr">
        <is>
          <t>208</t>
        </is>
      </c>
      <c r="D502" s="1921">
        <f>B502/B503-1</f>
        <v/>
      </c>
      <c r="E502" s="1921">
        <f>C502/C503-1</f>
        <v/>
      </c>
      <c r="F502" s="1921">
        <f>$L$2/365</f>
        <v/>
      </c>
      <c r="G502" s="1921">
        <f>D502-F502</f>
        <v/>
      </c>
      <c r="H502" s="1921">
        <f>E502-F502</f>
        <v/>
      </c>
    </row>
    <row r="503" ht="14.25" customHeight="1">
      <c r="A503" s="1933" t="inlineStr">
        <is>
          <t>11/07/2024</t>
        </is>
      </c>
      <c r="B503" s="1563" t="n">
        <v>7300</v>
      </c>
      <c r="C503" s="1939" t="inlineStr">
        <is>
          <t>208</t>
        </is>
      </c>
      <c r="D503" s="1921">
        <f>B503/B504-1</f>
        <v/>
      </c>
      <c r="E503" s="1921">
        <f>C503/C504-1</f>
        <v/>
      </c>
      <c r="F503" s="1921">
        <f>$L$2/365</f>
        <v/>
      </c>
      <c r="G503" s="1921">
        <f>D503-F503</f>
        <v/>
      </c>
      <c r="H503" s="1921">
        <f>E503-F503</f>
        <v/>
      </c>
    </row>
    <row r="504" ht="14.25" customHeight="1">
      <c r="A504" s="1936" t="inlineStr">
        <is>
          <t>10/07/2024</t>
        </is>
      </c>
      <c r="B504" s="1563" t="n">
        <v>7287</v>
      </c>
      <c r="C504" s="1938" t="inlineStr">
        <is>
          <t>206</t>
        </is>
      </c>
      <c r="D504" s="1921">
        <f>B504/B505-1</f>
        <v/>
      </c>
      <c r="E504" s="1921">
        <f>C504/C505-1</f>
        <v/>
      </c>
      <c r="F504" s="1921">
        <f>$L$2/365</f>
        <v/>
      </c>
      <c r="G504" s="1921">
        <f>D504-F504</f>
        <v/>
      </c>
      <c r="H504" s="1921">
        <f>E504-F504</f>
        <v/>
      </c>
    </row>
    <row r="505" ht="14.25" customHeight="1">
      <c r="A505" s="1933" t="inlineStr">
        <is>
          <t>09/07/2024</t>
        </is>
      </c>
      <c r="B505" s="1563" t="n">
        <v>7270</v>
      </c>
      <c r="C505" s="1939" t="inlineStr">
        <is>
          <t>208</t>
        </is>
      </c>
      <c r="D505" s="1921">
        <f>B505/B506-1</f>
        <v/>
      </c>
      <c r="E505" s="1921">
        <f>C505/C506-1</f>
        <v/>
      </c>
      <c r="F505" s="1921">
        <f>$L$2/365</f>
        <v/>
      </c>
      <c r="G505" s="1921">
        <f>D505-F505</f>
        <v/>
      </c>
      <c r="H505" s="1921">
        <f>E505-F505</f>
        <v/>
      </c>
    </row>
    <row r="506" ht="14.25" customHeight="1">
      <c r="A506" s="1936" t="inlineStr">
        <is>
          <t>08/07/2024</t>
        </is>
      </c>
      <c r="B506" s="1563" t="n">
        <v>7251</v>
      </c>
      <c r="C506" s="1938" t="inlineStr">
        <is>
          <t>200</t>
        </is>
      </c>
      <c r="D506" s="1921">
        <f>B506/B507-1</f>
        <v/>
      </c>
      <c r="E506" s="1921">
        <f>C506/C507-1</f>
        <v/>
      </c>
      <c r="F506" s="1921">
        <f>$L$2/365</f>
        <v/>
      </c>
      <c r="G506" s="1921">
        <f>D506-F506</f>
        <v/>
      </c>
      <c r="H506" s="1921">
        <f>E506-F506</f>
        <v/>
      </c>
    </row>
    <row r="507" ht="14.25" customHeight="1">
      <c r="A507" s="1933" t="inlineStr">
        <is>
          <t>05/07/2024</t>
        </is>
      </c>
      <c r="B507" s="1563" t="n">
        <v>7253</v>
      </c>
      <c r="C507" s="1939" t="inlineStr">
        <is>
          <t>204</t>
        </is>
      </c>
      <c r="D507" s="1921">
        <f>B507/B508-1</f>
        <v/>
      </c>
      <c r="E507" s="1921">
        <f>C507/C508-1</f>
        <v/>
      </c>
      <c r="F507" s="1921">
        <f>$L$2/365</f>
        <v/>
      </c>
      <c r="G507" s="1921">
        <f>D507-F507</f>
        <v/>
      </c>
      <c r="H507" s="1921">
        <f>E507-F507</f>
        <v/>
      </c>
    </row>
    <row r="508" ht="14.25" customHeight="1">
      <c r="A508" s="1936" t="inlineStr">
        <is>
          <t>04/07/2024</t>
        </is>
      </c>
      <c r="B508" s="1563" t="n">
        <v>7221</v>
      </c>
      <c r="C508" s="1938" t="inlineStr">
        <is>
          <t>193</t>
        </is>
      </c>
      <c r="D508" s="1921">
        <f>B508/B509-1</f>
        <v/>
      </c>
      <c r="E508" s="1921">
        <f>C508/C509-1</f>
        <v/>
      </c>
      <c r="F508" s="1921">
        <f>$L$2/365</f>
        <v/>
      </c>
      <c r="G508" s="1921">
        <f>D508-F508</f>
        <v/>
      </c>
      <c r="H508" s="1921">
        <f>E508-F508</f>
        <v/>
      </c>
    </row>
    <row r="509" ht="14.25" customHeight="1">
      <c r="A509" s="1933" t="inlineStr">
        <is>
          <t>03/07/2024</t>
        </is>
      </c>
      <c r="B509" s="1563" t="n">
        <v>7197</v>
      </c>
      <c r="C509" s="1939" t="inlineStr">
        <is>
          <t>192</t>
        </is>
      </c>
      <c r="D509" s="1921">
        <f>B509/B510-1</f>
        <v/>
      </c>
      <c r="E509" s="1921">
        <f>C509/C510-1</f>
        <v/>
      </c>
      <c r="F509" s="1921">
        <f>$L$2/365</f>
        <v/>
      </c>
      <c r="G509" s="1921">
        <f>D509-F509</f>
        <v/>
      </c>
      <c r="H509" s="1921">
        <f>E509-F509</f>
        <v/>
      </c>
    </row>
    <row r="510" ht="14.25" customHeight="1">
      <c r="A510" s="1936" t="inlineStr">
        <is>
          <t>02/07/2024</t>
        </is>
      </c>
      <c r="B510" s="1563" t="n">
        <v>7125</v>
      </c>
      <c r="C510" s="1938" t="inlineStr">
        <is>
          <t>191</t>
        </is>
      </c>
      <c r="D510" s="1921">
        <f>B510/B511-1</f>
        <v/>
      </c>
      <c r="E510" s="1921">
        <f>C510/C511-1</f>
        <v/>
      </c>
      <c r="F510" s="1921">
        <f>$L$2/365</f>
        <v/>
      </c>
      <c r="G510" s="1921">
        <f>D510-F510</f>
        <v/>
      </c>
      <c r="H510" s="1921">
        <f>E510-F510</f>
        <v/>
      </c>
    </row>
    <row r="511" ht="14.25" customHeight="1">
      <c r="A511" s="1933" t="inlineStr">
        <is>
          <t>01/07/2024</t>
        </is>
      </c>
      <c r="B511" s="1563" t="n">
        <v>7140</v>
      </c>
      <c r="C511" s="1939" t="inlineStr">
        <is>
          <t>195</t>
        </is>
      </c>
      <c r="D511" s="1921">
        <f>B511/B512-1</f>
        <v/>
      </c>
      <c r="E511" s="1921">
        <f>C511/C512-1</f>
        <v/>
      </c>
      <c r="F511" s="1921">
        <f>$L$2/365</f>
        <v/>
      </c>
      <c r="G511" s="1921">
        <f>D511-F511</f>
        <v/>
      </c>
      <c r="H511" s="1921">
        <f>E511-F511</f>
        <v/>
      </c>
    </row>
    <row r="512" ht="14.25" customHeight="1">
      <c r="A512" s="1936" t="inlineStr">
        <is>
          <t>28/06/2024</t>
        </is>
      </c>
      <c r="B512" s="1563" t="n">
        <v>7064</v>
      </c>
      <c r="C512" s="1938" t="inlineStr">
        <is>
          <t>194</t>
        </is>
      </c>
      <c r="D512" s="1921">
        <f>B512/B513-1</f>
        <v/>
      </c>
      <c r="E512" s="1921">
        <f>C512/C513-1</f>
        <v/>
      </c>
      <c r="F512" s="1921">
        <f>$L$2/365</f>
        <v/>
      </c>
      <c r="G512" s="1921">
        <f>D512-F512</f>
        <v/>
      </c>
      <c r="H512" s="1921">
        <f>E512-F512</f>
        <v/>
      </c>
    </row>
    <row r="513" ht="14.25" customHeight="1">
      <c r="A513" s="1933" t="inlineStr">
        <is>
          <t>27/06/2024</t>
        </is>
      </c>
      <c r="B513" s="1563" t="n">
        <v>6968</v>
      </c>
      <c r="C513" s="1939" t="inlineStr">
        <is>
          <t>181</t>
        </is>
      </c>
      <c r="D513" s="1921">
        <f>B513/B514-1</f>
        <v/>
      </c>
      <c r="E513" s="1921">
        <f>C513/C514-1</f>
        <v/>
      </c>
      <c r="F513" s="1921">
        <f>$L$2/365</f>
        <v/>
      </c>
      <c r="G513" s="1921">
        <f>D513-F513</f>
        <v/>
      </c>
      <c r="H513" s="1921">
        <f>E513-F513</f>
        <v/>
      </c>
    </row>
    <row r="514" ht="14.25" customHeight="1">
      <c r="A514" s="1936" t="inlineStr">
        <is>
          <t>26/06/2024</t>
        </is>
      </c>
      <c r="B514" s="1563" t="n">
        <v>6906</v>
      </c>
      <c r="C514" s="1938" t="inlineStr">
        <is>
          <t>188</t>
        </is>
      </c>
      <c r="D514" s="1921">
        <f>B514/B515-1</f>
        <v/>
      </c>
      <c r="E514" s="1921">
        <f>C514/C515-1</f>
        <v/>
      </c>
      <c r="F514" s="1921">
        <f>$L$2/365</f>
        <v/>
      </c>
      <c r="G514" s="1921">
        <f>D514-F514</f>
        <v/>
      </c>
      <c r="H514" s="1921">
        <f>E514-F514</f>
        <v/>
      </c>
    </row>
    <row r="515" ht="14.25" customHeight="1">
      <c r="A515" s="1933" t="inlineStr">
        <is>
          <t>25/06/2024</t>
        </is>
      </c>
      <c r="B515" s="1563" t="n">
        <v>6883</v>
      </c>
      <c r="C515" s="1939" t="inlineStr">
        <is>
          <t>187</t>
        </is>
      </c>
      <c r="D515" s="1921">
        <f>B515/B516-1</f>
        <v/>
      </c>
      <c r="E515" s="1921">
        <f>C515/C516-1</f>
        <v/>
      </c>
      <c r="F515" s="1921">
        <f>$L$2/365</f>
        <v/>
      </c>
      <c r="G515" s="1921">
        <f>D515-F515</f>
        <v/>
      </c>
      <c r="H515" s="1921">
        <f>E515-F515</f>
        <v/>
      </c>
    </row>
    <row r="516" ht="14.25" customHeight="1">
      <c r="A516" s="1936" t="inlineStr">
        <is>
          <t>24/06/2024</t>
        </is>
      </c>
      <c r="B516" s="1563" t="n">
        <v>6889</v>
      </c>
      <c r="C516" s="1938" t="inlineStr">
        <is>
          <t>191</t>
        </is>
      </c>
      <c r="D516" s="1921">
        <f>B516/B517-1</f>
        <v/>
      </c>
      <c r="E516" s="1921">
        <f>C516/C517-1</f>
        <v/>
      </c>
      <c r="F516" s="1921">
        <f>$L$2/365</f>
        <v/>
      </c>
      <c r="G516" s="1921">
        <f>D516-F516</f>
        <v/>
      </c>
      <c r="H516" s="1921">
        <f>E516-F516</f>
        <v/>
      </c>
    </row>
    <row r="517" ht="14.25" customHeight="1">
      <c r="A517" s="1933" t="inlineStr">
        <is>
          <t>21/06/2024</t>
        </is>
      </c>
      <c r="B517" s="1563" t="n">
        <v>6880</v>
      </c>
      <c r="C517" s="1939" t="inlineStr">
        <is>
          <t>186</t>
        </is>
      </c>
      <c r="D517" s="1921">
        <f>B517/B518-1</f>
        <v/>
      </c>
      <c r="E517" s="1921">
        <f>C517/C518-1</f>
        <v/>
      </c>
      <c r="F517" s="1921">
        <f>$L$2/365</f>
        <v/>
      </c>
      <c r="G517" s="1921">
        <f>D517-F517</f>
        <v/>
      </c>
      <c r="H517" s="1921">
        <f>E517-F517</f>
        <v/>
      </c>
    </row>
    <row r="518" ht="14.25" customHeight="1">
      <c r="A518" s="1936" t="inlineStr">
        <is>
          <t>20/06/2024</t>
        </is>
      </c>
      <c r="B518" s="1563" t="n">
        <v>6819</v>
      </c>
      <c r="C518" s="1938" t="inlineStr">
        <is>
          <t>182</t>
        </is>
      </c>
      <c r="D518" s="1921">
        <f>B518/B519-1</f>
        <v/>
      </c>
      <c r="E518" s="1921">
        <f>C518/C519-1</f>
        <v/>
      </c>
      <c r="F518" s="1921">
        <f>$L$2/365</f>
        <v/>
      </c>
      <c r="G518" s="1921">
        <f>D518-F518</f>
        <v/>
      </c>
      <c r="H518" s="1921">
        <f>E518-F518</f>
        <v/>
      </c>
    </row>
    <row r="519" ht="14.25" customHeight="1">
      <c r="A519" s="1933" t="inlineStr">
        <is>
          <t>19/06/2024</t>
        </is>
      </c>
      <c r="B519" s="1563" t="n">
        <v>6727</v>
      </c>
      <c r="C519" s="1939" t="inlineStr">
        <is>
          <t>168</t>
        </is>
      </c>
      <c r="D519" s="1921">
        <f>B519/B520-1</f>
        <v/>
      </c>
      <c r="E519" s="1921">
        <f>C519/C520-1</f>
        <v/>
      </c>
      <c r="F519" s="1921">
        <f>$L$2/365</f>
        <v/>
      </c>
      <c r="G519" s="1921">
        <f>D519-F519</f>
        <v/>
      </c>
      <c r="H519" s="1921">
        <f>E519-F519</f>
        <v/>
      </c>
    </row>
    <row r="520" ht="14.25" customHeight="1">
      <c r="A520" s="1936" t="inlineStr">
        <is>
          <t>14/06/2024</t>
        </is>
      </c>
      <c r="B520" s="1563" t="n">
        <v>6735</v>
      </c>
      <c r="C520" s="1938" t="inlineStr">
        <is>
          <t>168</t>
        </is>
      </c>
      <c r="D520" s="1921">
        <f>B520/B521-1</f>
        <v/>
      </c>
      <c r="E520" s="1921">
        <f>C520/C521-1</f>
        <v/>
      </c>
      <c r="F520" s="1921">
        <f>$L$2/365</f>
        <v/>
      </c>
      <c r="G520" s="1921">
        <f>D520-F520</f>
        <v/>
      </c>
      <c r="H520" s="1921">
        <f>E520-F520</f>
        <v/>
      </c>
    </row>
    <row r="521" ht="14.25" customHeight="1">
      <c r="A521" s="1933" t="inlineStr">
        <is>
          <t>13/06/2024</t>
        </is>
      </c>
      <c r="B521" s="1563" t="n">
        <v>6832</v>
      </c>
      <c r="C521" s="1939" t="inlineStr">
        <is>
          <t>170</t>
        </is>
      </c>
      <c r="D521" s="1921">
        <f>B521/B522-1</f>
        <v/>
      </c>
      <c r="E521" s="1921">
        <f>C521/C522-1</f>
        <v/>
      </c>
      <c r="F521" s="1921">
        <f>$L$2/365</f>
        <v/>
      </c>
      <c r="G521" s="1921">
        <f>D521-F521</f>
        <v/>
      </c>
      <c r="H521" s="1921">
        <f>E521-F521</f>
        <v/>
      </c>
    </row>
    <row r="522" ht="14.25" customHeight="1">
      <c r="A522" s="1936" t="inlineStr">
        <is>
          <t>12/06/2024</t>
        </is>
      </c>
      <c r="B522" s="1563" t="n">
        <v>6850</v>
      </c>
      <c r="C522" s="1938" t="inlineStr">
        <is>
          <t>170</t>
        </is>
      </c>
      <c r="D522" s="1921">
        <f>B522/B523-1</f>
        <v/>
      </c>
      <c r="E522" s="1921">
        <f>C522/C523-1</f>
        <v/>
      </c>
      <c r="F522" s="1921">
        <f>$L$2/365</f>
        <v/>
      </c>
      <c r="G522" s="1921">
        <f>D522-F522</f>
        <v/>
      </c>
      <c r="H522" s="1921">
        <f>E522-F522</f>
        <v/>
      </c>
    </row>
    <row r="523" ht="14.25" customHeight="1">
      <c r="A523" s="1933" t="inlineStr">
        <is>
          <t>11/06/2024</t>
        </is>
      </c>
      <c r="B523" s="1563" t="n">
        <v>6856</v>
      </c>
      <c r="C523" s="1939" t="inlineStr">
        <is>
          <t>174</t>
        </is>
      </c>
      <c r="D523" s="1921">
        <f>B523/B524-1</f>
        <v/>
      </c>
      <c r="E523" s="1921">
        <f>C523/C524-1</f>
        <v/>
      </c>
      <c r="F523" s="1921">
        <f>$L$2/365</f>
        <v/>
      </c>
      <c r="G523" s="1921">
        <f>D523-F523</f>
        <v/>
      </c>
      <c r="H523" s="1921">
        <f>E523-F523</f>
        <v/>
      </c>
    </row>
    <row r="524" ht="14.25" customHeight="1">
      <c r="A524" s="1936" t="inlineStr">
        <is>
          <t>10/06/2024</t>
        </is>
      </c>
      <c r="B524" s="1563" t="n">
        <v>6922</v>
      </c>
      <c r="C524" s="1938" t="inlineStr">
        <is>
          <t>167</t>
        </is>
      </c>
      <c r="D524" s="1921">
        <f>B524/B525-1</f>
        <v/>
      </c>
      <c r="E524" s="1921">
        <f>C524/C525-1</f>
        <v/>
      </c>
      <c r="F524" s="1921">
        <f>$L$2/365</f>
        <v/>
      </c>
      <c r="G524" s="1921">
        <f>D524-F524</f>
        <v/>
      </c>
      <c r="H524" s="1921">
        <f>E524-F524</f>
        <v/>
      </c>
    </row>
    <row r="525" ht="14.25" customHeight="1">
      <c r="A525" s="1933" t="inlineStr">
        <is>
          <t>07/06/2024</t>
        </is>
      </c>
      <c r="B525" s="1563" t="n">
        <v>6898</v>
      </c>
      <c r="C525" s="1939" t="inlineStr">
        <is>
          <t>167</t>
        </is>
      </c>
      <c r="D525" s="1921">
        <f>B525/B526-1</f>
        <v/>
      </c>
      <c r="E525" s="1921">
        <f>C525/C526-1</f>
        <v/>
      </c>
      <c r="F525" s="1921">
        <f>$L$2/365</f>
        <v/>
      </c>
      <c r="G525" s="1921">
        <f>D525-F525</f>
        <v/>
      </c>
      <c r="H525" s="1921">
        <f>E525-F525</f>
        <v/>
      </c>
    </row>
    <row r="526" ht="14.25" customHeight="1">
      <c r="A526" s="1936" t="inlineStr">
        <is>
          <t>06/06/2024</t>
        </is>
      </c>
      <c r="B526" s="1563" t="n">
        <v>6975</v>
      </c>
      <c r="C526" s="1938" t="inlineStr">
        <is>
          <t>173</t>
        </is>
      </c>
      <c r="D526" s="1921">
        <f>B526/B527-1</f>
        <v/>
      </c>
      <c r="E526" s="1921">
        <f>C526/C527-1</f>
        <v/>
      </c>
      <c r="F526" s="1921">
        <f>$L$2/365</f>
        <v/>
      </c>
      <c r="G526" s="1921">
        <f>D526-F526</f>
        <v/>
      </c>
      <c r="H526" s="1921">
        <f>E526-F526</f>
        <v/>
      </c>
    </row>
    <row r="527" ht="14.25" customHeight="1">
      <c r="A527" s="1933" t="inlineStr">
        <is>
          <t>05/06/2024</t>
        </is>
      </c>
      <c r="B527" s="1563" t="n">
        <v>6948</v>
      </c>
      <c r="C527" s="1939" t="inlineStr">
        <is>
          <t>164</t>
        </is>
      </c>
      <c r="D527" s="1921">
        <f>B527/B528-1</f>
        <v/>
      </c>
      <c r="E527" s="1921">
        <f>C527/C528-1</f>
        <v/>
      </c>
      <c r="F527" s="1921">
        <f>$L$2/365</f>
        <v/>
      </c>
      <c r="G527" s="1921">
        <f>D527-F527</f>
        <v/>
      </c>
      <c r="H527" s="1921">
        <f>E527-F527</f>
        <v/>
      </c>
    </row>
    <row r="528" ht="14.25" customHeight="1">
      <c r="A528" s="1936" t="inlineStr">
        <is>
          <t>04/06/2024</t>
        </is>
      </c>
      <c r="B528" s="1563" t="n">
        <v>7099</v>
      </c>
      <c r="C528" s="1938" t="inlineStr">
        <is>
          <t>164</t>
        </is>
      </c>
      <c r="D528" s="1921">
        <f>B528/B529-1</f>
        <v/>
      </c>
      <c r="E528" s="1921">
        <f>C528/C529-1</f>
        <v/>
      </c>
      <c r="F528" s="1921">
        <f>$L$2/365</f>
        <v/>
      </c>
      <c r="G528" s="1921">
        <f>D528-F528</f>
        <v/>
      </c>
      <c r="H528" s="1921">
        <f>E528-F528</f>
        <v/>
      </c>
    </row>
    <row r="529" ht="14.25" customHeight="1">
      <c r="A529" s="1933" t="inlineStr">
        <is>
          <t>03/06/2024</t>
        </is>
      </c>
      <c r="B529" s="1563" t="n">
        <v>7036</v>
      </c>
      <c r="C529" s="1939" t="inlineStr">
        <is>
          <t>171</t>
        </is>
      </c>
      <c r="D529" s="1921">
        <f>B529/B530-1</f>
        <v/>
      </c>
      <c r="E529" s="1921">
        <f>C529/C530-1</f>
        <v/>
      </c>
      <c r="F529" s="1921">
        <f>$L$2/365</f>
        <v/>
      </c>
      <c r="G529" s="1921">
        <f>D529-F529</f>
        <v/>
      </c>
      <c r="H529" s="1921">
        <f>E529-F529</f>
        <v/>
      </c>
    </row>
    <row r="530" ht="14.25" customHeight="1">
      <c r="A530" s="1936" t="inlineStr">
        <is>
          <t>31/05/2024</t>
        </is>
      </c>
      <c r="B530" s="1563" t="n">
        <v>6971</v>
      </c>
      <c r="C530" s="1938" t="inlineStr">
        <is>
          <t>171</t>
        </is>
      </c>
      <c r="D530" s="1921">
        <f>B530/B531-1</f>
        <v/>
      </c>
      <c r="E530" s="1921">
        <f>C530/C531-1</f>
        <v/>
      </c>
      <c r="F530" s="1921">
        <f>$L$2/365</f>
        <v/>
      </c>
      <c r="G530" s="1921">
        <f>D530-F530</f>
        <v/>
      </c>
      <c r="H530" s="1921">
        <f>E530-F530</f>
        <v/>
      </c>
    </row>
    <row r="531" ht="14.25" customHeight="1">
      <c r="A531" s="1933" t="inlineStr">
        <is>
          <t>30/05/2024</t>
        </is>
      </c>
      <c r="B531" s="1563" t="n">
        <v>7034</v>
      </c>
      <c r="C531" s="1939" t="inlineStr">
        <is>
          <t>174</t>
        </is>
      </c>
      <c r="D531" s="1921">
        <f>B531/B532-1</f>
        <v/>
      </c>
      <c r="E531" s="1921">
        <f>C531/C532-1</f>
        <v/>
      </c>
      <c r="F531" s="1921">
        <f>$L$2/365</f>
        <v/>
      </c>
      <c r="G531" s="1921">
        <f>D531-F531</f>
        <v/>
      </c>
      <c r="H531" s="1921">
        <f>E531-F531</f>
        <v/>
      </c>
    </row>
    <row r="532" ht="14.25" customHeight="1">
      <c r="A532" s="1936" t="inlineStr">
        <is>
          <t>29/05/2024</t>
        </is>
      </c>
      <c r="B532" s="1563" t="n">
        <v>7140</v>
      </c>
      <c r="C532" s="1938" t="inlineStr">
        <is>
          <t>174</t>
        </is>
      </c>
      <c r="D532" s="1921">
        <f>B532/B533-1</f>
        <v/>
      </c>
      <c r="E532" s="1921">
        <f>C532/C533-1</f>
        <v/>
      </c>
      <c r="F532" s="1921">
        <f>$L$2/365</f>
        <v/>
      </c>
      <c r="G532" s="1921">
        <f>D532-F532</f>
        <v/>
      </c>
      <c r="H532" s="1921">
        <f>E532-F532</f>
        <v/>
      </c>
    </row>
    <row r="533" ht="14.25" customHeight="1">
      <c r="A533" s="1933" t="inlineStr">
        <is>
          <t>28/05/2024</t>
        </is>
      </c>
      <c r="B533" s="1563" t="n">
        <v>7254</v>
      </c>
      <c r="C533" s="1939" t="inlineStr">
        <is>
          <t>178</t>
        </is>
      </c>
      <c r="D533" s="1921">
        <f>B533/B534-1</f>
        <v/>
      </c>
      <c r="E533" s="1921">
        <f>C533/C534-1</f>
        <v/>
      </c>
      <c r="F533" s="1921">
        <f>$L$2/365</f>
        <v/>
      </c>
      <c r="G533" s="1921">
        <f>D533-F533</f>
        <v/>
      </c>
      <c r="H533" s="1921">
        <f>E533-F533</f>
        <v/>
      </c>
    </row>
    <row r="534" ht="14.25" customHeight="1">
      <c r="A534" s="1936" t="inlineStr">
        <is>
          <t>27/05/2024</t>
        </is>
      </c>
      <c r="B534" s="1563" t="n">
        <v>7176</v>
      </c>
      <c r="C534" s="1938" t="inlineStr">
        <is>
          <t>161</t>
        </is>
      </c>
      <c r="D534" s="1921">
        <f>B534/B535-1</f>
        <v/>
      </c>
      <c r="E534" s="1921">
        <f>C534/C535-1</f>
        <v/>
      </c>
      <c r="F534" s="1921">
        <f>$L$2/365</f>
        <v/>
      </c>
      <c r="G534" s="1921">
        <f>D534-F534</f>
        <v/>
      </c>
      <c r="H534" s="1921">
        <f>E534-F534</f>
        <v/>
      </c>
    </row>
    <row r="535" ht="14.25" customHeight="1">
      <c r="A535" s="1933" t="inlineStr">
        <is>
          <t>22/05/2024</t>
        </is>
      </c>
      <c r="B535" s="1563" t="n">
        <v>7222</v>
      </c>
      <c r="C535" s="1939" t="inlineStr">
        <is>
          <t>170</t>
        </is>
      </c>
      <c r="D535" s="1921">
        <f>B535/B536-1</f>
        <v/>
      </c>
      <c r="E535" s="1921">
        <f>C535/C536-1</f>
        <v/>
      </c>
      <c r="F535" s="1921">
        <f>$L$2/365</f>
        <v/>
      </c>
      <c r="G535" s="1921">
        <f>D535-F535</f>
        <v/>
      </c>
      <c r="H535" s="1921">
        <f>E535-F535</f>
        <v/>
      </c>
    </row>
    <row r="536" ht="14.25" customHeight="1">
      <c r="A536" s="1936" t="inlineStr">
        <is>
          <t>21/05/2024</t>
        </is>
      </c>
      <c r="B536" s="1563" t="n">
        <v>7186</v>
      </c>
      <c r="C536" s="1938" t="inlineStr">
        <is>
          <t>176</t>
        </is>
      </c>
      <c r="D536" s="1921">
        <f>B536/B537-1</f>
        <v/>
      </c>
      <c r="E536" s="1921">
        <f>C536/C537-1</f>
        <v/>
      </c>
      <c r="F536" s="1921">
        <f>$L$2/365</f>
        <v/>
      </c>
      <c r="G536" s="1921">
        <f>D536-F536</f>
        <v/>
      </c>
      <c r="H536" s="1921">
        <f>E536-F536</f>
        <v/>
      </c>
    </row>
    <row r="537" ht="14.25" customHeight="1">
      <c r="A537" s="1933" t="inlineStr">
        <is>
          <t>20/05/2024</t>
        </is>
      </c>
      <c r="B537" s="1563" t="n">
        <v>7267</v>
      </c>
      <c r="C537" s="1939" t="inlineStr">
        <is>
          <t>185</t>
        </is>
      </c>
      <c r="D537" s="1921">
        <f>B537/B538-1</f>
        <v/>
      </c>
      <c r="E537" s="1921">
        <f>C537/C538-1</f>
        <v/>
      </c>
      <c r="F537" s="1921">
        <f>$L$2/365</f>
        <v/>
      </c>
      <c r="G537" s="1921">
        <f>D537-F537</f>
        <v/>
      </c>
      <c r="H537" s="1921">
        <f>E537-F537</f>
        <v/>
      </c>
    </row>
    <row r="538" ht="14.25" customHeight="1">
      <c r="A538" s="1936" t="inlineStr">
        <is>
          <t>17/05/2024</t>
        </is>
      </c>
      <c r="B538" s="1563" t="n">
        <v>7317</v>
      </c>
      <c r="C538" s="1938" t="inlineStr">
        <is>
          <t>185</t>
        </is>
      </c>
      <c r="D538" s="1921">
        <f>B538/B539-1</f>
        <v/>
      </c>
      <c r="E538" s="1921">
        <f>C538/C539-1</f>
        <v/>
      </c>
      <c r="F538" s="1921">
        <f>$L$2/365</f>
        <v/>
      </c>
      <c r="G538" s="1921">
        <f>D538-F538</f>
        <v/>
      </c>
      <c r="H538" s="1921">
        <f>E538-F538</f>
        <v/>
      </c>
    </row>
    <row r="539" ht="14.25" customHeight="1">
      <c r="A539" s="1933" t="inlineStr">
        <is>
          <t>16/05/2024</t>
        </is>
      </c>
      <c r="B539" s="1563" t="n">
        <v>7247</v>
      </c>
      <c r="C539" s="1939" t="inlineStr">
        <is>
          <t>180</t>
        </is>
      </c>
      <c r="D539" s="1921">
        <f>B539/B540-1</f>
        <v/>
      </c>
      <c r="E539" s="1921">
        <f>C539/C540-1</f>
        <v/>
      </c>
      <c r="F539" s="1921">
        <f>$L$2/365</f>
        <v/>
      </c>
      <c r="G539" s="1921">
        <f>D539-F539</f>
        <v/>
      </c>
      <c r="H539" s="1921">
        <f>E539-F539</f>
        <v/>
      </c>
    </row>
    <row r="540" ht="14.25" customHeight="1">
      <c r="A540" s="1936" t="inlineStr">
        <is>
          <t>15/05/2024</t>
        </is>
      </c>
      <c r="B540" s="1563" t="n">
        <v>7180</v>
      </c>
      <c r="C540" s="1938" t="inlineStr">
        <is>
          <t>180</t>
        </is>
      </c>
      <c r="D540" s="1921">
        <f>B540/B541-1</f>
        <v/>
      </c>
      <c r="E540" s="1921">
        <f>C540/C541-1</f>
        <v/>
      </c>
      <c r="F540" s="1921">
        <f>$L$2/365</f>
        <v/>
      </c>
      <c r="G540" s="1921">
        <f>D540-F540</f>
        <v/>
      </c>
      <c r="H540" s="1921">
        <f>E540-F540</f>
        <v/>
      </c>
    </row>
    <row r="541" ht="14.25" customHeight="1">
      <c r="A541" s="1933" t="inlineStr">
        <is>
          <t>14/05/2024</t>
        </is>
      </c>
      <c r="B541" s="1563" t="n">
        <v>7084</v>
      </c>
      <c r="C541" s="1939" t="inlineStr">
        <is>
          <t>181</t>
        </is>
      </c>
      <c r="D541" s="1921">
        <f>B541/B542-1</f>
        <v/>
      </c>
      <c r="E541" s="1921">
        <f>C541/C542-1</f>
        <v/>
      </c>
      <c r="F541" s="1921">
        <f>$L$2/365</f>
        <v/>
      </c>
      <c r="G541" s="1921">
        <f>D541-F541</f>
        <v/>
      </c>
      <c r="H541" s="1921">
        <f>E541-F541</f>
        <v/>
      </c>
    </row>
    <row r="542" ht="14.25" customHeight="1">
      <c r="A542" s="1936" t="inlineStr">
        <is>
          <t>13/05/2024</t>
        </is>
      </c>
      <c r="B542" s="1563" t="n">
        <v>7099</v>
      </c>
      <c r="C542" s="1938" t="inlineStr">
        <is>
          <t>166</t>
        </is>
      </c>
      <c r="D542" s="1921">
        <f>B542/B543-1</f>
        <v/>
      </c>
      <c r="E542" s="1921">
        <f>C542/C543-1</f>
        <v/>
      </c>
      <c r="F542" s="1921">
        <f>$L$2/365</f>
        <v/>
      </c>
      <c r="G542" s="1921">
        <f>D542-F542</f>
        <v/>
      </c>
      <c r="H542" s="1921">
        <f>E542-F542</f>
        <v/>
      </c>
    </row>
    <row r="543" ht="14.25" customHeight="1">
      <c r="A543" s="1933" t="inlineStr">
        <is>
          <t>08/05/2024</t>
        </is>
      </c>
      <c r="B543" s="1563" t="n">
        <v>7089</v>
      </c>
      <c r="C543" s="1939" t="inlineStr">
        <is>
          <t>157</t>
        </is>
      </c>
      <c r="D543" s="1921">
        <f>B543/B544-1</f>
        <v/>
      </c>
      <c r="E543" s="1921">
        <f>C543/C544-1</f>
        <v/>
      </c>
      <c r="F543" s="1921">
        <f>$L$2/365</f>
        <v/>
      </c>
      <c r="G543" s="1921">
        <f>D543-F543</f>
        <v/>
      </c>
      <c r="H543" s="1921">
        <f>E543-F543</f>
        <v/>
      </c>
    </row>
    <row r="544" ht="14.25" customHeight="1">
      <c r="A544" s="1936" t="inlineStr">
        <is>
          <t>07/05/2024</t>
        </is>
      </c>
      <c r="B544" s="1563" t="n">
        <v>7124</v>
      </c>
      <c r="C544" s="1938" t="inlineStr">
        <is>
          <t>144</t>
        </is>
      </c>
      <c r="D544" s="1921">
        <f>B544/B545-1</f>
        <v/>
      </c>
      <c r="E544" s="1921">
        <f>C544/C545-1</f>
        <v/>
      </c>
      <c r="F544" s="1921">
        <f>$L$2/365</f>
        <v/>
      </c>
      <c r="G544" s="1921">
        <f>D544-F544</f>
        <v/>
      </c>
      <c r="H544" s="1921">
        <f>E544-F544</f>
        <v/>
      </c>
    </row>
    <row r="545" ht="14.25" customHeight="1">
      <c r="A545" s="1933" t="inlineStr">
        <is>
          <t>06/05/2024</t>
        </is>
      </c>
      <c r="B545" s="1563" t="n">
        <v>7136</v>
      </c>
      <c r="C545" s="1939" t="inlineStr">
        <is>
          <t>143</t>
        </is>
      </c>
      <c r="D545" s="1921">
        <f>B545/B546-1</f>
        <v/>
      </c>
      <c r="E545" s="1921">
        <f>C545/C546-1</f>
        <v/>
      </c>
      <c r="F545" s="1921">
        <f>$L$2/365</f>
        <v/>
      </c>
      <c r="G545" s="1921">
        <f>D545-F545</f>
        <v/>
      </c>
      <c r="H545" s="1921">
        <f>E545-F545</f>
        <v/>
      </c>
    </row>
    <row r="546" ht="14.25" customHeight="1">
      <c r="A546" s="1936" t="inlineStr">
        <is>
          <t>03/05/2024</t>
        </is>
      </c>
      <c r="B546" s="1563" t="n">
        <v>7135</v>
      </c>
      <c r="C546" s="1938" t="inlineStr">
        <is>
          <t>142</t>
        </is>
      </c>
      <c r="D546" s="1921">
        <f>B546/B547-1</f>
        <v/>
      </c>
      <c r="E546" s="1921">
        <f>C546/C547-1</f>
        <v/>
      </c>
      <c r="F546" s="1921">
        <f>$L$2/365</f>
        <v/>
      </c>
      <c r="G546" s="1921">
        <f>D546-F546</f>
        <v/>
      </c>
      <c r="H546" s="1921">
        <f>E546-F546</f>
        <v/>
      </c>
    </row>
    <row r="547" ht="14.25" customHeight="1">
      <c r="A547" s="1933" t="inlineStr">
        <is>
          <t>02/05/2024</t>
        </is>
      </c>
      <c r="B547" s="1563" t="n">
        <v>7117</v>
      </c>
      <c r="C547" s="1939" t="inlineStr">
        <is>
          <t>142</t>
        </is>
      </c>
      <c r="D547" s="1921">
        <f>B547/B548-1</f>
        <v/>
      </c>
      <c r="E547" s="1921">
        <f>C547/C548-1</f>
        <v/>
      </c>
      <c r="F547" s="1921">
        <f>$L$2/365</f>
        <v/>
      </c>
      <c r="G547" s="1921">
        <f>D547-F547</f>
        <v/>
      </c>
      <c r="H547" s="1921">
        <f>E547-F547</f>
        <v/>
      </c>
    </row>
    <row r="548" ht="14.25" customHeight="1">
      <c r="A548" s="1936" t="inlineStr">
        <is>
          <t>30/04/2024</t>
        </is>
      </c>
      <c r="B548" s="1563" t="n">
        <v>7234</v>
      </c>
      <c r="C548" s="1938" t="inlineStr">
        <is>
          <t>146</t>
        </is>
      </c>
      <c r="D548" s="1921">
        <f>B548/B549-1</f>
        <v/>
      </c>
      <c r="E548" s="1921">
        <f>C548/C549-1</f>
        <v/>
      </c>
      <c r="F548" s="1921">
        <f>$L$2/365</f>
        <v/>
      </c>
      <c r="G548" s="1921">
        <f>D548-F548</f>
        <v/>
      </c>
      <c r="H548" s="1921">
        <f>E548-F548</f>
        <v/>
      </c>
    </row>
    <row r="549" ht="14.25" customHeight="1">
      <c r="A549" s="1933" t="inlineStr">
        <is>
          <t>29/04/2024</t>
        </is>
      </c>
      <c r="B549" s="1563" t="n">
        <v>7156</v>
      </c>
      <c r="C549" s="1939" t="inlineStr">
        <is>
          <t>140</t>
        </is>
      </c>
      <c r="D549" s="1921">
        <f>B549/B550-1</f>
        <v/>
      </c>
      <c r="E549" s="1921">
        <f>C549/C550-1</f>
        <v/>
      </c>
      <c r="F549" s="1921">
        <f>$L$2/365</f>
        <v/>
      </c>
      <c r="G549" s="1921">
        <f>D549-F549</f>
        <v/>
      </c>
      <c r="H549" s="1921">
        <f>E549-F549</f>
        <v/>
      </c>
    </row>
    <row r="550" ht="14.25" customHeight="1">
      <c r="A550" s="1936" t="inlineStr">
        <is>
          <t>26/04/2024</t>
        </is>
      </c>
      <c r="B550" s="1563" t="n">
        <v>7036</v>
      </c>
      <c r="C550" s="1938" t="inlineStr">
        <is>
          <t>144</t>
        </is>
      </c>
      <c r="D550" s="1921">
        <f>B550/B551-1</f>
        <v/>
      </c>
      <c r="E550" s="1921">
        <f>C550/C551-1</f>
        <v/>
      </c>
      <c r="F550" s="1921">
        <f>$L$2/365</f>
        <v/>
      </c>
      <c r="G550" s="1921">
        <f>D550-F550</f>
        <v/>
      </c>
      <c r="H550" s="1921">
        <f>E550-F550</f>
        <v/>
      </c>
    </row>
    <row r="551" ht="14.25" customHeight="1">
      <c r="A551" s="1933" t="inlineStr">
        <is>
          <t>25/04/2024</t>
        </is>
      </c>
      <c r="B551" s="1563" t="n">
        <v>7155</v>
      </c>
      <c r="C551" s="1939" t="inlineStr">
        <is>
          <t>151</t>
        </is>
      </c>
      <c r="D551" s="1921">
        <f>B551/B552-1</f>
        <v/>
      </c>
      <c r="E551" s="1921">
        <f>C551/C552-1</f>
        <v/>
      </c>
      <c r="F551" s="1921">
        <f>$L$2/365</f>
        <v/>
      </c>
      <c r="G551" s="1921">
        <f>D551-F551</f>
        <v/>
      </c>
      <c r="H551" s="1921">
        <f>E551-F551</f>
        <v/>
      </c>
    </row>
    <row r="552" ht="14.25" customHeight="1">
      <c r="A552" s="1936" t="inlineStr">
        <is>
          <t>24/04/2024</t>
        </is>
      </c>
      <c r="B552" s="1563" t="n">
        <v>7175</v>
      </c>
      <c r="C552" s="1938" t="inlineStr">
        <is>
          <t>153</t>
        </is>
      </c>
      <c r="D552" s="1921">
        <f>B552/B553-1</f>
        <v/>
      </c>
      <c r="E552" s="1921">
        <f>C552/C553-1</f>
        <v/>
      </c>
      <c r="F552" s="1921">
        <f>$L$2/365</f>
        <v/>
      </c>
      <c r="G552" s="1921">
        <f>D552-F552</f>
        <v/>
      </c>
      <c r="H552" s="1921">
        <f>E552-F552</f>
        <v/>
      </c>
    </row>
    <row r="553" ht="14.25" customHeight="1">
      <c r="A553" s="1933" t="inlineStr">
        <is>
          <t>23/04/2024</t>
        </is>
      </c>
      <c r="B553" s="1563" t="n">
        <v>7111</v>
      </c>
      <c r="C553" s="1939" t="inlineStr">
        <is>
          <t>152</t>
        </is>
      </c>
      <c r="D553" s="1921">
        <f>B553/B554-1</f>
        <v/>
      </c>
      <c r="E553" s="1921">
        <f>C553/C554-1</f>
        <v/>
      </c>
      <c r="F553" s="1921">
        <f>$L$2/365</f>
        <v/>
      </c>
      <c r="G553" s="1921">
        <f>D553-F553</f>
        <v/>
      </c>
      <c r="H553" s="1921">
        <f>E553-F553</f>
        <v/>
      </c>
    </row>
    <row r="554" ht="14.25" customHeight="1">
      <c r="A554" s="1936" t="inlineStr">
        <is>
          <t>22/04/2024</t>
        </is>
      </c>
      <c r="B554" s="1563" t="n">
        <v>7074</v>
      </c>
      <c r="C554" s="1938" t="inlineStr">
        <is>
          <t>158</t>
        </is>
      </c>
      <c r="D554" s="1921">
        <f>B554/B555-1</f>
        <v/>
      </c>
      <c r="E554" s="1921">
        <f>C554/C555-1</f>
        <v/>
      </c>
      <c r="F554" s="1921">
        <f>$L$2/365</f>
        <v/>
      </c>
      <c r="G554" s="1921">
        <f>D554-F554</f>
        <v/>
      </c>
      <c r="H554" s="1921">
        <f>E554-F554</f>
        <v/>
      </c>
    </row>
    <row r="555" ht="14.25" customHeight="1">
      <c r="A555" s="1933" t="inlineStr">
        <is>
          <t>19/04/2024</t>
        </is>
      </c>
      <c r="B555" s="1563" t="n">
        <v>7087</v>
      </c>
      <c r="C555" s="1939" t="inlineStr">
        <is>
          <t>145</t>
        </is>
      </c>
      <c r="D555" s="1921">
        <f>B555/B556-1</f>
        <v/>
      </c>
      <c r="E555" s="1921">
        <f>C555/C556-1</f>
        <v/>
      </c>
      <c r="F555" s="1921">
        <f>$L$2/365</f>
        <v/>
      </c>
      <c r="G555" s="1921">
        <f>D555-F555</f>
        <v/>
      </c>
      <c r="H555" s="1921">
        <f>E555-F555</f>
        <v/>
      </c>
    </row>
    <row r="556" ht="14.25" customHeight="1">
      <c r="A556" s="1936" t="inlineStr">
        <is>
          <t>18/04/2024</t>
        </is>
      </c>
      <c r="B556" s="1563" t="n">
        <v>7167</v>
      </c>
      <c r="C556" s="1938" t="inlineStr">
        <is>
          <t>165</t>
        </is>
      </c>
      <c r="D556" s="1921">
        <f>B556/B557-1</f>
        <v/>
      </c>
      <c r="E556" s="1921">
        <f>C556/C557-1</f>
        <v/>
      </c>
      <c r="F556" s="1921">
        <f>$L$2/365</f>
        <v/>
      </c>
      <c r="G556" s="1921">
        <f>D556-F556</f>
        <v/>
      </c>
      <c r="H556" s="1921">
        <f>E556-F556</f>
        <v/>
      </c>
    </row>
    <row r="557" ht="14.25" customHeight="1">
      <c r="A557" s="1933" t="inlineStr">
        <is>
          <t>17/04/2024</t>
        </is>
      </c>
      <c r="B557" s="1563" t="n">
        <v>7131</v>
      </c>
      <c r="C557" s="1939" t="inlineStr">
        <is>
          <t>146</t>
        </is>
      </c>
      <c r="D557" s="1921">
        <f>B557/B558-1</f>
        <v/>
      </c>
      <c r="E557" s="1921">
        <f>C557/C558-1</f>
        <v/>
      </c>
      <c r="F557" s="1921">
        <f>$L$2/365</f>
        <v/>
      </c>
      <c r="G557" s="1921">
        <f>D557-F557</f>
        <v/>
      </c>
      <c r="H557" s="1921">
        <f>E557-F557</f>
        <v/>
      </c>
    </row>
    <row r="558" ht="14.25" customHeight="1">
      <c r="A558" s="1936" t="inlineStr">
        <is>
          <t>16/04/2024</t>
        </is>
      </c>
      <c r="B558" s="1563" t="n">
        <v>7165</v>
      </c>
      <c r="C558" s="1938" t="inlineStr">
        <is>
          <t>133</t>
        </is>
      </c>
      <c r="D558" s="1921">
        <f>B558/B559-1</f>
        <v/>
      </c>
      <c r="E558" s="1921">
        <f>C558/C559-1</f>
        <v/>
      </c>
      <c r="F558" s="1921">
        <f>$L$2/365</f>
        <v/>
      </c>
      <c r="G558" s="1921">
        <f>D558-F558</f>
        <v/>
      </c>
      <c r="H558" s="1921">
        <f>E558-F558</f>
        <v/>
      </c>
    </row>
    <row r="559" ht="14.25" customHeight="1">
      <c r="A559" s="1933" t="inlineStr">
        <is>
          <t>05/04/2024</t>
        </is>
      </c>
      <c r="B559" s="1563" t="n">
        <v>7287</v>
      </c>
      <c r="C559" s="1939" t="inlineStr">
        <is>
          <t>136</t>
        </is>
      </c>
      <c r="D559" s="1921">
        <f>B559/B560-1</f>
        <v/>
      </c>
      <c r="E559" s="1921">
        <f>C559/C560-1</f>
        <v/>
      </c>
      <c r="F559" s="1921">
        <f>$L$2/365</f>
        <v/>
      </c>
      <c r="G559" s="1921">
        <f>D559-F559</f>
        <v/>
      </c>
      <c r="H559" s="1921">
        <f>E559-F559</f>
        <v/>
      </c>
    </row>
    <row r="560" ht="14.25" customHeight="1">
      <c r="A560" s="1936" t="inlineStr">
        <is>
          <t>04/04/2024</t>
        </is>
      </c>
      <c r="B560" s="1563" t="n">
        <v>7254</v>
      </c>
      <c r="C560" s="1938" t="inlineStr">
        <is>
          <t>135</t>
        </is>
      </c>
      <c r="D560" s="1921">
        <f>B560/B561-1</f>
        <v/>
      </c>
      <c r="E560" s="1921">
        <f>C560/C561-1</f>
        <v/>
      </c>
      <c r="F560" s="1921">
        <f>$L$2/365</f>
        <v/>
      </c>
      <c r="G560" s="1921">
        <f>D560-F560</f>
        <v/>
      </c>
      <c r="H560" s="1921">
        <f>E560-F560</f>
        <v/>
      </c>
    </row>
    <row r="561" ht="14.25" customHeight="1">
      <c r="A561" s="1933" t="inlineStr">
        <is>
          <t>03/04/2024</t>
        </is>
      </c>
      <c r="B561" s="1563" t="n">
        <v>7167</v>
      </c>
      <c r="C561" s="1939" t="inlineStr">
        <is>
          <t>134</t>
        </is>
      </c>
      <c r="D561" s="1921">
        <f>B561/B562-1</f>
        <v/>
      </c>
      <c r="E561" s="1921">
        <f>C561/C562-1</f>
        <v/>
      </c>
      <c r="F561" s="1921">
        <f>$L$2/365</f>
        <v/>
      </c>
      <c r="G561" s="1921">
        <f>D561-F561</f>
        <v/>
      </c>
      <c r="H561" s="1921">
        <f>E561-F561</f>
        <v/>
      </c>
    </row>
    <row r="562" ht="14.25" customHeight="1">
      <c r="A562" s="1936" t="inlineStr">
        <is>
          <t>02/04/2024</t>
        </is>
      </c>
      <c r="B562" s="1563" t="n">
        <v>7237</v>
      </c>
      <c r="C562" s="1938" t="inlineStr">
        <is>
          <t>133</t>
        </is>
      </c>
      <c r="D562" s="1921">
        <f>B562/B563-1</f>
        <v/>
      </c>
      <c r="E562" s="1921">
        <f>C562/C563-1</f>
        <v/>
      </c>
      <c r="F562" s="1921">
        <f>$L$2/365</f>
        <v/>
      </c>
      <c r="G562" s="1921">
        <f>D562-F562</f>
        <v/>
      </c>
      <c r="H562" s="1921">
        <f>E562-F562</f>
        <v/>
      </c>
    </row>
    <row r="563" ht="14.25" customHeight="1">
      <c r="A563" s="1933" t="inlineStr">
        <is>
          <t>01/04/2024</t>
        </is>
      </c>
      <c r="B563" s="1563" t="n">
        <v>7205</v>
      </c>
      <c r="C563" s="1939" t="inlineStr">
        <is>
          <t>132</t>
        </is>
      </c>
      <c r="D563" s="1921">
        <f>B563/B564-1</f>
        <v/>
      </c>
      <c r="E563" s="1921">
        <f>C563/C564-1</f>
        <v/>
      </c>
      <c r="F563" s="1921">
        <f>$L$2/365</f>
        <v/>
      </c>
      <c r="G563" s="1921">
        <f>D563-F563</f>
        <v/>
      </c>
      <c r="H563" s="1921">
        <f>E563-F563</f>
        <v/>
      </c>
    </row>
    <row r="564" ht="14.25" customHeight="1">
      <c r="A564" s="1936" t="inlineStr">
        <is>
          <t>28/03/2024</t>
        </is>
      </c>
      <c r="B564" s="1563" t="n">
        <v>7289</v>
      </c>
      <c r="C564" s="1938" t="inlineStr">
        <is>
          <t>133</t>
        </is>
      </c>
      <c r="D564" s="1921">
        <f>B564/B565-1</f>
        <v/>
      </c>
      <c r="E564" s="1921">
        <f>C564/C565-1</f>
        <v/>
      </c>
      <c r="F564" s="1921">
        <f>$L$2/365</f>
        <v/>
      </c>
      <c r="G564" s="1921">
        <f>D564-F564</f>
        <v/>
      </c>
      <c r="H564" s="1921">
        <f>E564-F564</f>
        <v/>
      </c>
    </row>
    <row r="565" ht="14.25" customHeight="1">
      <c r="A565" s="1933" t="inlineStr">
        <is>
          <t>27/03/2024</t>
        </is>
      </c>
      <c r="B565" s="1563" t="n">
        <v>7310</v>
      </c>
      <c r="C565" s="1939" t="inlineStr">
        <is>
          <t>136</t>
        </is>
      </c>
      <c r="D565" s="1921">
        <f>B565/B566-1</f>
        <v/>
      </c>
      <c r="E565" s="1921">
        <f>C565/C566-1</f>
        <v/>
      </c>
      <c r="F565" s="1921">
        <f>$L$2/365</f>
        <v/>
      </c>
      <c r="G565" s="1921">
        <f>D565-F565</f>
        <v/>
      </c>
      <c r="H565" s="1921">
        <f>E565-F565</f>
        <v/>
      </c>
    </row>
    <row r="566" ht="14.25" customHeight="1">
      <c r="A566" s="1936" t="inlineStr">
        <is>
          <t>26/03/2024</t>
        </is>
      </c>
      <c r="B566" s="1563" t="n">
        <v>7366</v>
      </c>
      <c r="C566" s="1938" t="inlineStr">
        <is>
          <t>136</t>
        </is>
      </c>
      <c r="D566" s="1921">
        <f>B566/B567-1</f>
        <v/>
      </c>
      <c r="E566" s="1921">
        <f>C566/C567-1</f>
        <v/>
      </c>
      <c r="F566" s="1921">
        <f>$L$2/365</f>
        <v/>
      </c>
      <c r="G566" s="1921">
        <f>D566-F566</f>
        <v/>
      </c>
      <c r="H566" s="1921">
        <f>E566-F566</f>
        <v/>
      </c>
    </row>
    <row r="567" ht="14.25" customHeight="1">
      <c r="A567" s="1933" t="inlineStr">
        <is>
          <t>25/03/2024</t>
        </is>
      </c>
      <c r="B567" s="1563" t="n">
        <v>7378</v>
      </c>
      <c r="C567" s="1939" t="inlineStr">
        <is>
          <t>136</t>
        </is>
      </c>
      <c r="D567" s="1921">
        <f>B567/B568-1</f>
        <v/>
      </c>
      <c r="E567" s="1921">
        <f>C567/C568-1</f>
        <v/>
      </c>
      <c r="F567" s="1921">
        <f>$L$2/365</f>
        <v/>
      </c>
      <c r="G567" s="1921">
        <f>D567-F567</f>
        <v/>
      </c>
      <c r="H567" s="1921">
        <f>E567-F567</f>
        <v/>
      </c>
    </row>
    <row r="568" ht="14.25" customHeight="1">
      <c r="A568" s="1936" t="inlineStr">
        <is>
          <t>22/03/2024</t>
        </is>
      </c>
      <c r="B568" s="1563" t="n">
        <v>7350</v>
      </c>
      <c r="C568" s="1938" t="inlineStr">
        <is>
          <t>136</t>
        </is>
      </c>
      <c r="D568" s="1921">
        <f>B568/B569-1</f>
        <v/>
      </c>
      <c r="E568" s="1921">
        <f>C568/C569-1</f>
        <v/>
      </c>
      <c r="F568" s="1921">
        <f>$L$2/365</f>
        <v/>
      </c>
      <c r="G568" s="1921">
        <f>D568-F568</f>
        <v/>
      </c>
      <c r="H568" s="1921">
        <f>E568-F568</f>
        <v/>
      </c>
    </row>
    <row r="569" ht="14.25" customHeight="1">
      <c r="A569" s="1933" t="inlineStr">
        <is>
          <t>21/03/2024</t>
        </is>
      </c>
      <c r="B569" s="1563" t="n">
        <v>7338</v>
      </c>
      <c r="C569" s="1939" t="inlineStr">
        <is>
          <t>138</t>
        </is>
      </c>
      <c r="D569" s="1921">
        <f>B569/B570-1</f>
        <v/>
      </c>
      <c r="E569" s="1921">
        <f>C569/C570-1</f>
        <v/>
      </c>
      <c r="F569" s="1921">
        <f>$L$2/365</f>
        <v/>
      </c>
      <c r="G569" s="1921">
        <f>D569-F569</f>
        <v/>
      </c>
      <c r="H569" s="1921">
        <f>E569-F569</f>
        <v/>
      </c>
    </row>
    <row r="570" ht="14.25" customHeight="1">
      <c r="A570" s="1936" t="inlineStr">
        <is>
          <t>20/03/2024</t>
        </is>
      </c>
      <c r="B570" s="1563" t="n">
        <v>7331</v>
      </c>
      <c r="C570" s="1938" t="inlineStr">
        <is>
          <t>137</t>
        </is>
      </c>
      <c r="D570" s="1921">
        <f>B570/B571-1</f>
        <v/>
      </c>
      <c r="E570" s="1921">
        <f>C570/C571-1</f>
        <v/>
      </c>
      <c r="F570" s="1921">
        <f>$L$2/365</f>
        <v/>
      </c>
      <c r="G570" s="1921">
        <f>D570-F570</f>
        <v/>
      </c>
      <c r="H570" s="1921">
        <f>E570-F570</f>
        <v/>
      </c>
    </row>
    <row r="571" ht="14.25" customHeight="1">
      <c r="A571" s="1933" t="inlineStr">
        <is>
          <t>19/03/2024</t>
        </is>
      </c>
      <c r="B571" s="1563" t="n">
        <v>7337</v>
      </c>
      <c r="C571" s="1939" t="inlineStr">
        <is>
          <t>137</t>
        </is>
      </c>
      <c r="D571" s="1921">
        <f>B571/B572-1</f>
        <v/>
      </c>
      <c r="E571" s="1921">
        <f>C571/C572-1</f>
        <v/>
      </c>
      <c r="F571" s="1921">
        <f>$L$2/365</f>
        <v/>
      </c>
      <c r="G571" s="1921">
        <f>D571-F571</f>
        <v/>
      </c>
      <c r="H571" s="1921">
        <f>E571-F571</f>
        <v/>
      </c>
    </row>
    <row r="572" ht="14.25" customHeight="1">
      <c r="A572" s="1936" t="inlineStr">
        <is>
          <t>18/03/2024</t>
        </is>
      </c>
      <c r="B572" s="1563" t="n">
        <v>7302</v>
      </c>
      <c r="C572" s="1938" t="inlineStr">
        <is>
          <t>136</t>
        </is>
      </c>
      <c r="D572" s="1921">
        <f>B572/B573-1</f>
        <v/>
      </c>
      <c r="E572" s="1921">
        <f>C572/C573-1</f>
        <v/>
      </c>
      <c r="F572" s="1921">
        <f>$L$2/365</f>
        <v/>
      </c>
      <c r="G572" s="1921">
        <f>D572-F572</f>
        <v/>
      </c>
      <c r="H572" s="1921">
        <f>E572-F572</f>
        <v/>
      </c>
    </row>
    <row r="573" ht="14.25" customHeight="1">
      <c r="A573" s="1933" t="inlineStr">
        <is>
          <t>15/03/2024</t>
        </is>
      </c>
      <c r="B573" s="1563" t="n">
        <v>7328</v>
      </c>
      <c r="C573" s="1939" t="inlineStr">
        <is>
          <t>137</t>
        </is>
      </c>
      <c r="D573" s="1921">
        <f>B573/B574-1</f>
        <v/>
      </c>
      <c r="E573" s="1921">
        <f>C573/C574-1</f>
        <v/>
      </c>
      <c r="F573" s="1921">
        <f>$L$2/365</f>
        <v/>
      </c>
      <c r="G573" s="1921">
        <f>D573-F573</f>
        <v/>
      </c>
      <c r="H573" s="1921">
        <f>E573-F573</f>
        <v/>
      </c>
    </row>
    <row r="574" ht="14.25" customHeight="1">
      <c r="A574" s="1936" t="inlineStr">
        <is>
          <t>14/03/2024</t>
        </is>
      </c>
      <c r="B574" s="1563" t="n">
        <v>7433</v>
      </c>
      <c r="C574" s="1938" t="inlineStr">
        <is>
          <t>140</t>
        </is>
      </c>
      <c r="D574" s="1921">
        <f>B574/B575-1</f>
        <v/>
      </c>
      <c r="E574" s="1921">
        <f>C574/C575-1</f>
        <v/>
      </c>
      <c r="F574" s="1921">
        <f>$L$2/365</f>
        <v/>
      </c>
      <c r="G574" s="1921">
        <f>D574-F574</f>
        <v/>
      </c>
      <c r="H574" s="1921">
        <f>E574-F574</f>
        <v/>
      </c>
    </row>
    <row r="575" ht="14.25" customHeight="1">
      <c r="A575" s="1933" t="inlineStr">
        <is>
          <t>13/03/2024</t>
        </is>
      </c>
      <c r="B575" s="1563" t="n">
        <v>7421</v>
      </c>
      <c r="C575" s="1939" t="inlineStr">
        <is>
          <t>142</t>
        </is>
      </c>
      <c r="D575" s="1921">
        <f>B575/B576-1</f>
        <v/>
      </c>
      <c r="E575" s="1921">
        <f>C575/C576-1</f>
        <v/>
      </c>
      <c r="F575" s="1921">
        <f>$L$2/365</f>
        <v/>
      </c>
      <c r="G575" s="1921">
        <f>D575-F575</f>
        <v/>
      </c>
      <c r="H575" s="1921">
        <f>E575-F575</f>
        <v/>
      </c>
    </row>
    <row r="576" ht="14.25" customHeight="1">
      <c r="A576" s="1936" t="inlineStr">
        <is>
          <t>08/03/2024</t>
        </is>
      </c>
      <c r="B576" s="1563" t="n">
        <v>7382</v>
      </c>
      <c r="C576" s="1938" t="inlineStr">
        <is>
          <t>145</t>
        </is>
      </c>
      <c r="D576" s="1921">
        <f>B576/B577-1</f>
        <v/>
      </c>
      <c r="E576" s="1921">
        <f>C576/C577-1</f>
        <v/>
      </c>
      <c r="F576" s="1921">
        <f>$L$2/365</f>
        <v/>
      </c>
      <c r="G576" s="1921">
        <f>D576-F576</f>
        <v/>
      </c>
      <c r="H576" s="1921">
        <f>E576-F576</f>
        <v/>
      </c>
    </row>
    <row r="577" ht="14.25" customHeight="1">
      <c r="A577" s="1933" t="inlineStr">
        <is>
          <t>07/03/2024</t>
        </is>
      </c>
      <c r="B577" s="1563" t="n">
        <v>7374</v>
      </c>
      <c r="C577" s="1939" t="inlineStr">
        <is>
          <t>144</t>
        </is>
      </c>
      <c r="D577" s="1921">
        <f>B577/B578-1</f>
        <v/>
      </c>
      <c r="E577" s="1921">
        <f>C577/C578-1</f>
        <v/>
      </c>
      <c r="F577" s="1921">
        <f>$L$2/365</f>
        <v/>
      </c>
      <c r="G577" s="1921">
        <f>D577-F577</f>
        <v/>
      </c>
      <c r="H577" s="1921">
        <f>E577-F577</f>
        <v/>
      </c>
    </row>
    <row r="578" ht="14.25" customHeight="1">
      <c r="A578" s="1936" t="inlineStr">
        <is>
          <t>06/03/2024</t>
        </is>
      </c>
      <c r="B578" s="1563" t="n">
        <v>7330</v>
      </c>
      <c r="C578" s="1938" t="inlineStr">
        <is>
          <t>146</t>
        </is>
      </c>
      <c r="D578" s="1921">
        <f>B578/B579-1</f>
        <v/>
      </c>
      <c r="E578" s="1921">
        <f>C578/C579-1</f>
        <v/>
      </c>
      <c r="F578" s="1921">
        <f>$L$2/365</f>
        <v/>
      </c>
      <c r="G578" s="1921">
        <f>D578-F578</f>
        <v/>
      </c>
      <c r="H578" s="1921">
        <f>E578-F578</f>
        <v/>
      </c>
    </row>
    <row r="579" ht="14.25" customHeight="1">
      <c r="A579" s="1933" t="inlineStr">
        <is>
          <t>05/03/2024</t>
        </is>
      </c>
      <c r="B579" s="1563" t="n">
        <v>7247</v>
      </c>
      <c r="C579" s="1939" t="inlineStr">
        <is>
          <t>145</t>
        </is>
      </c>
      <c r="D579" s="1921">
        <f>B579/B580-1</f>
        <v/>
      </c>
      <c r="E579" s="1921">
        <f>C579/C580-1</f>
        <v/>
      </c>
      <c r="F579" s="1921">
        <f>$L$2/365</f>
        <v/>
      </c>
      <c r="G579" s="1921">
        <f>D579-F579</f>
        <v/>
      </c>
      <c r="H579" s="1921">
        <f>E579-F579</f>
        <v/>
      </c>
    </row>
    <row r="580" ht="14.25" customHeight="1">
      <c r="A580" s="1936" t="inlineStr">
        <is>
          <t>04/03/2024</t>
        </is>
      </c>
      <c r="B580" s="1563" t="n">
        <v>7277</v>
      </c>
      <c r="C580" s="1938" t="inlineStr">
        <is>
          <t>143</t>
        </is>
      </c>
      <c r="D580" s="1921">
        <f>B580/B581-1</f>
        <v/>
      </c>
      <c r="E580" s="1921">
        <f>C580/C581-1</f>
        <v/>
      </c>
      <c r="F580" s="1921">
        <f>$L$2/365</f>
        <v/>
      </c>
      <c r="G580" s="1921">
        <f>D580-F580</f>
        <v/>
      </c>
      <c r="H580" s="1921">
        <f>E580-F580</f>
        <v/>
      </c>
    </row>
    <row r="581" ht="14.25" customHeight="1">
      <c r="A581" s="1933" t="inlineStr">
        <is>
          <t>01/03/2024</t>
        </is>
      </c>
      <c r="B581" s="1563" t="n">
        <v>7312</v>
      </c>
      <c r="C581" s="1939" t="inlineStr">
        <is>
          <t>141</t>
        </is>
      </c>
      <c r="D581" s="1921">
        <f>B581/B582-1</f>
        <v/>
      </c>
      <c r="E581" s="1921">
        <f>C581/C582-1</f>
        <v/>
      </c>
      <c r="F581" s="1921">
        <f>$L$2/365</f>
        <v/>
      </c>
      <c r="G581" s="1921">
        <f>D581-F581</f>
        <v/>
      </c>
      <c r="H581" s="1921">
        <f>E581-F581</f>
        <v/>
      </c>
    </row>
    <row r="582" ht="14.25" customHeight="1">
      <c r="A582" s="1936" t="inlineStr">
        <is>
          <t>29/02/2024</t>
        </is>
      </c>
      <c r="B582" s="1563" t="n">
        <v>7316</v>
      </c>
      <c r="C582" s="1938" t="inlineStr">
        <is>
          <t>137</t>
        </is>
      </c>
      <c r="D582" s="1921">
        <f>B582/B583-1</f>
        <v/>
      </c>
      <c r="E582" s="1921">
        <f>C582/C583-1</f>
        <v/>
      </c>
      <c r="F582" s="1921">
        <f>$L$2/365</f>
        <v/>
      </c>
      <c r="G582" s="1921">
        <f>D582-F582</f>
        <v/>
      </c>
      <c r="H582" s="1921">
        <f>E582-F582</f>
        <v/>
      </c>
    </row>
    <row r="583" ht="14.25" customHeight="1">
      <c r="A583" s="1933" t="inlineStr">
        <is>
          <t>28/02/2024</t>
        </is>
      </c>
      <c r="B583" s="1563" t="n">
        <v>7329</v>
      </c>
      <c r="C583" s="1939" t="inlineStr">
        <is>
          <t>140</t>
        </is>
      </c>
      <c r="D583" s="1921">
        <f>B583/B584-1</f>
        <v/>
      </c>
      <c r="E583" s="1921">
        <f>C583/C584-1</f>
        <v/>
      </c>
      <c r="F583" s="1921">
        <f>$L$2/365</f>
        <v/>
      </c>
      <c r="G583" s="1921">
        <f>D583-F583</f>
        <v/>
      </c>
      <c r="H583" s="1921">
        <f>E583-F583</f>
        <v/>
      </c>
    </row>
    <row r="584" ht="14.25" customHeight="1">
      <c r="A584" s="1936" t="inlineStr">
        <is>
          <t>27/02/2024</t>
        </is>
      </c>
      <c r="B584" s="1563" t="n">
        <v>7285</v>
      </c>
      <c r="C584" s="1938" t="inlineStr">
        <is>
          <t>140</t>
        </is>
      </c>
      <c r="D584" s="1921">
        <f>B584/B585-1</f>
        <v/>
      </c>
      <c r="E584" s="1921">
        <f>C584/C585-1</f>
        <v/>
      </c>
      <c r="F584" s="1921">
        <f>$L$2/365</f>
        <v/>
      </c>
      <c r="G584" s="1921">
        <f>D584-F584</f>
        <v/>
      </c>
      <c r="H584" s="1921">
        <f>E584-F584</f>
        <v/>
      </c>
    </row>
    <row r="585" ht="14.25" customHeight="1">
      <c r="A585" s="1933" t="inlineStr">
        <is>
          <t>26/02/2024</t>
        </is>
      </c>
      <c r="B585" s="1563" t="n">
        <v>7284</v>
      </c>
      <c r="C585" s="1939" t="inlineStr">
        <is>
          <t>143</t>
        </is>
      </c>
      <c r="D585" s="1921">
        <f>B585/B586-1</f>
        <v/>
      </c>
      <c r="E585" s="1921">
        <f>C585/C586-1</f>
        <v/>
      </c>
      <c r="F585" s="1921">
        <f>$L$2/365</f>
        <v/>
      </c>
      <c r="G585" s="1921">
        <f>D585-F585</f>
        <v/>
      </c>
      <c r="H585" s="1921">
        <f>E585-F585</f>
        <v/>
      </c>
    </row>
    <row r="586" ht="14.25" customHeight="1">
      <c r="A586" s="1936" t="inlineStr">
        <is>
          <t>23/02/2024</t>
        </is>
      </c>
      <c r="B586" s="1563" t="n">
        <v>7295</v>
      </c>
      <c r="C586" s="1938" t="inlineStr">
        <is>
          <t>148</t>
        </is>
      </c>
      <c r="D586" s="1921">
        <f>B586/B587-1</f>
        <v/>
      </c>
      <c r="E586" s="1921">
        <f>C586/C587-1</f>
        <v/>
      </c>
      <c r="F586" s="1921">
        <f>$L$2/365</f>
        <v/>
      </c>
      <c r="G586" s="1921">
        <f>D586-F586</f>
        <v/>
      </c>
      <c r="H586" s="1921">
        <f>E586-F586</f>
        <v/>
      </c>
    </row>
    <row r="587" ht="14.25" customHeight="1">
      <c r="A587" s="1933" t="inlineStr">
        <is>
          <t>22/02/2024</t>
        </is>
      </c>
      <c r="B587" s="1563" t="n">
        <v>7340</v>
      </c>
      <c r="C587" s="1939" t="inlineStr">
        <is>
          <t>148</t>
        </is>
      </c>
      <c r="D587" s="1921">
        <f>B587/B588-1</f>
        <v/>
      </c>
      <c r="E587" s="1921">
        <f>C587/C588-1</f>
        <v/>
      </c>
      <c r="F587" s="1921">
        <f>$L$2/365</f>
        <v/>
      </c>
      <c r="G587" s="1921">
        <f>D587-F587</f>
        <v/>
      </c>
      <c r="H587" s="1921">
        <f>E587-F587</f>
        <v/>
      </c>
    </row>
    <row r="588" ht="14.25" customHeight="1">
      <c r="A588" s="1936" t="inlineStr">
        <is>
          <t>21/02/2024</t>
        </is>
      </c>
      <c r="B588" s="1563" t="n">
        <v>7349</v>
      </c>
      <c r="C588" s="1938" t="inlineStr">
        <is>
          <t>149</t>
        </is>
      </c>
      <c r="D588" s="1921">
        <f>B588/B589-1</f>
        <v/>
      </c>
      <c r="E588" s="1921">
        <f>C588/C589-1</f>
        <v/>
      </c>
      <c r="F588" s="1921">
        <f>$L$2/365</f>
        <v/>
      </c>
      <c r="G588" s="1921">
        <f>D588-F588</f>
        <v/>
      </c>
      <c r="H588" s="1921">
        <f>E588-F588</f>
        <v/>
      </c>
    </row>
    <row r="589" ht="14.25" customHeight="1">
      <c r="A589" s="1933" t="inlineStr">
        <is>
          <t>20/02/2024</t>
        </is>
      </c>
      <c r="B589" s="1563" t="n">
        <v>7353</v>
      </c>
      <c r="C589" s="1939" t="inlineStr">
        <is>
          <t>148</t>
        </is>
      </c>
      <c r="D589" s="1921">
        <f>B589/B590-1</f>
        <v/>
      </c>
      <c r="E589" s="1921">
        <f>C589/C590-1</f>
        <v/>
      </c>
      <c r="F589" s="1921">
        <f>$L$2/365</f>
        <v/>
      </c>
      <c r="G589" s="1921">
        <f>D589-F589</f>
        <v/>
      </c>
      <c r="H589" s="1921">
        <f>E589-F589</f>
        <v/>
      </c>
    </row>
    <row r="590" ht="14.25" customHeight="1">
      <c r="A590" s="1936" t="inlineStr">
        <is>
          <t>19/02/2024</t>
        </is>
      </c>
      <c r="B590" s="1563" t="n">
        <v>7297</v>
      </c>
      <c r="C590" s="1938" t="inlineStr">
        <is>
          <t>151</t>
        </is>
      </c>
      <c r="D590" s="1921">
        <f>B590/B591-1</f>
        <v/>
      </c>
      <c r="E590" s="1921">
        <f>C590/C591-1</f>
        <v/>
      </c>
      <c r="F590" s="1921">
        <f>$L$2/365</f>
        <v/>
      </c>
      <c r="G590" s="1921">
        <f>D590-F590</f>
        <v/>
      </c>
      <c r="H590" s="1921">
        <f>E590-F590</f>
        <v/>
      </c>
    </row>
    <row r="591" ht="14.25" customHeight="1">
      <c r="A591" s="1933" t="inlineStr">
        <is>
          <t>16/02/2024</t>
        </is>
      </c>
      <c r="B591" s="1563" t="n">
        <v>7336</v>
      </c>
      <c r="C591" s="1939" t="inlineStr">
        <is>
          <t>155</t>
        </is>
      </c>
      <c r="D591" s="1921">
        <f>B591/B592-1</f>
        <v/>
      </c>
      <c r="E591" s="1921">
        <f>C591/C592-1</f>
        <v/>
      </c>
      <c r="F591" s="1921">
        <f>$L$2/365</f>
        <v/>
      </c>
      <c r="G591" s="1921">
        <f>D591-F591</f>
        <v/>
      </c>
      <c r="H591" s="1921">
        <f>E591-F591</f>
        <v/>
      </c>
    </row>
    <row r="592" ht="14.25" customHeight="1">
      <c r="A592" s="1936" t="inlineStr">
        <is>
          <t>15/02/2024</t>
        </is>
      </c>
      <c r="B592" s="1563" t="n">
        <v>7303</v>
      </c>
      <c r="C592" s="1938" t="inlineStr">
        <is>
          <t>155</t>
        </is>
      </c>
      <c r="D592" s="1921">
        <f>B592/B593-1</f>
        <v/>
      </c>
      <c r="E592" s="1921">
        <f>C592/C593-1</f>
        <v/>
      </c>
      <c r="F592" s="1921">
        <f>$L$2/365</f>
        <v/>
      </c>
      <c r="G592" s="1921">
        <f>D592-F592</f>
        <v/>
      </c>
      <c r="H592" s="1921">
        <f>E592-F592</f>
        <v/>
      </c>
    </row>
    <row r="593" ht="14.25" customHeight="1">
      <c r="A593" s="1933" t="inlineStr">
        <is>
          <t>13/02/2024</t>
        </is>
      </c>
      <c r="B593" s="1563" t="n">
        <v>7210</v>
      </c>
      <c r="C593" s="1939" t="inlineStr">
        <is>
          <t>155</t>
        </is>
      </c>
      <c r="D593" s="1921">
        <f>B593/B594-1</f>
        <v/>
      </c>
      <c r="E593" s="1921">
        <f>C593/C594-1</f>
        <v/>
      </c>
      <c r="F593" s="1921">
        <f>$L$2/365</f>
        <v/>
      </c>
      <c r="G593" s="1921">
        <f>D593-F593</f>
        <v/>
      </c>
      <c r="H593" s="1921">
        <f>E593-F593</f>
        <v/>
      </c>
    </row>
    <row r="594" ht="14.25" customHeight="1">
      <c r="A594" s="1936" t="inlineStr">
        <is>
          <t>12/02/2024</t>
        </is>
      </c>
      <c r="B594" s="1563" t="n">
        <v>7298</v>
      </c>
      <c r="C594" s="1938" t="inlineStr">
        <is>
          <t>157</t>
        </is>
      </c>
      <c r="D594" s="1921">
        <f>B594/B595-1</f>
        <v/>
      </c>
      <c r="E594" s="1921">
        <f>C594/C595-1</f>
        <v/>
      </c>
      <c r="F594" s="1921">
        <f>$L$2/365</f>
        <v/>
      </c>
      <c r="G594" s="1921">
        <f>D594-F594</f>
        <v/>
      </c>
      <c r="H594" s="1921">
        <f>E594-F594</f>
        <v/>
      </c>
    </row>
    <row r="595" ht="14.25" customHeight="1">
      <c r="A595" s="1933" t="inlineStr">
        <is>
          <t>07/02/2024</t>
        </is>
      </c>
      <c r="B595" s="1563" t="n">
        <v>7235</v>
      </c>
      <c r="C595" s="1939" t="inlineStr">
        <is>
          <t>156</t>
        </is>
      </c>
      <c r="D595" s="1921">
        <f>B595/B596-1</f>
        <v/>
      </c>
      <c r="E595" s="1921">
        <f>C595/C596-1</f>
        <v/>
      </c>
      <c r="F595" s="1921">
        <f>$L$2/365</f>
        <v/>
      </c>
      <c r="G595" s="1921">
        <f>D595-F595</f>
        <v/>
      </c>
      <c r="H595" s="1921">
        <f>E595-F595</f>
        <v/>
      </c>
    </row>
    <row r="596" ht="14.25" customHeight="1">
      <c r="A596" s="1936" t="inlineStr">
        <is>
          <t>06/02/2024</t>
        </is>
      </c>
      <c r="B596" s="1563" t="n">
        <v>7247</v>
      </c>
      <c r="C596" s="1938" t="inlineStr">
        <is>
          <t>159</t>
        </is>
      </c>
      <c r="D596" s="1921">
        <f>B596/B597-1</f>
        <v/>
      </c>
      <c r="E596" s="1921">
        <f>C596/C597-1</f>
        <v/>
      </c>
      <c r="F596" s="1921">
        <f>$L$2/365</f>
        <v/>
      </c>
      <c r="G596" s="1921">
        <f>D596-F596</f>
        <v/>
      </c>
      <c r="H596" s="1921">
        <f>E596-F596</f>
        <v/>
      </c>
    </row>
    <row r="597" ht="14.25" customHeight="1">
      <c r="A597" s="1933" t="inlineStr">
        <is>
          <t>05/02/2024</t>
        </is>
      </c>
      <c r="B597" s="1563" t="n">
        <v>7199</v>
      </c>
      <c r="C597" s="1939" t="inlineStr">
        <is>
          <t>159</t>
        </is>
      </c>
      <c r="D597" s="1921">
        <f>B597/B598-1</f>
        <v/>
      </c>
      <c r="E597" s="1921">
        <f>C597/C598-1</f>
        <v/>
      </c>
      <c r="F597" s="1921">
        <f>$L$2/365</f>
        <v/>
      </c>
      <c r="G597" s="1921">
        <f>D597-F597</f>
        <v/>
      </c>
      <c r="H597" s="1921">
        <f>E597-F597</f>
        <v/>
      </c>
    </row>
    <row r="598" ht="14.25" customHeight="1">
      <c r="A598" s="1936" t="inlineStr">
        <is>
          <t>02/02/2024</t>
        </is>
      </c>
      <c r="B598" s="1563" t="n">
        <v>7239</v>
      </c>
      <c r="C598" s="1938" t="inlineStr">
        <is>
          <t>156</t>
        </is>
      </c>
      <c r="D598" s="1921">
        <f>B598/B599-1</f>
        <v/>
      </c>
      <c r="E598" s="1921">
        <f>C598/C599-1</f>
        <v/>
      </c>
      <c r="F598" s="1921">
        <f>$L$2/365</f>
        <v/>
      </c>
      <c r="G598" s="1921">
        <f>D598-F598</f>
        <v/>
      </c>
      <c r="H598" s="1921">
        <f>E598-F598</f>
        <v/>
      </c>
    </row>
    <row r="599" ht="14.25" customHeight="1">
      <c r="A599" s="1933" t="inlineStr">
        <is>
          <t>01/02/2024</t>
        </is>
      </c>
      <c r="B599" s="1563" t="n">
        <v>7202</v>
      </c>
      <c r="C599" s="1939" t="inlineStr">
        <is>
          <t>154</t>
        </is>
      </c>
      <c r="D599" s="1921">
        <f>B599/B600-1</f>
        <v/>
      </c>
      <c r="E599" s="1921">
        <f>C599/C600-1</f>
        <v/>
      </c>
      <c r="F599" s="1921">
        <f>$L$2/365</f>
        <v/>
      </c>
      <c r="G599" s="1921">
        <f>D599-F599</f>
        <v/>
      </c>
      <c r="H599" s="1921">
        <f>E599-F599</f>
        <v/>
      </c>
    </row>
    <row r="600" ht="14.25" customHeight="1">
      <c r="A600" s="1936" t="inlineStr">
        <is>
          <t>31/01/2024</t>
        </is>
      </c>
      <c r="B600" s="1563" t="n">
        <v>7208</v>
      </c>
      <c r="C600" s="1938" t="inlineStr">
        <is>
          <t>153</t>
        </is>
      </c>
      <c r="D600" s="1921">
        <f>B600/B601-1</f>
        <v/>
      </c>
      <c r="E600" s="1921">
        <f>C600/C601-1</f>
        <v/>
      </c>
      <c r="F600" s="1921">
        <f>$L$2/365</f>
        <v/>
      </c>
      <c r="G600" s="1921">
        <f>D600-F600</f>
        <v/>
      </c>
      <c r="H600" s="1921">
        <f>E600-F600</f>
        <v/>
      </c>
    </row>
    <row r="601" ht="14.25" customHeight="1">
      <c r="A601" s="1933" t="inlineStr">
        <is>
          <t>30/01/2024</t>
        </is>
      </c>
      <c r="B601" s="1563" t="n">
        <v>7192</v>
      </c>
      <c r="C601" s="1939" t="inlineStr">
        <is>
          <t>153</t>
        </is>
      </c>
      <c r="D601" s="1921">
        <f>B601/B602-1</f>
        <v/>
      </c>
      <c r="E601" s="1921">
        <f>C601/C602-1</f>
        <v/>
      </c>
      <c r="F601" s="1921">
        <f>$L$2/365</f>
        <v/>
      </c>
      <c r="G601" s="1921">
        <f>D601-F601</f>
        <v/>
      </c>
      <c r="H601" s="1921">
        <f>E601-F601</f>
        <v/>
      </c>
    </row>
    <row r="602" ht="14.25" customHeight="1">
      <c r="A602" s="1936" t="inlineStr">
        <is>
          <t>29/01/2024</t>
        </is>
      </c>
      <c r="B602" s="1563" t="n">
        <v>7157</v>
      </c>
      <c r="C602" s="1938" t="inlineStr">
        <is>
          <t>155</t>
        </is>
      </c>
      <c r="D602" s="1921">
        <f>B602/B603-1</f>
        <v/>
      </c>
      <c r="E602" s="1921">
        <f>C602/C603-1</f>
        <v/>
      </c>
      <c r="F602" s="1921">
        <f>$L$2/365</f>
        <v/>
      </c>
      <c r="G602" s="1921">
        <f>D602-F602</f>
        <v/>
      </c>
      <c r="H602" s="1921">
        <f>E602-F602</f>
        <v/>
      </c>
    </row>
    <row r="603" ht="14.25" customHeight="1">
      <c r="A603" s="1933" t="inlineStr">
        <is>
          <t>26/01/2024</t>
        </is>
      </c>
      <c r="B603" s="1563" t="n">
        <v>7137</v>
      </c>
      <c r="C603" s="1939" t="inlineStr">
        <is>
          <t>153</t>
        </is>
      </c>
      <c r="D603" s="1921">
        <f>B603/B604-1</f>
        <v/>
      </c>
      <c r="E603" s="1921">
        <f>C603/C604-1</f>
        <v/>
      </c>
      <c r="F603" s="1921">
        <f>$L$2/365</f>
        <v/>
      </c>
      <c r="G603" s="1921">
        <f>D603-F603</f>
        <v/>
      </c>
      <c r="H603" s="1921">
        <f>E603-F603</f>
        <v/>
      </c>
    </row>
    <row r="604" ht="14.25" customHeight="1">
      <c r="A604" s="1936" t="inlineStr">
        <is>
          <t>25/01/2024</t>
        </is>
      </c>
      <c r="B604" s="1563" t="n">
        <v>7178</v>
      </c>
      <c r="C604" s="1938" t="inlineStr">
        <is>
          <t>155</t>
        </is>
      </c>
      <c r="D604" s="1921">
        <f>B604/B605-1</f>
        <v/>
      </c>
      <c r="E604" s="1921">
        <f>C604/C605-1</f>
        <v/>
      </c>
      <c r="F604" s="1921">
        <f>$L$2/365</f>
        <v/>
      </c>
      <c r="G604" s="1921">
        <f>D604-F604</f>
        <v/>
      </c>
      <c r="H604" s="1921">
        <f>E604-F604</f>
        <v/>
      </c>
    </row>
    <row r="605" ht="14.25" customHeight="1">
      <c r="A605" s="1933" t="inlineStr">
        <is>
          <t>24/01/2024</t>
        </is>
      </c>
      <c r="B605" s="1563" t="n">
        <v>7228</v>
      </c>
      <c r="C605" s="1939" t="inlineStr">
        <is>
          <t>157</t>
        </is>
      </c>
      <c r="D605" s="1921">
        <f>B605/B606-1</f>
        <v/>
      </c>
      <c r="E605" s="1921">
        <f>C605/C606-1</f>
        <v/>
      </c>
      <c r="F605" s="1921">
        <f>$L$2/365</f>
        <v/>
      </c>
      <c r="G605" s="1921">
        <f>D605-F605</f>
        <v/>
      </c>
      <c r="H605" s="1921">
        <f>E605-F605</f>
        <v/>
      </c>
    </row>
    <row r="606" ht="14.25" customHeight="1">
      <c r="A606" s="1936" t="inlineStr">
        <is>
          <t>23/01/2024</t>
        </is>
      </c>
      <c r="B606" s="1563" t="n">
        <v>7256</v>
      </c>
      <c r="C606" s="1938" t="inlineStr">
        <is>
          <t>156</t>
        </is>
      </c>
      <c r="D606" s="1921">
        <f>B606/B607-1</f>
        <v/>
      </c>
      <c r="E606" s="1921">
        <f>C606/C607-1</f>
        <v/>
      </c>
      <c r="F606" s="1921">
        <f>$L$2/365</f>
        <v/>
      </c>
      <c r="G606" s="1921">
        <f>D606-F606</f>
        <v/>
      </c>
      <c r="H606" s="1921">
        <f>E606-F606</f>
        <v/>
      </c>
    </row>
    <row r="607" ht="14.25" customHeight="1">
      <c r="A607" s="1933" t="inlineStr">
        <is>
          <t>22/01/2024</t>
        </is>
      </c>
      <c r="B607" s="1563" t="n">
        <v>7248</v>
      </c>
      <c r="C607" s="1939" t="inlineStr">
        <is>
          <t>155</t>
        </is>
      </c>
      <c r="D607" s="1921">
        <f>B607/B608-1</f>
        <v/>
      </c>
      <c r="E607" s="1921">
        <f>C607/C608-1</f>
        <v/>
      </c>
      <c r="F607" s="1921">
        <f>$L$2/365</f>
        <v/>
      </c>
      <c r="G607" s="1921">
        <f>D607-F607</f>
        <v/>
      </c>
      <c r="H607" s="1921">
        <f>E607-F607</f>
        <v/>
      </c>
    </row>
    <row r="608" ht="14.25" customHeight="1">
      <c r="A608" s="1936" t="inlineStr">
        <is>
          <t>19/01/2024</t>
        </is>
      </c>
      <c r="B608" s="1563" t="n">
        <v>7227</v>
      </c>
      <c r="C608" s="1938" t="inlineStr">
        <is>
          <t>154</t>
        </is>
      </c>
      <c r="D608" s="1921">
        <f>B608/B609-1</f>
        <v/>
      </c>
      <c r="E608" s="1921">
        <f>C608/C609-1</f>
        <v/>
      </c>
      <c r="F608" s="1921">
        <f>$L$2/365</f>
        <v/>
      </c>
      <c r="G608" s="1921">
        <f>D608-F608</f>
        <v/>
      </c>
      <c r="H608" s="1921">
        <f>E608-F608</f>
        <v/>
      </c>
    </row>
    <row r="609" ht="14.25" customHeight="1">
      <c r="A609" s="1933" t="inlineStr">
        <is>
          <t>18/01/2024</t>
        </is>
      </c>
      <c r="B609" s="1563" t="n">
        <v>7253</v>
      </c>
      <c r="C609" s="1939" t="inlineStr">
        <is>
          <t>153</t>
        </is>
      </c>
      <c r="D609" s="1921">
        <f>B609/B610-1</f>
        <v/>
      </c>
      <c r="E609" s="1921">
        <f>C609/C610-1</f>
        <v/>
      </c>
      <c r="F609" s="1921">
        <f>$L$2/365</f>
        <v/>
      </c>
      <c r="G609" s="1921">
        <f>D609-F609</f>
        <v/>
      </c>
      <c r="H609" s="1921">
        <f>E609-F609</f>
        <v/>
      </c>
    </row>
    <row r="610" ht="14.25" customHeight="1">
      <c r="A610" s="1936" t="inlineStr">
        <is>
          <t>17/01/2024</t>
        </is>
      </c>
      <c r="B610" s="1563" t="n">
        <v>7201</v>
      </c>
      <c r="C610" s="1938" t="inlineStr">
        <is>
          <t>150</t>
        </is>
      </c>
      <c r="D610" s="1921">
        <f>B610/B611-1</f>
        <v/>
      </c>
      <c r="E610" s="1921">
        <f>C610/C611-1</f>
        <v/>
      </c>
      <c r="F610" s="1921">
        <f>$L$2/365</f>
        <v/>
      </c>
      <c r="G610" s="1921">
        <f>D610-F610</f>
        <v/>
      </c>
      <c r="H610" s="1921">
        <f>E610-F610</f>
        <v/>
      </c>
    </row>
    <row r="611" ht="14.25" customHeight="1">
      <c r="A611" s="1933" t="inlineStr">
        <is>
          <t>16/01/2024</t>
        </is>
      </c>
      <c r="B611" s="1563" t="n">
        <v>7243</v>
      </c>
      <c r="C611" s="1939" t="inlineStr">
        <is>
          <t>149</t>
        </is>
      </c>
      <c r="D611" s="1921">
        <f>B611/B612-1</f>
        <v/>
      </c>
      <c r="E611" s="1921">
        <f>C611/C612-1</f>
        <v/>
      </c>
      <c r="F611" s="1921">
        <f>$L$2/365</f>
        <v/>
      </c>
      <c r="G611" s="1921">
        <f>D611-F611</f>
        <v/>
      </c>
      <c r="H611" s="1921">
        <f>E611-F611</f>
        <v/>
      </c>
    </row>
    <row r="612" ht="14.25" customHeight="1">
      <c r="A612" s="1936" t="inlineStr">
        <is>
          <t>15/01/2024</t>
        </is>
      </c>
      <c r="B612" s="1563" t="n">
        <v>7224</v>
      </c>
      <c r="C612" s="1938" t="inlineStr">
        <is>
          <t>148</t>
        </is>
      </c>
      <c r="D612" s="1921">
        <f>B612/B613-1</f>
        <v/>
      </c>
      <c r="E612" s="1921">
        <f>C612/C613-1</f>
        <v/>
      </c>
      <c r="F612" s="1921">
        <f>$L$2/365</f>
        <v/>
      </c>
      <c r="G612" s="1921">
        <f>D612-F612</f>
        <v/>
      </c>
      <c r="H612" s="1921">
        <f>E612-F612</f>
        <v/>
      </c>
    </row>
    <row r="613" ht="14.25" customHeight="1">
      <c r="A613" s="1933" t="inlineStr">
        <is>
          <t>12/01/2024</t>
        </is>
      </c>
      <c r="B613" s="1563" t="n">
        <v>7241</v>
      </c>
      <c r="C613" s="1939" t="inlineStr">
        <is>
          <t>147</t>
        </is>
      </c>
      <c r="D613" s="1921">
        <f>B613/B614-1</f>
        <v/>
      </c>
      <c r="E613" s="1921">
        <f>C613/C614-1</f>
        <v/>
      </c>
      <c r="F613" s="1921">
        <f>$L$2/365</f>
        <v/>
      </c>
      <c r="G613" s="1921">
        <f>D613-F613</f>
        <v/>
      </c>
      <c r="H613" s="1921">
        <f>E613-F613</f>
        <v/>
      </c>
    </row>
    <row r="614" ht="14.25" customHeight="1">
      <c r="A614" s="1936" t="inlineStr">
        <is>
          <t>11/01/2024</t>
        </is>
      </c>
      <c r="B614" s="1563" t="n">
        <v>7220</v>
      </c>
      <c r="C614" s="1938" t="inlineStr">
        <is>
          <t>149</t>
        </is>
      </c>
      <c r="D614" s="1921">
        <f>B614/B615-1</f>
        <v/>
      </c>
      <c r="E614" s="1921">
        <f>C614/C615-1</f>
        <v/>
      </c>
      <c r="F614" s="1921">
        <f>$L$2/365</f>
        <v/>
      </c>
      <c r="G614" s="1921">
        <f>D614-F614</f>
        <v/>
      </c>
      <c r="H614" s="1921">
        <f>E614-F614</f>
        <v/>
      </c>
    </row>
    <row r="615" ht="14.25" customHeight="1">
      <c r="A615" s="1933" t="inlineStr">
        <is>
          <t>10/01/2024</t>
        </is>
      </c>
      <c r="B615" s="1563" t="n">
        <v>7227</v>
      </c>
      <c r="C615" s="1939" t="inlineStr">
        <is>
          <t>148</t>
        </is>
      </c>
      <c r="D615" s="1921">
        <f>B615/B616-1</f>
        <v/>
      </c>
      <c r="E615" s="1921">
        <f>C615/C616-1</f>
        <v/>
      </c>
      <c r="F615" s="1921">
        <f>$L$2/365</f>
        <v/>
      </c>
      <c r="G615" s="1921">
        <f>D615-F615</f>
        <v/>
      </c>
      <c r="H615" s="1921">
        <f>E615-F615</f>
        <v/>
      </c>
    </row>
    <row r="616" ht="14.25" customHeight="1">
      <c r="A616" s="1936" t="inlineStr">
        <is>
          <t>09/01/2024</t>
        </is>
      </c>
      <c r="B616" s="1563" t="n">
        <v>7200</v>
      </c>
      <c r="C616" s="1938" t="inlineStr">
        <is>
          <t>151</t>
        </is>
      </c>
      <c r="D616" s="1921">
        <f>B616/B617-1</f>
        <v/>
      </c>
      <c r="E616" s="1921">
        <f>C616/C617-1</f>
        <v/>
      </c>
      <c r="F616" s="1921">
        <f>$L$2/365</f>
        <v/>
      </c>
      <c r="G616" s="1921">
        <f>D616-F616</f>
        <v/>
      </c>
      <c r="H616" s="1921">
        <f>E616-F616</f>
        <v/>
      </c>
    </row>
    <row r="617" ht="14.25" customHeight="1">
      <c r="A617" s="1933" t="inlineStr">
        <is>
          <t>08/01/2024</t>
        </is>
      </c>
      <c r="B617" s="1563" t="n">
        <v>7284</v>
      </c>
      <c r="C617" s="1939" t="inlineStr">
        <is>
          <t>154</t>
        </is>
      </c>
      <c r="D617" s="1921">
        <f>B617/B618-1</f>
        <v/>
      </c>
      <c r="E617" s="1921">
        <f>C617/C618-1</f>
        <v/>
      </c>
      <c r="F617" s="1921">
        <f>$L$2/365</f>
        <v/>
      </c>
      <c r="G617" s="1921">
        <f>D617-F617</f>
        <v/>
      </c>
      <c r="H617" s="1921">
        <f>E617-F617</f>
        <v/>
      </c>
    </row>
    <row r="618" ht="14.25" customHeight="1">
      <c r="A618" s="1936" t="inlineStr">
        <is>
          <t>05/01/2024</t>
        </is>
      </c>
      <c r="B618" s="1563" t="n">
        <v>7351</v>
      </c>
      <c r="C618" s="1938" t="inlineStr">
        <is>
          <t>154</t>
        </is>
      </c>
      <c r="D618" s="1921">
        <f>B618/B619-1</f>
        <v/>
      </c>
      <c r="E618" s="1921">
        <f>C618/C619-1</f>
        <v/>
      </c>
      <c r="F618" s="1921">
        <f>$L$2/365</f>
        <v/>
      </c>
      <c r="G618" s="1921">
        <f>D618-F618</f>
        <v/>
      </c>
      <c r="H618" s="1921">
        <f>E618-F618</f>
        <v/>
      </c>
    </row>
    <row r="619" ht="14.25" customHeight="1">
      <c r="A619" s="1933" t="inlineStr">
        <is>
          <t>04/01/2024</t>
        </is>
      </c>
      <c r="B619" s="1563" t="n">
        <v>7360</v>
      </c>
      <c r="C619" s="1939" t="inlineStr">
        <is>
          <t>155</t>
        </is>
      </c>
      <c r="D619" s="1921">
        <f>B619/B620-1</f>
        <v/>
      </c>
      <c r="E619" s="1921">
        <f>C619/C620-1</f>
        <v/>
      </c>
      <c r="F619" s="1921">
        <f>$L$2/365</f>
        <v/>
      </c>
      <c r="G619" s="1921">
        <f>D619-F619</f>
        <v/>
      </c>
      <c r="H619" s="1921">
        <f>E619-F619</f>
        <v/>
      </c>
    </row>
    <row r="620" ht="14.25" customHeight="1">
      <c r="A620" s="1936" t="inlineStr">
        <is>
          <t>03/01/2024</t>
        </is>
      </c>
      <c r="B620" s="1563" t="n">
        <v>7279</v>
      </c>
      <c r="C620" s="1938" t="inlineStr">
        <is>
          <t>155</t>
        </is>
      </c>
      <c r="D620" s="1921">
        <f>B620/B621-1</f>
        <v/>
      </c>
      <c r="E620" s="1921">
        <f>C620/C621-1</f>
        <v/>
      </c>
      <c r="F620" s="1921">
        <f>$L$2/365</f>
        <v/>
      </c>
      <c r="G620" s="1921">
        <f>D620-F620</f>
        <v/>
      </c>
      <c r="H620" s="1921">
        <f>E620-F620</f>
        <v/>
      </c>
    </row>
    <row r="621" ht="14.25" customHeight="1">
      <c r="A621" s="1933" t="inlineStr">
        <is>
          <t>02/01/2024</t>
        </is>
      </c>
      <c r="B621" s="1563" t="n">
        <v>7324</v>
      </c>
      <c r="C621" s="1939" t="inlineStr">
        <is>
          <t>155</t>
        </is>
      </c>
      <c r="D621" s="1921">
        <f>B621/B622-1</f>
        <v/>
      </c>
      <c r="E621" s="1921">
        <f>C621/C622-1</f>
        <v/>
      </c>
      <c r="F621" s="1921">
        <f>$L$2/365</f>
        <v/>
      </c>
      <c r="G621" s="1921">
        <f>D621-F621</f>
        <v/>
      </c>
      <c r="H621" s="1921">
        <f>E621-F621</f>
        <v/>
      </c>
    </row>
    <row r="622" ht="14.25" customHeight="1">
      <c r="A622" s="1936" t="inlineStr">
        <is>
          <t>29/12/2023</t>
        </is>
      </c>
      <c r="B622" s="1563" t="n">
        <v>7273</v>
      </c>
      <c r="C622" s="1938" t="inlineStr">
        <is>
          <t>154</t>
        </is>
      </c>
      <c r="D622" s="1921">
        <f>B622/B623-1</f>
        <v/>
      </c>
      <c r="E622" s="1921">
        <f>C622/C623-1</f>
        <v/>
      </c>
      <c r="F622" s="1921">
        <f>$L$2/365</f>
        <v/>
      </c>
      <c r="G622" s="1921">
        <f>D622-F622</f>
        <v/>
      </c>
      <c r="H622" s="1921">
        <f>E622-F622</f>
        <v/>
      </c>
    </row>
    <row r="623" ht="14.25" customHeight="1">
      <c r="A623" s="1933" t="inlineStr">
        <is>
          <t>28/12/2023</t>
        </is>
      </c>
      <c r="B623" s="1563" t="n">
        <v>7304</v>
      </c>
      <c r="C623" s="1939" t="inlineStr">
        <is>
          <t>153</t>
        </is>
      </c>
      <c r="D623" s="1921">
        <f>B623/B624-1</f>
        <v/>
      </c>
      <c r="E623" s="1921">
        <f>C623/C624-1</f>
        <v/>
      </c>
      <c r="F623" s="1921">
        <f>$L$2/365</f>
        <v/>
      </c>
      <c r="G623" s="1921">
        <f>D623-F623</f>
        <v/>
      </c>
      <c r="H623" s="1921">
        <f>E623-F623</f>
        <v/>
      </c>
    </row>
    <row r="624" ht="14.25" customHeight="1">
      <c r="A624" s="1936" t="inlineStr">
        <is>
          <t>27/12/2023</t>
        </is>
      </c>
      <c r="B624" s="1563" t="n">
        <v>7246</v>
      </c>
      <c r="C624" s="1938" t="inlineStr">
        <is>
          <t>154</t>
        </is>
      </c>
      <c r="D624" s="1921">
        <f>B624/B625-1</f>
        <v/>
      </c>
      <c r="E624" s="1921">
        <f>C624/C625-1</f>
        <v/>
      </c>
      <c r="F624" s="1921">
        <f>$L$2/365</f>
        <v/>
      </c>
      <c r="G624" s="1921">
        <f>D624-F624</f>
        <v/>
      </c>
      <c r="H624" s="1921">
        <f>E624-F624</f>
        <v/>
      </c>
    </row>
    <row r="625" ht="14.25" customHeight="1">
      <c r="A625" s="1933" t="inlineStr">
        <is>
          <t>22/12/2023</t>
        </is>
      </c>
      <c r="B625" s="1563" t="n">
        <v>7238</v>
      </c>
      <c r="C625" s="1939" t="inlineStr">
        <is>
          <t>153</t>
        </is>
      </c>
      <c r="D625" s="1921">
        <f>B625/B626-1</f>
        <v/>
      </c>
      <c r="E625" s="1921">
        <f>C625/C626-1</f>
        <v/>
      </c>
      <c r="F625" s="1921">
        <f>$L$2/365</f>
        <v/>
      </c>
      <c r="G625" s="1921">
        <f>D625-F625</f>
        <v/>
      </c>
      <c r="H625" s="1921">
        <f>E625-F625</f>
        <v/>
      </c>
    </row>
    <row r="626" ht="14.25" customHeight="1">
      <c r="A626" s="1936" t="inlineStr">
        <is>
          <t>21/12/2023</t>
        </is>
      </c>
      <c r="B626" s="1563" t="n">
        <v>7210</v>
      </c>
      <c r="C626" s="1938" t="inlineStr">
        <is>
          <t>153</t>
        </is>
      </c>
      <c r="D626" s="1921">
        <f>B626/B627-1</f>
        <v/>
      </c>
      <c r="E626" s="1921">
        <f>C626/C627-1</f>
        <v/>
      </c>
      <c r="F626" s="1921">
        <f>$L$2/365</f>
        <v/>
      </c>
      <c r="G626" s="1921">
        <f>D626-F626</f>
        <v/>
      </c>
      <c r="H626" s="1921">
        <f>E626-F626</f>
        <v/>
      </c>
    </row>
    <row r="627" ht="14.25" customHeight="1">
      <c r="A627" s="1933" t="inlineStr">
        <is>
          <t>20/12/2023</t>
        </is>
      </c>
      <c r="B627" s="1563" t="n">
        <v>7220</v>
      </c>
      <c r="C627" s="1939" t="inlineStr">
        <is>
          <t>154</t>
        </is>
      </c>
      <c r="D627" s="1921">
        <f>B627/B628-1</f>
        <v/>
      </c>
      <c r="E627" s="1921">
        <f>C627/C628-1</f>
        <v/>
      </c>
      <c r="F627" s="1921">
        <f>$L$2/365</f>
        <v/>
      </c>
      <c r="G627" s="1921">
        <f>D627-F627</f>
        <v/>
      </c>
      <c r="H627" s="1921">
        <f>E627-F627</f>
        <v/>
      </c>
    </row>
    <row r="628" ht="14.25" customHeight="1">
      <c r="A628" s="1936" t="inlineStr">
        <is>
          <t>19/12/2023</t>
        </is>
      </c>
      <c r="B628" s="1563" t="n">
        <v>7188</v>
      </c>
      <c r="C628" s="1938" t="inlineStr">
        <is>
          <t>154</t>
        </is>
      </c>
      <c r="D628" s="1921">
        <f>B628/B629-1</f>
        <v/>
      </c>
      <c r="E628" s="1921">
        <f>C628/C629-1</f>
        <v/>
      </c>
      <c r="F628" s="1921">
        <f>$L$2/365</f>
        <v/>
      </c>
      <c r="G628" s="1921">
        <f>D628-F628</f>
        <v/>
      </c>
      <c r="H628" s="1921">
        <f>E628-F628</f>
        <v/>
      </c>
    </row>
    <row r="629" ht="14.25" customHeight="1">
      <c r="A629" s="1933" t="inlineStr">
        <is>
          <t>18/12/2023</t>
        </is>
      </c>
      <c r="B629" s="1563" t="n">
        <v>7120</v>
      </c>
      <c r="C629" s="1939" t="inlineStr">
        <is>
          <t>154</t>
        </is>
      </c>
      <c r="D629" s="1921">
        <f>B629/B630-1</f>
        <v/>
      </c>
      <c r="E629" s="1921">
        <f>C629/C630-1</f>
        <v/>
      </c>
      <c r="F629" s="1921">
        <f>$L$2/365</f>
        <v/>
      </c>
      <c r="G629" s="1921">
        <f>D629-F629</f>
        <v/>
      </c>
      <c r="H629" s="1921">
        <f>E629-F629</f>
        <v/>
      </c>
    </row>
    <row r="630" ht="14.25" customHeight="1">
      <c r="A630" s="1936" t="inlineStr">
        <is>
          <t>15/12/2023</t>
        </is>
      </c>
      <c r="B630" s="1563" t="n">
        <v>7191</v>
      </c>
      <c r="C630" s="1938" t="inlineStr">
        <is>
          <t>155</t>
        </is>
      </c>
      <c r="D630" s="1921">
        <f>B630/B631-1</f>
        <v/>
      </c>
      <c r="E630" s="1921">
        <f>C630/C631-1</f>
        <v/>
      </c>
      <c r="F630" s="1921">
        <f>$L$2/365</f>
        <v/>
      </c>
      <c r="G630" s="1921">
        <f>D630-F630</f>
        <v/>
      </c>
      <c r="H630" s="1921">
        <f>E630-F630</f>
        <v/>
      </c>
    </row>
    <row r="631" ht="14.25" customHeight="1">
      <c r="A631" s="1933" t="inlineStr">
        <is>
          <t>14/12/2023</t>
        </is>
      </c>
      <c r="B631" s="1563" t="n">
        <v>7176</v>
      </c>
      <c r="C631" s="1939" t="inlineStr">
        <is>
          <t>158</t>
        </is>
      </c>
      <c r="D631" s="1921">
        <f>B631/B632-1</f>
        <v/>
      </c>
      <c r="E631" s="1921">
        <f>C631/C632-1</f>
        <v/>
      </c>
      <c r="F631" s="1921">
        <f>$L$2/365</f>
        <v/>
      </c>
      <c r="G631" s="1921">
        <f>D631-F631</f>
        <v/>
      </c>
      <c r="H631" s="1921">
        <f>E631-F631</f>
        <v/>
      </c>
    </row>
    <row r="632" ht="14.25" customHeight="1">
      <c r="A632" s="1936" t="inlineStr">
        <is>
          <t>13/12/2023</t>
        </is>
      </c>
      <c r="B632" s="1563" t="n">
        <v>7075</v>
      </c>
      <c r="C632" s="1938" t="inlineStr">
        <is>
          <t>158</t>
        </is>
      </c>
      <c r="D632" s="1921">
        <f>B632/B633-1</f>
        <v/>
      </c>
      <c r="E632" s="1921">
        <f>C632/C633-1</f>
        <v/>
      </c>
      <c r="F632" s="1921">
        <f>$L$2/365</f>
        <v/>
      </c>
      <c r="G632" s="1921">
        <f>D632-F632</f>
        <v/>
      </c>
      <c r="H632" s="1921">
        <f>E632-F632</f>
        <v/>
      </c>
    </row>
    <row r="633" ht="14.25" customHeight="1">
      <c r="A633" s="1933" t="inlineStr">
        <is>
          <t>12/12/2023</t>
        </is>
      </c>
      <c r="B633" s="1563" t="n">
        <v>7125</v>
      </c>
      <c r="C633" s="1939" t="inlineStr">
        <is>
          <t>160</t>
        </is>
      </c>
      <c r="D633" s="1921">
        <f>B633/B634-1</f>
        <v/>
      </c>
      <c r="E633" s="1921">
        <f>C633/C634-1</f>
        <v/>
      </c>
      <c r="F633" s="1921">
        <f>$L$2/365</f>
        <v/>
      </c>
      <c r="G633" s="1921">
        <f>D633-F633</f>
        <v/>
      </c>
      <c r="H633" s="1921">
        <f>E633-F633</f>
        <v/>
      </c>
    </row>
    <row r="634" ht="14.25" customHeight="1">
      <c r="A634" s="1936" t="inlineStr">
        <is>
          <t>11/12/2023</t>
        </is>
      </c>
      <c r="B634" s="1563" t="n">
        <v>7089</v>
      </c>
      <c r="C634" s="1938" t="inlineStr">
        <is>
          <t>160</t>
        </is>
      </c>
      <c r="D634" s="1921">
        <f>B634/B635-1</f>
        <v/>
      </c>
      <c r="E634" s="1921">
        <f>C634/C635-1</f>
        <v/>
      </c>
      <c r="F634" s="1921">
        <f>$L$2/365</f>
        <v/>
      </c>
      <c r="G634" s="1921">
        <f>D634-F634</f>
        <v/>
      </c>
      <c r="H634" s="1921">
        <f>E634-F634</f>
        <v/>
      </c>
    </row>
    <row r="635" ht="14.25" customHeight="1">
      <c r="A635" s="1933" t="inlineStr">
        <is>
          <t>08/12/2023</t>
        </is>
      </c>
      <c r="B635" s="1563" t="n">
        <v>7160</v>
      </c>
      <c r="C635" s="1939" t="inlineStr">
        <is>
          <t>158</t>
        </is>
      </c>
      <c r="D635" s="1921">
        <f>B635/B636-1</f>
        <v/>
      </c>
      <c r="E635" s="1921">
        <f>C635/C636-1</f>
        <v/>
      </c>
      <c r="F635" s="1921">
        <f>$L$2/365</f>
        <v/>
      </c>
      <c r="G635" s="1921">
        <f>D635-F635</f>
        <v/>
      </c>
      <c r="H635" s="1921">
        <f>E635-F635</f>
        <v/>
      </c>
    </row>
    <row r="636" ht="14.25" customHeight="1">
      <c r="A636" s="1936" t="inlineStr">
        <is>
          <t>07/12/2023</t>
        </is>
      </c>
      <c r="B636" s="1563" t="n">
        <v>7135</v>
      </c>
      <c r="C636" s="1938" t="inlineStr">
        <is>
          <t>157</t>
        </is>
      </c>
      <c r="D636" s="1921">
        <f>B636/B637-1</f>
        <v/>
      </c>
      <c r="E636" s="1921">
        <f>C636/C637-1</f>
        <v/>
      </c>
      <c r="F636" s="1921">
        <f>$L$2/365</f>
        <v/>
      </c>
      <c r="G636" s="1921">
        <f>D636-F636</f>
        <v/>
      </c>
      <c r="H636" s="1921">
        <f>E636-F636</f>
        <v/>
      </c>
    </row>
    <row r="637" ht="14.25" customHeight="1">
      <c r="A637" s="1933" t="inlineStr">
        <is>
          <t>06/12/2023</t>
        </is>
      </c>
      <c r="B637" s="1563" t="n">
        <v>7087</v>
      </c>
      <c r="C637" s="1939" t="inlineStr">
        <is>
          <t>158</t>
        </is>
      </c>
      <c r="D637" s="1921">
        <f>B637/B638-1</f>
        <v/>
      </c>
      <c r="E637" s="1921">
        <f>C637/C638-1</f>
        <v/>
      </c>
      <c r="F637" s="1921">
        <f>$L$2/365</f>
        <v/>
      </c>
      <c r="G637" s="1921">
        <f>D637-F637</f>
        <v/>
      </c>
      <c r="H637" s="1921">
        <f>E637-F637</f>
        <v/>
      </c>
    </row>
    <row r="638" ht="14.25" customHeight="1">
      <c r="A638" s="1936" t="inlineStr">
        <is>
          <t>05/12/2023</t>
        </is>
      </c>
      <c r="B638" s="1563" t="n">
        <v>7101</v>
      </c>
      <c r="C638" s="1938" t="inlineStr">
        <is>
          <t>159</t>
        </is>
      </c>
      <c r="D638" s="1921">
        <f>B638/B639-1</f>
        <v/>
      </c>
      <c r="E638" s="1921">
        <f>C638/C639-1</f>
        <v/>
      </c>
      <c r="F638" s="1921">
        <f>$L$2/365</f>
        <v/>
      </c>
      <c r="G638" s="1921">
        <f>D638-F638</f>
        <v/>
      </c>
      <c r="H638" s="1921">
        <f>E638-F638</f>
        <v/>
      </c>
    </row>
    <row r="639" ht="14.25" customHeight="1">
      <c r="A639" s="1933" t="inlineStr">
        <is>
          <t>04/12/2023</t>
        </is>
      </c>
      <c r="B639" s="1563" t="n">
        <v>7094</v>
      </c>
      <c r="C639" s="1939" t="inlineStr">
        <is>
          <t>159</t>
        </is>
      </c>
      <c r="D639" s="1921">
        <f>B639/B640-1</f>
        <v/>
      </c>
      <c r="E639" s="1921">
        <f>C639/C640-1</f>
        <v/>
      </c>
      <c r="F639" s="1921">
        <f>$L$2/365</f>
        <v/>
      </c>
      <c r="G639" s="1921">
        <f>D639-F639</f>
        <v/>
      </c>
      <c r="H639" s="1921">
        <f>E639-F639</f>
        <v/>
      </c>
    </row>
    <row r="640" ht="14.25" customHeight="1">
      <c r="A640" s="1936" t="inlineStr">
        <is>
          <t>01/12/2023</t>
        </is>
      </c>
      <c r="B640" s="1563" t="n">
        <v>7060</v>
      </c>
      <c r="C640" s="1938" t="inlineStr">
        <is>
          <t>161</t>
        </is>
      </c>
      <c r="D640" s="1921">
        <f>B640/B641-1</f>
        <v/>
      </c>
      <c r="E640" s="1921">
        <f>C640/C641-1</f>
        <v/>
      </c>
      <c r="F640" s="1921">
        <f>$L$2/365</f>
        <v/>
      </c>
      <c r="G640" s="1921">
        <f>D640-F640</f>
        <v/>
      </c>
      <c r="H640" s="1921">
        <f>E640-F640</f>
        <v/>
      </c>
    </row>
    <row r="641" ht="14.25" customHeight="1">
      <c r="A641" s="1933" t="inlineStr">
        <is>
          <t>30/11/2023</t>
        </is>
      </c>
      <c r="B641" s="1563" t="n">
        <v>7081</v>
      </c>
      <c r="C641" s="1939" t="inlineStr">
        <is>
          <t>162</t>
        </is>
      </c>
      <c r="D641" s="1921">
        <f>B641/B642-1</f>
        <v/>
      </c>
      <c r="E641" s="1921">
        <f>C641/C642-1</f>
        <v/>
      </c>
      <c r="F641" s="1921">
        <f>$L$2/365</f>
        <v/>
      </c>
      <c r="G641" s="1921">
        <f>D641-F641</f>
        <v/>
      </c>
      <c r="H641" s="1921">
        <f>E641-F641</f>
        <v/>
      </c>
    </row>
    <row r="642" ht="14.25" customHeight="1">
      <c r="A642" s="1936" t="inlineStr">
        <is>
          <t>29/11/2023</t>
        </is>
      </c>
      <c r="B642" s="1563" t="n">
        <v>7036</v>
      </c>
      <c r="C642" s="1938" t="inlineStr">
        <is>
          <t>164</t>
        </is>
      </c>
      <c r="D642" s="1921">
        <f>B642/B643-1</f>
        <v/>
      </c>
      <c r="E642" s="1921">
        <f>C642/C643-1</f>
        <v/>
      </c>
      <c r="F642" s="1921">
        <f>$L$2/365</f>
        <v/>
      </c>
      <c r="G642" s="1921">
        <f>D642-F642</f>
        <v/>
      </c>
      <c r="H642" s="1921">
        <f>E642-F642</f>
        <v/>
      </c>
    </row>
    <row r="643" ht="14.25" customHeight="1">
      <c r="A643" s="1933" t="inlineStr">
        <is>
          <t>28/11/2023</t>
        </is>
      </c>
      <c r="B643" s="1563" t="n">
        <v>7041</v>
      </c>
      <c r="C643" s="1939" t="inlineStr">
        <is>
          <t>166</t>
        </is>
      </c>
      <c r="D643" s="1921">
        <f>B643/B644-1</f>
        <v/>
      </c>
      <c r="E643" s="1921">
        <f>C643/C644-1</f>
        <v/>
      </c>
      <c r="F643" s="1921">
        <f>$L$2/365</f>
        <v/>
      </c>
      <c r="G643" s="1921">
        <f>D643-F643</f>
        <v/>
      </c>
      <c r="H643" s="1921">
        <f>E643-F643</f>
        <v/>
      </c>
    </row>
    <row r="644" ht="14.25" customHeight="1">
      <c r="A644" s="1936" t="inlineStr">
        <is>
          <t>27/11/2023</t>
        </is>
      </c>
      <c r="B644" s="1563" t="n">
        <v>7013</v>
      </c>
      <c r="C644" s="1938" t="inlineStr">
        <is>
          <t>166</t>
        </is>
      </c>
      <c r="D644" s="1921">
        <f>B644/B645-1</f>
        <v/>
      </c>
      <c r="E644" s="1921">
        <f>C644/C645-1</f>
        <v/>
      </c>
      <c r="F644" s="1921">
        <f>$L$2/365</f>
        <v/>
      </c>
      <c r="G644" s="1921">
        <f>D644-F644</f>
        <v/>
      </c>
      <c r="H644" s="1921">
        <f>E644-F644</f>
        <v/>
      </c>
    </row>
    <row r="645" ht="14.25" customHeight="1">
      <c r="A645" s="1933" t="inlineStr">
        <is>
          <t>24/11/2023</t>
        </is>
      </c>
      <c r="B645" s="1563" t="n">
        <v>7010</v>
      </c>
      <c r="C645" s="1939" t="inlineStr">
        <is>
          <t>167</t>
        </is>
      </c>
      <c r="D645" s="1921">
        <f>B645/B646-1</f>
        <v/>
      </c>
      <c r="E645" s="1921">
        <f>C645/C646-1</f>
        <v/>
      </c>
      <c r="F645" s="1921">
        <f>$L$2/365</f>
        <v/>
      </c>
      <c r="G645" s="1921">
        <f>D645-F645</f>
        <v/>
      </c>
      <c r="H645" s="1921">
        <f>E645-F645</f>
        <v/>
      </c>
    </row>
    <row r="646" ht="14.25" customHeight="1">
      <c r="A646" s="1936" t="inlineStr">
        <is>
          <t>23/11/2023</t>
        </is>
      </c>
      <c r="B646" s="1563" t="n">
        <v>7004</v>
      </c>
      <c r="C646" s="1938" t="inlineStr">
        <is>
          <t>167</t>
        </is>
      </c>
      <c r="D646" s="1921">
        <f>B646/B647-1</f>
        <v/>
      </c>
      <c r="E646" s="1921">
        <f>C646/C647-1</f>
        <v/>
      </c>
      <c r="F646" s="1921">
        <f>$L$2/365</f>
        <v/>
      </c>
      <c r="G646" s="1921">
        <f>D646-F646</f>
        <v/>
      </c>
      <c r="H646" s="1921">
        <f>E646-F646</f>
        <v/>
      </c>
    </row>
    <row r="647" ht="14.25" customHeight="1">
      <c r="A647" s="1933" t="inlineStr">
        <is>
          <t>22/11/2023</t>
        </is>
      </c>
      <c r="B647" s="1563" t="n">
        <v>6907</v>
      </c>
      <c r="C647" s="1939" t="inlineStr">
        <is>
          <t>166</t>
        </is>
      </c>
      <c r="D647" s="1921">
        <f>B647/B648-1</f>
        <v/>
      </c>
      <c r="E647" s="1921">
        <f>C647/C648-1</f>
        <v/>
      </c>
      <c r="F647" s="1921">
        <f>$L$2/365</f>
        <v/>
      </c>
      <c r="G647" s="1921">
        <f>D647-F647</f>
        <v/>
      </c>
      <c r="H647" s="1921">
        <f>E647-F647</f>
        <v/>
      </c>
    </row>
    <row r="648" ht="14.25" customHeight="1">
      <c r="A648" s="1936" t="inlineStr">
        <is>
          <t>21/11/2023</t>
        </is>
      </c>
      <c r="B648" s="1563" t="n">
        <v>6962</v>
      </c>
      <c r="C648" s="1938" t="inlineStr">
        <is>
          <t>170</t>
        </is>
      </c>
      <c r="D648" s="1921">
        <f>B648/B649-1</f>
        <v/>
      </c>
      <c r="E648" s="1921">
        <f>C648/C649-1</f>
        <v/>
      </c>
      <c r="F648" s="1921">
        <f>$L$2/365</f>
        <v/>
      </c>
      <c r="G648" s="1921">
        <f>D648-F648</f>
        <v/>
      </c>
      <c r="H648" s="1921">
        <f>E648-F648</f>
        <v/>
      </c>
    </row>
    <row r="649" ht="14.25" customHeight="1">
      <c r="A649" s="1933" t="inlineStr">
        <is>
          <t>20/11/2023</t>
        </is>
      </c>
      <c r="B649" s="1563" t="n">
        <v>6995</v>
      </c>
      <c r="C649" s="1939" t="inlineStr">
        <is>
          <t>169</t>
        </is>
      </c>
      <c r="D649" s="1921">
        <f>B649/B650-1</f>
        <v/>
      </c>
      <c r="E649" s="1921">
        <f>C649/C650-1</f>
        <v/>
      </c>
      <c r="F649" s="1921">
        <f>$L$2/365</f>
        <v/>
      </c>
      <c r="G649" s="1921">
        <f>D649-F649</f>
        <v/>
      </c>
      <c r="H649" s="1921">
        <f>E649-F649</f>
        <v/>
      </c>
    </row>
    <row r="650" ht="14.25" customHeight="1">
      <c r="A650" s="1936" t="inlineStr">
        <is>
          <t>17/11/2023</t>
        </is>
      </c>
      <c r="B650" s="1563" t="n">
        <v>6978</v>
      </c>
      <c r="C650" s="1938" t="inlineStr">
        <is>
          <t>171</t>
        </is>
      </c>
      <c r="D650" s="1921">
        <f>B650/B651-1</f>
        <v/>
      </c>
      <c r="E650" s="1921">
        <f>C650/C651-1</f>
        <v/>
      </c>
      <c r="F650" s="1921">
        <f>$L$2/365</f>
        <v/>
      </c>
      <c r="G650" s="1921">
        <f>D650-F650</f>
        <v/>
      </c>
      <c r="H650" s="1921">
        <f>E650-F650</f>
        <v/>
      </c>
    </row>
    <row r="651" ht="14.25" customHeight="1">
      <c r="A651" s="1933" t="inlineStr">
        <is>
          <t>16/11/2023</t>
        </is>
      </c>
      <c r="B651" s="1563" t="n">
        <v>6958</v>
      </c>
      <c r="C651" s="1939" t="inlineStr">
        <is>
          <t>172</t>
        </is>
      </c>
      <c r="D651" s="1921">
        <f>B651/B652-1</f>
        <v/>
      </c>
      <c r="E651" s="1921">
        <f>C651/C652-1</f>
        <v/>
      </c>
      <c r="F651" s="1921">
        <f>$L$2/365</f>
        <v/>
      </c>
      <c r="G651" s="1921">
        <f>D651-F651</f>
        <v/>
      </c>
      <c r="H651" s="1921">
        <f>E651-F651</f>
        <v/>
      </c>
    </row>
    <row r="652" ht="14.25" customHeight="1">
      <c r="A652" s="1936" t="inlineStr">
        <is>
          <t>15/11/2023</t>
        </is>
      </c>
      <c r="B652" s="1563" t="n">
        <v>6958</v>
      </c>
      <c r="C652" s="1938" t="inlineStr">
        <is>
          <t>172</t>
        </is>
      </c>
      <c r="D652" s="1921">
        <f>B652/B653-1</f>
        <v/>
      </c>
      <c r="E652" s="1921">
        <f>C652/C653-1</f>
        <v/>
      </c>
      <c r="F652" s="1921">
        <f>$L$2/365</f>
        <v/>
      </c>
      <c r="G652" s="1921">
        <f>D652-F652</f>
        <v/>
      </c>
      <c r="H652" s="1921">
        <f>E652-F652</f>
        <v/>
      </c>
    </row>
    <row r="653" ht="14.25" customHeight="1">
      <c r="A653" s="1933" t="inlineStr">
        <is>
          <t>14/11/2023</t>
        </is>
      </c>
      <c r="B653" s="1563" t="n">
        <v>6862</v>
      </c>
      <c r="C653" s="1939" t="inlineStr">
        <is>
          <t>171</t>
        </is>
      </c>
      <c r="D653" s="1921">
        <f>B653/B654-1</f>
        <v/>
      </c>
      <c r="E653" s="1921">
        <f>C653/C654-1</f>
        <v/>
      </c>
      <c r="F653" s="1921">
        <f>$L$2/365</f>
        <v/>
      </c>
      <c r="G653" s="1921">
        <f>D653-F653</f>
        <v/>
      </c>
      <c r="H653" s="1921">
        <f>E653-F653</f>
        <v/>
      </c>
    </row>
    <row r="654" ht="14.25" customHeight="1">
      <c r="A654" s="1936" t="inlineStr">
        <is>
          <t>13/11/2023</t>
        </is>
      </c>
      <c r="B654" s="1563" t="n">
        <v>6838</v>
      </c>
      <c r="C654" s="1938" t="inlineStr">
        <is>
          <t>165</t>
        </is>
      </c>
      <c r="D654" s="1921">
        <f>B654/B655-1</f>
        <v/>
      </c>
      <c r="E654" s="1921">
        <f>C654/C655-1</f>
        <v/>
      </c>
      <c r="F654" s="1921">
        <f>$L$2/365</f>
        <v/>
      </c>
      <c r="G654" s="1921">
        <f>D654-F654</f>
        <v/>
      </c>
      <c r="H654" s="1921">
        <f>E654-F654</f>
        <v/>
      </c>
    </row>
    <row r="655" ht="14.25" customHeight="1">
      <c r="A655" s="1933" t="inlineStr">
        <is>
          <t>10/11/2023</t>
        </is>
      </c>
      <c r="B655" s="1563" t="n">
        <v>6809</v>
      </c>
      <c r="C655" s="1939" t="inlineStr">
        <is>
          <t>156</t>
        </is>
      </c>
      <c r="D655" s="1921">
        <f>B655/B656-1</f>
        <v/>
      </c>
      <c r="E655" s="1921">
        <f>C655/C656-1</f>
        <v/>
      </c>
      <c r="F655" s="1921">
        <f>$L$2/365</f>
        <v/>
      </c>
      <c r="G655" s="1921">
        <f>D655-F655</f>
        <v/>
      </c>
      <c r="H655" s="1921">
        <f>E655-F655</f>
        <v/>
      </c>
    </row>
    <row r="656" ht="14.25" customHeight="1">
      <c r="A656" s="1936" t="inlineStr">
        <is>
          <t>09/11/2023</t>
        </is>
      </c>
      <c r="B656" s="1563" t="n">
        <v>6838</v>
      </c>
      <c r="C656" s="1938" t="inlineStr">
        <is>
          <t>156</t>
        </is>
      </c>
      <c r="D656" s="1921">
        <f>B656/B657-1</f>
        <v/>
      </c>
      <c r="E656" s="1921">
        <f>C656/C657-1</f>
        <v/>
      </c>
      <c r="F656" s="1921">
        <f>$L$2/365</f>
        <v/>
      </c>
      <c r="G656" s="1921">
        <f>D656-F656</f>
        <v/>
      </c>
      <c r="H656" s="1921">
        <f>E656-F656</f>
        <v/>
      </c>
    </row>
    <row r="657" ht="14.25" customHeight="1">
      <c r="A657" s="1933" t="inlineStr">
        <is>
          <t>08/11/2023</t>
        </is>
      </c>
      <c r="B657" s="1563" t="n">
        <v>6804</v>
      </c>
      <c r="C657" s="1939" t="inlineStr">
        <is>
          <t>155</t>
        </is>
      </c>
      <c r="D657" s="1921">
        <f>B657/B658-1</f>
        <v/>
      </c>
      <c r="E657" s="1921">
        <f>C657/C658-1</f>
        <v/>
      </c>
      <c r="F657" s="1921">
        <f>$L$2/365</f>
        <v/>
      </c>
      <c r="G657" s="1921">
        <f>D657-F657</f>
        <v/>
      </c>
      <c r="H657" s="1921">
        <f>E657-F657</f>
        <v/>
      </c>
    </row>
    <row r="658" ht="14.25" customHeight="1">
      <c r="A658" s="1936" t="inlineStr">
        <is>
          <t>07/11/2023</t>
        </is>
      </c>
      <c r="B658" s="1563" t="n">
        <v>6844</v>
      </c>
      <c r="C658" s="1938" t="inlineStr">
        <is>
          <t>162</t>
        </is>
      </c>
      <c r="D658" s="1921">
        <f>B658/B659-1</f>
        <v/>
      </c>
      <c r="E658" s="1921">
        <f>C658/C659-1</f>
        <v/>
      </c>
      <c r="F658" s="1921">
        <f>$L$2/365</f>
        <v/>
      </c>
      <c r="G658" s="1921">
        <f>D658-F658</f>
        <v/>
      </c>
      <c r="H658" s="1921">
        <f>E658-F658</f>
        <v/>
      </c>
    </row>
    <row r="659" ht="14.25" customHeight="1">
      <c r="A659" s="1933" t="inlineStr">
        <is>
          <t>06/11/2023</t>
        </is>
      </c>
      <c r="B659" s="1563" t="n">
        <v>6879</v>
      </c>
      <c r="C659" s="1939" t="inlineStr">
        <is>
          <t>164</t>
        </is>
      </c>
      <c r="D659" s="1921">
        <f>B659/B660-1</f>
        <v/>
      </c>
      <c r="E659" s="1921">
        <f>C659/C660-1</f>
        <v/>
      </c>
      <c r="F659" s="1921">
        <f>$L$2/365</f>
        <v/>
      </c>
      <c r="G659" s="1921">
        <f>D659-F659</f>
        <v/>
      </c>
      <c r="H659" s="1921">
        <f>E659-F659</f>
        <v/>
      </c>
    </row>
    <row r="660" ht="14.25" customHeight="1">
      <c r="A660" s="1936" t="inlineStr">
        <is>
          <t>03/11/2023</t>
        </is>
      </c>
      <c r="B660" s="1563" t="n">
        <v>6789</v>
      </c>
      <c r="C660" s="1938" t="inlineStr">
        <is>
          <t>163</t>
        </is>
      </c>
      <c r="D660" s="1921">
        <f>B660/B661-1</f>
        <v/>
      </c>
      <c r="E660" s="1921">
        <f>C660/C661-1</f>
        <v/>
      </c>
      <c r="F660" s="1921">
        <f>$L$2/365</f>
        <v/>
      </c>
      <c r="G660" s="1921">
        <f>D660-F660</f>
        <v/>
      </c>
      <c r="H660" s="1921">
        <f>E660-F660</f>
        <v/>
      </c>
    </row>
    <row r="661" ht="14.25" customHeight="1">
      <c r="A661" s="1933" t="inlineStr">
        <is>
          <t>02/11/2023</t>
        </is>
      </c>
      <c r="B661" s="1563" t="n">
        <v>6751</v>
      </c>
      <c r="C661" s="1939" t="inlineStr">
        <is>
          <t>161</t>
        </is>
      </c>
      <c r="D661" s="1921">
        <f>B661/B662-1</f>
        <v/>
      </c>
      <c r="E661" s="1921">
        <f>C661/C662-1</f>
        <v/>
      </c>
      <c r="F661" s="1921">
        <f>$L$2/365</f>
        <v/>
      </c>
      <c r="G661" s="1921">
        <f>D661-F661</f>
        <v/>
      </c>
      <c r="H661" s="1921">
        <f>E661-F661</f>
        <v/>
      </c>
    </row>
    <row r="662" ht="14.25" customHeight="1">
      <c r="A662" s="1936" t="inlineStr">
        <is>
          <t>01/11/2023</t>
        </is>
      </c>
      <c r="B662" s="1563" t="n">
        <v>6642</v>
      </c>
      <c r="C662" s="1938" t="inlineStr">
        <is>
          <t>162</t>
        </is>
      </c>
      <c r="D662" s="1921">
        <f>B662/B663-1</f>
        <v/>
      </c>
      <c r="E662" s="1921">
        <f>C662/C663-1</f>
        <v/>
      </c>
      <c r="F662" s="1921">
        <f>$L$2/365</f>
        <v/>
      </c>
      <c r="G662" s="1921">
        <f>D662-F662</f>
        <v/>
      </c>
      <c r="H662" s="1921">
        <f>E662-F662</f>
        <v/>
      </c>
    </row>
    <row r="663" ht="14.25" customHeight="1">
      <c r="A663" s="1933" t="inlineStr">
        <is>
          <t>31/10/2023</t>
        </is>
      </c>
      <c r="B663" s="1563" t="n">
        <v>6752</v>
      </c>
      <c r="C663" s="1939" t="inlineStr">
        <is>
          <t>164</t>
        </is>
      </c>
      <c r="D663" s="1921">
        <f>B663/B664-1</f>
        <v/>
      </c>
      <c r="E663" s="1921">
        <f>C663/C664-1</f>
        <v/>
      </c>
      <c r="F663" s="1921">
        <f>$L$2/365</f>
        <v/>
      </c>
      <c r="G663" s="1921">
        <f>D663-F663</f>
        <v/>
      </c>
      <c r="H663" s="1921">
        <f>E663-F663</f>
        <v/>
      </c>
    </row>
    <row r="664" ht="14.25" customHeight="1">
      <c r="A664" s="1936" t="inlineStr">
        <is>
          <t>30/10/2023</t>
        </is>
      </c>
      <c r="B664" s="1563" t="n">
        <v>6736</v>
      </c>
      <c r="C664" s="1938" t="inlineStr">
        <is>
          <t>168</t>
        </is>
      </c>
      <c r="D664" s="1921">
        <f>B664/B665-1</f>
        <v/>
      </c>
      <c r="E664" s="1921">
        <f>C664/C665-1</f>
        <v/>
      </c>
      <c r="F664" s="1921">
        <f>$L$2/365</f>
        <v/>
      </c>
      <c r="G664" s="1921">
        <f>D664-F664</f>
        <v/>
      </c>
      <c r="H664" s="1921">
        <f>E664-F664</f>
        <v/>
      </c>
    </row>
    <row r="665" ht="14.25" customHeight="1">
      <c r="A665" s="1933" t="inlineStr">
        <is>
          <t>27/10/2023</t>
        </is>
      </c>
      <c r="B665" s="1563" t="n">
        <v>6759</v>
      </c>
      <c r="C665" s="1939" t="inlineStr">
        <is>
          <t>170</t>
        </is>
      </c>
      <c r="D665" s="1921">
        <f>B665/B666-1</f>
        <v/>
      </c>
      <c r="E665" s="1921">
        <f>C665/C666-1</f>
        <v/>
      </c>
      <c r="F665" s="1921">
        <f>$L$2/365</f>
        <v/>
      </c>
      <c r="G665" s="1921">
        <f>D665-F665</f>
        <v/>
      </c>
      <c r="H665" s="1921">
        <f>E665-F665</f>
        <v/>
      </c>
    </row>
    <row r="666" ht="14.25" customHeight="1">
      <c r="A666" s="1936" t="inlineStr">
        <is>
          <t>26/10/2023</t>
        </is>
      </c>
      <c r="B666" s="1563" t="n">
        <v>6715</v>
      </c>
      <c r="C666" s="1938" t="inlineStr">
        <is>
          <t>165</t>
        </is>
      </c>
      <c r="D666" s="1921">
        <f>B666/B667-1</f>
        <v/>
      </c>
      <c r="E666" s="1921">
        <f>C666/C667-1</f>
        <v/>
      </c>
      <c r="F666" s="1921">
        <f>$L$2/365</f>
        <v/>
      </c>
      <c r="G666" s="1921">
        <f>D666-F666</f>
        <v/>
      </c>
      <c r="H666" s="1921">
        <f>E666-F666</f>
        <v/>
      </c>
    </row>
    <row r="667" ht="14.25" customHeight="1">
      <c r="A667" s="1933" t="inlineStr">
        <is>
          <t>25/10/2023</t>
        </is>
      </c>
      <c r="B667" s="1563" t="n">
        <v>6834</v>
      </c>
      <c r="C667" s="1939" t="inlineStr">
        <is>
          <t>168</t>
        </is>
      </c>
      <c r="D667" s="1921">
        <f>B667/B668-1</f>
        <v/>
      </c>
      <c r="E667" s="1921">
        <f>C667/C668-1</f>
        <v/>
      </c>
      <c r="F667" s="1921">
        <f>$L$2/365</f>
        <v/>
      </c>
      <c r="G667" s="1921">
        <f>D667-F667</f>
        <v/>
      </c>
      <c r="H667" s="1921">
        <f>E667-F667</f>
        <v/>
      </c>
    </row>
    <row r="668" ht="14.25" customHeight="1">
      <c r="A668" s="1936" t="inlineStr">
        <is>
          <t>24/10/2023</t>
        </is>
      </c>
      <c r="B668" s="1563" t="n">
        <v>6807</v>
      </c>
      <c r="C668" s="1938" t="inlineStr">
        <is>
          <t>169</t>
        </is>
      </c>
      <c r="D668" s="1921">
        <f>B668/B669-1</f>
        <v/>
      </c>
      <c r="E668" s="1921">
        <f>C668/C669-1</f>
        <v/>
      </c>
      <c r="F668" s="1921">
        <f>$L$2/365</f>
        <v/>
      </c>
      <c r="G668" s="1921">
        <f>D668-F668</f>
        <v/>
      </c>
      <c r="H668" s="1921">
        <f>E668-F668</f>
        <v/>
      </c>
    </row>
    <row r="669" ht="14.25" customHeight="1">
      <c r="A669" s="1933" t="inlineStr">
        <is>
          <t>23/10/2023</t>
        </is>
      </c>
      <c r="B669" s="1563" t="n">
        <v>6742</v>
      </c>
      <c r="C669" s="1939" t="inlineStr">
        <is>
          <t>169</t>
        </is>
      </c>
      <c r="D669" s="1921">
        <f>B669/B670-1</f>
        <v/>
      </c>
      <c r="E669" s="1921">
        <f>C669/C670-1</f>
        <v/>
      </c>
      <c r="F669" s="1921">
        <f>$L$2/365</f>
        <v/>
      </c>
      <c r="G669" s="1921">
        <f>D669-F669</f>
        <v/>
      </c>
      <c r="H669" s="1921">
        <f>E669-F669</f>
        <v/>
      </c>
    </row>
    <row r="670" ht="14.25" customHeight="1">
      <c r="A670" s="1936" t="inlineStr">
        <is>
          <t>20/10/2023</t>
        </is>
      </c>
      <c r="B670" s="1563" t="n">
        <v>6849</v>
      </c>
      <c r="C670" s="1938" t="inlineStr">
        <is>
          <t>172</t>
        </is>
      </c>
      <c r="D670" s="1921">
        <f>B670/B671-1</f>
        <v/>
      </c>
      <c r="E670" s="1921">
        <f>C670/C671-1</f>
        <v/>
      </c>
      <c r="F670" s="1921">
        <f>$L$2/365</f>
        <v/>
      </c>
      <c r="G670" s="1921">
        <f>D670-F670</f>
        <v/>
      </c>
      <c r="H670" s="1921">
        <f>E670-F670</f>
        <v/>
      </c>
    </row>
    <row r="671" ht="14.25" customHeight="1">
      <c r="A671" s="1933" t="inlineStr">
        <is>
          <t>19/10/2023</t>
        </is>
      </c>
      <c r="B671" s="1563" t="n">
        <v>6846</v>
      </c>
      <c r="C671" s="1939" t="inlineStr">
        <is>
          <t>172</t>
        </is>
      </c>
      <c r="D671" s="1921">
        <f>B671/B672-1</f>
        <v/>
      </c>
      <c r="E671" s="1921">
        <f>C671/C672-1</f>
        <v/>
      </c>
      <c r="F671" s="1921">
        <f>$L$2/365</f>
        <v/>
      </c>
      <c r="G671" s="1921">
        <f>D671-F671</f>
        <v/>
      </c>
      <c r="H671" s="1921">
        <f>E671-F671</f>
        <v/>
      </c>
    </row>
    <row r="672" ht="14.25" customHeight="1">
      <c r="A672" s="1936" t="inlineStr">
        <is>
          <t>18/10/2023</t>
        </is>
      </c>
      <c r="B672" s="1563" t="n">
        <v>6928</v>
      </c>
      <c r="C672" s="1938" t="inlineStr">
        <is>
          <t>174</t>
        </is>
      </c>
      <c r="D672" s="1921">
        <f>B672/B673-1</f>
        <v/>
      </c>
      <c r="E672" s="1921">
        <f>C672/C673-1</f>
        <v/>
      </c>
      <c r="F672" s="1921">
        <f>$L$2/365</f>
        <v/>
      </c>
      <c r="G672" s="1921">
        <f>D672-F672</f>
        <v/>
      </c>
      <c r="H672" s="1921">
        <f>E672-F672</f>
        <v/>
      </c>
    </row>
    <row r="673" ht="14.25" customHeight="1">
      <c r="A673" s="1933" t="inlineStr">
        <is>
          <t>17/10/2023</t>
        </is>
      </c>
      <c r="B673" s="1563" t="n">
        <v>6940</v>
      </c>
      <c r="C673" s="1939" t="inlineStr">
        <is>
          <t>173</t>
        </is>
      </c>
      <c r="D673" s="1921">
        <f>B673/B674-1</f>
        <v/>
      </c>
      <c r="E673" s="1921">
        <f>C673/C674-1</f>
        <v/>
      </c>
      <c r="F673" s="1921">
        <f>$L$2/365</f>
        <v/>
      </c>
      <c r="G673" s="1921">
        <f>D673-F673</f>
        <v/>
      </c>
      <c r="H673" s="1921">
        <f>E673-F673</f>
        <v/>
      </c>
    </row>
    <row r="674" ht="14.25" customHeight="1">
      <c r="A674" s="1936" t="inlineStr">
        <is>
          <t>16/10/2023</t>
        </is>
      </c>
      <c r="B674" s="1563" t="n">
        <v>6896</v>
      </c>
      <c r="C674" s="1938" t="inlineStr">
        <is>
          <t>173</t>
        </is>
      </c>
      <c r="D674" s="1921">
        <f>B674/B675-1</f>
        <v/>
      </c>
      <c r="E674" s="1921">
        <f>C674/C675-1</f>
        <v/>
      </c>
      <c r="F674" s="1921">
        <f>$L$2/365</f>
        <v/>
      </c>
      <c r="G674" s="1921">
        <f>D674-F674</f>
        <v/>
      </c>
      <c r="H674" s="1921">
        <f>E674-F674</f>
        <v/>
      </c>
    </row>
    <row r="675" ht="14.25" customHeight="1">
      <c r="A675" s="1933" t="inlineStr">
        <is>
          <t>13/10/2023</t>
        </is>
      </c>
      <c r="B675" s="1563" t="n">
        <v>6927</v>
      </c>
      <c r="C675" s="1939" t="inlineStr">
        <is>
          <t>172</t>
        </is>
      </c>
      <c r="D675" s="1921">
        <f>B675/B676-1</f>
        <v/>
      </c>
      <c r="E675" s="1921">
        <f>C675/C676-1</f>
        <v/>
      </c>
      <c r="F675" s="1921">
        <f>$L$2/365</f>
        <v/>
      </c>
      <c r="G675" s="1921">
        <f>D675-F675</f>
        <v/>
      </c>
      <c r="H675" s="1921">
        <f>E675-F675</f>
        <v/>
      </c>
    </row>
    <row r="676" ht="14.25" customHeight="1">
      <c r="A676" s="1936" t="inlineStr">
        <is>
          <t>12/10/2023</t>
        </is>
      </c>
      <c r="B676" s="1563" t="n">
        <v>6935</v>
      </c>
      <c r="C676" s="1938" t="inlineStr">
        <is>
          <t>175</t>
        </is>
      </c>
      <c r="D676" s="1921">
        <f>B676/B677-1</f>
        <v/>
      </c>
      <c r="E676" s="1921">
        <f>C676/C677-1</f>
        <v/>
      </c>
      <c r="F676" s="1921">
        <f>$L$2/365</f>
        <v/>
      </c>
      <c r="G676" s="1921">
        <f>D676-F676</f>
        <v/>
      </c>
      <c r="H676" s="1921">
        <f>E676-F676</f>
        <v/>
      </c>
    </row>
    <row r="677" ht="14.25" customHeight="1">
      <c r="A677" s="1933" t="inlineStr">
        <is>
          <t>11/10/2023</t>
        </is>
      </c>
      <c r="B677" s="1563" t="n">
        <v>6932</v>
      </c>
      <c r="C677" s="1939" t="inlineStr">
        <is>
          <t>175</t>
        </is>
      </c>
      <c r="D677" s="1921">
        <f>B677/B678-1</f>
        <v/>
      </c>
      <c r="E677" s="1921">
        <f>C677/C678-1</f>
        <v/>
      </c>
      <c r="F677" s="1921">
        <f>$L$2/365</f>
        <v/>
      </c>
      <c r="G677" s="1921">
        <f>D677-F677</f>
        <v/>
      </c>
      <c r="H677" s="1921">
        <f>E677-F677</f>
        <v/>
      </c>
    </row>
    <row r="678" ht="14.25" customHeight="1">
      <c r="A678" s="1936" t="inlineStr">
        <is>
          <t>10/10/2023</t>
        </is>
      </c>
      <c r="B678" s="1563" t="n">
        <v>6922</v>
      </c>
      <c r="C678" s="1938" t="inlineStr">
        <is>
          <t>178</t>
        </is>
      </c>
      <c r="D678" s="1921">
        <f>B678/B679-1</f>
        <v/>
      </c>
      <c r="E678" s="1921">
        <f>C678/C679-1</f>
        <v/>
      </c>
      <c r="F678" s="1921">
        <f>$L$2/365</f>
        <v/>
      </c>
      <c r="G678" s="1921">
        <f>D678-F678</f>
        <v/>
      </c>
      <c r="H678" s="1921">
        <f>E678-F678</f>
        <v/>
      </c>
    </row>
    <row r="679" ht="14.25" customHeight="1">
      <c r="A679" s="1933" t="inlineStr">
        <is>
          <t>09/10/2023</t>
        </is>
      </c>
      <c r="B679" s="1563" t="n">
        <v>6891</v>
      </c>
      <c r="C679" s="1939" t="inlineStr">
        <is>
          <t>178</t>
        </is>
      </c>
      <c r="D679" s="1921">
        <f>B679/B680-1</f>
        <v/>
      </c>
      <c r="E679" s="1921">
        <f>C679/C680-1</f>
        <v/>
      </c>
      <c r="F679" s="1921">
        <f>$L$2/365</f>
        <v/>
      </c>
      <c r="G679" s="1921">
        <f>D679-F679</f>
        <v/>
      </c>
      <c r="H679" s="1921">
        <f>E679-F679</f>
        <v/>
      </c>
    </row>
    <row r="680" ht="14.25" customHeight="1">
      <c r="A680" s="1936" t="inlineStr">
        <is>
          <t>06/10/2023</t>
        </is>
      </c>
      <c r="B680" s="1563" t="n">
        <v>6889</v>
      </c>
      <c r="C680" s="1938" t="inlineStr">
        <is>
          <t>176</t>
        </is>
      </c>
      <c r="D680" s="1921">
        <f>B680/B681-1</f>
        <v/>
      </c>
      <c r="E680" s="1921">
        <f>C680/C681-1</f>
        <v/>
      </c>
      <c r="F680" s="1921">
        <f>$L$2/365</f>
        <v/>
      </c>
      <c r="G680" s="1921">
        <f>D680-F680</f>
        <v/>
      </c>
      <c r="H680" s="1921">
        <f>E680-F680</f>
        <v/>
      </c>
    </row>
    <row r="681" ht="14.25" customHeight="1">
      <c r="A681" s="1933" t="inlineStr">
        <is>
          <t>05/10/2023</t>
        </is>
      </c>
      <c r="B681" s="1563" t="n">
        <v>6875</v>
      </c>
      <c r="C681" s="1939" t="inlineStr">
        <is>
          <t>179</t>
        </is>
      </c>
      <c r="D681" s="1921">
        <f>B681/B682-1</f>
        <v/>
      </c>
      <c r="E681" s="1921">
        <f>C681/C682-1</f>
        <v/>
      </c>
      <c r="F681" s="1921">
        <f>$L$2/365</f>
        <v/>
      </c>
      <c r="G681" s="1921">
        <f>D681-F681</f>
        <v/>
      </c>
      <c r="H681" s="1921">
        <f>E681-F681</f>
        <v/>
      </c>
    </row>
    <row r="682" ht="14.25" customHeight="1">
      <c r="A682" s="1936" t="inlineStr">
        <is>
          <t>04/10/2023</t>
        </is>
      </c>
      <c r="B682" s="1563" t="n">
        <v>6887</v>
      </c>
      <c r="C682" s="1938" t="inlineStr">
        <is>
          <t>182</t>
        </is>
      </c>
      <c r="D682" s="1921">
        <f>B682/B683-1</f>
        <v/>
      </c>
      <c r="E682" s="1921">
        <f>C682/C683-1</f>
        <v/>
      </c>
      <c r="F682" s="1921">
        <f>$L$2/365</f>
        <v/>
      </c>
      <c r="G682" s="1921">
        <f>D682-F682</f>
        <v/>
      </c>
      <c r="H682" s="1921">
        <f>E682-F682</f>
        <v/>
      </c>
    </row>
    <row r="683" ht="14.25" customHeight="1">
      <c r="A683" s="1933" t="inlineStr">
        <is>
          <t>03/10/2023</t>
        </is>
      </c>
      <c r="B683" s="1563" t="n">
        <v>6941</v>
      </c>
      <c r="C683" s="1939" t="inlineStr">
        <is>
          <t>175</t>
        </is>
      </c>
      <c r="D683" s="1921">
        <f>B683/B684-1</f>
        <v/>
      </c>
      <c r="E683" s="1921">
        <f>C683/C684-1</f>
        <v/>
      </c>
      <c r="F683" s="1921">
        <f>$L$2/365</f>
        <v/>
      </c>
      <c r="G683" s="1921">
        <f>D683-F683</f>
        <v/>
      </c>
      <c r="H683" s="1921">
        <f>E683-F683</f>
        <v/>
      </c>
    </row>
    <row r="684" ht="14.25" customHeight="1">
      <c r="A684" s="1936" t="inlineStr">
        <is>
          <t>02/10/2023</t>
        </is>
      </c>
      <c r="B684" s="1563" t="n">
        <v>6961</v>
      </c>
      <c r="C684" s="1938" t="inlineStr">
        <is>
          <t>177</t>
        </is>
      </c>
      <c r="D684" s="1921">
        <f>B684/B685-1</f>
        <v/>
      </c>
      <c r="E684" s="1921">
        <f>C684/C685-1</f>
        <v/>
      </c>
      <c r="F684" s="1921">
        <f>$L$2/365</f>
        <v/>
      </c>
      <c r="G684" s="1921">
        <f>D684-F684</f>
        <v/>
      </c>
      <c r="H684" s="1921">
        <f>E684-F684</f>
        <v/>
      </c>
    </row>
    <row r="685" ht="14.25" customHeight="1">
      <c r="A685" s="1933" t="inlineStr">
        <is>
          <t>29/09/2023</t>
        </is>
      </c>
      <c r="B685" s="1563" t="n">
        <v>6940</v>
      </c>
      <c r="C685" s="1939" t="inlineStr">
        <is>
          <t>178</t>
        </is>
      </c>
      <c r="D685" s="1921">
        <f>B685/B686-1</f>
        <v/>
      </c>
      <c r="E685" s="1921">
        <f>C685/C686-1</f>
        <v/>
      </c>
      <c r="F685" s="1921">
        <f>$L$2/365</f>
        <v/>
      </c>
      <c r="G685" s="1921">
        <f>D685-F685</f>
        <v/>
      </c>
      <c r="H685" s="1921">
        <f>E685-F685</f>
        <v/>
      </c>
    </row>
    <row r="686" ht="14.25" customHeight="1">
      <c r="A686" s="1936" t="inlineStr">
        <is>
          <t>27/09/2023</t>
        </is>
      </c>
      <c r="B686" s="1563" t="n">
        <v>6938</v>
      </c>
      <c r="C686" s="1938" t="inlineStr">
        <is>
          <t>182</t>
        </is>
      </c>
      <c r="D686" s="1921">
        <f>B686/B687-1</f>
        <v/>
      </c>
      <c r="E686" s="1921">
        <f>C686/C687-1</f>
        <v/>
      </c>
      <c r="F686" s="1921">
        <f>$L$2/365</f>
        <v/>
      </c>
      <c r="G686" s="1921">
        <f>D686-F686</f>
        <v/>
      </c>
      <c r="H686" s="1921">
        <f>E686-F686</f>
        <v/>
      </c>
    </row>
    <row r="687" ht="14.25" customHeight="1">
      <c r="A687" s="1933" t="inlineStr">
        <is>
          <t>26/09/2023</t>
        </is>
      </c>
      <c r="B687" s="1563" t="n">
        <v>6924</v>
      </c>
      <c r="C687" s="1939" t="inlineStr">
        <is>
          <t>180</t>
        </is>
      </c>
      <c r="D687" s="1921">
        <f>B687/B688-1</f>
        <v/>
      </c>
      <c r="E687" s="1921">
        <f>C687/C688-1</f>
        <v/>
      </c>
      <c r="F687" s="1921">
        <f>$L$2/365</f>
        <v/>
      </c>
      <c r="G687" s="1921">
        <f>D687-F687</f>
        <v/>
      </c>
      <c r="H687" s="1921">
        <f>E687-F687</f>
        <v/>
      </c>
    </row>
    <row r="688" ht="14.25" customHeight="1">
      <c r="A688" s="1936" t="inlineStr">
        <is>
          <t>25/09/2023</t>
        </is>
      </c>
      <c r="B688" s="1563" t="n">
        <v>6998</v>
      </c>
      <c r="C688" s="1938" t="inlineStr">
        <is>
          <t>181</t>
        </is>
      </c>
      <c r="D688" s="1921">
        <f>B688/B689-1</f>
        <v/>
      </c>
      <c r="E688" s="1921">
        <f>C688/C689-1</f>
        <v/>
      </c>
      <c r="F688" s="1921">
        <f>$L$2/365</f>
        <v/>
      </c>
      <c r="G688" s="1921">
        <f>D688-F688</f>
        <v/>
      </c>
      <c r="H688" s="1921">
        <f>E688-F688</f>
        <v/>
      </c>
    </row>
    <row r="689" ht="14.25" customHeight="1">
      <c r="A689" s="1933" t="inlineStr">
        <is>
          <t>22/09/2023</t>
        </is>
      </c>
      <c r="B689" s="1563" t="n">
        <v>7017</v>
      </c>
      <c r="C689" s="1939" t="inlineStr">
        <is>
          <t>184</t>
        </is>
      </c>
      <c r="D689" s="1921">
        <f>B689/B690-1</f>
        <v/>
      </c>
      <c r="E689" s="1921">
        <f>C689/C690-1</f>
        <v/>
      </c>
      <c r="F689" s="1921">
        <f>$L$2/365</f>
        <v/>
      </c>
      <c r="G689" s="1921">
        <f>D689-F689</f>
        <v/>
      </c>
      <c r="H689" s="1921">
        <f>E689-F689</f>
        <v/>
      </c>
    </row>
    <row r="690" ht="14.25" customHeight="1">
      <c r="A690" s="1936" t="inlineStr">
        <is>
          <t>21/09/2023</t>
        </is>
      </c>
      <c r="B690" s="1563" t="n">
        <v>6991</v>
      </c>
      <c r="C690" s="1938" t="inlineStr">
        <is>
          <t>184</t>
        </is>
      </c>
      <c r="D690" s="1921">
        <f>B690/B691-1</f>
        <v/>
      </c>
      <c r="E690" s="1921">
        <f>C690/C691-1</f>
        <v/>
      </c>
      <c r="F690" s="1921">
        <f>$L$2/365</f>
        <v/>
      </c>
      <c r="G690" s="1921">
        <f>D690-F690</f>
        <v/>
      </c>
      <c r="H690" s="1921">
        <f>E690-F690</f>
        <v/>
      </c>
    </row>
    <row r="691" ht="14.25" customHeight="1">
      <c r="A691" s="1933" t="inlineStr">
        <is>
          <t>20/09/2023</t>
        </is>
      </c>
      <c r="B691" s="1563" t="n">
        <v>7012</v>
      </c>
      <c r="C691" s="1939" t="inlineStr">
        <is>
          <t>185</t>
        </is>
      </c>
      <c r="D691" s="1921">
        <f>B691/B692-1</f>
        <v/>
      </c>
      <c r="E691" s="1921">
        <f>C691/C692-1</f>
        <v/>
      </c>
      <c r="F691" s="1921">
        <f>$L$2/365</f>
        <v/>
      </c>
      <c r="G691" s="1921">
        <f>D691-F691</f>
        <v/>
      </c>
      <c r="H691" s="1921">
        <f>E691-F691</f>
        <v/>
      </c>
    </row>
    <row r="692" ht="14.25" customHeight="1">
      <c r="A692" s="1936" t="inlineStr">
        <is>
          <t>19/09/2023</t>
        </is>
      </c>
      <c r="B692" s="1563" t="n">
        <v>6980</v>
      </c>
      <c r="C692" s="1938" t="inlineStr">
        <is>
          <t>186</t>
        </is>
      </c>
      <c r="D692" s="1921">
        <f>B692/B693-1</f>
        <v/>
      </c>
      <c r="E692" s="1921">
        <f>C692/C693-1</f>
        <v/>
      </c>
      <c r="F692" s="1921">
        <f>$L$2/365</f>
        <v/>
      </c>
      <c r="G692" s="1921">
        <f>D692-F692</f>
        <v/>
      </c>
      <c r="H692" s="1921">
        <f>E692-F692</f>
        <v/>
      </c>
    </row>
    <row r="693" ht="14.25" customHeight="1">
      <c r="A693" s="1933" t="inlineStr">
        <is>
          <t>18/09/2023</t>
        </is>
      </c>
      <c r="B693" s="1563" t="n">
        <v>6936</v>
      </c>
      <c r="C693" s="1939" t="inlineStr">
        <is>
          <t>186</t>
        </is>
      </c>
      <c r="D693" s="1921">
        <f>B693/B694-1</f>
        <v/>
      </c>
      <c r="E693" s="1921">
        <f>C693/C694-1</f>
        <v/>
      </c>
      <c r="F693" s="1921">
        <f>$L$2/365</f>
        <v/>
      </c>
      <c r="G693" s="1921">
        <f>D693-F693</f>
        <v/>
      </c>
      <c r="H693" s="1921">
        <f>E693-F693</f>
        <v/>
      </c>
    </row>
    <row r="694" ht="14.25" customHeight="1">
      <c r="A694" s="1936" t="inlineStr">
        <is>
          <t>15/09/2023</t>
        </is>
      </c>
      <c r="B694" s="1563" t="n">
        <v>6983</v>
      </c>
      <c r="C694" s="1938" t="inlineStr">
        <is>
          <t>189</t>
        </is>
      </c>
      <c r="D694" s="1921">
        <f>B694/B695-1</f>
        <v/>
      </c>
      <c r="E694" s="1921">
        <f>C694/C695-1</f>
        <v/>
      </c>
      <c r="F694" s="1921">
        <f>$L$2/365</f>
        <v/>
      </c>
      <c r="G694" s="1921">
        <f>D694-F694</f>
        <v/>
      </c>
      <c r="H694" s="1921">
        <f>E694-F694</f>
        <v/>
      </c>
    </row>
    <row r="695" ht="14.25" customHeight="1">
      <c r="A695" s="1933" t="inlineStr">
        <is>
          <t>14/09/2023</t>
        </is>
      </c>
      <c r="B695" s="1563" t="n">
        <v>6959</v>
      </c>
      <c r="C695" s="1939" t="inlineStr">
        <is>
          <t>189</t>
        </is>
      </c>
      <c r="D695" s="1921">
        <f>B695/B696-1</f>
        <v/>
      </c>
      <c r="E695" s="1921">
        <f>C695/C696-1</f>
        <v/>
      </c>
      <c r="F695" s="1921">
        <f>$L$2/365</f>
        <v/>
      </c>
      <c r="G695" s="1921">
        <f>D695-F695</f>
        <v/>
      </c>
      <c r="H695" s="1921">
        <f>E695-F695</f>
        <v/>
      </c>
    </row>
    <row r="696" ht="14.25" customHeight="1">
      <c r="A696" s="1936" t="inlineStr">
        <is>
          <t>13/09/2023</t>
        </is>
      </c>
      <c r="B696" s="1563" t="n">
        <v>6935</v>
      </c>
      <c r="C696" s="1938" t="inlineStr">
        <is>
          <t>183</t>
        </is>
      </c>
      <c r="D696" s="1921">
        <f>B696/B697-1</f>
        <v/>
      </c>
      <c r="E696" s="1921">
        <f>C696/C697-1</f>
        <v/>
      </c>
      <c r="F696" s="1921">
        <f>$L$2/365</f>
        <v/>
      </c>
      <c r="G696" s="1921">
        <f>D696-F696</f>
        <v/>
      </c>
      <c r="H696" s="1921">
        <f>E696-F696</f>
        <v/>
      </c>
    </row>
    <row r="697" ht="14.25" customHeight="1">
      <c r="A697" s="1933" t="inlineStr">
        <is>
          <t>12/09/2023</t>
        </is>
      </c>
      <c r="B697" s="1563" t="n">
        <v>6934</v>
      </c>
      <c r="C697" s="1939" t="inlineStr">
        <is>
          <t>182</t>
        </is>
      </c>
      <c r="D697" s="1921">
        <f>B697/B698-1</f>
        <v/>
      </c>
      <c r="E697" s="1921">
        <f>C697/C698-1</f>
        <v/>
      </c>
      <c r="F697" s="1921">
        <f>$L$2/365</f>
        <v/>
      </c>
      <c r="G697" s="1921">
        <f>D697-F697</f>
        <v/>
      </c>
      <c r="H697" s="1921">
        <f>E697-F697</f>
        <v/>
      </c>
    </row>
    <row r="698" ht="14.25" customHeight="1">
      <c r="A698" s="1936" t="inlineStr">
        <is>
          <t>11/09/2023</t>
        </is>
      </c>
      <c r="B698" s="1563" t="n">
        <v>6963</v>
      </c>
      <c r="C698" s="1938" t="inlineStr">
        <is>
          <t>177</t>
        </is>
      </c>
      <c r="D698" s="1921">
        <f>B698/B699-1</f>
        <v/>
      </c>
      <c r="E698" s="1921">
        <f>C698/C699-1</f>
        <v/>
      </c>
      <c r="F698" s="1921">
        <f>$L$2/365</f>
        <v/>
      </c>
      <c r="G698" s="1921">
        <f>D698-F698</f>
        <v/>
      </c>
      <c r="H698" s="1921">
        <f>E698-F698</f>
        <v/>
      </c>
    </row>
    <row r="699" ht="14.25" customHeight="1">
      <c r="A699" s="1933" t="inlineStr">
        <is>
          <t>08/09/2023</t>
        </is>
      </c>
      <c r="B699" s="1563" t="n">
        <v>6925</v>
      </c>
      <c r="C699" s="1939" t="inlineStr">
        <is>
          <t>177</t>
        </is>
      </c>
      <c r="D699" s="1921">
        <f>B699/B700-1</f>
        <v/>
      </c>
      <c r="E699" s="1921">
        <f>C699/C700-1</f>
        <v/>
      </c>
      <c r="F699" s="1921">
        <f>$L$2/365</f>
        <v/>
      </c>
      <c r="G699" s="1921">
        <f>D699-F699</f>
        <v/>
      </c>
      <c r="H699" s="1921">
        <f>E699-F699</f>
        <v/>
      </c>
    </row>
    <row r="700" ht="14.25" customHeight="1">
      <c r="A700" s="1936" t="inlineStr">
        <is>
          <t>07/09/2023</t>
        </is>
      </c>
      <c r="B700" s="1563" t="n">
        <v>6955</v>
      </c>
      <c r="C700" s="1938" t="inlineStr">
        <is>
          <t>179</t>
        </is>
      </c>
      <c r="D700" s="1921">
        <f>B700/B701-1</f>
        <v/>
      </c>
      <c r="E700" s="1921">
        <f>C700/C701-1</f>
        <v/>
      </c>
      <c r="F700" s="1921">
        <f>$L$2/365</f>
        <v/>
      </c>
      <c r="G700" s="1921">
        <f>D700-F700</f>
        <v/>
      </c>
      <c r="H700" s="1921">
        <f>E700-F700</f>
        <v/>
      </c>
    </row>
    <row r="701" ht="14.25" customHeight="1">
      <c r="A701" s="1933" t="inlineStr">
        <is>
          <t>06/09/2023</t>
        </is>
      </c>
      <c r="B701" s="1563" t="n">
        <v>6996</v>
      </c>
      <c r="C701" s="1939" t="inlineStr">
        <is>
          <t>183</t>
        </is>
      </c>
      <c r="D701" s="1921">
        <f>B701/B702-1</f>
        <v/>
      </c>
      <c r="E701" s="1921">
        <f>C701/C702-1</f>
        <v/>
      </c>
      <c r="F701" s="1921">
        <f>$L$2/365</f>
        <v/>
      </c>
      <c r="G701" s="1921">
        <f>D701-F701</f>
        <v/>
      </c>
      <c r="H701" s="1921">
        <f>E701-F701</f>
        <v/>
      </c>
    </row>
    <row r="702" ht="14.25" customHeight="1">
      <c r="A702" s="1936" t="inlineStr">
        <is>
          <t>05/09/2023</t>
        </is>
      </c>
      <c r="B702" s="1563" t="n">
        <v>6992</v>
      </c>
      <c r="C702" s="1938" t="inlineStr">
        <is>
          <t>182</t>
        </is>
      </c>
      <c r="D702" s="1921">
        <f>B702/B703-1</f>
        <v/>
      </c>
      <c r="E702" s="1921">
        <f>C702/C703-1</f>
        <v/>
      </c>
      <c r="F702" s="1921">
        <f>$L$2/365</f>
        <v/>
      </c>
      <c r="G702" s="1921">
        <f>D702-F702</f>
        <v/>
      </c>
      <c r="H702" s="1921">
        <f>E702-F702</f>
        <v/>
      </c>
    </row>
    <row r="703" ht="14.25" customHeight="1">
      <c r="A703" s="1933" t="inlineStr">
        <is>
          <t>04/09/2023</t>
        </is>
      </c>
      <c r="B703" s="1563" t="n">
        <v>6997</v>
      </c>
      <c r="C703" s="1939" t="inlineStr">
        <is>
          <t>181</t>
        </is>
      </c>
      <c r="D703" s="1921">
        <f>B703/B704-1</f>
        <v/>
      </c>
      <c r="E703" s="1921">
        <f>C703/C704-1</f>
        <v/>
      </c>
      <c r="F703" s="1921">
        <f>$L$2/365</f>
        <v/>
      </c>
      <c r="G703" s="1921">
        <f>D703-F703</f>
        <v/>
      </c>
      <c r="H703" s="1921">
        <f>E703-F703</f>
        <v/>
      </c>
    </row>
    <row r="704" ht="14.25" customHeight="1">
      <c r="A704" s="1936" t="inlineStr">
        <is>
          <t>01/09/2023</t>
        </is>
      </c>
      <c r="B704" s="1563" t="n">
        <v>6978</v>
      </c>
      <c r="C704" s="1938" t="inlineStr">
        <is>
          <t>180</t>
        </is>
      </c>
      <c r="D704" s="1921">
        <f>B704/B705-1</f>
        <v/>
      </c>
      <c r="E704" s="1921">
        <f>C704/C705-1</f>
        <v/>
      </c>
      <c r="F704" s="1921">
        <f>$L$2/365</f>
        <v/>
      </c>
      <c r="G704" s="1921">
        <f>D704-F704</f>
        <v/>
      </c>
      <c r="H704" s="1921">
        <f>E704-F704</f>
        <v/>
      </c>
    </row>
    <row r="705" ht="14.25" customHeight="1">
      <c r="A705" s="1933" t="inlineStr">
        <is>
          <t>31/08/2023</t>
        </is>
      </c>
      <c r="B705" s="1563" t="n">
        <v>6953</v>
      </c>
      <c r="C705" s="1939" t="inlineStr">
        <is>
          <t>186</t>
        </is>
      </c>
      <c r="D705" s="1921">
        <f>B705/B706-1</f>
        <v/>
      </c>
      <c r="E705" s="1921">
        <f>C705/C706-1</f>
        <v/>
      </c>
      <c r="F705" s="1921">
        <f>$L$2/365</f>
        <v/>
      </c>
      <c r="G705" s="1921">
        <f>D705-F705</f>
        <v/>
      </c>
      <c r="H705" s="1921">
        <f>E705-F705</f>
        <v/>
      </c>
    </row>
    <row r="706" ht="14.25" customHeight="1">
      <c r="A706" s="1936" t="inlineStr">
        <is>
          <t>30/08/2023</t>
        </is>
      </c>
      <c r="B706" s="1563" t="n">
        <v>6967</v>
      </c>
      <c r="C706" s="1938" t="inlineStr">
        <is>
          <t>186</t>
        </is>
      </c>
      <c r="D706" s="1921">
        <f>B706/B707-1</f>
        <v/>
      </c>
      <c r="E706" s="1921">
        <f>C706/C707-1</f>
        <v/>
      </c>
      <c r="F706" s="1921">
        <f>$L$2/365</f>
        <v/>
      </c>
      <c r="G706" s="1921">
        <f>D706-F706</f>
        <v/>
      </c>
      <c r="H706" s="1921">
        <f>E706-F706</f>
        <v/>
      </c>
    </row>
    <row r="707" ht="14.25" customHeight="1">
      <c r="A707" s="1933" t="inlineStr">
        <is>
          <t>29/08/2023</t>
        </is>
      </c>
      <c r="B707" s="1563" t="n">
        <v>6958</v>
      </c>
      <c r="C707" s="1939" t="inlineStr">
        <is>
          <t>186</t>
        </is>
      </c>
      <c r="D707" s="1921">
        <f>B707/B708-1</f>
        <v/>
      </c>
      <c r="E707" s="1921">
        <f>C707/C708-1</f>
        <v/>
      </c>
      <c r="F707" s="1921">
        <f>$L$2/365</f>
        <v/>
      </c>
      <c r="G707" s="1921">
        <f>D707-F707</f>
        <v/>
      </c>
      <c r="H707" s="1921">
        <f>E707-F707</f>
        <v/>
      </c>
    </row>
    <row r="708" ht="14.25" customHeight="1">
      <c r="A708" s="1936" t="inlineStr">
        <is>
          <t>28/08/2023</t>
        </is>
      </c>
      <c r="B708" s="1563" t="n">
        <v>6922</v>
      </c>
      <c r="C708" s="1938" t="inlineStr">
        <is>
          <t>189</t>
        </is>
      </c>
      <c r="D708" s="1921">
        <f>B708/B709-1</f>
        <v/>
      </c>
      <c r="E708" s="1921">
        <f>C708/C709-1</f>
        <v/>
      </c>
      <c r="F708" s="1921">
        <f>$L$2/365</f>
        <v/>
      </c>
      <c r="G708" s="1921">
        <f>D708-F708</f>
        <v/>
      </c>
      <c r="H708" s="1921">
        <f>E708-F708</f>
        <v/>
      </c>
    </row>
    <row r="709" ht="14.25" customHeight="1">
      <c r="A709" s="1933" t="inlineStr">
        <is>
          <t>25/08/2023</t>
        </is>
      </c>
      <c r="B709" s="1563" t="n">
        <v>6895</v>
      </c>
      <c r="C709" s="1939" t="inlineStr">
        <is>
          <t>187</t>
        </is>
      </c>
      <c r="D709" s="1921">
        <f>B709/B710-1</f>
        <v/>
      </c>
      <c r="E709" s="1921">
        <f>C709/C710-1</f>
        <v/>
      </c>
      <c r="F709" s="1921">
        <f>$L$2/365</f>
        <v/>
      </c>
      <c r="G709" s="1921">
        <f>D709-F709</f>
        <v/>
      </c>
      <c r="H709" s="1921">
        <f>E709-F709</f>
        <v/>
      </c>
    </row>
    <row r="710" ht="14.25" customHeight="1">
      <c r="A710" s="1936" t="inlineStr">
        <is>
          <t>24/08/2023</t>
        </is>
      </c>
      <c r="B710" s="1563" t="n">
        <v>6899</v>
      </c>
      <c r="C710" s="1938" t="inlineStr">
        <is>
          <t>186</t>
        </is>
      </c>
      <c r="D710" s="1921">
        <f>B710/B711-1</f>
        <v/>
      </c>
      <c r="E710" s="1921">
        <f>C710/C711-1</f>
        <v/>
      </c>
      <c r="F710" s="1921">
        <f>$L$2/365</f>
        <v/>
      </c>
      <c r="G710" s="1921">
        <f>D710-F710</f>
        <v/>
      </c>
      <c r="H710" s="1921">
        <f>E710-F710</f>
        <v/>
      </c>
    </row>
    <row r="711" ht="14.25" customHeight="1">
      <c r="A711" s="1933" t="inlineStr">
        <is>
          <t>23/08/2023</t>
        </is>
      </c>
      <c r="B711" s="1563" t="n">
        <v>6921</v>
      </c>
      <c r="C711" s="1939" t="inlineStr">
        <is>
          <t>188</t>
        </is>
      </c>
      <c r="D711" s="1921">
        <f>B711/B712-1</f>
        <v/>
      </c>
      <c r="E711" s="1921">
        <f>C711/C712-1</f>
        <v/>
      </c>
      <c r="F711" s="1921">
        <f>$L$2/365</f>
        <v/>
      </c>
      <c r="G711" s="1921">
        <f>D711-F711</f>
        <v/>
      </c>
      <c r="H711" s="1921">
        <f>E711-F711</f>
        <v/>
      </c>
    </row>
    <row r="712" ht="14.25" customHeight="1">
      <c r="A712" s="1936" t="inlineStr">
        <is>
          <t>22/08/2023</t>
        </is>
      </c>
      <c r="B712" s="1563" t="n">
        <v>6916</v>
      </c>
      <c r="C712" s="1938" t="inlineStr">
        <is>
          <t>188</t>
        </is>
      </c>
      <c r="D712" s="1921">
        <f>B712/B713-1</f>
        <v/>
      </c>
      <c r="E712" s="1921">
        <f>C712/C713-1</f>
        <v/>
      </c>
      <c r="F712" s="1921">
        <f>$L$2/365</f>
        <v/>
      </c>
      <c r="G712" s="1921">
        <f>D712-F712</f>
        <v/>
      </c>
      <c r="H712" s="1921">
        <f>E712-F712</f>
        <v/>
      </c>
    </row>
    <row r="713" ht="14.25" customHeight="1">
      <c r="A713" s="1933" t="inlineStr">
        <is>
          <t>21/08/2023</t>
        </is>
      </c>
      <c r="B713" s="1563" t="n">
        <v>6866</v>
      </c>
      <c r="C713" s="1939" t="inlineStr">
        <is>
          <t>190</t>
        </is>
      </c>
      <c r="D713" s="1921">
        <f>B713/B714-1</f>
        <v/>
      </c>
      <c r="E713" s="1921">
        <f>C713/C714-1</f>
        <v/>
      </c>
      <c r="F713" s="1921">
        <f>$L$2/365</f>
        <v/>
      </c>
      <c r="G713" s="1921">
        <f>D713-F713</f>
        <v/>
      </c>
      <c r="H713" s="1921">
        <f>E713-F713</f>
        <v/>
      </c>
    </row>
    <row r="714" ht="14.25" customHeight="1">
      <c r="A714" s="1936" t="inlineStr">
        <is>
          <t>18/08/2023</t>
        </is>
      </c>
      <c r="B714" s="1563" t="n">
        <v>6860</v>
      </c>
      <c r="C714" s="1938" t="inlineStr">
        <is>
          <t>193</t>
        </is>
      </c>
      <c r="D714" s="1921">
        <f>B714/B715-1</f>
        <v/>
      </c>
      <c r="E714" s="1921">
        <f>C714/C715-1</f>
        <v/>
      </c>
      <c r="F714" s="1921">
        <f>$L$2/365</f>
        <v/>
      </c>
      <c r="G714" s="1921">
        <f>D714-F714</f>
        <v/>
      </c>
      <c r="H714" s="1921">
        <f>E714-F714</f>
        <v/>
      </c>
    </row>
    <row r="715" ht="14.25" customHeight="1">
      <c r="A715" s="1933" t="inlineStr">
        <is>
          <t>16/08/2023</t>
        </is>
      </c>
      <c r="B715" s="1563" t="n">
        <v>6901</v>
      </c>
      <c r="C715" s="1939" t="inlineStr">
        <is>
          <t>196</t>
        </is>
      </c>
      <c r="D715" s="1921">
        <f>B715/B716-1</f>
        <v/>
      </c>
      <c r="E715" s="1921">
        <f>C715/C716-1</f>
        <v/>
      </c>
      <c r="F715" s="1921">
        <f>$L$2/365</f>
        <v/>
      </c>
      <c r="G715" s="1921">
        <f>D715-F715</f>
        <v/>
      </c>
      <c r="H715" s="1921">
        <f>E715-F715</f>
        <v/>
      </c>
    </row>
    <row r="716" ht="14.25" customHeight="1">
      <c r="A716" s="1936" t="inlineStr">
        <is>
          <t>15/08/2023</t>
        </is>
      </c>
      <c r="B716" s="1563" t="n">
        <v>6915</v>
      </c>
      <c r="C716" s="1938" t="inlineStr">
        <is>
          <t>200</t>
        </is>
      </c>
      <c r="D716" s="1921">
        <f>B716/B717-1</f>
        <v/>
      </c>
      <c r="E716" s="1921">
        <f>C716/C717-1</f>
        <v/>
      </c>
      <c r="F716" s="1921">
        <f>$L$2/365</f>
        <v/>
      </c>
      <c r="G716" s="1921">
        <f>D716-F716</f>
        <v/>
      </c>
      <c r="H716" s="1921">
        <f>E716-F716</f>
        <v/>
      </c>
    </row>
    <row r="717" ht="14.25" customHeight="1">
      <c r="A717" s="1933" t="inlineStr">
        <is>
          <t>14/08/2023</t>
        </is>
      </c>
      <c r="B717" s="1563" t="n">
        <v>6910</v>
      </c>
      <c r="C717" s="1939" t="inlineStr">
        <is>
          <t>202</t>
        </is>
      </c>
      <c r="D717" s="1921">
        <f>B717/B718-1</f>
        <v/>
      </c>
      <c r="E717" s="1921">
        <f>C717/C718-1</f>
        <v/>
      </c>
      <c r="F717" s="1921">
        <f>$L$2/365</f>
        <v/>
      </c>
      <c r="G717" s="1921">
        <f>D717-F717</f>
        <v/>
      </c>
      <c r="H717" s="1921">
        <f>E717-F717</f>
        <v/>
      </c>
    </row>
    <row r="718" ht="14.25" customHeight="1">
      <c r="A718" s="1936" t="inlineStr">
        <is>
          <t>11/08/2023</t>
        </is>
      </c>
      <c r="B718" s="1563" t="n">
        <v>6880</v>
      </c>
      <c r="C718" s="1938" t="inlineStr">
        <is>
          <t>187</t>
        </is>
      </c>
      <c r="D718" s="1921">
        <f>B718/B719-1</f>
        <v/>
      </c>
      <c r="E718" s="1921">
        <f>C718/C719-1</f>
        <v/>
      </c>
      <c r="F718" s="1921">
        <f>$L$2/365</f>
        <v/>
      </c>
      <c r="G718" s="1921">
        <f>D718-F718</f>
        <v/>
      </c>
      <c r="H718" s="1921">
        <f>E718-F718</f>
        <v/>
      </c>
    </row>
    <row r="719" ht="14.25" customHeight="1">
      <c r="A719" s="1933" t="inlineStr">
        <is>
          <t>10/08/2023</t>
        </is>
      </c>
      <c r="B719" s="1563" t="n">
        <v>6893</v>
      </c>
      <c r="C719" s="1939" t="inlineStr">
        <is>
          <t>186</t>
        </is>
      </c>
      <c r="D719" s="1921">
        <f>B719/B720-1</f>
        <v/>
      </c>
      <c r="E719" s="1921">
        <f>C719/C720-1</f>
        <v/>
      </c>
      <c r="F719" s="1921">
        <f>$L$2/365</f>
        <v/>
      </c>
      <c r="G719" s="1921">
        <f>D719-F719</f>
        <v/>
      </c>
      <c r="H719" s="1921">
        <f>E719-F719</f>
        <v/>
      </c>
    </row>
    <row r="720" ht="14.25" customHeight="1">
      <c r="A720" s="1936" t="inlineStr">
        <is>
          <t>09/08/2023</t>
        </is>
      </c>
      <c r="B720" s="1563" t="n">
        <v>6875</v>
      </c>
      <c r="C720" s="1938" t="inlineStr">
        <is>
          <t>188</t>
        </is>
      </c>
      <c r="D720" s="1921">
        <f>B720/B721-1</f>
        <v/>
      </c>
      <c r="E720" s="1921">
        <f>C720/C721-1</f>
        <v/>
      </c>
      <c r="F720" s="1921">
        <f>$L$2/365</f>
        <v/>
      </c>
      <c r="G720" s="1921">
        <f>D720-F720</f>
        <v/>
      </c>
      <c r="H720" s="1921">
        <f>E720-F720</f>
        <v/>
      </c>
    </row>
    <row r="721" ht="14.25" customHeight="1">
      <c r="A721" s="1933" t="inlineStr">
        <is>
          <t>08/08/2023</t>
        </is>
      </c>
      <c r="B721" s="1563" t="n">
        <v>6869</v>
      </c>
      <c r="C721" s="1939" t="inlineStr">
        <is>
          <t>190</t>
        </is>
      </c>
      <c r="D721" s="1921">
        <f>B721/B722-1</f>
        <v/>
      </c>
      <c r="E721" s="1921">
        <f>C721/C722-1</f>
        <v/>
      </c>
      <c r="F721" s="1921">
        <f>$L$2/365</f>
        <v/>
      </c>
      <c r="G721" s="1921">
        <f>D721-F721</f>
        <v/>
      </c>
      <c r="H721" s="1921">
        <f>E721-F721</f>
        <v/>
      </c>
    </row>
    <row r="722" ht="14.25" customHeight="1">
      <c r="A722" s="1936" t="inlineStr">
        <is>
          <t>07/08/2023</t>
        </is>
      </c>
      <c r="B722" s="1563" t="n">
        <v>6886</v>
      </c>
      <c r="C722" s="1938" t="inlineStr">
        <is>
          <t>188</t>
        </is>
      </c>
      <c r="D722" s="1921">
        <f>B722/B723-1</f>
        <v/>
      </c>
      <c r="E722" s="1921">
        <f>C722/C723-1</f>
        <v/>
      </c>
      <c r="F722" s="1921">
        <f>$L$2/365</f>
        <v/>
      </c>
      <c r="G722" s="1921">
        <f>D722-F722</f>
        <v/>
      </c>
      <c r="H722" s="1921">
        <f>E722-F722</f>
        <v/>
      </c>
    </row>
    <row r="723" ht="14.25" customHeight="1">
      <c r="A723" s="1933" t="inlineStr">
        <is>
          <t>04/08/2023</t>
        </is>
      </c>
      <c r="B723" s="1563" t="n">
        <v>6853</v>
      </c>
      <c r="C723" s="1939" t="inlineStr">
        <is>
          <t>190</t>
        </is>
      </c>
      <c r="D723" s="1921">
        <f>B723/B724-1</f>
        <v/>
      </c>
      <c r="E723" s="1921">
        <f>C723/C724-1</f>
        <v/>
      </c>
      <c r="F723" s="1921">
        <f>$L$2/365</f>
        <v/>
      </c>
      <c r="G723" s="1921">
        <f>D723-F723</f>
        <v/>
      </c>
      <c r="H723" s="1921">
        <f>E723-F723</f>
        <v/>
      </c>
    </row>
    <row r="724" ht="14.25" customHeight="1">
      <c r="A724" s="1936" t="inlineStr">
        <is>
          <t>03/08/2023</t>
        </is>
      </c>
      <c r="B724" s="1563" t="n">
        <v>6898</v>
      </c>
      <c r="C724" s="1938" t="inlineStr">
        <is>
          <t>187</t>
        </is>
      </c>
      <c r="D724" s="1921">
        <f>B724/B725-1</f>
        <v/>
      </c>
      <c r="E724" s="1921">
        <f>C724/C725-1</f>
        <v/>
      </c>
      <c r="F724" s="1921">
        <f>$L$2/365</f>
        <v/>
      </c>
      <c r="G724" s="1921">
        <f>D724-F724</f>
        <v/>
      </c>
      <c r="H724" s="1921">
        <f>E724-F724</f>
        <v/>
      </c>
    </row>
    <row r="725" ht="14.25" customHeight="1">
      <c r="A725" s="1933" t="inlineStr">
        <is>
          <t>02/08/2023</t>
        </is>
      </c>
      <c r="B725" s="1563" t="n">
        <v>6855</v>
      </c>
      <c r="C725" s="1939" t="inlineStr">
        <is>
          <t>188</t>
        </is>
      </c>
      <c r="D725" s="1921">
        <f>B725/B726-1</f>
        <v/>
      </c>
      <c r="E725" s="1921">
        <f>C725/C726-1</f>
        <v/>
      </c>
      <c r="F725" s="1921">
        <f>$L$2/365</f>
        <v/>
      </c>
      <c r="G725" s="1921">
        <f>D725-F725</f>
        <v/>
      </c>
      <c r="H725" s="1921">
        <f>E725-F725</f>
        <v/>
      </c>
    </row>
    <row r="726" ht="14.25" customHeight="1">
      <c r="A726" s="1936" t="inlineStr">
        <is>
          <t>01/08/2023</t>
        </is>
      </c>
      <c r="B726" s="1563" t="n">
        <v>6886</v>
      </c>
      <c r="C726" s="1938" t="inlineStr">
        <is>
          <t>200</t>
        </is>
      </c>
      <c r="D726" s="1921">
        <f>B726/B727-1</f>
        <v/>
      </c>
      <c r="E726" s="1921">
        <f>C726/C727-1</f>
        <v/>
      </c>
      <c r="F726" s="1921">
        <f>$L$2/365</f>
        <v/>
      </c>
      <c r="G726" s="1921">
        <f>D726-F726</f>
        <v/>
      </c>
      <c r="H726" s="1921">
        <f>E726-F726</f>
        <v/>
      </c>
    </row>
    <row r="727" ht="14.25" customHeight="1">
      <c r="A727" s="1933" t="inlineStr">
        <is>
          <t>31/07/2023</t>
        </is>
      </c>
      <c r="B727" s="1563" t="n">
        <v>6931</v>
      </c>
      <c r="C727" s="1939" t="inlineStr">
        <is>
          <t>198</t>
        </is>
      </c>
      <c r="D727" s="1921">
        <f>B727/B728-1</f>
        <v/>
      </c>
      <c r="E727" s="1921">
        <f>C727/C728-1</f>
        <v/>
      </c>
      <c r="F727" s="1921">
        <f>$L$2/365</f>
        <v/>
      </c>
      <c r="G727" s="1921">
        <f>D727-F727</f>
        <v/>
      </c>
      <c r="H727" s="1921">
        <f>E727-F727</f>
        <v/>
      </c>
    </row>
    <row r="728" ht="14.25" customHeight="1">
      <c r="A728" s="1936" t="inlineStr">
        <is>
          <t>28/07/2023</t>
        </is>
      </c>
      <c r="B728" s="1563" t="n">
        <v>6900</v>
      </c>
      <c r="C728" s="1938" t="inlineStr">
        <is>
          <t>188</t>
        </is>
      </c>
      <c r="D728" s="1921">
        <f>B728/B729-1</f>
        <v/>
      </c>
      <c r="E728" s="1921">
        <f>C728/C729-1</f>
        <v/>
      </c>
      <c r="F728" s="1921">
        <f>$L$2/365</f>
        <v/>
      </c>
      <c r="G728" s="1921">
        <f>D728-F728</f>
        <v/>
      </c>
      <c r="H728" s="1921">
        <f>E728-F728</f>
        <v/>
      </c>
    </row>
    <row r="729" ht="14.25" customHeight="1">
      <c r="A729" s="1933" t="inlineStr">
        <is>
          <t>27/07/2023</t>
        </is>
      </c>
      <c r="B729" s="1563" t="n">
        <v>6897</v>
      </c>
      <c r="C729" s="1939" t="inlineStr">
        <is>
          <t>187</t>
        </is>
      </c>
      <c r="D729" s="1921">
        <f>B729/B730-1</f>
        <v/>
      </c>
      <c r="E729" s="1921">
        <f>C729/C730-1</f>
        <v/>
      </c>
      <c r="F729" s="1921">
        <f>$L$2/365</f>
        <v/>
      </c>
      <c r="G729" s="1921">
        <f>D729-F729</f>
        <v/>
      </c>
      <c r="H729" s="1921">
        <f>E729-F729</f>
        <v/>
      </c>
    </row>
    <row r="730" ht="14.25" customHeight="1">
      <c r="A730" s="1936" t="inlineStr">
        <is>
          <t>26/07/2023</t>
        </is>
      </c>
      <c r="B730" s="1563" t="n">
        <v>6948</v>
      </c>
      <c r="C730" s="1938" t="inlineStr">
        <is>
          <t>187</t>
        </is>
      </c>
      <c r="D730" s="1921">
        <f>B730/B731-1</f>
        <v/>
      </c>
      <c r="E730" s="1921">
        <f>C730/C731-1</f>
        <v/>
      </c>
      <c r="F730" s="1921">
        <f>$L$2/365</f>
        <v/>
      </c>
      <c r="G730" s="1921">
        <f>D730-F730</f>
        <v/>
      </c>
      <c r="H730" s="1921">
        <f>E730-F730</f>
        <v/>
      </c>
    </row>
    <row r="731" ht="14.25" customHeight="1">
      <c r="A731" s="1933" t="inlineStr">
        <is>
          <t>25/07/2023</t>
        </is>
      </c>
      <c r="B731" s="1563" t="n">
        <v>6918</v>
      </c>
      <c r="C731" s="1939" t="inlineStr">
        <is>
          <t>187</t>
        </is>
      </c>
      <c r="D731" s="1921">
        <f>B731/B732-1</f>
        <v/>
      </c>
      <c r="E731" s="1921">
        <f>C731/C732-1</f>
        <v/>
      </c>
      <c r="F731" s="1921">
        <f>$L$2/365</f>
        <v/>
      </c>
      <c r="G731" s="1921">
        <f>D731-F731</f>
        <v/>
      </c>
      <c r="H731" s="1921">
        <f>E731-F731</f>
        <v/>
      </c>
    </row>
    <row r="732" ht="14.25" customHeight="1">
      <c r="A732" s="1936" t="inlineStr">
        <is>
          <t>24/07/2023</t>
        </is>
      </c>
      <c r="B732" s="1563" t="n">
        <v>6899</v>
      </c>
      <c r="C732" s="1938" t="inlineStr">
        <is>
          <t>186</t>
        </is>
      </c>
      <c r="D732" s="1921">
        <f>B732/B733-1</f>
        <v/>
      </c>
      <c r="E732" s="1921">
        <f>C732/C733-1</f>
        <v/>
      </c>
      <c r="F732" s="1921">
        <f>$L$2/365</f>
        <v/>
      </c>
      <c r="G732" s="1921">
        <f>D732-F732</f>
        <v/>
      </c>
      <c r="H732" s="1921">
        <f>E732-F732</f>
        <v/>
      </c>
    </row>
    <row r="733" ht="14.25" customHeight="1">
      <c r="A733" s="1933" t="inlineStr">
        <is>
          <t>21/07/2023</t>
        </is>
      </c>
      <c r="B733" s="1563" t="n">
        <v>6881</v>
      </c>
      <c r="C733" s="1939" t="inlineStr">
        <is>
          <t>186</t>
        </is>
      </c>
      <c r="D733" s="1921">
        <f>B733/B734-1</f>
        <v/>
      </c>
      <c r="E733" s="1921">
        <f>C733/C734-1</f>
        <v/>
      </c>
      <c r="F733" s="1921">
        <f>$L$2/365</f>
        <v/>
      </c>
      <c r="G733" s="1921">
        <f>D733-F733</f>
        <v/>
      </c>
      <c r="H733" s="1921">
        <f>E733-F733</f>
        <v/>
      </c>
    </row>
    <row r="734" ht="14.25" customHeight="1">
      <c r="A734" s="1936" t="inlineStr">
        <is>
          <t>20/07/2023</t>
        </is>
      </c>
      <c r="B734" s="1563" t="n">
        <v>6864</v>
      </c>
      <c r="C734" s="1938" t="inlineStr">
        <is>
          <t>189</t>
        </is>
      </c>
      <c r="D734" s="1921">
        <f>B734/B735-1</f>
        <v/>
      </c>
      <c r="E734" s="1921">
        <f>C734/C735-1</f>
        <v/>
      </c>
      <c r="F734" s="1921">
        <f>$L$2/365</f>
        <v/>
      </c>
      <c r="G734" s="1921">
        <f>D734-F734</f>
        <v/>
      </c>
      <c r="H734" s="1921">
        <f>E734-F734</f>
        <v/>
      </c>
    </row>
    <row r="735" ht="14.25" customHeight="1">
      <c r="A735" s="1933" t="inlineStr">
        <is>
          <t>18/07/2023</t>
        </is>
      </c>
      <c r="B735" s="1563" t="n">
        <v>6830</v>
      </c>
      <c r="C735" s="1939" t="inlineStr">
        <is>
          <t>188</t>
        </is>
      </c>
      <c r="D735" s="1921">
        <f>B735/B736-1</f>
        <v/>
      </c>
      <c r="E735" s="1921">
        <f>C735/C736-1</f>
        <v/>
      </c>
      <c r="F735" s="1921">
        <f>$L$2/365</f>
        <v/>
      </c>
      <c r="G735" s="1921">
        <f>D735-F735</f>
        <v/>
      </c>
      <c r="H735" s="1921">
        <f>E735-F735</f>
        <v/>
      </c>
    </row>
    <row r="736" ht="14.25" customHeight="1">
      <c r="A736" s="1936" t="inlineStr">
        <is>
          <t>17/07/2023</t>
        </is>
      </c>
      <c r="B736" s="1563" t="n">
        <v>6867</v>
      </c>
      <c r="C736" s="1938" t="inlineStr">
        <is>
          <t>193</t>
        </is>
      </c>
      <c r="D736" s="1921">
        <f>B736/B737-1</f>
        <v/>
      </c>
      <c r="E736" s="1921">
        <f>C736/C737-1</f>
        <v/>
      </c>
      <c r="F736" s="1921">
        <f>$L$2/365</f>
        <v/>
      </c>
      <c r="G736" s="1921">
        <f>D736-F736</f>
        <v/>
      </c>
      <c r="H736" s="1921">
        <f>E736-F736</f>
        <v/>
      </c>
    </row>
    <row r="737" ht="14.25" customHeight="1">
      <c r="A737" s="1933" t="inlineStr">
        <is>
          <t>14/07/2023</t>
        </is>
      </c>
      <c r="B737" s="1563" t="n">
        <v>6870</v>
      </c>
      <c r="C737" s="1939" t="inlineStr">
        <is>
          <t>193</t>
        </is>
      </c>
      <c r="D737" s="1921">
        <f>B737/B738-1</f>
        <v/>
      </c>
      <c r="E737" s="1921">
        <f>C737/C738-1</f>
        <v/>
      </c>
      <c r="F737" s="1921">
        <f>$L$2/365</f>
        <v/>
      </c>
      <c r="G737" s="1921">
        <f>D737-F737</f>
        <v/>
      </c>
      <c r="H737" s="1921">
        <f>E737-F737</f>
        <v/>
      </c>
    </row>
    <row r="738" ht="14.25" customHeight="1">
      <c r="A738" s="1936" t="inlineStr">
        <is>
          <t>13/07/2023</t>
        </is>
      </c>
      <c r="B738" s="1563" t="n">
        <v>6810</v>
      </c>
      <c r="C738" s="1938" t="inlineStr">
        <is>
          <t>192</t>
        </is>
      </c>
      <c r="D738" s="1921">
        <f>B738/B739-1</f>
        <v/>
      </c>
      <c r="E738" s="1921">
        <f>C738/C739-1</f>
        <v/>
      </c>
      <c r="F738" s="1921">
        <f>$L$2/365</f>
        <v/>
      </c>
      <c r="G738" s="1921">
        <f>D738-F738</f>
        <v/>
      </c>
      <c r="H738" s="1921">
        <f>E738-F738</f>
        <v/>
      </c>
    </row>
    <row r="739" ht="14.25" customHeight="1">
      <c r="A739" s="1933" t="inlineStr">
        <is>
          <t>12/07/2023</t>
        </is>
      </c>
      <c r="B739" s="1563" t="n">
        <v>6808</v>
      </c>
      <c r="C739" s="1939" t="inlineStr">
        <is>
          <t>195</t>
        </is>
      </c>
      <c r="D739" s="1921">
        <f>B739/B740-1</f>
        <v/>
      </c>
      <c r="E739" s="1921">
        <f>C739/C740-1</f>
        <v/>
      </c>
      <c r="F739" s="1921">
        <f>$L$2/365</f>
        <v/>
      </c>
      <c r="G739" s="1921">
        <f>D739-F739</f>
        <v/>
      </c>
      <c r="H739" s="1921">
        <f>E739-F739</f>
        <v/>
      </c>
    </row>
    <row r="740" ht="14.25" customHeight="1">
      <c r="A740" s="1936" t="inlineStr">
        <is>
          <t>11/07/2023</t>
        </is>
      </c>
      <c r="B740" s="1563" t="n">
        <v>6797</v>
      </c>
      <c r="C740" s="1938" t="inlineStr">
        <is>
          <t>202</t>
        </is>
      </c>
      <c r="D740" s="1921">
        <f>B740/B741-1</f>
        <v/>
      </c>
      <c r="E740" s="1921">
        <f>C740/C741-1</f>
        <v/>
      </c>
      <c r="F740" s="1921">
        <f>$L$2/365</f>
        <v/>
      </c>
      <c r="G740" s="1921">
        <f>D740-F740</f>
        <v/>
      </c>
      <c r="H740" s="1921">
        <f>E740-F740</f>
        <v/>
      </c>
    </row>
    <row r="741" ht="14.25" customHeight="1">
      <c r="A741" s="1933" t="inlineStr">
        <is>
          <t>10/07/2023</t>
        </is>
      </c>
      <c r="B741" s="1563" t="n">
        <v>6731</v>
      </c>
      <c r="C741" s="1939" t="inlineStr">
        <is>
          <t>200</t>
        </is>
      </c>
      <c r="D741" s="1921">
        <f>B741/B742-1</f>
        <v/>
      </c>
      <c r="E741" s="1921">
        <f>C741/C742-1</f>
        <v/>
      </c>
      <c r="F741" s="1921">
        <f>$L$2/365</f>
        <v/>
      </c>
      <c r="G741" s="1921">
        <f>D741-F741</f>
        <v/>
      </c>
      <c r="H741" s="1921">
        <f>E741-F741</f>
        <v/>
      </c>
    </row>
    <row r="742" ht="14.25" customHeight="1">
      <c r="A742" s="1936" t="inlineStr">
        <is>
          <t>07/07/2023</t>
        </is>
      </c>
      <c r="B742" s="1563" t="n">
        <v>6716</v>
      </c>
      <c r="C742" s="1938" t="inlineStr">
        <is>
          <t>197</t>
        </is>
      </c>
      <c r="D742" s="1921">
        <f>B742/B743-1</f>
        <v/>
      </c>
      <c r="E742" s="1921">
        <f>C742/C743-1</f>
        <v/>
      </c>
      <c r="F742" s="1921">
        <f>$L$2/365</f>
        <v/>
      </c>
      <c r="G742" s="1921">
        <f>D742-F742</f>
        <v/>
      </c>
      <c r="H742" s="1921">
        <f>E742-F742</f>
        <v/>
      </c>
    </row>
    <row r="743" ht="14.25" customHeight="1">
      <c r="A743" s="1933" t="inlineStr">
        <is>
          <t>06/07/2023</t>
        </is>
      </c>
      <c r="B743" s="1563" t="n">
        <v>6757</v>
      </c>
      <c r="C743" s="1939" t="inlineStr">
        <is>
          <t>193</t>
        </is>
      </c>
      <c r="D743" s="1921">
        <f>B743/B744-1</f>
        <v/>
      </c>
      <c r="E743" s="1921">
        <f>C743/C744-1</f>
        <v/>
      </c>
      <c r="F743" s="1921">
        <f>$L$2/365</f>
        <v/>
      </c>
      <c r="G743" s="1921">
        <f>D743-F743</f>
        <v/>
      </c>
      <c r="H743" s="1921">
        <f>E743-F743</f>
        <v/>
      </c>
    </row>
    <row r="744" ht="14.25" customHeight="1">
      <c r="A744" s="1936" t="inlineStr">
        <is>
          <t>05/07/2023</t>
        </is>
      </c>
      <c r="B744" s="1563" t="n">
        <v>6719</v>
      </c>
      <c r="C744" s="1938" t="inlineStr">
        <is>
          <t>193</t>
        </is>
      </c>
      <c r="D744" s="1921">
        <f>B744/B745-1</f>
        <v/>
      </c>
      <c r="E744" s="1921">
        <f>C744/C745-1</f>
        <v/>
      </c>
      <c r="F744" s="1921">
        <f>$L$2/365</f>
        <v/>
      </c>
      <c r="G744" s="1921">
        <f>D744-F744</f>
        <v/>
      </c>
      <c r="H744" s="1921">
        <f>E744-F744</f>
        <v/>
      </c>
    </row>
    <row r="745" ht="14.25" customHeight="1">
      <c r="A745" s="1933" t="inlineStr">
        <is>
          <t>04/07/2023</t>
        </is>
      </c>
      <c r="B745" s="1563" t="n">
        <v>6682</v>
      </c>
      <c r="C745" s="1939" t="inlineStr">
        <is>
          <t>192</t>
        </is>
      </c>
      <c r="D745" s="1921">
        <f>B745/B746-1</f>
        <v/>
      </c>
      <c r="E745" s="1921">
        <f>C745/C746-1</f>
        <v/>
      </c>
      <c r="F745" s="1921">
        <f>$L$2/365</f>
        <v/>
      </c>
      <c r="G745" s="1921">
        <f>D745-F745</f>
        <v/>
      </c>
      <c r="H745" s="1921">
        <f>E745-F745</f>
        <v/>
      </c>
    </row>
    <row r="746" ht="14.25" customHeight="1">
      <c r="A746" s="1936" t="inlineStr">
        <is>
          <t>03/07/2023</t>
        </is>
      </c>
      <c r="B746" s="1563" t="n">
        <v>6697</v>
      </c>
      <c r="C746" s="1938" t="inlineStr">
        <is>
          <t>181</t>
        </is>
      </c>
      <c r="D746" s="1921">
        <f>B746/B747-1</f>
        <v/>
      </c>
      <c r="E746" s="1921">
        <f>C746/C747-1</f>
        <v/>
      </c>
      <c r="F746" s="1921">
        <f>$L$2/365</f>
        <v/>
      </c>
      <c r="G746" s="1921">
        <f>D746-F746</f>
        <v/>
      </c>
      <c r="H746" s="1921">
        <f>E746-F746</f>
        <v/>
      </c>
    </row>
    <row r="747" ht="14.25" customHeight="1">
      <c r="A747" s="1933" t="inlineStr">
        <is>
          <t>27/06/2023</t>
        </is>
      </c>
      <c r="B747" s="1563" t="n">
        <v>6662</v>
      </c>
      <c r="C747" s="1939" t="inlineStr">
        <is>
          <t>212</t>
        </is>
      </c>
      <c r="D747" s="1921">
        <f>B747/B748-1</f>
        <v/>
      </c>
      <c r="E747" s="1921">
        <f>C747/C748-1</f>
        <v/>
      </c>
      <c r="F747" s="1921">
        <f>$L$2/365</f>
        <v/>
      </c>
      <c r="G747" s="1921">
        <f>D747-F747</f>
        <v/>
      </c>
      <c r="H747" s="1921">
        <f>E747-F747</f>
        <v/>
      </c>
    </row>
    <row r="748" ht="14.25" customHeight="1">
      <c r="A748" s="1936" t="inlineStr">
        <is>
          <t>26/06/2023</t>
        </is>
      </c>
      <c r="B748" s="1563" t="n">
        <v>6665</v>
      </c>
      <c r="C748" s="1938" t="inlineStr">
        <is>
          <t>230</t>
        </is>
      </c>
      <c r="D748" s="1921">
        <f>B748/B749-1</f>
        <v/>
      </c>
      <c r="E748" s="1921">
        <f>C748/C749-1</f>
        <v/>
      </c>
      <c r="F748" s="1921">
        <f>$L$2/365</f>
        <v/>
      </c>
      <c r="G748" s="1921">
        <f>D748-F748</f>
        <v/>
      </c>
      <c r="H748" s="1921">
        <f>E748-F748</f>
        <v/>
      </c>
    </row>
    <row r="749" ht="14.25" customHeight="1">
      <c r="A749" s="1933" t="inlineStr">
        <is>
          <t>23/06/2023</t>
        </is>
      </c>
      <c r="B749" s="1563" t="n">
        <v>6640</v>
      </c>
      <c r="C749" s="1939" t="inlineStr">
        <is>
          <t>238</t>
        </is>
      </c>
      <c r="D749" s="1921">
        <f>B749/B750-1</f>
        <v/>
      </c>
      <c r="E749" s="1921">
        <f>C749/C750-1</f>
        <v/>
      </c>
      <c r="F749" s="1921">
        <f>$L$2/365</f>
        <v/>
      </c>
      <c r="G749" s="1921">
        <f>D749-F749</f>
        <v/>
      </c>
      <c r="H749" s="1921">
        <f>E749-F749</f>
        <v/>
      </c>
    </row>
    <row r="750" ht="14.25" customHeight="1">
      <c r="A750" s="1936" t="inlineStr">
        <is>
          <t>22/06/2023</t>
        </is>
      </c>
      <c r="B750" s="1563" t="n">
        <v>6652</v>
      </c>
      <c r="C750" s="1938" t="inlineStr">
        <is>
          <t>248</t>
        </is>
      </c>
      <c r="D750" s="1921">
        <f>B750/B751-1</f>
        <v/>
      </c>
      <c r="E750" s="1921">
        <f>C750/C751-1</f>
        <v/>
      </c>
      <c r="F750" s="1921">
        <f>$L$2/365</f>
        <v/>
      </c>
      <c r="G750" s="1921">
        <f>D750-F750</f>
        <v/>
      </c>
      <c r="H750" s="1921">
        <f>E750-F750</f>
        <v/>
      </c>
    </row>
    <row r="751" ht="14.25" customHeight="1">
      <c r="A751" s="1933" t="inlineStr">
        <is>
          <t>21/06/2023</t>
        </is>
      </c>
      <c r="B751" s="1563" t="n">
        <v>6703</v>
      </c>
      <c r="C751" s="1939" t="inlineStr">
        <is>
          <t>248</t>
        </is>
      </c>
      <c r="D751" s="1921">
        <f>B751/B752-1</f>
        <v/>
      </c>
      <c r="E751" s="1921">
        <f>C751/C752-1</f>
        <v/>
      </c>
      <c r="F751" s="1921">
        <f>$L$2/365</f>
        <v/>
      </c>
      <c r="G751" s="1921">
        <f>D751-F751</f>
        <v/>
      </c>
      <c r="H751" s="1921">
        <f>E751-F751</f>
        <v/>
      </c>
    </row>
    <row r="752" ht="14.25" customHeight="1">
      <c r="A752" s="1936" t="inlineStr">
        <is>
          <t>20/06/2023</t>
        </is>
      </c>
      <c r="B752" s="1563" t="n">
        <v>6660</v>
      </c>
      <c r="C752" s="1938" t="inlineStr">
        <is>
          <t>246</t>
        </is>
      </c>
      <c r="D752" s="1921">
        <f>B752/B753-1</f>
        <v/>
      </c>
      <c r="E752" s="1921">
        <f>C752/C753-1</f>
        <v/>
      </c>
      <c r="F752" s="1921">
        <f>$L$2/365</f>
        <v/>
      </c>
      <c r="G752" s="1921">
        <f>D752-F752</f>
        <v/>
      </c>
      <c r="H752" s="1921">
        <f>E752-F752</f>
        <v/>
      </c>
    </row>
    <row r="753" ht="14.25" customHeight="1">
      <c r="A753" s="1933" t="inlineStr">
        <is>
          <t>19/06/2023</t>
        </is>
      </c>
      <c r="B753" s="1563" t="n">
        <v>6686</v>
      </c>
      <c r="C753" s="1939" t="inlineStr">
        <is>
          <t>252</t>
        </is>
      </c>
      <c r="D753" s="1921">
        <f>B753/B754-1</f>
        <v/>
      </c>
      <c r="E753" s="1921">
        <f>C753/C754-1</f>
        <v/>
      </c>
      <c r="F753" s="1921">
        <f>$L$2/365</f>
        <v/>
      </c>
      <c r="G753" s="1921">
        <f>D753-F753</f>
        <v/>
      </c>
      <c r="H753" s="1921">
        <f>E753-F753</f>
        <v/>
      </c>
    </row>
    <row r="754" ht="14.25" customHeight="1">
      <c r="A754" s="1936" t="inlineStr">
        <is>
          <t>16/06/2023</t>
        </is>
      </c>
      <c r="B754" s="1563" t="n">
        <v>6699</v>
      </c>
      <c r="C754" s="1938" t="inlineStr">
        <is>
          <t>250</t>
        </is>
      </c>
      <c r="D754" s="1921">
        <f>B754/B755-1</f>
        <v/>
      </c>
      <c r="E754" s="1921">
        <f>C754/C755-1</f>
        <v/>
      </c>
      <c r="F754" s="1921">
        <f>$L$2/365</f>
        <v/>
      </c>
      <c r="G754" s="1921">
        <f>D754-F754</f>
        <v/>
      </c>
      <c r="H754" s="1921">
        <f>E754-F754</f>
        <v/>
      </c>
    </row>
    <row r="755" ht="14.25" customHeight="1">
      <c r="A755" s="1933" t="inlineStr">
        <is>
          <t>15/06/2023</t>
        </is>
      </c>
      <c r="B755" s="1563" t="n">
        <v>6714</v>
      </c>
      <c r="C755" s="1939" t="inlineStr">
        <is>
          <t>246</t>
        </is>
      </c>
      <c r="D755" s="1921">
        <f>B755/B756-1</f>
        <v/>
      </c>
      <c r="E755" s="1921">
        <f>C755/C756-1</f>
        <v/>
      </c>
      <c r="F755" s="1921">
        <f>$L$2/365</f>
        <v/>
      </c>
      <c r="G755" s="1921">
        <f>D755-F755</f>
        <v/>
      </c>
      <c r="H755" s="1921">
        <f>E755-F755</f>
        <v/>
      </c>
    </row>
    <row r="756" ht="14.25" customHeight="1">
      <c r="A756" s="1936" t="inlineStr">
        <is>
          <t>14/06/2023</t>
        </is>
      </c>
      <c r="B756" s="1563" t="n">
        <v>6700</v>
      </c>
      <c r="C756" s="1938" t="inlineStr">
        <is>
          <t>246</t>
        </is>
      </c>
      <c r="D756" s="1921">
        <f>B756/B757-1</f>
        <v/>
      </c>
      <c r="E756" s="1921">
        <f>C756/C757-1</f>
        <v/>
      </c>
      <c r="F756" s="1921">
        <f>$L$2/365</f>
        <v/>
      </c>
      <c r="G756" s="1921">
        <f>D756-F756</f>
        <v/>
      </c>
      <c r="H756" s="1921">
        <f>E756-F756</f>
        <v/>
      </c>
    </row>
    <row r="757" ht="14.25" customHeight="1">
      <c r="A757" s="1933" t="inlineStr">
        <is>
          <t>13/06/2023</t>
        </is>
      </c>
      <c r="B757" s="1563" t="n">
        <v>6719</v>
      </c>
      <c r="C757" s="1939" t="inlineStr">
        <is>
          <t>260</t>
        </is>
      </c>
      <c r="D757" s="1921">
        <f>B757/B758-1</f>
        <v/>
      </c>
      <c r="E757" s="1921">
        <f>C757/C758-1</f>
        <v/>
      </c>
      <c r="F757" s="1921">
        <f>$L$2/365</f>
        <v/>
      </c>
      <c r="G757" s="1921">
        <f>D757-F757</f>
        <v/>
      </c>
      <c r="H757" s="1921">
        <f>E757-F757</f>
        <v/>
      </c>
    </row>
    <row r="758" ht="14.25" customHeight="1">
      <c r="A758" s="1936" t="inlineStr">
        <is>
          <t>12/06/2023</t>
        </is>
      </c>
      <c r="B758" s="1563" t="n">
        <v>6722</v>
      </c>
      <c r="C758" s="1938" t="inlineStr">
        <is>
          <t>256</t>
        </is>
      </c>
      <c r="D758" s="1921">
        <f>B758/B759-1</f>
        <v/>
      </c>
      <c r="E758" s="1921">
        <f>C758/C759-1</f>
        <v/>
      </c>
      <c r="F758" s="1921">
        <f>$L$2/365</f>
        <v/>
      </c>
      <c r="G758" s="1921">
        <f>D758-F758</f>
        <v/>
      </c>
      <c r="H758" s="1921">
        <f>E758-F758</f>
        <v/>
      </c>
    </row>
    <row r="759" ht="14.25" customHeight="1">
      <c r="A759" s="1933" t="inlineStr">
        <is>
          <t>09/06/2023</t>
        </is>
      </c>
      <c r="B759" s="1563" t="n">
        <v>6694</v>
      </c>
      <c r="C759" s="1939" t="inlineStr">
        <is>
          <t>232</t>
        </is>
      </c>
      <c r="D759" s="1921">
        <f>B759/B760-1</f>
        <v/>
      </c>
      <c r="E759" s="1921">
        <f>C759/C760-1</f>
        <v/>
      </c>
      <c r="F759" s="1921">
        <f>$L$2/365</f>
        <v/>
      </c>
      <c r="G759" s="1921">
        <f>D759-F759</f>
        <v/>
      </c>
      <c r="H759" s="1921">
        <f>E759-F759</f>
        <v/>
      </c>
    </row>
    <row r="760" ht="14.25" customHeight="1">
      <c r="A760" s="1936" t="inlineStr">
        <is>
          <t>08/06/2023</t>
        </is>
      </c>
      <c r="B760" s="1563" t="n">
        <v>6666</v>
      </c>
      <c r="C760" s="1938" t="inlineStr">
        <is>
          <t>218</t>
        </is>
      </c>
      <c r="D760" s="1921">
        <f>B760/B761-1</f>
        <v/>
      </c>
      <c r="E760" s="1921">
        <f>C760/C761-1</f>
        <v/>
      </c>
      <c r="F760" s="1921">
        <f>$L$2/365</f>
        <v/>
      </c>
      <c r="G760" s="1921">
        <f>D760-F760</f>
        <v/>
      </c>
      <c r="H760" s="1921">
        <f>E760-F760</f>
        <v/>
      </c>
    </row>
    <row r="761" ht="14.25" customHeight="1">
      <c r="A761" s="1933" t="inlineStr">
        <is>
          <t>07/06/2023</t>
        </is>
      </c>
      <c r="B761" s="1563" t="n">
        <v>6620</v>
      </c>
      <c r="C761" s="1939" t="inlineStr">
        <is>
          <t>218</t>
        </is>
      </c>
      <c r="D761" s="1921">
        <f>B761/B762-1</f>
        <v/>
      </c>
      <c r="E761" s="1921">
        <f>C761/C762-1</f>
        <v/>
      </c>
      <c r="F761" s="1921">
        <f>$L$2/365</f>
        <v/>
      </c>
      <c r="G761" s="1921">
        <f>D761-F761</f>
        <v/>
      </c>
      <c r="H761" s="1921">
        <f>E761-F761</f>
        <v/>
      </c>
    </row>
    <row r="762" ht="14.25" customHeight="1">
      <c r="A762" s="1936" t="inlineStr">
        <is>
          <t>06/06/2023</t>
        </is>
      </c>
      <c r="B762" s="1563" t="n">
        <v>6619</v>
      </c>
      <c r="C762" s="1938" t="inlineStr">
        <is>
          <t>214</t>
        </is>
      </c>
      <c r="D762" s="1921">
        <f>B762/B763-1</f>
        <v/>
      </c>
      <c r="E762" s="1921">
        <f>C762/C763-1</f>
        <v/>
      </c>
      <c r="F762" s="1921">
        <f>$L$2/365</f>
        <v/>
      </c>
      <c r="G762" s="1921">
        <f>D762-F762</f>
        <v/>
      </c>
      <c r="H762" s="1921">
        <f>E762-F762</f>
        <v/>
      </c>
    </row>
    <row r="763" ht="14.25" customHeight="1">
      <c r="A763" s="1933" t="inlineStr">
        <is>
          <t>05/06/2023</t>
        </is>
      </c>
      <c r="B763" s="1563" t="n">
        <v>6633</v>
      </c>
      <c r="C763" s="1939" t="inlineStr">
        <is>
          <t>224</t>
        </is>
      </c>
      <c r="D763" s="1921">
        <f>B763/B764-1</f>
        <v/>
      </c>
      <c r="E763" s="1921">
        <f>C763/C764-1</f>
        <v/>
      </c>
      <c r="F763" s="1921">
        <f>$L$2/365</f>
        <v/>
      </c>
      <c r="G763" s="1921">
        <f>D763-F763</f>
        <v/>
      </c>
      <c r="H763" s="1921">
        <f>E763-F763</f>
        <v/>
      </c>
    </row>
    <row r="764" ht="14.25" customHeight="1">
      <c r="A764" s="1936" t="inlineStr">
        <is>
          <t>31/05/2023</t>
        </is>
      </c>
      <c r="B764" s="1563" t="n">
        <v>6633</v>
      </c>
      <c r="C764" s="1938" t="inlineStr">
        <is>
          <t>224</t>
        </is>
      </c>
      <c r="D764" s="1921">
        <f>B764/B765-1</f>
        <v/>
      </c>
      <c r="E764" s="1921">
        <f>C764/C765-1</f>
        <v/>
      </c>
      <c r="F764" s="1921">
        <f>$L$2/365</f>
        <v/>
      </c>
      <c r="G764" s="1921">
        <f>D764-F764</f>
        <v/>
      </c>
      <c r="H764" s="1921">
        <f>E764-F764</f>
        <v/>
      </c>
    </row>
    <row r="765" ht="14.25" customHeight="1">
      <c r="A765" s="1933" t="inlineStr">
        <is>
          <t>30/05/2023</t>
        </is>
      </c>
      <c r="B765" s="1563" t="n">
        <v>6636</v>
      </c>
      <c r="C765" s="1939" t="inlineStr">
        <is>
          <t>230</t>
        </is>
      </c>
      <c r="D765" s="1921">
        <f>B765/B766-1</f>
        <v/>
      </c>
      <c r="E765" s="1921">
        <f>C765/C766-1</f>
        <v/>
      </c>
      <c r="F765" s="1921">
        <f>$L$2/365</f>
        <v/>
      </c>
      <c r="G765" s="1921">
        <f>D765-F765</f>
        <v/>
      </c>
      <c r="H765" s="1921">
        <f>E765-F765</f>
        <v/>
      </c>
    </row>
    <row r="766" ht="14.25" customHeight="1">
      <c r="A766" s="1936" t="inlineStr">
        <is>
          <t>29/05/2023</t>
        </is>
      </c>
      <c r="B766" s="1563" t="n">
        <v>6681</v>
      </c>
      <c r="C766" s="1938" t="inlineStr">
        <is>
          <t>220</t>
        </is>
      </c>
      <c r="D766" s="1921">
        <f>B766/B767-1</f>
        <v/>
      </c>
      <c r="E766" s="1921">
        <f>C766/C767-1</f>
        <v/>
      </c>
      <c r="F766" s="1921">
        <f>$L$2/365</f>
        <v/>
      </c>
      <c r="G766" s="1921">
        <f>D766-F766</f>
        <v/>
      </c>
      <c r="H766" s="1921">
        <f>E766-F766</f>
        <v/>
      </c>
    </row>
    <row r="767" ht="14.25" customHeight="1">
      <c r="A767" s="1933" t="inlineStr">
        <is>
          <t>26/05/2023</t>
        </is>
      </c>
      <c r="B767" s="1563" t="n">
        <v>6687</v>
      </c>
      <c r="C767" s="1939" t="inlineStr">
        <is>
          <t>224</t>
        </is>
      </c>
      <c r="D767" s="1921">
        <f>B767/B768-1</f>
        <v/>
      </c>
      <c r="E767" s="1921">
        <f>C767/C768-1</f>
        <v/>
      </c>
      <c r="F767" s="1921">
        <f>$L$2/365</f>
        <v/>
      </c>
      <c r="G767" s="1921">
        <f>D767-F767</f>
        <v/>
      </c>
      <c r="H767" s="1921">
        <f>E767-F767</f>
        <v/>
      </c>
    </row>
    <row r="768" ht="14.25" customHeight="1">
      <c r="A768" s="1936" t="inlineStr">
        <is>
          <t>25/05/2023</t>
        </is>
      </c>
      <c r="B768" s="1563" t="n">
        <v>6704</v>
      </c>
      <c r="C768" s="1938" t="inlineStr">
        <is>
          <t>224</t>
        </is>
      </c>
      <c r="D768" s="1921">
        <f>B768/B769-1</f>
        <v/>
      </c>
      <c r="E768" s="1921">
        <f>C768/C769-1</f>
        <v/>
      </c>
      <c r="F768" s="1921">
        <f>$L$2/365</f>
        <v/>
      </c>
      <c r="G768" s="1921">
        <f>D768-F768</f>
        <v/>
      </c>
      <c r="H768" s="1921">
        <f>E768-F768</f>
        <v/>
      </c>
    </row>
    <row r="769" ht="14.25" customHeight="1">
      <c r="A769" s="1933" t="inlineStr">
        <is>
          <t>24/05/2023</t>
        </is>
      </c>
      <c r="B769" s="1563" t="n">
        <v>6746</v>
      </c>
      <c r="C769" s="1939" t="inlineStr">
        <is>
          <t>226</t>
        </is>
      </c>
      <c r="D769" s="1921">
        <f>B769/B770-1</f>
        <v/>
      </c>
      <c r="E769" s="1921">
        <f>C769/C770-1</f>
        <v/>
      </c>
      <c r="F769" s="1921">
        <f>$L$2/365</f>
        <v/>
      </c>
      <c r="G769" s="1921">
        <f>D769-F769</f>
        <v/>
      </c>
      <c r="H769" s="1921">
        <f>E769-F769</f>
        <v/>
      </c>
    </row>
    <row r="770" ht="14.25" customHeight="1">
      <c r="A770" s="1936" t="inlineStr">
        <is>
          <t>23/05/2023</t>
        </is>
      </c>
      <c r="B770" s="1563" t="n">
        <v>6737</v>
      </c>
      <c r="C770" s="1938" t="inlineStr">
        <is>
          <t>206</t>
        </is>
      </c>
      <c r="D770" s="1921">
        <f>B770/B771-1</f>
        <v/>
      </c>
      <c r="E770" s="1921">
        <f>C770/C771-1</f>
        <v/>
      </c>
      <c r="F770" s="1921">
        <f>$L$2/365</f>
        <v/>
      </c>
      <c r="G770" s="1921">
        <f>D770-F770</f>
        <v/>
      </c>
      <c r="H770" s="1921">
        <f>E770-F770</f>
        <v/>
      </c>
    </row>
    <row r="771" ht="14.25" customHeight="1">
      <c r="A771" s="1933" t="inlineStr">
        <is>
          <t>22/05/2023</t>
        </is>
      </c>
      <c r="B771" s="1563" t="n">
        <v>6730</v>
      </c>
      <c r="C771" s="1939" t="inlineStr">
        <is>
          <t>202</t>
        </is>
      </c>
      <c r="D771" s="1921">
        <f>B771/B772-1</f>
        <v/>
      </c>
      <c r="E771" s="1921">
        <f>C771/C772-1</f>
        <v/>
      </c>
      <c r="F771" s="1921">
        <f>$L$2/365</f>
        <v/>
      </c>
      <c r="G771" s="1921">
        <f>D771-F771</f>
        <v/>
      </c>
      <c r="H771" s="1921">
        <f>E771-F771</f>
        <v/>
      </c>
    </row>
    <row r="772" ht="14.25" customHeight="1">
      <c r="A772" s="1936" t="inlineStr">
        <is>
          <t>19/05/2023</t>
        </is>
      </c>
      <c r="B772" s="1563" t="n">
        <v>6701</v>
      </c>
      <c r="C772" s="1938" t="inlineStr">
        <is>
          <t>198</t>
        </is>
      </c>
      <c r="D772" s="1921">
        <f>B772/B773-1</f>
        <v/>
      </c>
      <c r="E772" s="1921">
        <f>C772/C773-1</f>
        <v/>
      </c>
      <c r="F772" s="1921">
        <f>$L$2/365</f>
        <v/>
      </c>
      <c r="G772" s="1921">
        <f>D772-F772</f>
        <v/>
      </c>
      <c r="H772" s="1921">
        <f>E772-F772</f>
        <v/>
      </c>
    </row>
    <row r="773" ht="14.25" customHeight="1">
      <c r="A773" s="1933" t="inlineStr">
        <is>
          <t>17/05/2023</t>
        </is>
      </c>
      <c r="B773" s="1563" t="n">
        <v>6663</v>
      </c>
      <c r="C773" s="1939" t="inlineStr">
        <is>
          <t>212</t>
        </is>
      </c>
      <c r="D773" s="1921">
        <f>B773/B774-1</f>
        <v/>
      </c>
      <c r="E773" s="1921">
        <f>C773/C774-1</f>
        <v/>
      </c>
      <c r="F773" s="1921">
        <f>$L$2/365</f>
        <v/>
      </c>
      <c r="G773" s="1921">
        <f>D773-F773</f>
        <v/>
      </c>
      <c r="H773" s="1921">
        <f>E773-F773</f>
        <v/>
      </c>
    </row>
    <row r="774" ht="14.25" customHeight="1">
      <c r="A774" s="1936" t="inlineStr">
        <is>
          <t>16/05/2023</t>
        </is>
      </c>
      <c r="B774" s="1563" t="n">
        <v>6677</v>
      </c>
      <c r="C774" s="1938" t="inlineStr">
        <is>
          <t>212</t>
        </is>
      </c>
      <c r="D774" s="1921">
        <f>B774/B775-1</f>
        <v/>
      </c>
      <c r="E774" s="1921">
        <f>C774/C775-1</f>
        <v/>
      </c>
      <c r="F774" s="1921">
        <f>$L$2/365</f>
        <v/>
      </c>
      <c r="G774" s="1921">
        <f>D774-F774</f>
        <v/>
      </c>
      <c r="H774" s="1921">
        <f>E774-F774</f>
        <v/>
      </c>
    </row>
    <row r="775" ht="14.25" customHeight="1">
      <c r="A775" s="1933" t="inlineStr">
        <is>
          <t>15/05/2023</t>
        </is>
      </c>
      <c r="B775" s="1563" t="n">
        <v>6712</v>
      </c>
      <c r="C775" s="1939" t="inlineStr">
        <is>
          <t>222</t>
        </is>
      </c>
      <c r="D775" s="1921">
        <f>B775/B776-1</f>
        <v/>
      </c>
      <c r="E775" s="1921">
        <f>C775/C776-1</f>
        <v/>
      </c>
      <c r="F775" s="1921">
        <f>$L$2/365</f>
        <v/>
      </c>
      <c r="G775" s="1921">
        <f>D775-F775</f>
        <v/>
      </c>
      <c r="H775" s="1921">
        <f>E775-F775</f>
        <v/>
      </c>
    </row>
    <row r="776" ht="14.25" customHeight="1">
      <c r="A776" s="1936" t="inlineStr">
        <is>
          <t>12/05/2023</t>
        </is>
      </c>
      <c r="B776" s="1563" t="n">
        <v>6708</v>
      </c>
      <c r="C776" s="1938" t="inlineStr">
        <is>
          <t>222</t>
        </is>
      </c>
      <c r="D776" s="1921">
        <f>B776/B777-1</f>
        <v/>
      </c>
      <c r="E776" s="1921">
        <f>C776/C777-1</f>
        <v/>
      </c>
      <c r="F776" s="1921">
        <f>$L$2/365</f>
        <v/>
      </c>
      <c r="G776" s="1921">
        <f>D776-F776</f>
        <v/>
      </c>
      <c r="H776" s="1921">
        <f>E776-F776</f>
        <v/>
      </c>
    </row>
    <row r="777" ht="14.25" customHeight="1">
      <c r="A777" s="1933" t="inlineStr">
        <is>
          <t>11/05/2023</t>
        </is>
      </c>
      <c r="B777" s="1563" t="n">
        <v>6756</v>
      </c>
      <c r="C777" s="1939" t="inlineStr">
        <is>
          <t>230</t>
        </is>
      </c>
      <c r="D777" s="1921">
        <f>B777/B778-1</f>
        <v/>
      </c>
      <c r="E777" s="1921">
        <f>C777/C778-1</f>
        <v/>
      </c>
      <c r="F777" s="1921">
        <f>$L$2/365</f>
        <v/>
      </c>
      <c r="G777" s="1921">
        <f>D777-F777</f>
        <v/>
      </c>
      <c r="H777" s="1921">
        <f>E777-F777</f>
        <v/>
      </c>
    </row>
    <row r="778" ht="14.25" customHeight="1">
      <c r="A778" s="1936" t="inlineStr">
        <is>
          <t>10/05/2023</t>
        </is>
      </c>
      <c r="B778" s="1563" t="n">
        <v>6812</v>
      </c>
      <c r="C778" s="1938" t="inlineStr">
        <is>
          <t>232</t>
        </is>
      </c>
      <c r="D778" s="1921">
        <f>B778/B779-1</f>
        <v/>
      </c>
      <c r="E778" s="1921">
        <f>C778/C779-1</f>
        <v/>
      </c>
      <c r="F778" s="1921">
        <f>$L$2/365</f>
        <v/>
      </c>
      <c r="G778" s="1921">
        <f>D778-F778</f>
        <v/>
      </c>
      <c r="H778" s="1921">
        <f>E778-F778</f>
        <v/>
      </c>
    </row>
    <row r="779" ht="14.25" customHeight="1">
      <c r="A779" s="1933" t="inlineStr">
        <is>
          <t>09/05/2023</t>
        </is>
      </c>
      <c r="B779" s="1563" t="n">
        <v>6780</v>
      </c>
      <c r="C779" s="1939" t="inlineStr">
        <is>
          <t>230</t>
        </is>
      </c>
      <c r="D779" s="1921">
        <f>B779/B780-1</f>
        <v/>
      </c>
      <c r="E779" s="1921">
        <f>C779/C780-1</f>
        <v/>
      </c>
      <c r="F779" s="1921">
        <f>$L$2/365</f>
        <v/>
      </c>
      <c r="G779" s="1921">
        <f>D779-F779</f>
        <v/>
      </c>
      <c r="H779" s="1921">
        <f>E779-F779</f>
        <v/>
      </c>
    </row>
    <row r="780" ht="14.25" customHeight="1">
      <c r="A780" s="1936" t="inlineStr">
        <is>
          <t>08/05/2023</t>
        </is>
      </c>
      <c r="B780" s="1563" t="n">
        <v>6770</v>
      </c>
      <c r="C780" s="1938" t="inlineStr">
        <is>
          <t>218</t>
        </is>
      </c>
      <c r="D780" s="1921">
        <f>B780/B781-1</f>
        <v/>
      </c>
      <c r="E780" s="1921">
        <f>C780/C781-1</f>
        <v/>
      </c>
      <c r="F780" s="1921">
        <f>$L$2/365</f>
        <v/>
      </c>
      <c r="G780" s="1921">
        <f>D780-F780</f>
        <v/>
      </c>
      <c r="H780" s="1921">
        <f>E780-F780</f>
        <v/>
      </c>
    </row>
    <row r="781" ht="14.25" customHeight="1">
      <c r="A781" s="1933" t="inlineStr">
        <is>
          <t>05/05/2023</t>
        </is>
      </c>
      <c r="B781" s="1563" t="n">
        <v>6788</v>
      </c>
      <c r="C781" s="1939" t="inlineStr">
        <is>
          <t>220</t>
        </is>
      </c>
      <c r="D781" s="1921">
        <f>B781/B782-1</f>
        <v/>
      </c>
      <c r="E781" s="1921">
        <f>C781/C782-1</f>
        <v/>
      </c>
      <c r="F781" s="1921">
        <f>$L$2/365</f>
        <v/>
      </c>
      <c r="G781" s="1921">
        <f>D781-F781</f>
        <v/>
      </c>
      <c r="H781" s="1921">
        <f>E781-F781</f>
        <v/>
      </c>
    </row>
    <row r="782" ht="14.25" customHeight="1">
      <c r="A782" s="1936" t="inlineStr">
        <is>
          <t>04/05/2023</t>
        </is>
      </c>
      <c r="B782" s="1563" t="n">
        <v>6844</v>
      </c>
      <c r="C782" s="1938" t="inlineStr">
        <is>
          <t>232</t>
        </is>
      </c>
      <c r="D782" s="1921">
        <f>B782/B783-1</f>
        <v/>
      </c>
      <c r="E782" s="1921">
        <f>C782/C783-1</f>
        <v/>
      </c>
      <c r="F782" s="1921">
        <f>$L$2/365</f>
        <v/>
      </c>
      <c r="G782" s="1921">
        <f>D782-F782</f>
        <v/>
      </c>
      <c r="H782" s="1921">
        <f>E782-F782</f>
        <v/>
      </c>
    </row>
    <row r="783" ht="14.25" customHeight="1">
      <c r="A783" s="1933" t="inlineStr">
        <is>
          <t>03/05/2023</t>
        </is>
      </c>
      <c r="B783" s="1563" t="n">
        <v>6813</v>
      </c>
      <c r="C783" s="1939" t="inlineStr">
        <is>
          <t>218</t>
        </is>
      </c>
      <c r="D783" s="1921">
        <f>B783/B784-1</f>
        <v/>
      </c>
      <c r="E783" s="1921">
        <f>C783/C784-1</f>
        <v/>
      </c>
      <c r="F783" s="1921">
        <f>$L$2/365</f>
        <v/>
      </c>
      <c r="G783" s="1921">
        <f>D783-F783</f>
        <v/>
      </c>
      <c r="H783" s="1921">
        <f>E783-F783</f>
        <v/>
      </c>
    </row>
    <row r="784" ht="14.25" customHeight="1">
      <c r="A784" s="1936" t="inlineStr">
        <is>
          <t>02/05/2023</t>
        </is>
      </c>
      <c r="B784" s="1563" t="n">
        <v>6863</v>
      </c>
      <c r="C784" s="1938" t="inlineStr">
        <is>
          <t>216</t>
        </is>
      </c>
      <c r="D784" s="1921">
        <f>B784/B785-1</f>
        <v/>
      </c>
      <c r="E784" s="1921">
        <f>C784/C785-1</f>
        <v/>
      </c>
      <c r="F784" s="1921">
        <f>$L$2/365</f>
        <v/>
      </c>
      <c r="G784" s="1921">
        <f>D784-F784</f>
        <v/>
      </c>
      <c r="H784" s="1921">
        <f>E784-F784</f>
        <v/>
      </c>
    </row>
    <row r="785" ht="14.25" customHeight="1">
      <c r="A785" s="1933" t="inlineStr">
        <is>
          <t>28/04/2023</t>
        </is>
      </c>
      <c r="B785" s="1563" t="n">
        <v>6916</v>
      </c>
      <c r="C785" s="1939" t="inlineStr">
        <is>
          <t>214</t>
        </is>
      </c>
      <c r="D785" s="1921">
        <f>B785/B786-1</f>
        <v/>
      </c>
      <c r="E785" s="1921">
        <f>C785/C786-1</f>
        <v/>
      </c>
      <c r="F785" s="1921">
        <f>$L$2/365</f>
        <v/>
      </c>
      <c r="G785" s="1921">
        <f>D785-F785</f>
        <v/>
      </c>
      <c r="H785" s="1921">
        <f>E785-F785</f>
        <v/>
      </c>
    </row>
    <row r="786" ht="14.25" customHeight="1">
      <c r="A786" s="1936" t="inlineStr">
        <is>
          <t>27/04/2023</t>
        </is>
      </c>
      <c r="B786" s="1563" t="n">
        <v>6945</v>
      </c>
      <c r="C786" s="1938" t="inlineStr">
        <is>
          <t>222</t>
        </is>
      </c>
      <c r="D786" s="1921">
        <f>B786/B787-1</f>
        <v/>
      </c>
      <c r="E786" s="1921">
        <f>C786/C787-1</f>
        <v/>
      </c>
      <c r="F786" s="1921">
        <f>$L$2/365</f>
        <v/>
      </c>
      <c r="G786" s="1921">
        <f>D786-F786</f>
        <v/>
      </c>
      <c r="H786" s="1921">
        <f>E786-F786</f>
        <v/>
      </c>
    </row>
    <row r="787" ht="14.25" customHeight="1">
      <c r="A787" s="1933" t="inlineStr">
        <is>
          <t>26/04/2023</t>
        </is>
      </c>
      <c r="B787" s="1563" t="n">
        <v>6910</v>
      </c>
      <c r="C787" s="1939" t="inlineStr">
        <is>
          <t>210</t>
        </is>
      </c>
      <c r="D787" s="1921">
        <f>B787/B788-1</f>
        <v/>
      </c>
      <c r="E787" s="1921">
        <f>C787/C788-1</f>
        <v/>
      </c>
      <c r="F787" s="1921">
        <f>$L$2/365</f>
        <v/>
      </c>
      <c r="G787" s="1921">
        <f>D787-F787</f>
        <v/>
      </c>
      <c r="H787" s="1921">
        <f>E787-F787</f>
        <v/>
      </c>
    </row>
    <row r="788" ht="14.25" customHeight="1">
      <c r="A788" s="1936" t="inlineStr">
        <is>
          <t>18/04/2023</t>
        </is>
      </c>
      <c r="B788" s="1563" t="n">
        <v>6822</v>
      </c>
      <c r="C788" s="1938" t="inlineStr">
        <is>
          <t>194</t>
        </is>
      </c>
      <c r="D788" s="1921">
        <f>B788/B789-1</f>
        <v/>
      </c>
      <c r="E788" s="1921">
        <f>C788/C789-1</f>
        <v/>
      </c>
      <c r="F788" s="1921">
        <f>$L$2/365</f>
        <v/>
      </c>
      <c r="G788" s="1921">
        <f>D788-F788</f>
        <v/>
      </c>
      <c r="H788" s="1921">
        <f>E788-F788</f>
        <v/>
      </c>
    </row>
    <row r="789" ht="14.25" customHeight="1">
      <c r="A789" s="1933" t="inlineStr">
        <is>
          <t>17/04/2023</t>
        </is>
      </c>
      <c r="B789" s="1563" t="n">
        <v>6788</v>
      </c>
      <c r="C789" s="1939" t="inlineStr">
        <is>
          <t>200</t>
        </is>
      </c>
      <c r="D789" s="1921">
        <f>B789/B790-1</f>
        <v/>
      </c>
      <c r="E789" s="1921">
        <f>C789/C790-1</f>
        <v/>
      </c>
      <c r="F789" s="1921">
        <f>$L$2/365</f>
        <v/>
      </c>
      <c r="G789" s="1921">
        <f>D789-F789</f>
        <v/>
      </c>
      <c r="H789" s="1921">
        <f>E789-F789</f>
        <v/>
      </c>
    </row>
    <row r="790" ht="14.25" customHeight="1">
      <c r="A790" s="1936" t="inlineStr">
        <is>
          <t>14/04/2023</t>
        </is>
      </c>
      <c r="B790" s="1563" t="n">
        <v>6819</v>
      </c>
      <c r="C790" s="1938" t="inlineStr">
        <is>
          <t>182</t>
        </is>
      </c>
      <c r="D790" s="1921">
        <f>B790/B791-1</f>
        <v/>
      </c>
      <c r="E790" s="1921">
        <f>C790/C791-1</f>
        <v/>
      </c>
      <c r="F790" s="1921">
        <f>$L$2/365</f>
        <v/>
      </c>
      <c r="G790" s="1921">
        <f>D790-F790</f>
        <v/>
      </c>
      <c r="H790" s="1921">
        <f>E790-F790</f>
        <v/>
      </c>
    </row>
    <row r="791" ht="14.25" customHeight="1">
      <c r="A791" s="1933" t="inlineStr">
        <is>
          <t>13/04/2023</t>
        </is>
      </c>
      <c r="B791" s="1563" t="n">
        <v>6786</v>
      </c>
      <c r="C791" s="1939" t="inlineStr">
        <is>
          <t>181</t>
        </is>
      </c>
      <c r="D791" s="1921">
        <f>B791/B792-1</f>
        <v/>
      </c>
      <c r="E791" s="1921">
        <f>C791/C792-1</f>
        <v/>
      </c>
      <c r="F791" s="1921">
        <f>$L$2/365</f>
        <v/>
      </c>
      <c r="G791" s="1921">
        <f>D791-F791</f>
        <v/>
      </c>
      <c r="H791" s="1921">
        <f>E791-F791</f>
        <v/>
      </c>
    </row>
    <row r="792" ht="14.25" customHeight="1">
      <c r="A792" s="1936" t="inlineStr">
        <is>
          <t>12/04/2023</t>
        </is>
      </c>
      <c r="B792" s="1563" t="n">
        <v>6799</v>
      </c>
      <c r="C792" s="1938" t="inlineStr">
        <is>
          <t>194</t>
        </is>
      </c>
      <c r="D792" s="1921">
        <f>B792/B793-1</f>
        <v/>
      </c>
      <c r="E792" s="1921">
        <f>C792/C793-1</f>
        <v/>
      </c>
      <c r="F792" s="1921">
        <f>$L$2/365</f>
        <v/>
      </c>
      <c r="G792" s="1921">
        <f>D792-F792</f>
        <v/>
      </c>
      <c r="H792" s="1921">
        <f>E792-F792</f>
        <v/>
      </c>
    </row>
    <row r="793" ht="14.25" customHeight="1">
      <c r="A793" s="1933" t="inlineStr">
        <is>
          <t>11/04/2023</t>
        </is>
      </c>
      <c r="B793" s="1563" t="n">
        <v>6811</v>
      </c>
      <c r="C793" s="1939" t="inlineStr">
        <is>
          <t>196</t>
        </is>
      </c>
      <c r="D793" s="1921">
        <f>B793/B794-1</f>
        <v/>
      </c>
      <c r="E793" s="1921">
        <f>C793/C794-1</f>
        <v/>
      </c>
      <c r="F793" s="1921">
        <f>$L$2/365</f>
        <v/>
      </c>
      <c r="G793" s="1921">
        <f>D793-F793</f>
        <v/>
      </c>
      <c r="H793" s="1921">
        <f>E793-F793</f>
        <v/>
      </c>
    </row>
    <row r="794" ht="14.25" customHeight="1">
      <c r="A794" s="1936" t="inlineStr">
        <is>
          <t>10/04/2023</t>
        </is>
      </c>
      <c r="B794" s="1563" t="n">
        <v>6771</v>
      </c>
      <c r="C794" s="1938" t="inlineStr">
        <is>
          <t>198</t>
        </is>
      </c>
      <c r="D794" s="1921">
        <f>B794/B795-1</f>
        <v/>
      </c>
      <c r="E794" s="1921">
        <f>C794/C795-1</f>
        <v/>
      </c>
      <c r="F794" s="1921">
        <f>$L$2/365</f>
        <v/>
      </c>
      <c r="G794" s="1921">
        <f>D794-F794</f>
        <v/>
      </c>
      <c r="H794" s="1921">
        <f>E794-F794</f>
        <v/>
      </c>
    </row>
    <row r="795" ht="14.25" customHeight="1">
      <c r="A795" s="1933" t="inlineStr">
        <is>
          <t>06/04/2023</t>
        </is>
      </c>
      <c r="B795" s="1563" t="n">
        <v>6793</v>
      </c>
      <c r="C795" s="1939" t="inlineStr">
        <is>
          <t>192</t>
        </is>
      </c>
      <c r="D795" s="1921">
        <f>B795/B796-1</f>
        <v/>
      </c>
      <c r="E795" s="1921">
        <f>C795/C796-1</f>
        <v/>
      </c>
      <c r="F795" s="1921">
        <f>$L$2/365</f>
        <v/>
      </c>
      <c r="G795" s="1921">
        <f>D795-F795</f>
        <v/>
      </c>
      <c r="H795" s="1921">
        <f>E795-F795</f>
        <v/>
      </c>
    </row>
    <row r="796" ht="14.25" customHeight="1">
      <c r="A796" s="1936" t="inlineStr">
        <is>
          <t>05/04/2023</t>
        </is>
      </c>
      <c r="B796" s="1563" t="n">
        <v>6820</v>
      </c>
      <c r="C796" s="1938" t="inlineStr">
        <is>
          <t>183</t>
        </is>
      </c>
      <c r="D796" s="1921">
        <f>B796/B797-1</f>
        <v/>
      </c>
      <c r="E796" s="1921">
        <f>C796/C797-1</f>
        <v/>
      </c>
      <c r="F796" s="1921">
        <f>$L$2/365</f>
        <v/>
      </c>
      <c r="G796" s="1921">
        <f>D796-F796</f>
        <v/>
      </c>
      <c r="H796" s="1921">
        <f>E796-F796</f>
        <v/>
      </c>
    </row>
    <row r="797" ht="14.25" customHeight="1">
      <c r="A797" s="1933" t="inlineStr">
        <is>
          <t>04/04/2023</t>
        </is>
      </c>
      <c r="B797" s="1563" t="n">
        <v>6833</v>
      </c>
      <c r="C797" s="1939" t="inlineStr">
        <is>
          <t>176</t>
        </is>
      </c>
      <c r="D797" s="1921">
        <f>B797/B798-1</f>
        <v/>
      </c>
      <c r="E797" s="1921">
        <f>C797/C798-1</f>
        <v/>
      </c>
      <c r="F797" s="1921">
        <f>$L$2/365</f>
        <v/>
      </c>
      <c r="G797" s="1921">
        <f>D797-F797</f>
        <v/>
      </c>
      <c r="H797" s="1921">
        <f>E797-F797</f>
        <v/>
      </c>
    </row>
    <row r="798" ht="14.25" customHeight="1">
      <c r="A798" s="1936" t="inlineStr">
        <is>
          <t>03/04/2023</t>
        </is>
      </c>
      <c r="B798" s="1563" t="n">
        <v>6827</v>
      </c>
      <c r="C798" s="1938" t="inlineStr">
        <is>
          <t>177</t>
        </is>
      </c>
      <c r="D798" s="1921">
        <f>B798/B799-1</f>
        <v/>
      </c>
      <c r="E798" s="1921">
        <f>C798/C799-1</f>
        <v/>
      </c>
      <c r="F798" s="1921">
        <f>$L$2/365</f>
        <v/>
      </c>
      <c r="G798" s="1921">
        <f>D798-F798</f>
        <v/>
      </c>
      <c r="H798" s="1921">
        <f>E798-F798</f>
        <v/>
      </c>
    </row>
    <row r="799" ht="14.25" customHeight="1">
      <c r="A799" s="1933" t="inlineStr">
        <is>
          <t>31/03/2023</t>
        </is>
      </c>
      <c r="B799" s="1563" t="n">
        <v>6805</v>
      </c>
      <c r="C799" s="1939" t="inlineStr">
        <is>
          <t>166</t>
        </is>
      </c>
      <c r="D799" s="1921">
        <f>B799/B800-1</f>
        <v/>
      </c>
      <c r="E799" s="1921">
        <f>C799/C800-1</f>
        <v/>
      </c>
      <c r="F799" s="1921">
        <f>$L$2/365</f>
        <v/>
      </c>
      <c r="G799" s="1921">
        <f>D799-F799</f>
        <v/>
      </c>
      <c r="H799" s="1921">
        <f>E799-F799</f>
        <v/>
      </c>
    </row>
    <row r="800" ht="14.25" customHeight="1">
      <c r="A800" s="1936" t="inlineStr">
        <is>
          <t>30/03/2023</t>
        </is>
      </c>
      <c r="B800" s="1563" t="n">
        <v>6809</v>
      </c>
      <c r="C800" s="1938" t="inlineStr">
        <is>
          <t>166</t>
        </is>
      </c>
      <c r="D800" s="1921">
        <f>B800/B801-1</f>
        <v/>
      </c>
      <c r="E800" s="1921">
        <f>C800/C801-1</f>
        <v/>
      </c>
      <c r="F800" s="1921">
        <f>$L$2/365</f>
        <v/>
      </c>
      <c r="G800" s="1921">
        <f>D800-F800</f>
        <v/>
      </c>
      <c r="H800" s="1921">
        <f>E800-F800</f>
        <v/>
      </c>
    </row>
    <row r="801" ht="14.25" customHeight="1">
      <c r="A801" s="1933" t="inlineStr">
        <is>
          <t>29/03/2023</t>
        </is>
      </c>
      <c r="B801" s="1563" t="n">
        <v>6839</v>
      </c>
      <c r="C801" s="1939" t="inlineStr">
        <is>
          <t>172</t>
        </is>
      </c>
      <c r="D801" s="1921">
        <f>B801/B802-1</f>
        <v/>
      </c>
      <c r="E801" s="1921">
        <f>C801/C802-1</f>
        <v/>
      </c>
      <c r="F801" s="1921">
        <f>$L$2/365</f>
        <v/>
      </c>
      <c r="G801" s="1921">
        <f>D801-F801</f>
        <v/>
      </c>
      <c r="H801" s="1921">
        <f>E801-F801</f>
        <v/>
      </c>
    </row>
    <row r="802" ht="14.25" customHeight="1">
      <c r="A802" s="1936" t="inlineStr">
        <is>
          <t>28/03/2023</t>
        </is>
      </c>
      <c r="B802" s="1563" t="n">
        <v>6760</v>
      </c>
      <c r="C802" s="1938" t="inlineStr">
        <is>
          <t>149</t>
        </is>
      </c>
      <c r="D802" s="1921">
        <f>B802/B803-1</f>
        <v/>
      </c>
      <c r="E802" s="1921">
        <f>C802/C803-1</f>
        <v/>
      </c>
      <c r="F802" s="1921">
        <f>$L$2/365</f>
        <v/>
      </c>
      <c r="G802" s="1921">
        <f>D802-F802</f>
        <v/>
      </c>
      <c r="H802" s="1921">
        <f>E802-F802</f>
        <v/>
      </c>
    </row>
    <row r="803" ht="14.25" customHeight="1">
      <c r="A803" s="1933" t="inlineStr">
        <is>
          <t>27/03/2023</t>
        </is>
      </c>
      <c r="B803" s="1563" t="n">
        <v>6709</v>
      </c>
      <c r="C803" s="1939" t="inlineStr">
        <is>
          <t>141</t>
        </is>
      </c>
      <c r="D803" s="1921">
        <f>B803/B804-1</f>
        <v/>
      </c>
      <c r="E803" s="1921">
        <f>C803/C804-1</f>
        <v/>
      </c>
      <c r="F803" s="1921">
        <f>$L$2/365</f>
        <v/>
      </c>
      <c r="G803" s="1921">
        <f>D803-F803</f>
        <v/>
      </c>
      <c r="H803" s="1921">
        <f>E803-F803</f>
        <v/>
      </c>
    </row>
    <row r="804" ht="14.25" customHeight="1">
      <c r="A804" s="1936" t="inlineStr">
        <is>
          <t>24/03/2023</t>
        </is>
      </c>
      <c r="B804" s="1563" t="n">
        <v>6762</v>
      </c>
      <c r="C804" s="1938" t="inlineStr">
        <is>
          <t>141</t>
        </is>
      </c>
      <c r="D804" s="1921">
        <f>B804/B805-1</f>
        <v/>
      </c>
      <c r="E804" s="1921">
        <f>C804/C805-1</f>
        <v/>
      </c>
      <c r="F804" s="1921">
        <f>$L$2/365</f>
        <v/>
      </c>
      <c r="G804" s="1921">
        <f>D804-F804</f>
        <v/>
      </c>
      <c r="H804" s="1921">
        <f>E804-F804</f>
        <v/>
      </c>
    </row>
    <row r="805" ht="14.25" customHeight="1">
      <c r="A805" s="1933" t="inlineStr">
        <is>
          <t>21/03/2023</t>
        </is>
      </c>
      <c r="B805" s="1563" t="n">
        <v>6692</v>
      </c>
      <c r="C805" s="1939" t="inlineStr">
        <is>
          <t>141</t>
        </is>
      </c>
      <c r="D805" s="1921">
        <f>B805/B806-1</f>
        <v/>
      </c>
      <c r="E805" s="1921">
        <f>C805/C806-1</f>
        <v/>
      </c>
      <c r="F805" s="1921">
        <f>$L$2/365</f>
        <v/>
      </c>
      <c r="G805" s="1921">
        <f>D805-F805</f>
        <v/>
      </c>
      <c r="H805" s="1921">
        <f>E805-F805</f>
        <v/>
      </c>
    </row>
    <row r="806" ht="14.25" customHeight="1">
      <c r="A806" s="1936" t="inlineStr">
        <is>
          <t>20/03/2023</t>
        </is>
      </c>
      <c r="B806" s="1563" t="n">
        <v>6612</v>
      </c>
      <c r="C806" s="1938" t="inlineStr">
        <is>
          <t>143</t>
        </is>
      </c>
      <c r="D806" s="1921">
        <f>B806/B807-1</f>
        <v/>
      </c>
      <c r="E806" s="1921">
        <f>C806/C807-1</f>
        <v/>
      </c>
      <c r="F806" s="1921">
        <f>$L$2/365</f>
        <v/>
      </c>
      <c r="G806" s="1921">
        <f>D806-F806</f>
        <v/>
      </c>
      <c r="H806" s="1921">
        <f>E806-F806</f>
        <v/>
      </c>
    </row>
    <row r="807" ht="14.25" customHeight="1">
      <c r="A807" s="1933" t="inlineStr">
        <is>
          <t>17/03/2023</t>
        </is>
      </c>
      <c r="B807" s="1563" t="n">
        <v>6678</v>
      </c>
      <c r="C807" s="1939" t="inlineStr">
        <is>
          <t>136</t>
        </is>
      </c>
      <c r="D807" s="1921">
        <f>B807/B808-1</f>
        <v/>
      </c>
      <c r="E807" s="1921">
        <f>C807/C808-1</f>
        <v/>
      </c>
      <c r="F807" s="1921">
        <f>$L$2/365</f>
        <v/>
      </c>
      <c r="G807" s="1921">
        <f>D807-F807</f>
        <v/>
      </c>
      <c r="H807" s="1921">
        <f>E807-F807</f>
        <v/>
      </c>
    </row>
    <row r="808" ht="14.25" customHeight="1">
      <c r="A808" s="1936" t="inlineStr">
        <is>
          <t>16/03/2023</t>
        </is>
      </c>
      <c r="B808" s="1563" t="n">
        <v>6566</v>
      </c>
      <c r="C808" s="1938" t="inlineStr">
        <is>
          <t>134</t>
        </is>
      </c>
      <c r="D808" s="1921">
        <f>B808/B809-1</f>
        <v/>
      </c>
      <c r="E808" s="1921">
        <f>C808/C809-1</f>
        <v/>
      </c>
      <c r="F808" s="1921">
        <f>$L$2/365</f>
        <v/>
      </c>
      <c r="G808" s="1921">
        <f>D808-F808</f>
        <v/>
      </c>
      <c r="H808" s="1921">
        <f>E808-F808</f>
        <v/>
      </c>
    </row>
    <row r="809" ht="14.25" customHeight="1">
      <c r="A809" s="1933" t="inlineStr">
        <is>
          <t>15/03/2023</t>
        </is>
      </c>
      <c r="B809" s="1563" t="n">
        <v>6628</v>
      </c>
      <c r="C809" s="1939" t="inlineStr">
        <is>
          <t>133</t>
        </is>
      </c>
      <c r="D809" s="1921">
        <f>B809/B810-1</f>
        <v/>
      </c>
      <c r="E809" s="1921">
        <f>C809/C810-1</f>
        <v/>
      </c>
      <c r="F809" s="1921">
        <f>$L$2/365</f>
        <v/>
      </c>
      <c r="G809" s="1921">
        <f>D809-F809</f>
        <v/>
      </c>
      <c r="H809" s="1921">
        <f>E809-F809</f>
        <v/>
      </c>
    </row>
    <row r="810" ht="14.25" customHeight="1">
      <c r="A810" s="1936" t="inlineStr">
        <is>
          <t>14/03/2023</t>
        </is>
      </c>
      <c r="B810" s="1563" t="n">
        <v>6642</v>
      </c>
      <c r="C810" s="1938" t="inlineStr">
        <is>
          <t>135</t>
        </is>
      </c>
      <c r="D810" s="1921">
        <f>B810/B811-1</f>
        <v/>
      </c>
      <c r="E810" s="1921">
        <f>C810/C811-1</f>
        <v/>
      </c>
      <c r="F810" s="1921">
        <f>$L$2/365</f>
        <v/>
      </c>
      <c r="G810" s="1921">
        <f>D810-F810</f>
        <v/>
      </c>
      <c r="H810" s="1921">
        <f>E810-F810</f>
        <v/>
      </c>
    </row>
    <row r="811" ht="14.25" customHeight="1">
      <c r="A811" s="1933" t="inlineStr">
        <is>
          <t>13/03/2023</t>
        </is>
      </c>
      <c r="B811" s="1563" t="n">
        <v>6787</v>
      </c>
      <c r="C811" s="1939" t="inlineStr">
        <is>
          <t>136</t>
        </is>
      </c>
      <c r="D811" s="1921">
        <f>B811/B812-1</f>
        <v/>
      </c>
      <c r="E811" s="1921">
        <f>C811/C812-1</f>
        <v/>
      </c>
      <c r="F811" s="1921">
        <f>$L$2/365</f>
        <v/>
      </c>
      <c r="G811" s="1921">
        <f>D811-F811</f>
        <v/>
      </c>
      <c r="H811" s="1921">
        <f>E811-F811</f>
        <v/>
      </c>
    </row>
    <row r="812" ht="14.25" customHeight="1">
      <c r="A812" s="1936" t="inlineStr">
        <is>
          <t>10/03/2023</t>
        </is>
      </c>
      <c r="B812" s="1563" t="n">
        <v>6765</v>
      </c>
      <c r="C812" s="1938" t="inlineStr">
        <is>
          <t>139</t>
        </is>
      </c>
      <c r="D812" s="1921">
        <f>B812/B813-1</f>
        <v/>
      </c>
      <c r="E812" s="1921">
        <f>C812/C813-1</f>
        <v/>
      </c>
      <c r="F812" s="1921">
        <f>$L$2/365</f>
        <v/>
      </c>
      <c r="G812" s="1921">
        <f>D812-F812</f>
        <v/>
      </c>
      <c r="H812" s="1921">
        <f>E812-F812</f>
        <v/>
      </c>
    </row>
    <row r="813" ht="14.25" customHeight="1">
      <c r="A813" s="1933" t="inlineStr">
        <is>
          <t>09/03/2023</t>
        </is>
      </c>
      <c r="B813" s="1563" t="n">
        <v>6800</v>
      </c>
      <c r="C813" s="1939" t="inlineStr">
        <is>
          <t>145</t>
        </is>
      </c>
      <c r="D813" s="1921">
        <f>B813/B814-1</f>
        <v/>
      </c>
      <c r="E813" s="1921">
        <f>C813/C814-1</f>
        <v/>
      </c>
      <c r="F813" s="1921">
        <f>$L$2/365</f>
        <v/>
      </c>
      <c r="G813" s="1921">
        <f>D813-F813</f>
        <v/>
      </c>
      <c r="H813" s="1921">
        <f>E813-F813</f>
        <v/>
      </c>
    </row>
    <row r="814" ht="14.25" customHeight="1">
      <c r="A814" s="1936" t="inlineStr">
        <is>
          <t>08/03/2023</t>
        </is>
      </c>
      <c r="B814" s="1563" t="n">
        <v>6776</v>
      </c>
      <c r="C814" s="1938" t="inlineStr">
        <is>
          <t>140</t>
        </is>
      </c>
      <c r="D814" s="1921">
        <f>B814/B815-1</f>
        <v/>
      </c>
      <c r="E814" s="1921">
        <f>C814/C815-1</f>
        <v/>
      </c>
      <c r="F814" s="1921">
        <f>$L$2/365</f>
        <v/>
      </c>
      <c r="G814" s="1921">
        <f>D814-F814</f>
        <v/>
      </c>
      <c r="H814" s="1921">
        <f>E814-F814</f>
        <v/>
      </c>
    </row>
    <row r="815" ht="14.25" customHeight="1">
      <c r="A815" s="1933" t="inlineStr">
        <is>
          <t>07/03/2023</t>
        </is>
      </c>
      <c r="B815" s="1563" t="n">
        <v>6767</v>
      </c>
      <c r="C815" s="1939" t="inlineStr">
        <is>
          <t>140</t>
        </is>
      </c>
      <c r="D815" s="1921">
        <f>B815/B816-1</f>
        <v/>
      </c>
      <c r="E815" s="1921">
        <f>C815/C816-1</f>
        <v/>
      </c>
      <c r="F815" s="1921">
        <f>$L$2/365</f>
        <v/>
      </c>
      <c r="G815" s="1921">
        <f>D815-F815</f>
        <v/>
      </c>
      <c r="H815" s="1921">
        <f>E815-F815</f>
        <v/>
      </c>
    </row>
    <row r="816" ht="14.25" customHeight="1">
      <c r="A816" s="1936" t="inlineStr">
        <is>
          <t>06/03/2023</t>
        </is>
      </c>
      <c r="B816" s="1563" t="n">
        <v>6807</v>
      </c>
      <c r="C816" s="1938" t="inlineStr">
        <is>
          <t>141</t>
        </is>
      </c>
      <c r="D816" s="1921">
        <f>B816/B817-1</f>
        <v/>
      </c>
      <c r="E816" s="1921">
        <f>C816/C817-1</f>
        <v/>
      </c>
      <c r="F816" s="1921">
        <f>$L$2/365</f>
        <v/>
      </c>
      <c r="G816" s="1921">
        <f>D816-F816</f>
        <v/>
      </c>
      <c r="H816" s="1921">
        <f>E816-F816</f>
        <v/>
      </c>
    </row>
    <row r="817" ht="14.25" customHeight="1">
      <c r="A817" s="1933" t="inlineStr">
        <is>
          <t>03/03/2023</t>
        </is>
      </c>
      <c r="B817" s="1563" t="n">
        <v>6814</v>
      </c>
      <c r="C817" s="1939" t="inlineStr">
        <is>
          <t>142</t>
        </is>
      </c>
      <c r="D817" s="1921">
        <f>B817/B818-1</f>
        <v/>
      </c>
      <c r="E817" s="1921">
        <f>C817/C818-1</f>
        <v/>
      </c>
      <c r="F817" s="1921">
        <f>$L$2/365</f>
        <v/>
      </c>
      <c r="G817" s="1921">
        <f>D817-F817</f>
        <v/>
      </c>
      <c r="H817" s="1921">
        <f>E817-F817</f>
        <v/>
      </c>
    </row>
    <row r="818" ht="14.25" customHeight="1">
      <c r="A818" s="1936" t="inlineStr">
        <is>
          <t>02/03/2023</t>
        </is>
      </c>
      <c r="B818" s="1563" t="n">
        <v>6857</v>
      </c>
      <c r="C818" s="1938" t="inlineStr">
        <is>
          <t>143</t>
        </is>
      </c>
      <c r="D818" s="1921">
        <f>B818/B819-1</f>
        <v/>
      </c>
      <c r="E818" s="1921">
        <f>C818/C819-1</f>
        <v/>
      </c>
      <c r="F818" s="1921">
        <f>$L$2/365</f>
        <v/>
      </c>
      <c r="G818" s="1921">
        <f>D818-F818</f>
        <v/>
      </c>
      <c r="H818" s="1921">
        <f>E818-F818</f>
        <v/>
      </c>
    </row>
    <row r="819" ht="14.25" customHeight="1">
      <c r="A819" s="1933" t="inlineStr">
        <is>
          <t>01/03/2023</t>
        </is>
      </c>
      <c r="B819" s="1563" t="n">
        <v>6845</v>
      </c>
      <c r="C819" s="1939" t="inlineStr">
        <is>
          <t>141</t>
        </is>
      </c>
      <c r="D819" s="1921">
        <f>B819/B820-1</f>
        <v/>
      </c>
      <c r="E819" s="1921">
        <f>C819/C820-1</f>
        <v/>
      </c>
      <c r="F819" s="1921">
        <f>$L$2/365</f>
        <v/>
      </c>
      <c r="G819" s="1921">
        <f>D819-F819</f>
        <v/>
      </c>
      <c r="H819" s="1921">
        <f>E819-F819</f>
        <v/>
      </c>
    </row>
    <row r="820" ht="14.25" customHeight="1">
      <c r="A820" s="1936" t="inlineStr">
        <is>
          <t>28/02/2023</t>
        </is>
      </c>
      <c r="B820" s="1563" t="n">
        <v>6843</v>
      </c>
      <c r="C820" s="1938" t="inlineStr">
        <is>
          <t>144</t>
        </is>
      </c>
      <c r="D820" s="1921">
        <f>B820/B821-1</f>
        <v/>
      </c>
      <c r="E820" s="1921">
        <f>C820/C821-1</f>
        <v/>
      </c>
      <c r="F820" s="1921">
        <f>$L$2/365</f>
        <v/>
      </c>
      <c r="G820" s="1921">
        <f>D820-F820</f>
        <v/>
      </c>
      <c r="H820" s="1921">
        <f>E820-F820</f>
        <v/>
      </c>
    </row>
    <row r="821" ht="14.25" customHeight="1">
      <c r="A821" s="1933" t="inlineStr">
        <is>
          <t>27/02/2023</t>
        </is>
      </c>
      <c r="B821" s="1563" t="n">
        <v>6855</v>
      </c>
      <c r="C821" s="1939" t="inlineStr">
        <is>
          <t>141</t>
        </is>
      </c>
      <c r="D821" s="1921">
        <f>B821/B822-1</f>
        <v/>
      </c>
      <c r="E821" s="1921">
        <f>C821/C822-1</f>
        <v/>
      </c>
      <c r="F821" s="1921">
        <f>$L$2/365</f>
        <v/>
      </c>
      <c r="G821" s="1921">
        <f>D821-F821</f>
        <v/>
      </c>
      <c r="H821" s="1921">
        <f>E821-F821</f>
        <v/>
      </c>
    </row>
    <row r="822" ht="14.25" customHeight="1">
      <c r="A822" s="1936" t="inlineStr">
        <is>
          <t>24/02/2023</t>
        </is>
      </c>
      <c r="B822" s="1563" t="n">
        <v>6857</v>
      </c>
      <c r="C822" s="1938" t="inlineStr">
        <is>
          <t>139</t>
        </is>
      </c>
      <c r="D822" s="1921">
        <f>B822/B823-1</f>
        <v/>
      </c>
      <c r="E822" s="1921">
        <f>C822/C823-1</f>
        <v/>
      </c>
      <c r="F822" s="1921">
        <f>$L$2/365</f>
        <v/>
      </c>
      <c r="G822" s="1921">
        <f>D822-F822</f>
        <v/>
      </c>
      <c r="H822" s="1921">
        <f>E822-F822</f>
        <v/>
      </c>
    </row>
    <row r="823" ht="14.25" customHeight="1">
      <c r="A823" s="1933" t="inlineStr">
        <is>
          <t>23/02/2023</t>
        </is>
      </c>
      <c r="B823" s="1563" t="n">
        <v>6839</v>
      </c>
      <c r="C823" s="1939" t="inlineStr">
        <is>
          <t>147</t>
        </is>
      </c>
      <c r="D823" s="1921">
        <f>B823/B824-1</f>
        <v/>
      </c>
      <c r="E823" s="1921">
        <f>C823/C824-1</f>
        <v/>
      </c>
      <c r="F823" s="1921">
        <f>$L$2/365</f>
        <v/>
      </c>
      <c r="G823" s="1921">
        <f>D823-F823</f>
        <v/>
      </c>
      <c r="H823" s="1921">
        <f>E823-F823</f>
        <v/>
      </c>
    </row>
    <row r="824" ht="14.25" customHeight="1">
      <c r="A824" s="1936" t="inlineStr">
        <is>
          <t>22/02/2023</t>
        </is>
      </c>
      <c r="B824" s="1563" t="n">
        <v>6810</v>
      </c>
      <c r="C824" s="1938" t="inlineStr">
        <is>
          <t>136</t>
        </is>
      </c>
      <c r="D824" s="1921">
        <f>B824/B825-1</f>
        <v/>
      </c>
      <c r="E824" s="1921">
        <f>C824/C825-1</f>
        <v/>
      </c>
      <c r="F824" s="1921">
        <f>$L$2/365</f>
        <v/>
      </c>
      <c r="G824" s="1921">
        <f>D824-F824</f>
        <v/>
      </c>
      <c r="H824" s="1921">
        <f>E824-F824</f>
        <v/>
      </c>
    </row>
    <row r="825" ht="14.25" customHeight="1">
      <c r="A825" s="1933" t="inlineStr">
        <is>
          <t>21/02/2023</t>
        </is>
      </c>
      <c r="B825" s="1563" t="n">
        <v>6873</v>
      </c>
      <c r="C825" s="1939" t="inlineStr">
        <is>
          <t>138</t>
        </is>
      </c>
      <c r="D825" s="1921">
        <f>B825/B826-1</f>
        <v/>
      </c>
      <c r="E825" s="1921">
        <f>C825/C826-1</f>
        <v/>
      </c>
      <c r="F825" s="1921">
        <f>$L$2/365</f>
        <v/>
      </c>
      <c r="G825" s="1921">
        <f>D825-F825</f>
        <v/>
      </c>
      <c r="H825" s="1921">
        <f>E825-F825</f>
        <v/>
      </c>
    </row>
    <row r="826" ht="14.25" customHeight="1">
      <c r="A826" s="1936" t="inlineStr">
        <is>
          <t>20/02/2023</t>
        </is>
      </c>
      <c r="B826" s="1563" t="n">
        <v>6895</v>
      </c>
      <c r="C826" s="1938" t="inlineStr">
        <is>
          <t>139</t>
        </is>
      </c>
      <c r="D826" s="1921">
        <f>B826/B827-1</f>
        <v/>
      </c>
      <c r="E826" s="1921">
        <f>C826/C827-1</f>
        <v/>
      </c>
      <c r="F826" s="1921">
        <f>$L$2/365</f>
        <v/>
      </c>
      <c r="G826" s="1921">
        <f>D826-F826</f>
        <v/>
      </c>
      <c r="H826" s="1921">
        <f>E826-F826</f>
        <v/>
      </c>
    </row>
    <row r="827" ht="14.25" customHeight="1">
      <c r="A827" s="1933" t="inlineStr">
        <is>
          <t>17/02/2023</t>
        </is>
      </c>
      <c r="B827" s="1563" t="n">
        <v>6896</v>
      </c>
      <c r="C827" s="1939" t="inlineStr">
        <is>
          <t>139</t>
        </is>
      </c>
      <c r="D827" s="1921">
        <f>B827/B828-1</f>
        <v/>
      </c>
      <c r="E827" s="1921">
        <f>C827/C828-1</f>
        <v/>
      </c>
      <c r="F827" s="1921">
        <f>$L$2/365</f>
        <v/>
      </c>
      <c r="G827" s="1921">
        <f>D827-F827</f>
        <v/>
      </c>
      <c r="H827" s="1921">
        <f>E827-F827</f>
        <v/>
      </c>
    </row>
    <row r="828" ht="14.25" customHeight="1">
      <c r="A828" s="1936" t="inlineStr">
        <is>
          <t>16/02/2023</t>
        </is>
      </c>
      <c r="B828" s="1563" t="n">
        <v>6896</v>
      </c>
      <c r="C828" s="1938" t="inlineStr">
        <is>
          <t>142</t>
        </is>
      </c>
      <c r="D828" s="1921">
        <f>B828/B829-1</f>
        <v/>
      </c>
      <c r="E828" s="1921">
        <f>C828/C829-1</f>
        <v/>
      </c>
      <c r="F828" s="1921">
        <f>$L$2/365</f>
        <v/>
      </c>
      <c r="G828" s="1921">
        <f>D828-F828</f>
        <v/>
      </c>
      <c r="H828" s="1921">
        <f>E828-F828</f>
        <v/>
      </c>
    </row>
    <row r="829" ht="14.25" customHeight="1">
      <c r="A829" s="1933" t="inlineStr">
        <is>
          <t>15/02/2023</t>
        </is>
      </c>
      <c r="B829" s="1563" t="n">
        <v>6915</v>
      </c>
      <c r="C829" s="1939" t="inlineStr">
        <is>
          <t>141</t>
        </is>
      </c>
      <c r="D829" s="1921">
        <f>B829/B830-1</f>
        <v/>
      </c>
      <c r="E829" s="1921">
        <f>C829/C830-1</f>
        <v/>
      </c>
      <c r="F829" s="1921">
        <f>$L$2/365</f>
        <v/>
      </c>
      <c r="G829" s="1921">
        <f>D829-F829</f>
        <v/>
      </c>
      <c r="H829" s="1921">
        <f>E829-F829</f>
        <v/>
      </c>
    </row>
    <row r="830" ht="14.25" customHeight="1">
      <c r="A830" s="1936" t="inlineStr">
        <is>
          <t>14/02/2023</t>
        </is>
      </c>
      <c r="B830" s="1563" t="n">
        <v>6942</v>
      </c>
      <c r="C830" s="1938" t="inlineStr">
        <is>
          <t>129</t>
        </is>
      </c>
      <c r="D830" s="1921">
        <f>B830/B831-1</f>
        <v/>
      </c>
      <c r="E830" s="1921">
        <f>C830/C831-1</f>
        <v/>
      </c>
      <c r="F830" s="1921">
        <f>$L$2/365</f>
        <v/>
      </c>
      <c r="G830" s="1921">
        <f>D830-F830</f>
        <v/>
      </c>
      <c r="H830" s="1921">
        <f>E830-F830</f>
        <v/>
      </c>
    </row>
    <row r="831" ht="14.25" customHeight="1">
      <c r="A831" s="1933" t="inlineStr">
        <is>
          <t>13/02/2023</t>
        </is>
      </c>
      <c r="B831" s="1563" t="n">
        <v>6900</v>
      </c>
      <c r="C831" s="1939" t="inlineStr">
        <is>
          <t>130</t>
        </is>
      </c>
      <c r="D831" s="1921">
        <f>B831/B832-1</f>
        <v/>
      </c>
      <c r="E831" s="1921">
        <f>C831/C832-1</f>
        <v/>
      </c>
      <c r="F831" s="1921">
        <f>$L$2/365</f>
        <v/>
      </c>
      <c r="G831" s="1921">
        <f>D831-F831</f>
        <v/>
      </c>
      <c r="H831" s="1921">
        <f>E831-F831</f>
        <v/>
      </c>
    </row>
    <row r="832" ht="14.25" customHeight="1">
      <c r="A832" s="1936" t="inlineStr">
        <is>
          <t>10/02/2023</t>
        </is>
      </c>
      <c r="B832" s="1563" t="n">
        <v>6880</v>
      </c>
      <c r="C832" s="1938" t="inlineStr">
        <is>
          <t>126</t>
        </is>
      </c>
      <c r="D832" s="1921">
        <f>B832/B833-1</f>
        <v/>
      </c>
      <c r="E832" s="1921">
        <f>C832/C833-1</f>
        <v/>
      </c>
      <c r="F832" s="1921">
        <f>$L$2/365</f>
        <v/>
      </c>
      <c r="G832" s="1921">
        <f>D832-F832</f>
        <v/>
      </c>
      <c r="H832" s="1921">
        <f>E832-F832</f>
        <v/>
      </c>
    </row>
    <row r="833" ht="14.25" customHeight="1">
      <c r="A833" s="1933" t="inlineStr">
        <is>
          <t>09/02/2023</t>
        </is>
      </c>
      <c r="B833" s="1563" t="n">
        <v>6897</v>
      </c>
      <c r="C833" s="1939" t="inlineStr">
        <is>
          <t>130</t>
        </is>
      </c>
      <c r="D833" s="1921">
        <f>B833/B834-1</f>
        <v/>
      </c>
      <c r="E833" s="1921">
        <f>C833/C834-1</f>
        <v/>
      </c>
      <c r="F833" s="1921">
        <f>$L$2/365</f>
        <v/>
      </c>
      <c r="G833" s="1921">
        <f>D833-F833</f>
        <v/>
      </c>
      <c r="H833" s="1921">
        <f>E833-F833</f>
        <v/>
      </c>
    </row>
    <row r="834" ht="14.25" customHeight="1">
      <c r="A834" s="1936" t="inlineStr">
        <is>
          <t>08/02/2023</t>
        </is>
      </c>
      <c r="B834" s="1563" t="n">
        <v>6940</v>
      </c>
      <c r="C834" s="1938" t="inlineStr">
        <is>
          <t>130</t>
        </is>
      </c>
      <c r="D834" s="1921">
        <f>B834/B835-1</f>
        <v/>
      </c>
      <c r="E834" s="1921">
        <f>C834/C835-1</f>
        <v/>
      </c>
      <c r="F834" s="1921">
        <f>$L$2/365</f>
        <v/>
      </c>
      <c r="G834" s="1921">
        <f>D834-F834</f>
        <v/>
      </c>
      <c r="H834" s="1921">
        <f>E834-F834</f>
        <v/>
      </c>
    </row>
    <row r="835" ht="14.25" customHeight="1">
      <c r="A835" s="1933" t="inlineStr">
        <is>
          <t>07/02/2023</t>
        </is>
      </c>
      <c r="B835" s="1563" t="n">
        <v>6935</v>
      </c>
      <c r="C835" s="1939" t="inlineStr">
        <is>
          <t>130</t>
        </is>
      </c>
      <c r="D835" s="1921">
        <f>B835/B836-1</f>
        <v/>
      </c>
      <c r="E835" s="1921">
        <f>C835/C836-1</f>
        <v/>
      </c>
      <c r="F835" s="1921">
        <f>$L$2/365</f>
        <v/>
      </c>
      <c r="G835" s="1921">
        <f>D835-F835</f>
        <v/>
      </c>
      <c r="H835" s="1921">
        <f>E835-F835</f>
        <v/>
      </c>
    </row>
    <row r="836" ht="14.25" customHeight="1">
      <c r="A836" s="1936" t="inlineStr">
        <is>
          <t>06/02/2023</t>
        </is>
      </c>
      <c r="B836" s="1563" t="n">
        <v>6874</v>
      </c>
      <c r="C836" s="1938" t="inlineStr">
        <is>
          <t>130</t>
        </is>
      </c>
      <c r="D836" s="1921">
        <f>B836/B837-1</f>
        <v/>
      </c>
      <c r="E836" s="1921">
        <f>C836/C837-1</f>
        <v/>
      </c>
      <c r="F836" s="1921">
        <f>$L$2/365</f>
        <v/>
      </c>
      <c r="G836" s="1921">
        <f>D836-F836</f>
        <v/>
      </c>
      <c r="H836" s="1921">
        <f>E836-F836</f>
        <v/>
      </c>
    </row>
    <row r="837" ht="14.25" customHeight="1">
      <c r="A837" s="1933" t="inlineStr">
        <is>
          <t>03/02/2023</t>
        </is>
      </c>
      <c r="B837" s="1563" t="n">
        <v>6912</v>
      </c>
      <c r="C837" s="1939" t="inlineStr">
        <is>
          <t>132</t>
        </is>
      </c>
      <c r="D837" s="1921">
        <f>B837/B838-1</f>
        <v/>
      </c>
      <c r="E837" s="1921">
        <f>C837/C838-1</f>
        <v/>
      </c>
      <c r="F837" s="1921">
        <f>$L$2/365</f>
        <v/>
      </c>
      <c r="G837" s="1921">
        <f>D837-F837</f>
        <v/>
      </c>
      <c r="H837" s="1921">
        <f>E837-F837</f>
        <v/>
      </c>
    </row>
    <row r="838" ht="14.25" customHeight="1">
      <c r="A838" s="1936" t="inlineStr">
        <is>
          <t>02/02/2023</t>
        </is>
      </c>
      <c r="B838" s="1563" t="n">
        <v>6891</v>
      </c>
      <c r="C838" s="1938" t="inlineStr">
        <is>
          <t>131</t>
        </is>
      </c>
      <c r="D838" s="1921">
        <f>B838/B839-1</f>
        <v/>
      </c>
      <c r="E838" s="1921">
        <f>C838/C839-1</f>
        <v/>
      </c>
      <c r="F838" s="1921">
        <f>$L$2/365</f>
        <v/>
      </c>
      <c r="G838" s="1921">
        <f>D838-F838</f>
        <v/>
      </c>
      <c r="H838" s="1921">
        <f>E838-F838</f>
        <v/>
      </c>
    </row>
    <row r="839" ht="14.25" customHeight="1">
      <c r="A839" s="1933" t="inlineStr">
        <is>
          <t>01/02/2023</t>
        </is>
      </c>
      <c r="B839" s="1563" t="n">
        <v>6862</v>
      </c>
      <c r="C839" s="1939" t="inlineStr">
        <is>
          <t>130</t>
        </is>
      </c>
      <c r="D839" s="1921">
        <f>B839/B840-1</f>
        <v/>
      </c>
      <c r="E839" s="1921">
        <f>C839/C840-1</f>
        <v/>
      </c>
      <c r="F839" s="1921">
        <f>$L$2/365</f>
        <v/>
      </c>
      <c r="G839" s="1921">
        <f>D839-F839</f>
        <v/>
      </c>
      <c r="H839" s="1921">
        <f>E839-F839</f>
        <v/>
      </c>
    </row>
    <row r="840" ht="14.25" customHeight="1">
      <c r="A840" s="1936" t="inlineStr">
        <is>
          <t>31/01/2023</t>
        </is>
      </c>
      <c r="B840" s="1563" t="n">
        <v>6839</v>
      </c>
      <c r="C840" s="1938" t="inlineStr">
        <is>
          <t>127</t>
        </is>
      </c>
      <c r="D840" s="1921">
        <f>B840/B841-1</f>
        <v/>
      </c>
      <c r="E840" s="1921">
        <f>C840/C841-1</f>
        <v/>
      </c>
      <c r="F840" s="1921">
        <f>$L$2/365</f>
        <v/>
      </c>
      <c r="G840" s="1921">
        <f>D840-F840</f>
        <v/>
      </c>
      <c r="H840" s="1921">
        <f>E840-F840</f>
        <v/>
      </c>
    </row>
    <row r="841" ht="14.25" customHeight="1">
      <c r="A841" s="1933" t="inlineStr">
        <is>
          <t>30/01/2023</t>
        </is>
      </c>
      <c r="B841" s="1563" t="n">
        <v>6872</v>
      </c>
      <c r="C841" s="1939" t="inlineStr">
        <is>
          <t>126</t>
        </is>
      </c>
      <c r="D841" s="1921">
        <f>B841/B842-1</f>
        <v/>
      </c>
      <c r="E841" s="1921">
        <f>C841/C842-1</f>
        <v/>
      </c>
      <c r="F841" s="1921">
        <f>$L$2/365</f>
        <v/>
      </c>
      <c r="G841" s="1921">
        <f>D841-F841</f>
        <v/>
      </c>
      <c r="H841" s="1921">
        <f>E841-F841</f>
        <v/>
      </c>
    </row>
    <row r="842" ht="14.25" customHeight="1">
      <c r="A842" s="1936" t="inlineStr">
        <is>
          <t>27/01/2023</t>
        </is>
      </c>
      <c r="B842" s="1563" t="n">
        <v>6899</v>
      </c>
      <c r="C842" s="1938" t="inlineStr">
        <is>
          <t>125</t>
        </is>
      </c>
      <c r="D842" s="1921">
        <f>B842/B843-1</f>
        <v/>
      </c>
      <c r="E842" s="1921">
        <f>C842/C843-1</f>
        <v/>
      </c>
      <c r="F842" s="1921">
        <f>$L$2/365</f>
        <v/>
      </c>
      <c r="G842" s="1921">
        <f>D842-F842</f>
        <v/>
      </c>
      <c r="H842" s="1921">
        <f>E842-F842</f>
        <v/>
      </c>
    </row>
    <row r="843" ht="14.25" customHeight="1">
      <c r="A843" s="1933" t="inlineStr">
        <is>
          <t>26/01/2023</t>
        </is>
      </c>
      <c r="B843" s="1563" t="n">
        <v>6865</v>
      </c>
      <c r="C843" s="1939" t="inlineStr">
        <is>
          <t>124</t>
        </is>
      </c>
      <c r="D843" s="1921">
        <f>B843/B844-1</f>
        <v/>
      </c>
      <c r="E843" s="1921">
        <f>C843/C844-1</f>
        <v/>
      </c>
      <c r="F843" s="1921">
        <f>$L$2/365</f>
        <v/>
      </c>
      <c r="G843" s="1921">
        <f>D843-F843</f>
        <v/>
      </c>
      <c r="H843" s="1921">
        <f>E843-F843</f>
        <v/>
      </c>
    </row>
    <row r="844" ht="14.25" customHeight="1">
      <c r="A844" s="1936" t="inlineStr">
        <is>
          <t>25/01/2023</t>
        </is>
      </c>
      <c r="B844" s="1563" t="n">
        <v>6830</v>
      </c>
      <c r="C844" s="1938" t="inlineStr">
        <is>
          <t>125</t>
        </is>
      </c>
      <c r="D844" s="1921">
        <f>B844/B845-1</f>
        <v/>
      </c>
      <c r="E844" s="1921">
        <f>C844/C845-1</f>
        <v/>
      </c>
      <c r="F844" s="1921">
        <f>$L$2/365</f>
        <v/>
      </c>
      <c r="G844" s="1921">
        <f>D844-F844</f>
        <v/>
      </c>
      <c r="H844" s="1921">
        <f>E844-F844</f>
        <v/>
      </c>
    </row>
    <row r="845" ht="14.25" customHeight="1">
      <c r="A845" s="1933" t="inlineStr">
        <is>
          <t>24/01/2023</t>
        </is>
      </c>
      <c r="B845" s="1563" t="n">
        <v>6861</v>
      </c>
      <c r="C845" s="1939" t="inlineStr">
        <is>
          <t>125</t>
        </is>
      </c>
      <c r="D845" s="1921">
        <f>B845/B846-1</f>
        <v/>
      </c>
      <c r="E845" s="1921">
        <f>C845/C846-1</f>
        <v/>
      </c>
      <c r="F845" s="1921">
        <f>$L$2/365</f>
        <v/>
      </c>
      <c r="G845" s="1921">
        <f>D845-F845</f>
        <v/>
      </c>
      <c r="H845" s="1921">
        <f>E845-F845</f>
        <v/>
      </c>
    </row>
    <row r="846" ht="14.25" customHeight="1">
      <c r="A846" s="1936" t="inlineStr">
        <is>
          <t>20/01/2023</t>
        </is>
      </c>
      <c r="B846" s="1563" t="n">
        <v>6875</v>
      </c>
      <c r="C846" s="1938" t="inlineStr">
        <is>
          <t>125</t>
        </is>
      </c>
      <c r="D846" s="1921">
        <f>B846/B847-1</f>
        <v/>
      </c>
      <c r="E846" s="1921">
        <f>C846/C847-1</f>
        <v/>
      </c>
      <c r="F846" s="1921">
        <f>$L$2/365</f>
        <v/>
      </c>
      <c r="G846" s="1921">
        <f>D846-F846</f>
        <v/>
      </c>
      <c r="H846" s="1921">
        <f>E846-F846</f>
        <v/>
      </c>
    </row>
    <row r="847" ht="14.25" customHeight="1">
      <c r="A847" s="1933" t="inlineStr">
        <is>
          <t>19/01/2023</t>
        </is>
      </c>
      <c r="B847" s="1563" t="n">
        <v>6820</v>
      </c>
      <c r="C847" s="1939" t="inlineStr">
        <is>
          <t>127</t>
        </is>
      </c>
      <c r="D847" s="1921">
        <f>B847/B848-1</f>
        <v/>
      </c>
      <c r="E847" s="1921">
        <f>C847/C848-1</f>
        <v/>
      </c>
      <c r="F847" s="1921">
        <f>$L$2/365</f>
        <v/>
      </c>
      <c r="G847" s="1921">
        <f>D847-F847</f>
        <v/>
      </c>
      <c r="H847" s="1921">
        <f>E847-F847</f>
        <v/>
      </c>
    </row>
    <row r="848" ht="14.25" customHeight="1">
      <c r="A848" s="1936" t="inlineStr">
        <is>
          <t>18/01/2023</t>
        </is>
      </c>
      <c r="B848" s="1563" t="n">
        <v>6766</v>
      </c>
      <c r="C848" s="1938" t="inlineStr">
        <is>
          <t>131</t>
        </is>
      </c>
      <c r="D848" s="1921">
        <f>B848/B849-1</f>
        <v/>
      </c>
      <c r="E848" s="1921">
        <f>C848/C849-1</f>
        <v/>
      </c>
      <c r="F848" s="1921">
        <f>$L$2/365</f>
        <v/>
      </c>
      <c r="G848" s="1921">
        <f>D848-F848</f>
        <v/>
      </c>
      <c r="H848" s="1921">
        <f>E848-F848</f>
        <v/>
      </c>
    </row>
    <row r="849" ht="14.25" customHeight="1">
      <c r="A849" s="1933" t="inlineStr">
        <is>
          <t>17/01/2023</t>
        </is>
      </c>
      <c r="B849" s="1563" t="n">
        <v>6767</v>
      </c>
      <c r="C849" s="1939" t="inlineStr">
        <is>
          <t>133</t>
        </is>
      </c>
      <c r="D849" s="1921">
        <f>B849/B850-1</f>
        <v/>
      </c>
      <c r="E849" s="1921">
        <f>C849/C850-1</f>
        <v/>
      </c>
      <c r="F849" s="1921">
        <f>$L$2/365</f>
        <v/>
      </c>
      <c r="G849" s="1921">
        <f>D849-F849</f>
        <v/>
      </c>
      <c r="H849" s="1921">
        <f>E849-F849</f>
        <v/>
      </c>
    </row>
    <row r="850" ht="14.25" customHeight="1">
      <c r="A850" s="1936" t="inlineStr">
        <is>
          <t>16/01/2023</t>
        </is>
      </c>
      <c r="B850" s="1563" t="n">
        <v>6688</v>
      </c>
      <c r="C850" s="1938" t="inlineStr">
        <is>
          <t>133</t>
        </is>
      </c>
      <c r="D850" s="1921">
        <f>B850/B851-1</f>
        <v/>
      </c>
      <c r="E850" s="1921">
        <f>C850/C851-1</f>
        <v/>
      </c>
      <c r="F850" s="1921">
        <f>$L$2/365</f>
        <v/>
      </c>
      <c r="G850" s="1921">
        <f>D850-F850</f>
        <v/>
      </c>
      <c r="H850" s="1921">
        <f>E850-F850</f>
        <v/>
      </c>
    </row>
    <row r="851" ht="14.25" customHeight="1">
      <c r="A851" s="1933" t="inlineStr">
        <is>
          <t>13/01/2023</t>
        </is>
      </c>
      <c r="B851" s="1563" t="n">
        <v>6642</v>
      </c>
      <c r="C851" s="1939" t="inlineStr">
        <is>
          <t>134</t>
        </is>
      </c>
      <c r="D851" s="1921">
        <f>B851/B852-1</f>
        <v/>
      </c>
      <c r="E851" s="1921">
        <f>C851/C852-1</f>
        <v/>
      </c>
      <c r="F851" s="1921">
        <f>$L$2/365</f>
        <v/>
      </c>
      <c r="G851" s="1921">
        <f>D851-F851</f>
        <v/>
      </c>
      <c r="H851" s="1921">
        <f>E851-F851</f>
        <v/>
      </c>
    </row>
    <row r="852" ht="14.25" customHeight="1">
      <c r="A852" s="1936" t="inlineStr">
        <is>
          <t>12/01/2023</t>
        </is>
      </c>
      <c r="B852" s="1563" t="n">
        <v>6630</v>
      </c>
      <c r="C852" s="1938" t="inlineStr">
        <is>
          <t>133</t>
        </is>
      </c>
      <c r="D852" s="1921">
        <f>B852/B853-1</f>
        <v/>
      </c>
      <c r="E852" s="1921">
        <f>C852/C853-1</f>
        <v/>
      </c>
      <c r="F852" s="1921">
        <f>$L$2/365</f>
        <v/>
      </c>
      <c r="G852" s="1921">
        <f>D852-F852</f>
        <v/>
      </c>
      <c r="H852" s="1921">
        <f>E852-F852</f>
        <v/>
      </c>
    </row>
    <row r="853" ht="14.25" customHeight="1">
      <c r="A853" s="1933" t="inlineStr">
        <is>
          <t>11/01/2023</t>
        </is>
      </c>
      <c r="B853" s="1563" t="n">
        <v>6584</v>
      </c>
      <c r="C853" s="1939" t="inlineStr">
        <is>
          <t>130</t>
        </is>
      </c>
      <c r="D853" s="1921">
        <f>B853/B854-1</f>
        <v/>
      </c>
      <c r="E853" s="1921">
        <f>C853/C854-1</f>
        <v/>
      </c>
      <c r="F853" s="1921">
        <f>$L$2/365</f>
        <v/>
      </c>
      <c r="G853" s="1921">
        <f>D853-F853</f>
        <v/>
      </c>
      <c r="H853" s="1921">
        <f>E853-F853</f>
        <v/>
      </c>
    </row>
    <row r="854" ht="14.25" customHeight="1">
      <c r="A854" s="1936" t="inlineStr">
        <is>
          <t>10/01/2023</t>
        </is>
      </c>
      <c r="B854" s="1563" t="n">
        <v>6622</v>
      </c>
      <c r="C854" s="1938" t="inlineStr">
        <is>
          <t>129</t>
        </is>
      </c>
      <c r="D854" s="1921">
        <f>B854/B855-1</f>
        <v/>
      </c>
      <c r="E854" s="1921">
        <f>C854/C855-1</f>
        <v/>
      </c>
      <c r="F854" s="1921">
        <f>$L$2/365</f>
        <v/>
      </c>
      <c r="G854" s="1921">
        <f>D854-F854</f>
        <v/>
      </c>
      <c r="H854" s="1921">
        <f>E854-F854</f>
        <v/>
      </c>
    </row>
    <row r="855" ht="14.25" customHeight="1">
      <c r="A855" s="1933" t="inlineStr">
        <is>
          <t>09/01/2023</t>
        </is>
      </c>
      <c r="B855" s="1563" t="n">
        <v>6688</v>
      </c>
      <c r="C855" s="1939" t="inlineStr">
        <is>
          <t>130</t>
        </is>
      </c>
      <c r="D855" s="1921">
        <f>B855/B856-1</f>
        <v/>
      </c>
      <c r="E855" s="1921">
        <f>C855/C856-1</f>
        <v/>
      </c>
      <c r="F855" s="1921">
        <f>$L$2/365</f>
        <v/>
      </c>
      <c r="G855" s="1921">
        <f>D855-F855</f>
        <v/>
      </c>
      <c r="H855" s="1921">
        <f>E855-F855</f>
        <v/>
      </c>
    </row>
    <row r="856" ht="14.25" customHeight="1">
      <c r="A856" s="1936" t="inlineStr">
        <is>
          <t>06/01/2023</t>
        </is>
      </c>
      <c r="B856" s="1563" t="n">
        <v>6685</v>
      </c>
      <c r="C856" s="1938" t="inlineStr">
        <is>
          <t>131</t>
        </is>
      </c>
      <c r="D856" s="1921">
        <f>B856/B857-1</f>
        <v/>
      </c>
      <c r="E856" s="1921">
        <f>C856/C857-1</f>
        <v/>
      </c>
      <c r="F856" s="1921">
        <f>$L$2/365</f>
        <v/>
      </c>
      <c r="G856" s="1921">
        <f>D856-F856</f>
        <v/>
      </c>
      <c r="H856" s="1921">
        <f>E856-F856</f>
        <v/>
      </c>
    </row>
    <row r="857" ht="14.25" customHeight="1">
      <c r="A857" s="1933" t="inlineStr">
        <is>
          <t>05/01/2023</t>
        </is>
      </c>
      <c r="B857" s="1563" t="n">
        <v>6654</v>
      </c>
      <c r="C857" s="1939" t="inlineStr">
        <is>
          <t>128</t>
        </is>
      </c>
      <c r="D857" s="1921">
        <f>B857/B858-1</f>
        <v/>
      </c>
      <c r="E857" s="1921">
        <f>C857/C858-1</f>
        <v/>
      </c>
      <c r="F857" s="1921">
        <f>$L$2/365</f>
        <v/>
      </c>
      <c r="G857" s="1921">
        <f>D857-F857</f>
        <v/>
      </c>
      <c r="H857" s="1921">
        <f>E857-F857</f>
        <v/>
      </c>
    </row>
    <row r="858" ht="14.25" customHeight="1">
      <c r="A858" s="1936" t="inlineStr">
        <is>
          <t>04/01/2023</t>
        </is>
      </c>
      <c r="B858" s="1563" t="n">
        <v>6813</v>
      </c>
      <c r="C858" s="1938" t="inlineStr">
        <is>
          <t>127</t>
        </is>
      </c>
      <c r="D858" s="1921">
        <f>B858/B859-1</f>
        <v/>
      </c>
      <c r="E858" s="1921">
        <f>C858/C859-1</f>
        <v/>
      </c>
      <c r="F858" s="1921">
        <f>$L$2/365</f>
        <v/>
      </c>
      <c r="G858" s="1921">
        <f>D858-F858</f>
        <v/>
      </c>
      <c r="H858" s="1921">
        <f>E858-F858</f>
        <v/>
      </c>
    </row>
    <row r="859" ht="14.25" customHeight="1">
      <c r="A859" s="1933" t="inlineStr">
        <is>
          <t>03/01/2023</t>
        </is>
      </c>
      <c r="B859" s="1563" t="n">
        <v>6889</v>
      </c>
      <c r="C859" s="1939" t="inlineStr">
        <is>
          <t>127</t>
        </is>
      </c>
      <c r="D859" s="1921">
        <f>B859/B860-1</f>
        <v/>
      </c>
      <c r="E859" s="1921">
        <f>C859/C860-1</f>
        <v/>
      </c>
      <c r="F859" s="1921">
        <f>$L$2/365</f>
        <v/>
      </c>
      <c r="G859" s="1921">
        <f>D859-F859</f>
        <v/>
      </c>
      <c r="H859" s="1921">
        <f>E859-F859</f>
        <v/>
      </c>
    </row>
    <row r="860" ht="14.25" customHeight="1">
      <c r="A860" s="1936" t="inlineStr">
        <is>
          <t>02/01/2023</t>
        </is>
      </c>
      <c r="B860" s="1563" t="n">
        <v>6851</v>
      </c>
      <c r="C860" s="1938" t="inlineStr">
        <is>
          <t>129</t>
        </is>
      </c>
      <c r="D860" s="1921">
        <f>B860/B861-1</f>
        <v/>
      </c>
      <c r="E860" s="1921">
        <f>C860/C861-1</f>
        <v/>
      </c>
      <c r="F860" s="1921">
        <f>$L$2/365</f>
        <v/>
      </c>
      <c r="G860" s="1921">
        <f>D860-F860</f>
        <v/>
      </c>
      <c r="H860" s="1921">
        <f>E860-F860</f>
        <v/>
      </c>
    </row>
    <row r="861" ht="14.25" customHeight="1">
      <c r="A861" s="1933" t="inlineStr">
        <is>
          <t>30/12/2022</t>
        </is>
      </c>
      <c r="B861" s="1563" t="n">
        <v>6851</v>
      </c>
      <c r="C861" s="1939" t="inlineStr">
        <is>
          <t>130</t>
        </is>
      </c>
      <c r="D861" s="1921">
        <f>B861/B862-1</f>
        <v/>
      </c>
      <c r="E861" s="1921">
        <f>C861/C862-1</f>
        <v/>
      </c>
      <c r="F861" s="1921">
        <f>$L$2/365</f>
        <v/>
      </c>
      <c r="G861" s="1921">
        <f>D861-F861</f>
        <v/>
      </c>
      <c r="H861" s="1921">
        <f>E861-F861</f>
        <v/>
      </c>
    </row>
    <row r="862" ht="14.25" customHeight="1">
      <c r="A862" s="1936" t="inlineStr">
        <is>
          <t>29/12/2022</t>
        </is>
      </c>
      <c r="B862" s="1563" t="n">
        <v>6860</v>
      </c>
      <c r="C862" s="1938" t="inlineStr">
        <is>
          <t>132</t>
        </is>
      </c>
      <c r="D862" s="1921">
        <f>B862/B863-1</f>
        <v/>
      </c>
      <c r="E862" s="1921">
        <f>C862/C863-1</f>
        <v/>
      </c>
      <c r="F862" s="1921">
        <f>$L$2/365</f>
        <v/>
      </c>
      <c r="G862" s="1921">
        <f>D862-F862</f>
        <v/>
      </c>
      <c r="H862" s="1921">
        <f>E862-F862</f>
        <v/>
      </c>
    </row>
    <row r="863" ht="14.25" customHeight="1">
      <c r="A863" s="1933" t="inlineStr">
        <is>
          <t>28/12/2022</t>
        </is>
      </c>
      <c r="B863" s="1563" t="n">
        <v>6851</v>
      </c>
      <c r="C863" s="1939" t="inlineStr">
        <is>
          <t>132</t>
        </is>
      </c>
      <c r="D863" s="1921">
        <f>B863/B864-1</f>
        <v/>
      </c>
      <c r="E863" s="1921">
        <f>C863/C864-1</f>
        <v/>
      </c>
      <c r="F863" s="1921">
        <f>$L$2/365</f>
        <v/>
      </c>
      <c r="G863" s="1921">
        <f>D863-F863</f>
        <v/>
      </c>
      <c r="H863" s="1921">
        <f>E863-F863</f>
        <v/>
      </c>
    </row>
    <row r="864" ht="14.25" customHeight="1">
      <c r="A864" s="1936" t="inlineStr">
        <is>
          <t>27/12/2022</t>
        </is>
      </c>
      <c r="B864" s="1563" t="n">
        <v>6923</v>
      </c>
      <c r="C864" s="1938" t="inlineStr">
        <is>
          <t>137</t>
        </is>
      </c>
      <c r="D864" s="1921">
        <f>B864/B865-1</f>
        <v/>
      </c>
      <c r="E864" s="1921">
        <f>C864/C865-1</f>
        <v/>
      </c>
      <c r="F864" s="1921">
        <f>$L$2/365</f>
        <v/>
      </c>
      <c r="G864" s="1921">
        <f>D864-F864</f>
        <v/>
      </c>
      <c r="H864" s="1921">
        <f>E864-F864</f>
        <v/>
      </c>
    </row>
    <row r="865" ht="14.25" customHeight="1">
      <c r="A865" s="1933" t="inlineStr">
        <is>
          <t>26/12/2022</t>
        </is>
      </c>
      <c r="B865" s="1563" t="n">
        <v>6836</v>
      </c>
      <c r="C865" s="1939" t="inlineStr">
        <is>
          <t>139</t>
        </is>
      </c>
      <c r="D865" s="1921">
        <f>B865/B866-1</f>
        <v/>
      </c>
      <c r="E865" s="1921">
        <f>C865/C866-1</f>
        <v/>
      </c>
      <c r="F865" s="1921">
        <f>$L$2/365</f>
        <v/>
      </c>
      <c r="G865" s="1921">
        <f>D865-F865</f>
        <v/>
      </c>
      <c r="H865" s="1921">
        <f>E865-F865</f>
        <v/>
      </c>
    </row>
    <row r="866" ht="14.25" customHeight="1">
      <c r="A866" s="1936" t="inlineStr">
        <is>
          <t>23/12/2022</t>
        </is>
      </c>
      <c r="B866" s="1563" t="n">
        <v>6801</v>
      </c>
      <c r="C866" s="1938" t="inlineStr">
        <is>
          <t>138</t>
        </is>
      </c>
      <c r="D866" s="1921">
        <f>B866/B867-1</f>
        <v/>
      </c>
      <c r="E866" s="1921">
        <f>C866/C867-1</f>
        <v/>
      </c>
      <c r="F866" s="1921">
        <f>$L$2/365</f>
        <v/>
      </c>
      <c r="G866" s="1921">
        <f>D866-F866</f>
        <v/>
      </c>
      <c r="H866" s="1921">
        <f>E866-F866</f>
        <v/>
      </c>
    </row>
    <row r="867" ht="14.25" customHeight="1">
      <c r="A867" s="1933" t="inlineStr">
        <is>
          <t>22/12/2022</t>
        </is>
      </c>
      <c r="B867" s="1563" t="n">
        <v>6824</v>
      </c>
      <c r="C867" s="1939" t="inlineStr">
        <is>
          <t>140</t>
        </is>
      </c>
      <c r="D867" s="1921">
        <f>B867/B868-1</f>
        <v/>
      </c>
      <c r="E867" s="1921">
        <f>C867/C868-1</f>
        <v/>
      </c>
      <c r="F867" s="1921">
        <f>$L$2/365</f>
        <v/>
      </c>
      <c r="G867" s="1921">
        <f>D867-F867</f>
        <v/>
      </c>
      <c r="H867" s="1921">
        <f>E867-F867</f>
        <v/>
      </c>
    </row>
    <row r="868" ht="14.25" customHeight="1">
      <c r="A868" s="1936" t="inlineStr">
        <is>
          <t>21/12/2022</t>
        </is>
      </c>
      <c r="B868" s="1563" t="n">
        <v>6821</v>
      </c>
      <c r="C868" s="1938" t="inlineStr">
        <is>
          <t>140</t>
        </is>
      </c>
      <c r="D868" s="1921">
        <f>B868/B869-1</f>
        <v/>
      </c>
      <c r="E868" s="1921">
        <f>C868/C869-1</f>
        <v/>
      </c>
      <c r="F868" s="1921">
        <f>$L$2/365</f>
        <v/>
      </c>
      <c r="G868" s="1921">
        <f>D868-F868</f>
        <v/>
      </c>
      <c r="H868" s="1921">
        <f>E868-F868</f>
        <v/>
      </c>
    </row>
    <row r="869" ht="14.25" customHeight="1">
      <c r="A869" s="1933" t="inlineStr">
        <is>
          <t>20/12/2022</t>
        </is>
      </c>
      <c r="B869" s="1563" t="n">
        <v>6768</v>
      </c>
      <c r="C869" s="1939" t="inlineStr">
        <is>
          <t>141</t>
        </is>
      </c>
      <c r="D869" s="1921">
        <f>B869/B870-1</f>
        <v/>
      </c>
      <c r="E869" s="1921">
        <f>C869/C870-1</f>
        <v/>
      </c>
      <c r="F869" s="1921">
        <f>$L$2/365</f>
        <v/>
      </c>
      <c r="G869" s="1921">
        <f>D869-F869</f>
        <v/>
      </c>
      <c r="H869" s="1921">
        <f>E869-F869</f>
        <v/>
      </c>
    </row>
    <row r="870" ht="14.25" customHeight="1">
      <c r="A870" s="1936" t="inlineStr">
        <is>
          <t>19/12/2022</t>
        </is>
      </c>
      <c r="B870" s="1563" t="n">
        <v>6780</v>
      </c>
      <c r="C870" s="1938" t="inlineStr">
        <is>
          <t>141</t>
        </is>
      </c>
      <c r="D870" s="1921">
        <f>B870/B871-1</f>
        <v/>
      </c>
      <c r="E870" s="1921">
        <f>C870/C871-1</f>
        <v/>
      </c>
      <c r="F870" s="1921">
        <f>$L$2/365</f>
        <v/>
      </c>
      <c r="G870" s="1921">
        <f>D870-F870</f>
        <v/>
      </c>
      <c r="H870" s="1921">
        <f>E870-F870</f>
        <v/>
      </c>
    </row>
    <row r="871" ht="14.25" customHeight="1">
      <c r="A871" s="1933" t="inlineStr">
        <is>
          <t>16/12/2022</t>
        </is>
      </c>
      <c r="B871" s="1563" t="n">
        <v>6812</v>
      </c>
      <c r="C871" s="1939" t="inlineStr">
        <is>
          <t>146</t>
        </is>
      </c>
      <c r="D871" s="1921">
        <f>B871/B872-1</f>
        <v/>
      </c>
      <c r="E871" s="1921">
        <f>C871/C872-1</f>
        <v/>
      </c>
      <c r="F871" s="1921">
        <f>$L$2/365</f>
        <v/>
      </c>
      <c r="G871" s="1921">
        <f>D871-F871</f>
        <v/>
      </c>
      <c r="H871" s="1921">
        <f>E871-F871</f>
        <v/>
      </c>
    </row>
    <row r="872" ht="14.25" customHeight="1">
      <c r="A872" s="1936" t="inlineStr">
        <is>
          <t>15/12/2022</t>
        </is>
      </c>
      <c r="B872" s="1563" t="n">
        <v>6752</v>
      </c>
      <c r="C872" s="1938" t="inlineStr">
        <is>
          <t>141</t>
        </is>
      </c>
      <c r="D872" s="1921">
        <f>B872/B873-1</f>
        <v/>
      </c>
      <c r="E872" s="1921">
        <f>C872/C873-1</f>
        <v/>
      </c>
      <c r="F872" s="1921">
        <f>$L$2/365</f>
        <v/>
      </c>
      <c r="G872" s="1921">
        <f>D872-F872</f>
        <v/>
      </c>
      <c r="H872" s="1921">
        <f>E872-F872</f>
        <v/>
      </c>
    </row>
    <row r="873" ht="14.25" customHeight="1">
      <c r="A873" s="1933" t="inlineStr">
        <is>
          <t>14/12/2022</t>
        </is>
      </c>
      <c r="B873" s="1563" t="n">
        <v>6802</v>
      </c>
      <c r="C873" s="1939" t="inlineStr">
        <is>
          <t>144</t>
        </is>
      </c>
      <c r="D873" s="1921">
        <f>B873/B874-1</f>
        <v/>
      </c>
      <c r="E873" s="1921">
        <f>C873/C874-1</f>
        <v/>
      </c>
      <c r="F873" s="1921">
        <f>$L$2/365</f>
        <v/>
      </c>
      <c r="G873" s="1921">
        <f>D873-F873</f>
        <v/>
      </c>
      <c r="H873" s="1921">
        <f>E873-F873</f>
        <v/>
      </c>
    </row>
    <row r="874" ht="14.25" customHeight="1">
      <c r="A874" s="1936" t="inlineStr">
        <is>
          <t>13/12/2022</t>
        </is>
      </c>
      <c r="B874" s="1563" t="n">
        <v>6810</v>
      </c>
      <c r="C874" s="1938" t="inlineStr">
        <is>
          <t>145</t>
        </is>
      </c>
      <c r="D874" s="1921">
        <f>B874/B875-1</f>
        <v/>
      </c>
      <c r="E874" s="1921">
        <f>C874/C875-1</f>
        <v/>
      </c>
      <c r="F874" s="1921">
        <f>$L$2/365</f>
        <v/>
      </c>
      <c r="G874" s="1921">
        <f>D874-F874</f>
        <v/>
      </c>
      <c r="H874" s="1921">
        <f>E874-F874</f>
        <v/>
      </c>
    </row>
    <row r="875" ht="14.25" customHeight="1">
      <c r="A875" s="1933" t="inlineStr">
        <is>
          <t>12/12/2022</t>
        </is>
      </c>
      <c r="B875" s="1563" t="n">
        <v>6734</v>
      </c>
      <c r="C875" s="1939" t="inlineStr">
        <is>
          <t>146</t>
        </is>
      </c>
      <c r="D875" s="1921">
        <f>B875/B876-1</f>
        <v/>
      </c>
      <c r="E875" s="1921">
        <f>C875/C876-1</f>
        <v/>
      </c>
      <c r="F875" s="1921">
        <f>$L$2/365</f>
        <v/>
      </c>
      <c r="G875" s="1921">
        <f>D875-F875</f>
        <v/>
      </c>
      <c r="H875" s="1921">
        <f>E875-F875</f>
        <v/>
      </c>
    </row>
    <row r="876" ht="14.25" customHeight="1">
      <c r="A876" s="1936" t="inlineStr">
        <is>
          <t>09/12/2022</t>
        </is>
      </c>
      <c r="B876" s="1563" t="n">
        <v>6715</v>
      </c>
      <c r="C876" s="1938" t="inlineStr">
        <is>
          <t>145</t>
        </is>
      </c>
      <c r="D876" s="1921">
        <f>B876/B877-1</f>
        <v/>
      </c>
      <c r="E876" s="1921">
        <f>C876/C877-1</f>
        <v/>
      </c>
      <c r="F876" s="1921">
        <f>$L$2/365</f>
        <v/>
      </c>
      <c r="G876" s="1921">
        <f>D876-F876</f>
        <v/>
      </c>
      <c r="H876" s="1921">
        <f>E876-F876</f>
        <v/>
      </c>
    </row>
    <row r="877" ht="14.25" customHeight="1">
      <c r="A877" s="1933" t="inlineStr">
        <is>
          <t>08/12/2022</t>
        </is>
      </c>
      <c r="B877" s="1563" t="n">
        <v>6804</v>
      </c>
      <c r="C877" s="1939" t="inlineStr">
        <is>
          <t>150</t>
        </is>
      </c>
      <c r="D877" s="1921">
        <f>B877/B878-1</f>
        <v/>
      </c>
      <c r="E877" s="1921">
        <f>C877/C878-1</f>
        <v/>
      </c>
      <c r="F877" s="1921">
        <f>$L$2/365</f>
        <v/>
      </c>
      <c r="G877" s="1921">
        <f>D877-F877</f>
        <v/>
      </c>
      <c r="H877" s="1921">
        <f>E877-F877</f>
        <v/>
      </c>
    </row>
    <row r="878" ht="14.25" customHeight="1">
      <c r="A878" s="1936" t="inlineStr">
        <is>
          <t>07/12/2022</t>
        </is>
      </c>
      <c r="B878" s="1563" t="n">
        <v>6819</v>
      </c>
      <c r="C878" s="1938" t="inlineStr">
        <is>
          <t>152</t>
        </is>
      </c>
      <c r="D878" s="1921">
        <f>B878/B879-1</f>
        <v/>
      </c>
      <c r="E878" s="1921">
        <f>C878/C879-1</f>
        <v/>
      </c>
      <c r="F878" s="1921">
        <f>$L$2/365</f>
        <v/>
      </c>
      <c r="G878" s="1921">
        <f>D878-F878</f>
        <v/>
      </c>
      <c r="H878" s="1921">
        <f>E878-F878</f>
        <v/>
      </c>
    </row>
    <row r="879" ht="14.25" customHeight="1">
      <c r="A879" s="1933" t="inlineStr">
        <is>
          <t>06/12/2022</t>
        </is>
      </c>
      <c r="B879" s="1563" t="n">
        <v>6893</v>
      </c>
      <c r="C879" s="1939" t="inlineStr">
        <is>
          <t>152</t>
        </is>
      </c>
      <c r="D879" s="1921">
        <f>B879/B880-1</f>
        <v/>
      </c>
      <c r="E879" s="1921">
        <f>C879/C880-1</f>
        <v/>
      </c>
      <c r="F879" s="1921">
        <f>$L$2/365</f>
        <v/>
      </c>
      <c r="G879" s="1921">
        <f>D879-F879</f>
        <v/>
      </c>
      <c r="H879" s="1921">
        <f>E879-F879</f>
        <v/>
      </c>
    </row>
    <row r="880" ht="14.25" customHeight="1">
      <c r="A880" s="1936" t="inlineStr">
        <is>
          <t>05/12/2022</t>
        </is>
      </c>
      <c r="B880" s="1563" t="n">
        <v>6987</v>
      </c>
      <c r="C880" s="1938" t="inlineStr">
        <is>
          <t>153</t>
        </is>
      </c>
      <c r="D880" s="1921">
        <f>B880/B881-1</f>
        <v/>
      </c>
      <c r="E880" s="1921">
        <f>C880/C881-1</f>
        <v/>
      </c>
      <c r="F880" s="1921">
        <f>$L$2/365</f>
        <v/>
      </c>
      <c r="G880" s="1921">
        <f>D880-F880</f>
        <v/>
      </c>
      <c r="H880" s="1921">
        <f>E880-F880</f>
        <v/>
      </c>
    </row>
    <row r="881" ht="14.25" customHeight="1">
      <c r="A881" s="1933" t="inlineStr">
        <is>
          <t>02/12/2022</t>
        </is>
      </c>
      <c r="B881" s="1563" t="n">
        <v>7020</v>
      </c>
      <c r="C881" s="1939" t="inlineStr">
        <is>
          <t>164</t>
        </is>
      </c>
      <c r="D881" s="1921">
        <f>B881/B882-1</f>
        <v/>
      </c>
      <c r="E881" s="1921">
        <f>C881/C882-1</f>
        <v/>
      </c>
      <c r="F881" s="1921">
        <f>$L$2/365</f>
        <v/>
      </c>
      <c r="G881" s="1921">
        <f>D881-F881</f>
        <v/>
      </c>
      <c r="H881" s="1921">
        <f>E881-F881</f>
        <v/>
      </c>
    </row>
    <row r="882" ht="14.25" customHeight="1">
      <c r="A882" s="1936" t="inlineStr">
        <is>
          <t>01/12/2022</t>
        </is>
      </c>
      <c r="B882" s="1563" t="n">
        <v>7021</v>
      </c>
      <c r="C882" s="1938" t="inlineStr">
        <is>
          <t>164</t>
        </is>
      </c>
      <c r="D882" s="1921">
        <f>B882/B883-1</f>
        <v/>
      </c>
      <c r="E882" s="1921">
        <f>C882/C883-1</f>
        <v/>
      </c>
      <c r="F882" s="1921">
        <f>$L$2/365</f>
        <v/>
      </c>
      <c r="G882" s="1921">
        <f>D882-F882</f>
        <v/>
      </c>
      <c r="H882" s="1921">
        <f>E882-F882</f>
        <v/>
      </c>
    </row>
    <row r="883" ht="14.25" customHeight="1">
      <c r="A883" s="1933" t="inlineStr">
        <is>
          <t>30/11/2022</t>
        </is>
      </c>
      <c r="B883" s="1563" t="n">
        <v>7081</v>
      </c>
      <c r="C883" s="1939" t="inlineStr">
        <is>
          <t>166</t>
        </is>
      </c>
      <c r="D883" s="1921">
        <f>B883/B884-1</f>
        <v/>
      </c>
      <c r="E883" s="1921">
        <f>C883/C884-1</f>
        <v/>
      </c>
      <c r="F883" s="1921">
        <f>$L$2/365</f>
        <v/>
      </c>
      <c r="G883" s="1921">
        <f>D883-F883</f>
        <v/>
      </c>
      <c r="H883" s="1921">
        <f>E883-F883</f>
        <v/>
      </c>
    </row>
    <row r="884" ht="14.25" customHeight="1">
      <c r="A884" s="1936" t="inlineStr">
        <is>
          <t>29/11/2022</t>
        </is>
      </c>
      <c r="B884" s="1563" t="n">
        <v>7012</v>
      </c>
      <c r="C884" s="1938" t="inlineStr">
        <is>
          <t>170</t>
        </is>
      </c>
      <c r="D884" s="1921">
        <f>B884/B885-1</f>
        <v/>
      </c>
      <c r="E884" s="1921">
        <f>C884/C885-1</f>
        <v/>
      </c>
      <c r="F884" s="1921">
        <f>$L$2/365</f>
        <v/>
      </c>
      <c r="G884" s="1921">
        <f>D884-F884</f>
        <v/>
      </c>
      <c r="H884" s="1921">
        <f>E884-F884</f>
        <v/>
      </c>
    </row>
    <row r="885" ht="14.25" customHeight="1">
      <c r="A885" s="1933" t="inlineStr">
        <is>
          <t>28/11/2022</t>
        </is>
      </c>
      <c r="B885" s="1563" t="n">
        <v>7017</v>
      </c>
      <c r="C885" s="1939" t="inlineStr">
        <is>
          <t>172</t>
        </is>
      </c>
      <c r="D885" s="1921">
        <f>B885/B886-1</f>
        <v/>
      </c>
      <c r="E885" s="1921">
        <f>C885/C886-1</f>
        <v/>
      </c>
      <c r="F885" s="1921">
        <f>$L$2/365</f>
        <v/>
      </c>
      <c r="G885" s="1921">
        <f>D885-F885</f>
        <v/>
      </c>
      <c r="H885" s="1921">
        <f>E885-F885</f>
        <v/>
      </c>
    </row>
    <row r="886" ht="14.25" customHeight="1">
      <c r="A886" s="1936" t="inlineStr">
        <is>
          <t>25/11/2022</t>
        </is>
      </c>
      <c r="B886" s="1563" t="n">
        <v>7053</v>
      </c>
      <c r="C886" s="1938" t="inlineStr">
        <is>
          <t>173</t>
        </is>
      </c>
      <c r="D886" s="1921">
        <f>B886/B887-1</f>
        <v/>
      </c>
      <c r="E886" s="1921">
        <f>C886/C887-1</f>
        <v/>
      </c>
      <c r="F886" s="1921">
        <f>$L$2/365</f>
        <v/>
      </c>
      <c r="G886" s="1921">
        <f>D886-F886</f>
        <v/>
      </c>
      <c r="H886" s="1921">
        <f>E886-F886</f>
        <v/>
      </c>
    </row>
    <row r="887" ht="14.25" customHeight="1">
      <c r="A887" s="1933" t="inlineStr">
        <is>
          <t>24/11/2022</t>
        </is>
      </c>
      <c r="B887" s="1563" t="n">
        <v>7081</v>
      </c>
      <c r="C887" s="1939" t="inlineStr">
        <is>
          <t>178</t>
        </is>
      </c>
      <c r="D887" s="1921">
        <f>B887/B888-1</f>
        <v/>
      </c>
      <c r="E887" s="1921">
        <f>C887/C888-1</f>
        <v/>
      </c>
      <c r="F887" s="1921">
        <f>$L$2/365</f>
        <v/>
      </c>
      <c r="G887" s="1921">
        <f>D887-F887</f>
        <v/>
      </c>
      <c r="H887" s="1921">
        <f>E887-F887</f>
        <v/>
      </c>
    </row>
    <row r="888" ht="14.25" customHeight="1">
      <c r="A888" s="1936" t="inlineStr">
        <is>
          <t>23/11/2022</t>
        </is>
      </c>
      <c r="B888" s="1563" t="n">
        <v>7054</v>
      </c>
      <c r="C888" s="1938" t="inlineStr">
        <is>
          <t>179</t>
        </is>
      </c>
      <c r="D888" s="1921">
        <f>B888/B889-1</f>
        <v/>
      </c>
      <c r="E888" s="1921">
        <f>C888/C889-1</f>
        <v/>
      </c>
      <c r="F888" s="1921">
        <f>$L$2/365</f>
        <v/>
      </c>
      <c r="G888" s="1921">
        <f>D888-F888</f>
        <v/>
      </c>
      <c r="H888" s="1921">
        <f>E888-F888</f>
        <v/>
      </c>
    </row>
    <row r="889" ht="14.25" customHeight="1">
      <c r="A889" s="1933" t="inlineStr">
        <is>
          <t>22/11/2022</t>
        </is>
      </c>
      <c r="B889" s="1563" t="n">
        <v>7031</v>
      </c>
      <c r="C889" s="1939" t="inlineStr">
        <is>
          <t>180</t>
        </is>
      </c>
      <c r="D889" s="1921">
        <f>B889/B890-1</f>
        <v/>
      </c>
      <c r="E889" s="1921">
        <f>C889/C890-1</f>
        <v/>
      </c>
      <c r="F889" s="1921">
        <f>$L$2/365</f>
        <v/>
      </c>
      <c r="G889" s="1921">
        <f>D889-F889</f>
        <v/>
      </c>
      <c r="H889" s="1921">
        <f>E889-F889</f>
        <v/>
      </c>
    </row>
    <row r="890" ht="14.25" customHeight="1">
      <c r="A890" s="1936" t="inlineStr">
        <is>
          <t>21/11/2022</t>
        </is>
      </c>
      <c r="B890" s="1563" t="n">
        <v>7063</v>
      </c>
      <c r="C890" s="1938" t="inlineStr">
        <is>
          <t>182</t>
        </is>
      </c>
      <c r="D890" s="1921">
        <f>B890/B891-1</f>
        <v/>
      </c>
      <c r="E890" s="1921">
        <f>C890/C891-1</f>
        <v/>
      </c>
      <c r="F890" s="1921">
        <f>$L$2/365</f>
        <v/>
      </c>
      <c r="G890" s="1921">
        <f>D890-F890</f>
        <v/>
      </c>
      <c r="H890" s="1921">
        <f>E890-F890</f>
        <v/>
      </c>
    </row>
    <row r="891" ht="14.25" customHeight="1">
      <c r="A891" s="1933" t="inlineStr">
        <is>
          <t>18/11/2022</t>
        </is>
      </c>
      <c r="B891" s="1563" t="n">
        <v>7082</v>
      </c>
      <c r="C891" s="1939" t="inlineStr">
        <is>
          <t>180</t>
        </is>
      </c>
      <c r="D891" s="1921">
        <f>B891/B892-1</f>
        <v/>
      </c>
      <c r="E891" s="1921">
        <f>C891/C892-1</f>
        <v/>
      </c>
      <c r="F891" s="1921">
        <f>$L$2/365</f>
        <v/>
      </c>
      <c r="G891" s="1921">
        <f>D891-F891</f>
        <v/>
      </c>
      <c r="H891" s="1921">
        <f>E891-F891</f>
        <v/>
      </c>
    </row>
    <row r="892" ht="14.25" customHeight="1">
      <c r="A892" s="1936" t="inlineStr">
        <is>
          <t>17/11/2022</t>
        </is>
      </c>
      <c r="B892" s="1563" t="n">
        <v>7045</v>
      </c>
      <c r="C892" s="1938" t="inlineStr">
        <is>
          <t>185</t>
        </is>
      </c>
      <c r="D892" s="1921">
        <f>B892/B893-1</f>
        <v/>
      </c>
      <c r="E892" s="1921">
        <f>C892/C893-1</f>
        <v/>
      </c>
      <c r="F892" s="1921">
        <f>$L$2/365</f>
        <v/>
      </c>
      <c r="G892" s="1921">
        <f>D892-F892</f>
        <v/>
      </c>
      <c r="H892" s="1921">
        <f>E892-F892</f>
        <v/>
      </c>
    </row>
    <row r="893" ht="14.25" customHeight="1">
      <c r="A893" s="1933" t="inlineStr">
        <is>
          <t>16/11/2022</t>
        </is>
      </c>
      <c r="B893" s="1563" t="n">
        <v>7014</v>
      </c>
      <c r="C893" s="1939" t="inlineStr">
        <is>
          <t>186</t>
        </is>
      </c>
      <c r="D893" s="1921">
        <f>B893/B894-1</f>
        <v/>
      </c>
      <c r="E893" s="1921">
        <f>C893/C894-1</f>
        <v/>
      </c>
      <c r="F893" s="1921">
        <f>$L$2/365</f>
        <v/>
      </c>
      <c r="G893" s="1921">
        <f>D893-F893</f>
        <v/>
      </c>
      <c r="H893" s="1921">
        <f>E893-F893</f>
        <v/>
      </c>
    </row>
    <row r="894" ht="14.25" customHeight="1">
      <c r="A894" s="1936" t="inlineStr">
        <is>
          <t>15/11/2022</t>
        </is>
      </c>
      <c r="B894" s="1563" t="n">
        <v>7036</v>
      </c>
      <c r="C894" s="1938" t="inlineStr">
        <is>
          <t>188</t>
        </is>
      </c>
      <c r="D894" s="1921">
        <f>B894/B895-1</f>
        <v/>
      </c>
      <c r="E894" s="1921">
        <f>C894/C895-1</f>
        <v/>
      </c>
      <c r="F894" s="1921">
        <f>$L$2/365</f>
        <v/>
      </c>
      <c r="G894" s="1921">
        <f>D894-F894</f>
        <v/>
      </c>
      <c r="H894" s="1921">
        <f>E894-F894</f>
        <v/>
      </c>
    </row>
    <row r="895" ht="14.25" customHeight="1">
      <c r="A895" s="1933" t="inlineStr">
        <is>
          <t>14/11/2022</t>
        </is>
      </c>
      <c r="B895" s="1563" t="n">
        <v>7019</v>
      </c>
      <c r="C895" s="1939" t="inlineStr">
        <is>
          <t>191</t>
        </is>
      </c>
      <c r="D895" s="1921">
        <f>B895/B896-1</f>
        <v/>
      </c>
      <c r="E895" s="1921">
        <f>C895/C896-1</f>
        <v/>
      </c>
      <c r="F895" s="1921">
        <f>$L$2/365</f>
        <v/>
      </c>
      <c r="G895" s="1921">
        <f>D895-F895</f>
        <v/>
      </c>
      <c r="H895" s="1921">
        <f>E895-F895</f>
        <v/>
      </c>
    </row>
    <row r="896" ht="14.25" customHeight="1">
      <c r="A896" s="1936" t="inlineStr">
        <is>
          <t>11/11/2022</t>
        </is>
      </c>
      <c r="B896" s="1563" t="n">
        <v>7089</v>
      </c>
      <c r="C896" s="1938" t="inlineStr">
        <is>
          <t>192</t>
        </is>
      </c>
      <c r="D896" s="1921">
        <f>B896/B897-1</f>
        <v/>
      </c>
      <c r="E896" s="1921">
        <f>C896/C897-1</f>
        <v/>
      </c>
      <c r="F896" s="1921">
        <f>$L$2/365</f>
        <v/>
      </c>
      <c r="G896" s="1921">
        <f>D896-F896</f>
        <v/>
      </c>
      <c r="H896" s="1921">
        <f>E896-F896</f>
        <v/>
      </c>
    </row>
    <row r="897" ht="14.25" customHeight="1">
      <c r="A897" s="1933" t="inlineStr">
        <is>
          <t>10/11/2022</t>
        </is>
      </c>
      <c r="B897" s="1563" t="n">
        <v>6967</v>
      </c>
      <c r="C897" s="1939" t="inlineStr">
        <is>
          <t>194</t>
        </is>
      </c>
      <c r="D897" s="1921">
        <f>B897/B898-1</f>
        <v/>
      </c>
      <c r="E897" s="1921">
        <f>C897/C898-1</f>
        <v/>
      </c>
      <c r="F897" s="1921">
        <f>$L$2/365</f>
        <v/>
      </c>
      <c r="G897" s="1921">
        <f>D897-F897</f>
        <v/>
      </c>
      <c r="H897" s="1921">
        <f>E897-F897</f>
        <v/>
      </c>
    </row>
    <row r="898" ht="14.25" customHeight="1">
      <c r="A898" s="1936" t="inlineStr">
        <is>
          <t>09/11/2022</t>
        </is>
      </c>
      <c r="B898" s="1563" t="n">
        <v>7070</v>
      </c>
      <c r="C898" s="1938" t="inlineStr">
        <is>
          <t>194</t>
        </is>
      </c>
      <c r="D898" s="1921">
        <f>B898/B899-1</f>
        <v/>
      </c>
      <c r="E898" s="1921">
        <f>C898/C899-1</f>
        <v/>
      </c>
      <c r="F898" s="1921">
        <f>$L$2/365</f>
        <v/>
      </c>
      <c r="G898" s="1921">
        <f>D898-F898</f>
        <v/>
      </c>
      <c r="H898" s="1921">
        <f>E898-F898</f>
        <v/>
      </c>
    </row>
    <row r="899" ht="14.25" customHeight="1">
      <c r="A899" s="1933" t="inlineStr">
        <is>
          <t>08/11/2022</t>
        </is>
      </c>
      <c r="B899" s="1563" t="n">
        <v>7050</v>
      </c>
      <c r="C899" s="1939" t="inlineStr">
        <is>
          <t>194</t>
        </is>
      </c>
      <c r="D899" s="1921">
        <f>B899/B900-1</f>
        <v/>
      </c>
      <c r="E899" s="1921">
        <f>C899/C900-1</f>
        <v/>
      </c>
      <c r="F899" s="1921">
        <f>$L$2/365</f>
        <v/>
      </c>
      <c r="G899" s="1921">
        <f>D899-F899</f>
        <v/>
      </c>
      <c r="H899" s="1921">
        <f>E899-F899</f>
        <v/>
      </c>
    </row>
    <row r="900" ht="14.25" customHeight="1">
      <c r="A900" s="1936" t="inlineStr">
        <is>
          <t>07/11/2022</t>
        </is>
      </c>
      <c r="B900" s="1563" t="n">
        <v>7102</v>
      </c>
      <c r="C900" s="1938" t="inlineStr">
        <is>
          <t>194</t>
        </is>
      </c>
      <c r="D900" s="1921">
        <f>B900/B901-1</f>
        <v/>
      </c>
      <c r="E900" s="1921">
        <f>C900/C901-1</f>
        <v/>
      </c>
      <c r="F900" s="1921">
        <f>$L$2/365</f>
        <v/>
      </c>
      <c r="G900" s="1921">
        <f>D900-F900</f>
        <v/>
      </c>
      <c r="H900" s="1921">
        <f>E900-F900</f>
        <v/>
      </c>
    </row>
    <row r="901" ht="14.25" customHeight="1">
      <c r="A901" s="1933" t="inlineStr">
        <is>
          <t>04/11/2022</t>
        </is>
      </c>
      <c r="B901" s="1563" t="n">
        <v>7046</v>
      </c>
      <c r="C901" s="1939" t="inlineStr">
        <is>
          <t>194</t>
        </is>
      </c>
      <c r="D901" s="1921">
        <f>B901/B902-1</f>
        <v/>
      </c>
      <c r="E901" s="1921">
        <f>C901/C902-1</f>
        <v/>
      </c>
      <c r="F901" s="1921">
        <f>$L$2/365</f>
        <v/>
      </c>
      <c r="G901" s="1921">
        <f>D901-F901</f>
        <v/>
      </c>
      <c r="H901" s="1921">
        <f>E901-F901</f>
        <v/>
      </c>
    </row>
    <row r="902" ht="14.25" customHeight="1">
      <c r="A902" s="1936" t="inlineStr">
        <is>
          <t>03/11/2022</t>
        </is>
      </c>
      <c r="B902" s="1563" t="n">
        <v>7035</v>
      </c>
      <c r="C902" s="1938" t="inlineStr">
        <is>
          <t>194</t>
        </is>
      </c>
      <c r="D902" s="1921">
        <f>B902/B903-1</f>
        <v/>
      </c>
      <c r="E902" s="1921">
        <f>C902/C903-1</f>
        <v/>
      </c>
      <c r="F902" s="1921">
        <f>$L$2/365</f>
        <v/>
      </c>
      <c r="G902" s="1921">
        <f>D902-F902</f>
        <v/>
      </c>
      <c r="H902" s="1921">
        <f>E902-F902</f>
        <v/>
      </c>
    </row>
    <row r="903" ht="14.25" customHeight="1">
      <c r="A903" s="1933" t="inlineStr">
        <is>
          <t>02/11/2022</t>
        </is>
      </c>
      <c r="B903" s="1563" t="n">
        <v>7016</v>
      </c>
      <c r="C903" s="1939" t="inlineStr">
        <is>
          <t>193</t>
        </is>
      </c>
      <c r="D903" s="1921">
        <f>B903/B904-1</f>
        <v/>
      </c>
      <c r="E903" s="1921">
        <f>C903/C904-1</f>
        <v/>
      </c>
      <c r="F903" s="1921">
        <f>$L$2/365</f>
        <v/>
      </c>
      <c r="G903" s="1921">
        <f>D903-F903</f>
        <v/>
      </c>
      <c r="H903" s="1921">
        <f>E903-F903</f>
        <v/>
      </c>
    </row>
    <row r="904" ht="14.25" customHeight="1">
      <c r="A904" s="1936" t="inlineStr">
        <is>
          <t>01/11/2022</t>
        </is>
      </c>
      <c r="B904" s="1563" t="n">
        <v>7052</v>
      </c>
      <c r="C904" s="1938" t="inlineStr">
        <is>
          <t>197</t>
        </is>
      </c>
      <c r="D904" s="1921">
        <f>B904/B905-1</f>
        <v/>
      </c>
      <c r="E904" s="1921">
        <f>C904/C905-1</f>
        <v/>
      </c>
      <c r="F904" s="1921">
        <f>$L$2/365</f>
        <v/>
      </c>
      <c r="G904" s="1921">
        <f>D904-F904</f>
        <v/>
      </c>
      <c r="H904" s="1921">
        <f>E904-F904</f>
        <v/>
      </c>
    </row>
    <row r="905" ht="14.25" customHeight="1">
      <c r="A905" s="1933" t="inlineStr">
        <is>
          <t>31/10/2022</t>
        </is>
      </c>
      <c r="B905" s="1563" t="n">
        <v>7099</v>
      </c>
      <c r="C905" s="1939" t="inlineStr">
        <is>
          <t>202</t>
        </is>
      </c>
      <c r="D905" s="1921">
        <f>B905/B906-1</f>
        <v/>
      </c>
      <c r="E905" s="1921">
        <f>C905/C906-1</f>
        <v/>
      </c>
      <c r="F905" s="1921">
        <f>$L$2/365</f>
        <v/>
      </c>
      <c r="G905" s="1921">
        <f>D905-F905</f>
        <v/>
      </c>
      <c r="H905" s="1921">
        <f>E905-F905</f>
        <v/>
      </c>
    </row>
    <row r="906" ht="14.25" customHeight="1">
      <c r="A906" s="1936" t="inlineStr">
        <is>
          <t>28/10/2022</t>
        </is>
      </c>
      <c r="B906" s="1563" t="n">
        <v>7056</v>
      </c>
      <c r="C906" s="1938" t="inlineStr">
        <is>
          <t>200</t>
        </is>
      </c>
      <c r="D906" s="1921">
        <f>B906/B907-1</f>
        <v/>
      </c>
      <c r="E906" s="1921">
        <f>C906/C907-1</f>
        <v/>
      </c>
      <c r="F906" s="1921">
        <f>$L$2/365</f>
        <v/>
      </c>
      <c r="G906" s="1921">
        <f>D906-F906</f>
        <v/>
      </c>
      <c r="H906" s="1921">
        <f>E906-F906</f>
        <v/>
      </c>
    </row>
    <row r="907" ht="14.25" customHeight="1">
      <c r="A907" s="1933" t="inlineStr">
        <is>
          <t>27/10/2022</t>
        </is>
      </c>
      <c r="B907" s="1563" t="n">
        <v>7092</v>
      </c>
      <c r="C907" s="1939" t="inlineStr">
        <is>
          <t>200</t>
        </is>
      </c>
      <c r="D907" s="1921">
        <f>B907/B908-1</f>
        <v/>
      </c>
      <c r="E907" s="1921">
        <f>C907/C908-1</f>
        <v/>
      </c>
      <c r="F907" s="1921">
        <f>$L$2/365</f>
        <v/>
      </c>
      <c r="G907" s="1921">
        <f>D907-F907</f>
        <v/>
      </c>
      <c r="H907" s="1921">
        <f>E907-F907</f>
        <v/>
      </c>
    </row>
    <row r="908" ht="14.25" customHeight="1">
      <c r="A908" s="1936" t="inlineStr">
        <is>
          <t>26/10/2022</t>
        </is>
      </c>
      <c r="B908" s="1563" t="n">
        <v>7044</v>
      </c>
      <c r="C908" s="1938" t="inlineStr">
        <is>
          <t>202</t>
        </is>
      </c>
      <c r="D908" s="1921">
        <f>B908/B909-1</f>
        <v/>
      </c>
      <c r="E908" s="1921">
        <f>C908/C909-1</f>
        <v/>
      </c>
      <c r="F908" s="1921">
        <f>$L$2/365</f>
        <v/>
      </c>
      <c r="G908" s="1921">
        <f>D908-F908</f>
        <v/>
      </c>
      <c r="H908" s="1921">
        <f>E908-F908</f>
        <v/>
      </c>
    </row>
    <row r="909" ht="14.25" customHeight="1">
      <c r="A909" s="1933" t="inlineStr">
        <is>
          <t>25/10/2022</t>
        </is>
      </c>
      <c r="B909" s="1563" t="n">
        <v>7048</v>
      </c>
      <c r="C909" s="1939" t="inlineStr">
        <is>
          <t>196</t>
        </is>
      </c>
      <c r="D909" s="1921">
        <f>B909/B910-1</f>
        <v/>
      </c>
      <c r="E909" s="1921">
        <f>C909/C910-1</f>
        <v/>
      </c>
      <c r="F909" s="1921">
        <f>$L$2/365</f>
        <v/>
      </c>
      <c r="G909" s="1921">
        <f>D909-F909</f>
        <v/>
      </c>
      <c r="H909" s="1921">
        <f>E909-F909</f>
        <v/>
      </c>
    </row>
    <row r="910" ht="14.25" customHeight="1">
      <c r="A910" s="1936" t="inlineStr">
        <is>
          <t>24/10/2022</t>
        </is>
      </c>
      <c r="B910" s="1563" t="n">
        <v>7053</v>
      </c>
      <c r="C910" s="1938" t="inlineStr">
        <is>
          <t>197</t>
        </is>
      </c>
      <c r="D910" s="1921">
        <f>B910/B911-1</f>
        <v/>
      </c>
      <c r="E910" s="1921">
        <f>C910/C911-1</f>
        <v/>
      </c>
      <c r="F910" s="1921">
        <f>$L$2/365</f>
        <v/>
      </c>
      <c r="G910" s="1921">
        <f>D910-F910</f>
        <v/>
      </c>
      <c r="H910" s="1921">
        <f>E910-F910</f>
        <v/>
      </c>
    </row>
    <row r="911" ht="14.25" customHeight="1">
      <c r="A911" s="1933" t="inlineStr">
        <is>
          <t>21/10/2022</t>
        </is>
      </c>
      <c r="B911" s="1563" t="n">
        <v>7018</v>
      </c>
      <c r="C911" s="1939" t="inlineStr">
        <is>
          <t>197</t>
        </is>
      </c>
      <c r="D911" s="1921">
        <f>B911/B912-1</f>
        <v/>
      </c>
      <c r="E911" s="1921">
        <f>C911/C912-1</f>
        <v/>
      </c>
      <c r="F911" s="1921">
        <f>$L$2/365</f>
        <v/>
      </c>
      <c r="G911" s="1921">
        <f>D911-F911</f>
        <v/>
      </c>
      <c r="H911" s="1921">
        <f>E911-F911</f>
        <v/>
      </c>
    </row>
    <row r="912" ht="14.25" customHeight="1">
      <c r="A912" s="1936" t="inlineStr">
        <is>
          <t>20/10/2022</t>
        </is>
      </c>
      <c r="B912" s="1563" t="n">
        <v>6981</v>
      </c>
      <c r="C912" s="1938" t="inlineStr">
        <is>
          <t>200</t>
        </is>
      </c>
      <c r="D912" s="1921">
        <f>B912/B913-1</f>
        <v/>
      </c>
      <c r="E912" s="1921">
        <f>C912/C913-1</f>
        <v/>
      </c>
      <c r="F912" s="1921">
        <f>$L$2/365</f>
        <v/>
      </c>
      <c r="G912" s="1921">
        <f>D912-F912</f>
        <v/>
      </c>
      <c r="H912" s="1921">
        <f>E912-F912</f>
        <v/>
      </c>
    </row>
    <row r="913" ht="14.25" customHeight="1">
      <c r="A913" s="1933" t="inlineStr">
        <is>
          <t>19/10/2022</t>
        </is>
      </c>
      <c r="B913" s="1563" t="n">
        <v>6860</v>
      </c>
      <c r="C913" s="1939" t="inlineStr">
        <is>
          <t>200</t>
        </is>
      </c>
      <c r="D913" s="1921">
        <f>B913/B914-1</f>
        <v/>
      </c>
      <c r="E913" s="1921">
        <f>C913/C914-1</f>
        <v/>
      </c>
      <c r="F913" s="1921">
        <f>$L$2/365</f>
        <v/>
      </c>
      <c r="G913" s="1921">
        <f>D913-F913</f>
        <v/>
      </c>
      <c r="H913" s="1921">
        <f>E913-F913</f>
        <v/>
      </c>
    </row>
    <row r="914" ht="14.25" customHeight="1">
      <c r="A914" s="1936" t="inlineStr">
        <is>
          <t>18/10/2022</t>
        </is>
      </c>
      <c r="B914" s="1563" t="n">
        <v>6834</v>
      </c>
      <c r="C914" s="1938" t="inlineStr">
        <is>
          <t>204</t>
        </is>
      </c>
      <c r="D914" s="1921">
        <f>B914/B915-1</f>
        <v/>
      </c>
      <c r="E914" s="1921">
        <f>C914/C915-1</f>
        <v/>
      </c>
      <c r="F914" s="1921">
        <f>$L$2/365</f>
        <v/>
      </c>
      <c r="G914" s="1921">
        <f>D914-F914</f>
        <v/>
      </c>
      <c r="H914" s="1921">
        <f>E914-F914</f>
        <v/>
      </c>
    </row>
    <row r="915" ht="14.25" customHeight="1">
      <c r="A915" s="1933" t="inlineStr">
        <is>
          <t>17/10/2022</t>
        </is>
      </c>
      <c r="B915" s="1563" t="n">
        <v>6831</v>
      </c>
      <c r="C915" s="1939" t="inlineStr">
        <is>
          <t>210</t>
        </is>
      </c>
      <c r="D915" s="1921">
        <f>B915/B916-1</f>
        <v/>
      </c>
      <c r="E915" s="1921">
        <f>C915/C916-1</f>
        <v/>
      </c>
      <c r="F915" s="1921">
        <f>$L$2/365</f>
        <v/>
      </c>
      <c r="G915" s="1921">
        <f>D915-F915</f>
        <v/>
      </c>
      <c r="H915" s="1921">
        <f>E915-F915</f>
        <v/>
      </c>
    </row>
    <row r="916" ht="14.25" customHeight="1">
      <c r="A916" s="1936" t="inlineStr">
        <is>
          <t>14/10/2022</t>
        </is>
      </c>
      <c r="B916" s="1563" t="n">
        <v>6815</v>
      </c>
      <c r="C916" s="1938" t="inlineStr">
        <is>
          <t>194</t>
        </is>
      </c>
      <c r="D916" s="1921">
        <f>B916/B917-1</f>
        <v/>
      </c>
      <c r="E916" s="1921">
        <f>C916/C917-1</f>
        <v/>
      </c>
      <c r="F916" s="1921">
        <f>$L$2/365</f>
        <v/>
      </c>
      <c r="G916" s="1921">
        <f>D916-F916</f>
        <v/>
      </c>
      <c r="H916" s="1921">
        <f>E916-F916</f>
        <v/>
      </c>
    </row>
    <row r="917" ht="14.25" customHeight="1">
      <c r="A917" s="1933" t="inlineStr">
        <is>
          <t>13/10/2022</t>
        </is>
      </c>
      <c r="B917" s="1563" t="n">
        <v>6881</v>
      </c>
      <c r="C917" s="1939" t="inlineStr">
        <is>
          <t>202</t>
        </is>
      </c>
      <c r="D917" s="1921">
        <f>B917/B918-1</f>
        <v/>
      </c>
      <c r="E917" s="1921">
        <f>C917/C918-1</f>
        <v/>
      </c>
      <c r="F917" s="1921">
        <f>$L$2/365</f>
        <v/>
      </c>
      <c r="G917" s="1921">
        <f>D917-F917</f>
        <v/>
      </c>
      <c r="H917" s="1921">
        <f>E917-F917</f>
        <v/>
      </c>
    </row>
    <row r="918" ht="14.25" customHeight="1">
      <c r="A918" s="1936" t="inlineStr">
        <is>
          <t>12/10/2022</t>
        </is>
      </c>
      <c r="B918" s="1563" t="n">
        <v>6909</v>
      </c>
      <c r="C918" s="1938" t="inlineStr">
        <is>
          <t>212</t>
        </is>
      </c>
      <c r="D918" s="1921">
        <f>B918/B919-1</f>
        <v/>
      </c>
      <c r="E918" s="1921">
        <f>C918/C919-1</f>
        <v/>
      </c>
      <c r="F918" s="1921">
        <f>$L$2/365</f>
        <v/>
      </c>
      <c r="G918" s="1921">
        <f>D918-F918</f>
        <v/>
      </c>
      <c r="H918" s="1921">
        <f>E918-F918</f>
        <v/>
      </c>
    </row>
    <row r="919" ht="14.25" customHeight="1">
      <c r="A919" s="1933" t="inlineStr">
        <is>
          <t>11/10/2022</t>
        </is>
      </c>
      <c r="B919" s="1563" t="n">
        <v>6939</v>
      </c>
      <c r="C919" s="1939" t="inlineStr">
        <is>
          <t>220</t>
        </is>
      </c>
      <c r="D919" s="1921">
        <f>B919/B920-1</f>
        <v/>
      </c>
      <c r="E919" s="1921">
        <f>C919/C920-1</f>
        <v/>
      </c>
      <c r="F919" s="1921">
        <f>$L$2/365</f>
        <v/>
      </c>
      <c r="G919" s="1921">
        <f>D919-F919</f>
        <v/>
      </c>
      <c r="H919" s="1921">
        <f>E919-F919</f>
        <v/>
      </c>
    </row>
    <row r="920" ht="14.25" customHeight="1">
      <c r="A920" s="1936" t="inlineStr">
        <is>
          <t>10/10/2022</t>
        </is>
      </c>
      <c r="B920" s="1563" t="n">
        <v>6994</v>
      </c>
      <c r="C920" s="1938" t="inlineStr">
        <is>
          <t>224</t>
        </is>
      </c>
      <c r="D920" s="1921">
        <f>B920/B921-1</f>
        <v/>
      </c>
      <c r="E920" s="1921">
        <f>C920/C921-1</f>
        <v/>
      </c>
      <c r="F920" s="1921">
        <f>$L$2/365</f>
        <v/>
      </c>
      <c r="G920" s="1921">
        <f>D920-F920</f>
        <v/>
      </c>
      <c r="H920" s="1921">
        <f>E920-F920</f>
        <v/>
      </c>
    </row>
    <row r="921" ht="14.25" customHeight="1">
      <c r="A921" s="1933" t="inlineStr">
        <is>
          <t>07/10/2022</t>
        </is>
      </c>
      <c r="B921" s="1563" t="n">
        <v>7027</v>
      </c>
      <c r="C921" s="1939" t="inlineStr">
        <is>
          <t>224</t>
        </is>
      </c>
      <c r="D921" s="1921">
        <f>B921/B922-1</f>
        <v/>
      </c>
      <c r="E921" s="1921">
        <f>C921/C922-1</f>
        <v/>
      </c>
      <c r="F921" s="1921">
        <f>$L$2/365</f>
        <v/>
      </c>
      <c r="G921" s="1921">
        <f>D921-F921</f>
        <v/>
      </c>
      <c r="H921" s="1921">
        <f>E921-F921</f>
        <v/>
      </c>
    </row>
    <row r="922" ht="14.25" customHeight="1">
      <c r="A922" s="1936" t="inlineStr">
        <is>
          <t>06/10/2022</t>
        </is>
      </c>
      <c r="B922" s="1563" t="n">
        <v>7077</v>
      </c>
      <c r="C922" s="1938" t="inlineStr">
        <is>
          <t>226</t>
        </is>
      </c>
      <c r="D922" s="1921">
        <f>B922/B923-1</f>
        <v/>
      </c>
      <c r="E922" s="1921">
        <f>C922/C923-1</f>
        <v/>
      </c>
      <c r="F922" s="1921">
        <f>$L$2/365</f>
        <v/>
      </c>
      <c r="G922" s="1921">
        <f>D922-F922</f>
        <v/>
      </c>
      <c r="H922" s="1921">
        <f>E922-F922</f>
        <v/>
      </c>
    </row>
    <row r="923" ht="14.25" customHeight="1">
      <c r="A923" s="1933" t="inlineStr">
        <is>
          <t>05/10/2022</t>
        </is>
      </c>
      <c r="B923" s="1563" t="n">
        <v>7075</v>
      </c>
      <c r="C923" s="1939" t="inlineStr">
        <is>
          <t>232</t>
        </is>
      </c>
      <c r="D923" s="1921">
        <f>B923/B924-1</f>
        <v/>
      </c>
      <c r="E923" s="1921">
        <f>C923/C924-1</f>
        <v/>
      </c>
      <c r="F923" s="1921">
        <f>$L$2/365</f>
        <v/>
      </c>
      <c r="G923" s="1921">
        <f>D923-F923</f>
        <v/>
      </c>
      <c r="H923" s="1921">
        <f>E923-F923</f>
        <v/>
      </c>
    </row>
    <row r="924" ht="14.25" customHeight="1">
      <c r="A924" s="1936" t="inlineStr">
        <is>
          <t>04/10/2022</t>
        </is>
      </c>
      <c r="B924" s="1563" t="n">
        <v>7072</v>
      </c>
      <c r="C924" s="1938" t="inlineStr">
        <is>
          <t>226</t>
        </is>
      </c>
      <c r="D924" s="1921">
        <f>B924/B925-1</f>
        <v/>
      </c>
      <c r="E924" s="1921">
        <f>C924/C925-1</f>
        <v/>
      </c>
      <c r="F924" s="1921">
        <f>$L$2/365</f>
        <v/>
      </c>
      <c r="G924" s="1921">
        <f>D924-F924</f>
        <v/>
      </c>
      <c r="H924" s="1921">
        <f>E924-F924</f>
        <v/>
      </c>
    </row>
    <row r="925" ht="14.25" customHeight="1">
      <c r="A925" s="1933" t="inlineStr">
        <is>
          <t>03/10/2022</t>
        </is>
      </c>
      <c r="B925" s="1563" t="n">
        <v>7010</v>
      </c>
      <c r="C925" s="1939" t="inlineStr">
        <is>
          <t>226</t>
        </is>
      </c>
      <c r="D925" s="1921">
        <f>B925/B926-1</f>
        <v/>
      </c>
      <c r="E925" s="1921">
        <f>C925/C926-1</f>
        <v/>
      </c>
      <c r="F925" s="1921">
        <f>$L$2/365</f>
        <v/>
      </c>
      <c r="G925" s="1921">
        <f>D925-F925</f>
        <v/>
      </c>
      <c r="H925" s="1921">
        <f>E925-F925</f>
        <v/>
      </c>
    </row>
    <row r="926" ht="14.25" customHeight="1">
      <c r="A926" s="1936" t="inlineStr">
        <is>
          <t>30/09/2022</t>
        </is>
      </c>
      <c r="B926" s="1563" t="n">
        <v>7041</v>
      </c>
      <c r="C926" s="1938" t="inlineStr">
        <is>
          <t>224</t>
        </is>
      </c>
      <c r="D926" s="1921">
        <f>B926/B927-1</f>
        <v/>
      </c>
      <c r="E926" s="1921">
        <f>C926/C927-1</f>
        <v/>
      </c>
      <c r="F926" s="1921">
        <f>$L$2/365</f>
        <v/>
      </c>
      <c r="G926" s="1921">
        <f>D926-F926</f>
        <v/>
      </c>
      <c r="H926" s="1921">
        <f>E926-F926</f>
        <v/>
      </c>
    </row>
    <row r="927" ht="14.25" customHeight="1">
      <c r="A927" s="1933" t="inlineStr">
        <is>
          <t>29/09/2022</t>
        </is>
      </c>
      <c r="B927" s="1563" t="n">
        <v>7036</v>
      </c>
      <c r="C927" s="1939" t="inlineStr">
        <is>
          <t>226</t>
        </is>
      </c>
      <c r="D927" s="1921">
        <f>B927/B928-1</f>
        <v/>
      </c>
      <c r="E927" s="1921">
        <f>C927/C928-1</f>
        <v/>
      </c>
      <c r="F927" s="1921">
        <f>$L$2/365</f>
        <v/>
      </c>
      <c r="G927" s="1921">
        <f>D927-F927</f>
        <v/>
      </c>
      <c r="H927" s="1921">
        <f>E927-F927</f>
        <v/>
      </c>
    </row>
    <row r="928" ht="14.25" customHeight="1">
      <c r="A928" s="1936" t="inlineStr">
        <is>
          <t>28/09/2022</t>
        </is>
      </c>
      <c r="B928" s="1563" t="n">
        <v>7077</v>
      </c>
      <c r="C928" s="1938" t="inlineStr">
        <is>
          <t>228</t>
        </is>
      </c>
      <c r="D928" s="1921">
        <f>B928/B929-1</f>
        <v/>
      </c>
      <c r="E928" s="1921">
        <f>C928/C929-1</f>
        <v/>
      </c>
      <c r="F928" s="1921">
        <f>$L$2/365</f>
        <v/>
      </c>
      <c r="G928" s="1921">
        <f>D928-F928</f>
        <v/>
      </c>
      <c r="H928" s="1921">
        <f>E928-F928</f>
        <v/>
      </c>
    </row>
    <row r="929" ht="14.25" customHeight="1">
      <c r="A929" s="1933" t="inlineStr">
        <is>
          <t>27/09/2022</t>
        </is>
      </c>
      <c r="B929" s="1563" t="n">
        <v>7112</v>
      </c>
      <c r="C929" s="1939" t="inlineStr">
        <is>
          <t>226</t>
        </is>
      </c>
      <c r="D929" s="1921">
        <f>B929/B930-1</f>
        <v/>
      </c>
      <c r="E929" s="1921">
        <f>C929/C930-1</f>
        <v/>
      </c>
      <c r="F929" s="1921">
        <f>$L$2/365</f>
        <v/>
      </c>
      <c r="G929" s="1921">
        <f>D929-F929</f>
        <v/>
      </c>
      <c r="H929" s="1921">
        <f>E929-F929</f>
        <v/>
      </c>
    </row>
    <row r="930" ht="14.25" customHeight="1">
      <c r="A930" s="1936" t="inlineStr">
        <is>
          <t>26/09/2022</t>
        </is>
      </c>
      <c r="B930" s="1563" t="n">
        <v>7128</v>
      </c>
      <c r="C930" s="1938" t="inlineStr">
        <is>
          <t>224</t>
        </is>
      </c>
      <c r="D930" s="1921">
        <f>B930/B931-1</f>
        <v/>
      </c>
      <c r="E930" s="1921">
        <f>C930/C931-1</f>
        <v/>
      </c>
      <c r="F930" s="1921">
        <f>$L$2/365</f>
        <v/>
      </c>
      <c r="G930" s="1921">
        <f>D930-F930</f>
        <v/>
      </c>
      <c r="H930" s="1921">
        <f>E930-F930</f>
        <v/>
      </c>
    </row>
    <row r="931" ht="14.25" customHeight="1">
      <c r="A931" s="1933" t="inlineStr">
        <is>
          <t>23/09/2022</t>
        </is>
      </c>
      <c r="B931" s="1563" t="n">
        <v>7179</v>
      </c>
      <c r="C931" s="1939" t="inlineStr">
        <is>
          <t>232</t>
        </is>
      </c>
      <c r="D931" s="1921">
        <f>B931/B932-1</f>
        <v/>
      </c>
      <c r="E931" s="1921">
        <f>C931/C932-1</f>
        <v/>
      </c>
      <c r="F931" s="1921">
        <f>$L$2/365</f>
        <v/>
      </c>
      <c r="G931" s="1921">
        <f>D931-F931</f>
        <v/>
      </c>
      <c r="H931" s="1921">
        <f>E931-F931</f>
        <v/>
      </c>
    </row>
    <row r="932" ht="14.25" customHeight="1">
      <c r="A932" s="1936" t="inlineStr">
        <is>
          <t>22/09/2022</t>
        </is>
      </c>
      <c r="B932" s="1563" t="n">
        <v>7219</v>
      </c>
      <c r="C932" s="1938" t="inlineStr">
        <is>
          <t>230</t>
        </is>
      </c>
      <c r="D932" s="1921">
        <f>B932/B933-1</f>
        <v/>
      </c>
      <c r="E932" s="1921">
        <f>C932/C933-1</f>
        <v/>
      </c>
      <c r="F932" s="1921">
        <f>$L$2/365</f>
        <v/>
      </c>
      <c r="G932" s="1921">
        <f>D932-F932</f>
        <v/>
      </c>
      <c r="H932" s="1921">
        <f>E932-F932</f>
        <v/>
      </c>
    </row>
    <row r="933" ht="14.25" customHeight="1">
      <c r="A933" s="1933" t="inlineStr">
        <is>
          <t>21/09/2022</t>
        </is>
      </c>
      <c r="B933" s="1563" t="n">
        <v>7188</v>
      </c>
      <c r="C933" s="1939" t="inlineStr">
        <is>
          <t>226</t>
        </is>
      </c>
      <c r="D933" s="1921">
        <f>B933/B934-1</f>
        <v/>
      </c>
      <c r="E933" s="1921">
        <f>C933/C934-1</f>
        <v/>
      </c>
      <c r="F933" s="1921">
        <f>$L$2/365</f>
        <v/>
      </c>
      <c r="G933" s="1921">
        <f>D933-F933</f>
        <v/>
      </c>
      <c r="H933" s="1921">
        <f>E933-F933</f>
        <v/>
      </c>
    </row>
    <row r="934" ht="14.25" customHeight="1">
      <c r="A934" s="1936" t="inlineStr">
        <is>
          <t>20/09/2022</t>
        </is>
      </c>
      <c r="B934" s="1563" t="n">
        <v>7197</v>
      </c>
      <c r="C934" s="1938" t="inlineStr">
        <is>
          <t>232</t>
        </is>
      </c>
      <c r="D934" s="1921">
        <f>B934/B935-1</f>
        <v/>
      </c>
      <c r="E934" s="1921">
        <f>C934/C935-1</f>
        <v/>
      </c>
      <c r="F934" s="1921">
        <f>$L$2/365</f>
        <v/>
      </c>
      <c r="G934" s="1921">
        <f>D934-F934</f>
        <v/>
      </c>
      <c r="H934" s="1921">
        <f>E934-F934</f>
        <v/>
      </c>
    </row>
    <row r="935" ht="14.25" customHeight="1">
      <c r="A935" s="1933" t="inlineStr">
        <is>
          <t>19/09/2022</t>
        </is>
      </c>
      <c r="B935" s="1563" t="n">
        <v>7195</v>
      </c>
      <c r="C935" s="1939" t="inlineStr">
        <is>
          <t>238</t>
        </is>
      </c>
      <c r="D935" s="1921">
        <f>B935/B936-1</f>
        <v/>
      </c>
      <c r="E935" s="1921">
        <f>C935/C936-1</f>
        <v/>
      </c>
      <c r="F935" s="1921">
        <f>$L$2/365</f>
        <v/>
      </c>
      <c r="G935" s="1921">
        <f>D935-F935</f>
        <v/>
      </c>
      <c r="H935" s="1921">
        <f>E935-F935</f>
        <v/>
      </c>
    </row>
    <row r="936" ht="14.25" customHeight="1">
      <c r="A936" s="1936" t="inlineStr">
        <is>
          <t>16/09/2022</t>
        </is>
      </c>
      <c r="B936" s="1563" t="n">
        <v>7169</v>
      </c>
      <c r="C936" s="1938" t="inlineStr">
        <is>
          <t>234</t>
        </is>
      </c>
      <c r="D936" s="1921">
        <f>B936/B937-1</f>
        <v/>
      </c>
      <c r="E936" s="1921">
        <f>C936/C937-1</f>
        <v/>
      </c>
      <c r="F936" s="1921">
        <f>$L$2/365</f>
        <v/>
      </c>
      <c r="G936" s="1921">
        <f>D936-F936</f>
        <v/>
      </c>
      <c r="H936" s="1921">
        <f>E936-F936</f>
        <v/>
      </c>
    </row>
    <row r="937" ht="14.25" customHeight="1">
      <c r="A937" s="1933" t="inlineStr">
        <is>
          <t>15/09/2022</t>
        </is>
      </c>
      <c r="B937" s="1563" t="n">
        <v>7306</v>
      </c>
      <c r="C937" s="1939" t="inlineStr">
        <is>
          <t>236</t>
        </is>
      </c>
      <c r="D937" s="1921">
        <f>B937/B938-1</f>
        <v/>
      </c>
      <c r="E937" s="1921">
        <f>C937/C938-1</f>
        <v/>
      </c>
      <c r="F937" s="1921">
        <f>$L$2/365</f>
        <v/>
      </c>
      <c r="G937" s="1921">
        <f>D937-F937</f>
        <v/>
      </c>
      <c r="H937" s="1921">
        <f>E937-F937</f>
        <v/>
      </c>
    </row>
    <row r="938" ht="14.25" customHeight="1">
      <c r="A938" s="1936" t="inlineStr">
        <is>
          <t>14/09/2022</t>
        </is>
      </c>
      <c r="B938" s="1563" t="n">
        <v>7278</v>
      </c>
      <c r="C938" s="1938" t="inlineStr">
        <is>
          <t>236</t>
        </is>
      </c>
      <c r="D938" s="1921">
        <f>B938/B939-1</f>
        <v/>
      </c>
      <c r="E938" s="1921">
        <f>C938/C939-1</f>
        <v/>
      </c>
      <c r="F938" s="1921">
        <f>$L$2/365</f>
        <v/>
      </c>
      <c r="G938" s="1921">
        <f>D938-F938</f>
        <v/>
      </c>
      <c r="H938" s="1921">
        <f>E938-F938</f>
        <v/>
      </c>
    </row>
    <row r="939" ht="14.25" customHeight="1">
      <c r="A939" s="1933" t="inlineStr">
        <is>
          <t>13/09/2022</t>
        </is>
      </c>
      <c r="B939" s="1563" t="n">
        <v>7318</v>
      </c>
      <c r="C939" s="1939" t="inlineStr">
        <is>
          <t>238</t>
        </is>
      </c>
      <c r="D939" s="1921">
        <f>B939/B940-1</f>
        <v/>
      </c>
      <c r="E939" s="1921">
        <f>C939/C940-1</f>
        <v/>
      </c>
      <c r="F939" s="1921">
        <f>$L$2/365</f>
        <v/>
      </c>
      <c r="G939" s="1921">
        <f>D939-F939</f>
        <v/>
      </c>
      <c r="H939" s="1921">
        <f>E939-F939</f>
        <v/>
      </c>
    </row>
    <row r="940" ht="14.25" customHeight="1">
      <c r="A940" s="1936" t="inlineStr">
        <is>
          <t>12/09/2022</t>
        </is>
      </c>
      <c r="B940" s="1563" t="n">
        <v>7254</v>
      </c>
      <c r="C940" s="1938" t="inlineStr">
        <is>
          <t>236</t>
        </is>
      </c>
      <c r="D940" s="1921">
        <f>B940/B941-1</f>
        <v/>
      </c>
      <c r="E940" s="1921">
        <f>C940/C941-1</f>
        <v/>
      </c>
      <c r="F940" s="1921">
        <f>$L$2/365</f>
        <v/>
      </c>
      <c r="G940" s="1921">
        <f>D940-F940</f>
        <v/>
      </c>
      <c r="H940" s="1921">
        <f>E940-F940</f>
        <v/>
      </c>
    </row>
    <row r="941" ht="14.25" customHeight="1">
      <c r="A941" s="1933" t="inlineStr">
        <is>
          <t>09/09/2022</t>
        </is>
      </c>
      <c r="B941" s="1563" t="n">
        <v>7243</v>
      </c>
      <c r="C941" s="1939" t="inlineStr">
        <is>
          <t>240</t>
        </is>
      </c>
      <c r="D941" s="1921">
        <f>B941/B942-1</f>
        <v/>
      </c>
      <c r="E941" s="1921">
        <f>C941/C942-1</f>
        <v/>
      </c>
      <c r="F941" s="1921">
        <f>$L$2/365</f>
        <v/>
      </c>
      <c r="G941" s="1921">
        <f>D941-F941</f>
        <v/>
      </c>
      <c r="H941" s="1921">
        <f>E941-F941</f>
        <v/>
      </c>
    </row>
    <row r="942" ht="14.25" customHeight="1">
      <c r="A942" s="1936" t="inlineStr">
        <is>
          <t>08/09/2022</t>
        </is>
      </c>
      <c r="B942" s="1563" t="n">
        <v>7232</v>
      </c>
      <c r="C942" s="1938" t="inlineStr">
        <is>
          <t>242</t>
        </is>
      </c>
      <c r="D942" s="1921">
        <f>B942/B943-1</f>
        <v/>
      </c>
      <c r="E942" s="1921">
        <f>C942/C943-1</f>
        <v/>
      </c>
      <c r="F942" s="1921">
        <f>$L$2/365</f>
        <v/>
      </c>
      <c r="G942" s="1921">
        <f>D942-F942</f>
        <v/>
      </c>
      <c r="H942" s="1921">
        <f>E942-F942</f>
        <v/>
      </c>
    </row>
    <row r="943" ht="14.25" customHeight="1">
      <c r="A943" s="1933" t="inlineStr">
        <is>
          <t>07/09/2022</t>
        </is>
      </c>
      <c r="B943" s="1563" t="n">
        <v>7187</v>
      </c>
      <c r="C943" s="1939" t="inlineStr">
        <is>
          <t>244</t>
        </is>
      </c>
      <c r="D943" s="1921">
        <f>B943/B944-1</f>
        <v/>
      </c>
      <c r="E943" s="1921">
        <f>C943/C944-1</f>
        <v/>
      </c>
      <c r="F943" s="1921">
        <f>$L$2/365</f>
        <v/>
      </c>
      <c r="G943" s="1921">
        <f>D943-F943</f>
        <v/>
      </c>
      <c r="H943" s="1921">
        <f>E943-F943</f>
        <v/>
      </c>
    </row>
    <row r="944" ht="14.25" customHeight="1">
      <c r="A944" s="1936" t="inlineStr">
        <is>
          <t>06/09/2022</t>
        </is>
      </c>
      <c r="B944" s="1563" t="n">
        <v>7233</v>
      </c>
      <c r="C944" s="1938" t="inlineStr">
        <is>
          <t>242</t>
        </is>
      </c>
      <c r="D944" s="1921">
        <f>B944/B945-1</f>
        <v/>
      </c>
      <c r="E944" s="1921">
        <f>C944/C945-1</f>
        <v/>
      </c>
      <c r="F944" s="1921">
        <f>$L$2/365</f>
        <v/>
      </c>
      <c r="G944" s="1921">
        <f>D944-F944</f>
        <v/>
      </c>
      <c r="H944" s="1921">
        <f>E944-F944</f>
        <v/>
      </c>
    </row>
    <row r="945" ht="14.25" customHeight="1">
      <c r="A945" s="1933" t="inlineStr">
        <is>
          <t>05/09/2022</t>
        </is>
      </c>
      <c r="B945" s="1563" t="n">
        <v>7232</v>
      </c>
      <c r="C945" s="1939" t="inlineStr">
        <is>
          <t>244</t>
        </is>
      </c>
      <c r="D945" s="1921">
        <f>B945/B946-1</f>
        <v/>
      </c>
      <c r="E945" s="1921">
        <f>C945/C946-1</f>
        <v/>
      </c>
      <c r="F945" s="1921">
        <f>$L$2/365</f>
        <v/>
      </c>
      <c r="G945" s="1921">
        <f>D945-F945</f>
        <v/>
      </c>
      <c r="H945" s="1921">
        <f>E945-F945</f>
        <v/>
      </c>
    </row>
    <row r="946" ht="14.25" customHeight="1">
      <c r="A946" s="1936" t="inlineStr">
        <is>
          <t>02/09/2022</t>
        </is>
      </c>
      <c r="B946" s="1563" t="n">
        <v>7177</v>
      </c>
      <c r="C946" s="1938" t="inlineStr">
        <is>
          <t>242</t>
        </is>
      </c>
      <c r="D946" s="1921">
        <f>B946/B947-1</f>
        <v/>
      </c>
      <c r="E946" s="1921">
        <f>C946/C947-1</f>
        <v/>
      </c>
      <c r="F946" s="1921">
        <f>$L$2/365</f>
        <v/>
      </c>
      <c r="G946" s="1921">
        <f>D946-F946</f>
        <v/>
      </c>
      <c r="H946" s="1921">
        <f>E946-F946</f>
        <v/>
      </c>
    </row>
    <row r="947" ht="14.25" customHeight="1">
      <c r="A947" s="1933" t="inlineStr">
        <is>
          <t>01/09/2022</t>
        </is>
      </c>
      <c r="B947" s="1563" t="n">
        <v>7153</v>
      </c>
      <c r="C947" s="1939" t="inlineStr">
        <is>
          <t>246</t>
        </is>
      </c>
      <c r="D947" s="1921">
        <f>B947/B948-1</f>
        <v/>
      </c>
      <c r="E947" s="1921">
        <f>C947/C948-1</f>
        <v/>
      </c>
      <c r="F947" s="1921">
        <f>$L$2/365</f>
        <v/>
      </c>
      <c r="G947" s="1921">
        <f>D947-F947</f>
        <v/>
      </c>
      <c r="H947" s="1921">
        <f>E947-F947</f>
        <v/>
      </c>
    </row>
    <row r="948" ht="14.25" customHeight="1">
      <c r="A948" s="1936" t="inlineStr">
        <is>
          <t>31/08/2022</t>
        </is>
      </c>
      <c r="B948" s="1563" t="n">
        <v>7179</v>
      </c>
      <c r="C948" s="1938" t="inlineStr">
        <is>
          <t>244</t>
        </is>
      </c>
      <c r="D948" s="1921">
        <f>B948/B949-1</f>
        <v/>
      </c>
      <c r="E948" s="1921">
        <f>C948/C949-1</f>
        <v/>
      </c>
      <c r="F948" s="1921">
        <f>$L$2/365</f>
        <v/>
      </c>
      <c r="G948" s="1921">
        <f>D948-F948</f>
        <v/>
      </c>
      <c r="H948" s="1921">
        <f>E948-F948</f>
        <v/>
      </c>
    </row>
    <row r="949" ht="14.25" customHeight="1">
      <c r="A949" s="1933" t="inlineStr">
        <is>
          <t>30/08/2022</t>
        </is>
      </c>
      <c r="B949" s="1563" t="n">
        <v>7159</v>
      </c>
      <c r="C949" s="1939" t="inlineStr">
        <is>
          <t>244</t>
        </is>
      </c>
      <c r="D949" s="1921">
        <f>B949/B950-1</f>
        <v/>
      </c>
      <c r="E949" s="1921">
        <f>C949/C950-1</f>
        <v/>
      </c>
      <c r="F949" s="1921">
        <f>$L$2/365</f>
        <v/>
      </c>
      <c r="G949" s="1921">
        <f>D949-F949</f>
        <v/>
      </c>
      <c r="H949" s="1921">
        <f>E949-F949</f>
        <v/>
      </c>
    </row>
    <row r="950" ht="14.25" customHeight="1">
      <c r="A950" s="1936" t="inlineStr">
        <is>
          <t>29/08/2022</t>
        </is>
      </c>
      <c r="B950" s="1563" t="n">
        <v>7132</v>
      </c>
      <c r="C950" s="1938" t="inlineStr">
        <is>
          <t>248</t>
        </is>
      </c>
      <c r="D950" s="1921">
        <f>B950/B951-1</f>
        <v/>
      </c>
      <c r="E950" s="1921">
        <f>C950/C951-1</f>
        <v/>
      </c>
      <c r="F950" s="1921">
        <f>$L$2/365</f>
        <v/>
      </c>
      <c r="G950" s="1921">
        <f>D950-F950</f>
        <v/>
      </c>
      <c r="H950" s="1921">
        <f>E950-F950</f>
        <v/>
      </c>
    </row>
    <row r="951" ht="14.25" customHeight="1">
      <c r="A951" s="1933" t="inlineStr">
        <is>
          <t>26/08/2022</t>
        </is>
      </c>
      <c r="B951" s="1563" t="n">
        <v>7135</v>
      </c>
      <c r="C951" s="1939" t="inlineStr">
        <is>
          <t>258</t>
        </is>
      </c>
      <c r="D951" s="1921">
        <f>B951/B952-1</f>
        <v/>
      </c>
      <c r="E951" s="1921">
        <f>C951/C952-1</f>
        <v/>
      </c>
      <c r="F951" s="1921">
        <f>$L$2/365</f>
        <v/>
      </c>
      <c r="G951" s="1921">
        <f>D951-F951</f>
        <v/>
      </c>
      <c r="H951" s="1921">
        <f>E951-F951</f>
        <v/>
      </c>
    </row>
    <row r="952" ht="14.25" customHeight="1">
      <c r="A952" s="1936" t="inlineStr">
        <is>
          <t>25/08/2022</t>
        </is>
      </c>
      <c r="B952" s="1563" t="n">
        <v>7174</v>
      </c>
      <c r="C952" s="1938" t="inlineStr">
        <is>
          <t>272</t>
        </is>
      </c>
      <c r="D952" s="1921">
        <f>B952/B953-1</f>
        <v/>
      </c>
      <c r="E952" s="1921">
        <f>C952/C953-1</f>
        <v/>
      </c>
      <c r="F952" s="1921">
        <f>$L$2/365</f>
        <v/>
      </c>
      <c r="G952" s="1921">
        <f>D952-F952</f>
        <v/>
      </c>
      <c r="H952" s="1921">
        <f>E952-F952</f>
        <v/>
      </c>
    </row>
    <row r="953" ht="14.25" customHeight="1">
      <c r="A953" s="1933" t="inlineStr">
        <is>
          <t>24/08/2022</t>
        </is>
      </c>
      <c r="B953" s="1563" t="n">
        <v>7195</v>
      </c>
      <c r="C953" s="1939" t="inlineStr">
        <is>
          <t>274</t>
        </is>
      </c>
      <c r="D953" s="1921">
        <f>B953/B954-1</f>
        <v/>
      </c>
      <c r="E953" s="1921">
        <f>C953/C954-1</f>
        <v/>
      </c>
      <c r="F953" s="1921">
        <f>$L$2/365</f>
        <v/>
      </c>
      <c r="G953" s="1921">
        <f>D953-F953</f>
        <v/>
      </c>
      <c r="H953" s="1921">
        <f>E953-F953</f>
        <v/>
      </c>
    </row>
    <row r="954" ht="14.25" customHeight="1">
      <c r="A954" s="1936" t="inlineStr">
        <is>
          <t>23/08/2022</t>
        </is>
      </c>
      <c r="B954" s="1563" t="n">
        <v>7163</v>
      </c>
      <c r="C954" s="1938" t="inlineStr">
        <is>
          <t>284</t>
        </is>
      </c>
      <c r="D954" s="1921">
        <f>B954/B955-1</f>
        <v/>
      </c>
      <c r="E954" s="1921">
        <f>C954/C955-1</f>
        <v/>
      </c>
      <c r="F954" s="1921">
        <f>$L$2/365</f>
        <v/>
      </c>
      <c r="G954" s="1921">
        <f>D954-F954</f>
        <v/>
      </c>
      <c r="H954" s="1921">
        <f>E954-F954</f>
        <v/>
      </c>
    </row>
    <row r="955" ht="14.25" customHeight="1">
      <c r="A955" s="1933" t="inlineStr">
        <is>
          <t>22/08/2022</t>
        </is>
      </c>
      <c r="B955" s="1563" t="n">
        <v>7108</v>
      </c>
      <c r="C955" s="1939" t="inlineStr">
        <is>
          <t>288</t>
        </is>
      </c>
      <c r="D955" s="1921">
        <f>B955/B956-1</f>
        <v/>
      </c>
      <c r="E955" s="1921">
        <f>C955/C956-1</f>
        <v/>
      </c>
      <c r="F955" s="1921">
        <f>$L$2/365</f>
        <v/>
      </c>
      <c r="G955" s="1921">
        <f>D955-F955</f>
        <v/>
      </c>
      <c r="H955" s="1921">
        <f>E955-F955</f>
        <v/>
      </c>
    </row>
    <row r="956" ht="14.25" customHeight="1">
      <c r="A956" s="1936" t="inlineStr">
        <is>
          <t>19/08/2022</t>
        </is>
      </c>
      <c r="B956" s="1563" t="n">
        <v>7172</v>
      </c>
      <c r="C956" s="1938" t="inlineStr">
        <is>
          <t>262</t>
        </is>
      </c>
      <c r="D956" s="1921">
        <f>B956/B957-1</f>
        <v/>
      </c>
      <c r="E956" s="1921">
        <f>C956/C957-1</f>
        <v/>
      </c>
      <c r="F956" s="1921">
        <f>$L$2/365</f>
        <v/>
      </c>
      <c r="G956" s="1921">
        <f>D956-F956</f>
        <v/>
      </c>
      <c r="H956" s="1921">
        <f>E956-F956</f>
        <v/>
      </c>
    </row>
    <row r="957" ht="14.25" customHeight="1">
      <c r="A957" s="1933" t="inlineStr">
        <is>
          <t>18/08/2022</t>
        </is>
      </c>
      <c r="B957" s="1563" t="n">
        <v>7187</v>
      </c>
      <c r="C957" s="1939" t="inlineStr">
        <is>
          <t>262</t>
        </is>
      </c>
      <c r="D957" s="1921">
        <f>B957/B958-1</f>
        <v/>
      </c>
      <c r="E957" s="1921">
        <f>C957/C958-1</f>
        <v/>
      </c>
      <c r="F957" s="1921">
        <f>$L$2/365</f>
        <v/>
      </c>
      <c r="G957" s="1921">
        <f>D957-F957</f>
        <v/>
      </c>
      <c r="H957" s="1921">
        <f>E957-F957</f>
        <v/>
      </c>
    </row>
    <row r="958" ht="14.25" customHeight="1">
      <c r="A958" s="1936" t="inlineStr">
        <is>
          <t>16/08/2022</t>
        </is>
      </c>
      <c r="B958" s="1563" t="n">
        <v>7133</v>
      </c>
      <c r="C958" s="1938" t="inlineStr">
        <is>
          <t>260</t>
        </is>
      </c>
      <c r="D958" s="1921">
        <f>B958/B959-1</f>
        <v/>
      </c>
      <c r="E958" s="1921">
        <f>C958/C959-1</f>
        <v/>
      </c>
      <c r="F958" s="1921">
        <f>$L$2/365</f>
        <v/>
      </c>
      <c r="G958" s="1921">
        <f>D958-F958</f>
        <v/>
      </c>
      <c r="H958" s="1921">
        <f>E958-F958</f>
        <v/>
      </c>
    </row>
    <row r="959" ht="14.25" customHeight="1">
      <c r="A959" s="1933" t="inlineStr">
        <is>
          <t>15/08/2022</t>
        </is>
      </c>
      <c r="B959" s="1563" t="n">
        <v>7093</v>
      </c>
      <c r="C959" s="1939" t="inlineStr">
        <is>
          <t>260</t>
        </is>
      </c>
      <c r="D959" s="1921">
        <f>B959/B960-1</f>
        <v/>
      </c>
      <c r="E959" s="1921">
        <f>C959/C960-1</f>
        <v/>
      </c>
      <c r="F959" s="1921">
        <f>$L$2/365</f>
        <v/>
      </c>
      <c r="G959" s="1921">
        <f>D959-F959</f>
        <v/>
      </c>
      <c r="H959" s="1921">
        <f>E959-F959</f>
        <v/>
      </c>
    </row>
    <row r="960" ht="14.25" customHeight="1">
      <c r="A960" s="1936" t="inlineStr">
        <is>
          <t>12/08/2022</t>
        </is>
      </c>
      <c r="B960" s="1563" t="n">
        <v>7129</v>
      </c>
      <c r="C960" s="1938" t="inlineStr">
        <is>
          <t>256</t>
        </is>
      </c>
      <c r="D960" s="1921">
        <f>B960/B961-1</f>
        <v/>
      </c>
      <c r="E960" s="1921">
        <f>C960/C961-1</f>
        <v/>
      </c>
      <c r="F960" s="1921">
        <f>$L$2/365</f>
        <v/>
      </c>
      <c r="G960" s="1921">
        <f>D960-F960</f>
        <v/>
      </c>
      <c r="H960" s="1921">
        <f>E960-F960</f>
        <v/>
      </c>
    </row>
    <row r="961" ht="14.25" customHeight="1">
      <c r="A961" s="1933" t="inlineStr">
        <is>
          <t>11/08/2022</t>
        </is>
      </c>
      <c r="B961" s="1563" t="n">
        <v>7160</v>
      </c>
      <c r="C961" s="1939" t="inlineStr">
        <is>
          <t>260</t>
        </is>
      </c>
      <c r="D961" s="1921">
        <f>B961/B962-1</f>
        <v/>
      </c>
      <c r="E961" s="1921">
        <f>C961/C962-1</f>
        <v/>
      </c>
      <c r="F961" s="1921">
        <f>$L$2/365</f>
        <v/>
      </c>
      <c r="G961" s="1921">
        <f>D961-F961</f>
        <v/>
      </c>
      <c r="H961" s="1921">
        <f>E961-F961</f>
        <v/>
      </c>
    </row>
    <row r="962" ht="14.25" customHeight="1">
      <c r="A962" s="1936" t="inlineStr">
        <is>
          <t>10/08/2022</t>
        </is>
      </c>
      <c r="B962" s="1563" t="n">
        <v>7086</v>
      </c>
      <c r="C962" s="1938" t="inlineStr">
        <is>
          <t>256</t>
        </is>
      </c>
      <c r="D962" s="1921">
        <f>B962/B963-1</f>
        <v/>
      </c>
      <c r="E962" s="1921">
        <f>C962/C963-1</f>
        <v/>
      </c>
      <c r="F962" s="1921">
        <f>$L$2/365</f>
        <v/>
      </c>
      <c r="G962" s="1921">
        <f>D962-F962</f>
        <v/>
      </c>
      <c r="H962" s="1921">
        <f>E962-F962</f>
        <v/>
      </c>
    </row>
    <row r="963" ht="14.25" customHeight="1">
      <c r="A963" s="1933" t="inlineStr">
        <is>
          <t>09/08/2022</t>
        </is>
      </c>
      <c r="B963" s="1563" t="n">
        <v>7103</v>
      </c>
      <c r="C963" s="1939" t="inlineStr">
        <is>
          <t>260</t>
        </is>
      </c>
      <c r="D963" s="1921">
        <f>B963/B964-1</f>
        <v/>
      </c>
      <c r="E963" s="1921">
        <f>C963/C964-1</f>
        <v/>
      </c>
      <c r="F963" s="1921">
        <f>$L$2/365</f>
        <v/>
      </c>
      <c r="G963" s="1921">
        <f>D963-F963</f>
        <v/>
      </c>
      <c r="H963" s="1921">
        <f>E963-F963</f>
        <v/>
      </c>
    </row>
    <row r="964" ht="14.25" customHeight="1">
      <c r="A964" s="1936" t="inlineStr">
        <is>
          <t>08/08/2022</t>
        </is>
      </c>
      <c r="B964" s="1563" t="n">
        <v>7087</v>
      </c>
      <c r="C964" s="1938" t="inlineStr">
        <is>
          <t>258</t>
        </is>
      </c>
      <c r="D964" s="1921">
        <f>B964/B965-1</f>
        <v/>
      </c>
      <c r="E964" s="1921">
        <f>C964/C965-1</f>
        <v/>
      </c>
      <c r="F964" s="1921">
        <f>$L$2/365</f>
        <v/>
      </c>
      <c r="G964" s="1921">
        <f>D964-F964</f>
        <v/>
      </c>
      <c r="H964" s="1921">
        <f>E964-F964</f>
        <v/>
      </c>
    </row>
    <row r="965" ht="14.25" customHeight="1">
      <c r="A965" s="1933" t="inlineStr">
        <is>
          <t>05/08/2022</t>
        </is>
      </c>
      <c r="B965" s="1563" t="n">
        <v>7085</v>
      </c>
      <c r="C965" s="1939" t="inlineStr">
        <is>
          <t>260</t>
        </is>
      </c>
      <c r="D965" s="1921">
        <f>B965/B966-1</f>
        <v/>
      </c>
      <c r="E965" s="1921">
        <f>C965/C966-1</f>
        <v/>
      </c>
      <c r="F965" s="1921">
        <f>$L$2/365</f>
        <v/>
      </c>
      <c r="G965" s="1921">
        <f>D965-F965</f>
        <v/>
      </c>
      <c r="H965" s="1921">
        <f>E965-F965</f>
        <v/>
      </c>
    </row>
    <row r="966" ht="14.25" customHeight="1">
      <c r="A966" s="1936" t="inlineStr">
        <is>
          <t>04/08/2022</t>
        </is>
      </c>
      <c r="B966" s="1563" t="n">
        <v>7057</v>
      </c>
      <c r="C966" s="1938" t="inlineStr">
        <is>
          <t>258</t>
        </is>
      </c>
      <c r="D966" s="1921">
        <f>B966/B967-1</f>
        <v/>
      </c>
      <c r="E966" s="1921">
        <f>C966/C967-1</f>
        <v/>
      </c>
      <c r="F966" s="1921">
        <f>$L$2/365</f>
        <v/>
      </c>
      <c r="G966" s="1921">
        <f>D966-F966</f>
        <v/>
      </c>
      <c r="H966" s="1921">
        <f>E966-F966</f>
        <v/>
      </c>
    </row>
    <row r="967" ht="14.25" customHeight="1">
      <c r="A967" s="1933" t="inlineStr">
        <is>
          <t>03/08/2022</t>
        </is>
      </c>
      <c r="B967" s="1563" t="n">
        <v>7047</v>
      </c>
      <c r="C967" s="1939" t="inlineStr">
        <is>
          <t>262</t>
        </is>
      </c>
      <c r="D967" s="1921">
        <f>B967/B968-1</f>
        <v/>
      </c>
      <c r="E967" s="1921">
        <f>C967/C968-1</f>
        <v/>
      </c>
      <c r="F967" s="1921">
        <f>$L$2/365</f>
        <v/>
      </c>
      <c r="G967" s="1921">
        <f>D967-F967</f>
        <v/>
      </c>
      <c r="H967" s="1921">
        <f>E967-F967</f>
        <v/>
      </c>
    </row>
    <row r="968" ht="14.25" customHeight="1">
      <c r="A968" s="1936" t="inlineStr">
        <is>
          <t>02/08/2022</t>
        </is>
      </c>
      <c r="B968" s="1563" t="n">
        <v>6988</v>
      </c>
      <c r="C968" s="1938" t="inlineStr">
        <is>
          <t>266</t>
        </is>
      </c>
      <c r="D968" s="1921">
        <f>B968/B969-1</f>
        <v/>
      </c>
      <c r="E968" s="1921">
        <f>C968/C969-1</f>
        <v/>
      </c>
      <c r="F968" s="1921">
        <f>$L$2/365</f>
        <v/>
      </c>
      <c r="G968" s="1921">
        <f>D968-F968</f>
        <v/>
      </c>
      <c r="H968" s="1921">
        <f>E968-F968</f>
        <v/>
      </c>
    </row>
    <row r="969" ht="14.25" customHeight="1">
      <c r="A969" s="1933" t="inlineStr">
        <is>
          <t>01/08/2022</t>
        </is>
      </c>
      <c r="B969" s="1563" t="n">
        <v>6969</v>
      </c>
      <c r="C969" s="1939" t="inlineStr">
        <is>
          <t>270</t>
        </is>
      </c>
      <c r="D969" s="1921">
        <f>B969/B970-1</f>
        <v/>
      </c>
      <c r="E969" s="1921">
        <f>C969/C970-1</f>
        <v/>
      </c>
      <c r="F969" s="1921">
        <f>$L$2/365</f>
        <v/>
      </c>
      <c r="G969" s="1921">
        <f>D969-F969</f>
        <v/>
      </c>
      <c r="H969" s="1921">
        <f>E969-F969</f>
        <v/>
      </c>
    </row>
    <row r="970" ht="14.25" customHeight="1">
      <c r="A970" s="1936" t="inlineStr">
        <is>
          <t>29/07/2022</t>
        </is>
      </c>
      <c r="B970" s="1563" t="n">
        <v>6951</v>
      </c>
      <c r="C970" s="1938" t="inlineStr">
        <is>
          <t>268</t>
        </is>
      </c>
      <c r="D970" s="1921">
        <f>B970/B971-1</f>
        <v/>
      </c>
      <c r="E970" s="1921">
        <f>C970/C971-1</f>
        <v/>
      </c>
      <c r="F970" s="1921">
        <f>$L$2/365</f>
        <v/>
      </c>
      <c r="G970" s="1921">
        <f>D970-F970</f>
        <v/>
      </c>
      <c r="H970" s="1921">
        <f>E970-F970</f>
        <v/>
      </c>
    </row>
    <row r="971" ht="14.25" customHeight="1">
      <c r="A971" s="1933" t="inlineStr">
        <is>
          <t>28/07/2022</t>
        </is>
      </c>
      <c r="B971" s="1563" t="n">
        <v>6957</v>
      </c>
      <c r="C971" s="1939" t="inlineStr">
        <is>
          <t>272</t>
        </is>
      </c>
      <c r="D971" s="1921">
        <f>B971/B972-1</f>
        <v/>
      </c>
      <c r="E971" s="1921">
        <f>C971/C972-1</f>
        <v/>
      </c>
      <c r="F971" s="1921">
        <f>$L$2/365</f>
        <v/>
      </c>
      <c r="G971" s="1921">
        <f>D971-F971</f>
        <v/>
      </c>
      <c r="H971" s="1921">
        <f>E971-F971</f>
        <v/>
      </c>
    </row>
    <row r="972" ht="14.25" customHeight="1">
      <c r="A972" s="1936" t="inlineStr">
        <is>
          <t>27/07/2022</t>
        </is>
      </c>
      <c r="B972" s="1563" t="n">
        <v>6898</v>
      </c>
      <c r="C972" s="1938" t="inlineStr">
        <is>
          <t>266</t>
        </is>
      </c>
      <c r="D972" s="1921">
        <f>B972/B973-1</f>
        <v/>
      </c>
      <c r="E972" s="1921">
        <f>C972/C973-1</f>
        <v/>
      </c>
      <c r="F972" s="1921">
        <f>$L$2/365</f>
        <v/>
      </c>
      <c r="G972" s="1921">
        <f>D972-F972</f>
        <v/>
      </c>
      <c r="H972" s="1921">
        <f>E972-F972</f>
        <v/>
      </c>
    </row>
    <row r="973" ht="14.25" customHeight="1">
      <c r="A973" s="1933" t="inlineStr">
        <is>
          <t>26/07/2022</t>
        </is>
      </c>
      <c r="B973" s="1563" t="n">
        <v>6872</v>
      </c>
      <c r="C973" s="1939" t="inlineStr">
        <is>
          <t>264</t>
        </is>
      </c>
      <c r="D973" s="1921">
        <f>B973/B974-1</f>
        <v/>
      </c>
      <c r="E973" s="1921">
        <f>C973/C974-1</f>
        <v/>
      </c>
      <c r="F973" s="1921">
        <f>$L$2/365</f>
        <v/>
      </c>
      <c r="G973" s="1921">
        <f>D973-F973</f>
        <v/>
      </c>
      <c r="H973" s="1921">
        <f>E973-F973</f>
        <v/>
      </c>
    </row>
    <row r="974" ht="14.25" customHeight="1">
      <c r="A974" s="1936" t="inlineStr">
        <is>
          <t>25/07/2022</t>
        </is>
      </c>
      <c r="B974" s="1563" t="n">
        <v>6858</v>
      </c>
      <c r="C974" s="1938" t="inlineStr">
        <is>
          <t>268</t>
        </is>
      </c>
      <c r="D974" s="1921">
        <f>B974/B975-1</f>
        <v/>
      </c>
      <c r="E974" s="1921">
        <f>C974/C975-1</f>
        <v/>
      </c>
      <c r="F974" s="1921">
        <f>$L$2/365</f>
        <v/>
      </c>
      <c r="G974" s="1921">
        <f>D974-F974</f>
        <v/>
      </c>
      <c r="H974" s="1921">
        <f>E974-F974</f>
        <v/>
      </c>
    </row>
    <row r="975" ht="14.25" customHeight="1">
      <c r="A975" s="1933" t="inlineStr">
        <is>
          <t>22/07/2022</t>
        </is>
      </c>
      <c r="B975" s="1563" t="n">
        <v>6887</v>
      </c>
      <c r="C975" s="1939" t="inlineStr">
        <is>
          <t>272</t>
        </is>
      </c>
      <c r="D975" s="1921">
        <f>B975/B976-1</f>
        <v/>
      </c>
      <c r="E975" s="1921">
        <f>C975/C976-1</f>
        <v/>
      </c>
      <c r="F975" s="1921">
        <f>$L$2/365</f>
        <v/>
      </c>
      <c r="G975" s="1921">
        <f>D975-F975</f>
        <v/>
      </c>
      <c r="H975" s="1921">
        <f>E975-F975</f>
        <v/>
      </c>
    </row>
    <row r="976" ht="14.25" customHeight="1">
      <c r="A976" s="1936" t="inlineStr">
        <is>
          <t>21/07/2022</t>
        </is>
      </c>
      <c r="B976" s="1563" t="n">
        <v>6864</v>
      </c>
      <c r="C976" s="1938" t="inlineStr">
        <is>
          <t>270</t>
        </is>
      </c>
      <c r="D976" s="1921">
        <f>B976/B977-1</f>
        <v/>
      </c>
      <c r="E976" s="1921">
        <f>C976/C977-1</f>
        <v/>
      </c>
      <c r="F976" s="1921">
        <f>$L$2/365</f>
        <v/>
      </c>
      <c r="G976" s="1921">
        <f>D976-F976</f>
        <v/>
      </c>
      <c r="H976" s="1921">
        <f>E976-F976</f>
        <v/>
      </c>
    </row>
    <row r="977" ht="14.25" customHeight="1">
      <c r="A977" s="1933" t="inlineStr">
        <is>
          <t>20/07/2022</t>
        </is>
      </c>
      <c r="B977" s="1563" t="n">
        <v>6875</v>
      </c>
      <c r="C977" s="1939" t="inlineStr">
        <is>
          <t>262</t>
        </is>
      </c>
      <c r="D977" s="1921">
        <f>B977/B978-1</f>
        <v/>
      </c>
      <c r="E977" s="1921">
        <f>C977/C978-1</f>
        <v/>
      </c>
      <c r="F977" s="1921">
        <f>$L$2/365</f>
        <v/>
      </c>
      <c r="G977" s="1921">
        <f>D977-F977</f>
        <v/>
      </c>
      <c r="H977" s="1921">
        <f>E977-F977</f>
        <v/>
      </c>
    </row>
    <row r="978" ht="14.25" customHeight="1">
      <c r="A978" s="1936" t="inlineStr">
        <is>
          <t>19/07/2022</t>
        </is>
      </c>
      <c r="B978" s="1563" t="n">
        <v>6736</v>
      </c>
      <c r="C978" s="1938" t="inlineStr">
        <is>
          <t>262</t>
        </is>
      </c>
      <c r="D978" s="1921">
        <f>B978/B979-1</f>
        <v/>
      </c>
      <c r="E978" s="1921">
        <f>C978/C979-1</f>
        <v/>
      </c>
      <c r="F978" s="1921">
        <f>$L$2/365</f>
        <v/>
      </c>
      <c r="G978" s="1921">
        <f>D978-F978</f>
        <v/>
      </c>
      <c r="H978" s="1921">
        <f>E978-F978</f>
        <v/>
      </c>
    </row>
    <row r="979" ht="14.25" customHeight="1">
      <c r="A979" s="1933" t="inlineStr">
        <is>
          <t>18/07/2022</t>
        </is>
      </c>
      <c r="B979" s="1563" t="n">
        <v>6659</v>
      </c>
      <c r="C979" s="1939" t="inlineStr">
        <is>
          <t>268</t>
        </is>
      </c>
      <c r="D979" s="1921">
        <f>B979/B980-1</f>
        <v/>
      </c>
      <c r="E979" s="1921">
        <f>C979/C980-1</f>
        <v/>
      </c>
      <c r="F979" s="1921">
        <f>$L$2/365</f>
        <v/>
      </c>
      <c r="G979" s="1921">
        <f>D979-F979</f>
        <v/>
      </c>
      <c r="H979" s="1921">
        <f>E979-F979</f>
        <v/>
      </c>
    </row>
    <row r="980" ht="14.25" customHeight="1">
      <c r="A980" s="1936" t="inlineStr">
        <is>
          <t>15/07/2022</t>
        </is>
      </c>
      <c r="B980" s="1563" t="n">
        <v>6652</v>
      </c>
      <c r="C980" s="1938" t="inlineStr">
        <is>
          <t>266</t>
        </is>
      </c>
      <c r="D980" s="1921">
        <f>B980/B981-1</f>
        <v/>
      </c>
      <c r="E980" s="1921">
        <f>C980/C981-1</f>
        <v/>
      </c>
      <c r="F980" s="1921">
        <f>$L$2/365</f>
        <v/>
      </c>
      <c r="G980" s="1921">
        <f>D980-F980</f>
        <v/>
      </c>
      <c r="H980" s="1921">
        <f>E980-F980</f>
        <v/>
      </c>
    </row>
    <row r="981" ht="14.25" customHeight="1">
      <c r="A981" s="1933" t="inlineStr">
        <is>
          <t>14/07/2022</t>
        </is>
      </c>
      <c r="B981" s="1563" t="n">
        <v>6690</v>
      </c>
      <c r="C981" s="1939" t="inlineStr">
        <is>
          <t>272</t>
        </is>
      </c>
      <c r="D981" s="1921">
        <f>B981/B982-1</f>
        <v/>
      </c>
      <c r="E981" s="1921">
        <f>C981/C982-1</f>
        <v/>
      </c>
      <c r="F981" s="1921">
        <f>$L$2/365</f>
        <v/>
      </c>
      <c r="G981" s="1921">
        <f>D981-F981</f>
        <v/>
      </c>
      <c r="H981" s="1921">
        <f>E981-F981</f>
        <v/>
      </c>
    </row>
    <row r="982" ht="14.25" customHeight="1">
      <c r="A982" s="1936" t="inlineStr">
        <is>
          <t>13/07/2022</t>
        </is>
      </c>
      <c r="B982" s="1563" t="n">
        <v>6641</v>
      </c>
      <c r="C982" s="1938" t="inlineStr">
        <is>
          <t>270</t>
        </is>
      </c>
      <c r="D982" s="1921">
        <f>B982/B983-1</f>
        <v/>
      </c>
      <c r="E982" s="1921">
        <f>C982/C983-1</f>
        <v/>
      </c>
      <c r="F982" s="1921">
        <f>$L$2/365</f>
        <v/>
      </c>
      <c r="G982" s="1921">
        <f>D982-F982</f>
        <v/>
      </c>
      <c r="H982" s="1921">
        <f>E982-F982</f>
        <v/>
      </c>
    </row>
    <row r="983" ht="14.25" customHeight="1">
      <c r="A983" s="1933" t="inlineStr">
        <is>
          <t>12/07/2022</t>
        </is>
      </c>
      <c r="B983" s="1563" t="n">
        <v>6718</v>
      </c>
      <c r="C983" s="1939" t="inlineStr">
        <is>
          <t>274</t>
        </is>
      </c>
      <c r="D983" s="1921">
        <f>B983/B984-1</f>
        <v/>
      </c>
      <c r="E983" s="1921">
        <f>C983/C984-1</f>
        <v/>
      </c>
      <c r="F983" s="1921">
        <f>$L$2/365</f>
        <v/>
      </c>
      <c r="G983" s="1921">
        <f>D983-F983</f>
        <v/>
      </c>
      <c r="H983" s="1921">
        <f>E983-F983</f>
        <v/>
      </c>
    </row>
    <row r="984" ht="14.25" customHeight="1">
      <c r="A984" s="1936" t="inlineStr">
        <is>
          <t>11/07/2022</t>
        </is>
      </c>
      <c r="B984" s="1563" t="n">
        <v>6722</v>
      </c>
      <c r="C984" s="1938" t="inlineStr">
        <is>
          <t>274</t>
        </is>
      </c>
      <c r="D984" s="1921">
        <f>B984/B985-1</f>
        <v/>
      </c>
      <c r="E984" s="1921">
        <f>C984/C985-1</f>
        <v/>
      </c>
      <c r="F984" s="1921">
        <f>$L$2/365</f>
        <v/>
      </c>
      <c r="G984" s="1921">
        <f>D984-F984</f>
        <v/>
      </c>
      <c r="H984" s="1921">
        <f>E984-F984</f>
        <v/>
      </c>
    </row>
    <row r="985" ht="14.25" customHeight="1">
      <c r="A985" s="1933" t="inlineStr">
        <is>
          <t>08/07/2022</t>
        </is>
      </c>
      <c r="B985" s="1563" t="n">
        <v>6740</v>
      </c>
      <c r="C985" s="1939" t="inlineStr">
        <is>
          <t>274</t>
        </is>
      </c>
      <c r="D985" s="1921">
        <f>B985/B986-1</f>
        <v/>
      </c>
      <c r="E985" s="1921">
        <f>C985/C986-1</f>
        <v/>
      </c>
      <c r="F985" s="1921">
        <f>$L$2/365</f>
        <v/>
      </c>
      <c r="G985" s="1921">
        <f>D985-F985</f>
        <v/>
      </c>
      <c r="H985" s="1921">
        <f>E985-F985</f>
        <v/>
      </c>
    </row>
    <row r="986" ht="14.25" customHeight="1">
      <c r="A986" s="1936" t="inlineStr">
        <is>
          <t>07/07/2022</t>
        </is>
      </c>
      <c r="B986" s="1563" t="n">
        <v>6653</v>
      </c>
      <c r="C986" s="1938" t="inlineStr">
        <is>
          <t>280</t>
        </is>
      </c>
      <c r="D986" s="1921">
        <f>B986/B987-1</f>
        <v/>
      </c>
      <c r="E986" s="1921">
        <f>C986/C987-1</f>
        <v/>
      </c>
      <c r="F986" s="1921">
        <f>$L$2/365</f>
        <v/>
      </c>
      <c r="G986" s="1921">
        <f>D986-F986</f>
        <v/>
      </c>
      <c r="H986" s="1921">
        <f>E986-F986</f>
        <v/>
      </c>
    </row>
    <row r="987" ht="14.25" customHeight="1">
      <c r="A987" s="1933" t="inlineStr">
        <is>
          <t>06/07/2022</t>
        </is>
      </c>
      <c r="B987" s="1563" t="n">
        <v>6646</v>
      </c>
      <c r="C987" s="1939" t="inlineStr">
        <is>
          <t>278</t>
        </is>
      </c>
      <c r="D987" s="1921">
        <f>B987/B988-1</f>
        <v/>
      </c>
      <c r="E987" s="1921">
        <f>C987/C988-1</f>
        <v/>
      </c>
      <c r="F987" s="1921">
        <f>$L$2/365</f>
        <v/>
      </c>
      <c r="G987" s="1921">
        <f>D987-F987</f>
        <v/>
      </c>
      <c r="H987" s="1921">
        <f>E987-F987</f>
        <v/>
      </c>
    </row>
    <row r="988" ht="14.25" customHeight="1">
      <c r="A988" s="1936" t="inlineStr">
        <is>
          <t>05/07/2022</t>
        </is>
      </c>
      <c r="B988" s="1563" t="n">
        <v>6703</v>
      </c>
      <c r="C988" s="1938" t="inlineStr">
        <is>
          <t>276</t>
        </is>
      </c>
      <c r="D988" s="1921">
        <f>B988/B989-1</f>
        <v/>
      </c>
      <c r="E988" s="1921">
        <f>C988/C989-1</f>
        <v/>
      </c>
      <c r="F988" s="1921">
        <f>$L$2/365</f>
        <v/>
      </c>
      <c r="G988" s="1921">
        <f>D988-F988</f>
        <v/>
      </c>
      <c r="H988" s="1921">
        <f>E988-F988</f>
        <v/>
      </c>
    </row>
    <row r="989" ht="14.25" customHeight="1">
      <c r="A989" s="1933" t="inlineStr">
        <is>
          <t>04/07/2022</t>
        </is>
      </c>
      <c r="B989" s="1563" t="n">
        <v>6639</v>
      </c>
      <c r="C989" s="1939" t="inlineStr">
        <is>
          <t>282</t>
        </is>
      </c>
      <c r="D989" s="1921">
        <f>B989/B990-1</f>
        <v/>
      </c>
      <c r="E989" s="1921">
        <f>C989/C990-1</f>
        <v/>
      </c>
      <c r="F989" s="1921">
        <f>$L$2/365</f>
        <v/>
      </c>
      <c r="G989" s="1921">
        <f>D989-F989</f>
        <v/>
      </c>
      <c r="H989" s="1921">
        <f>E989-F989</f>
        <v/>
      </c>
    </row>
    <row r="990" ht="14.25" customHeight="1">
      <c r="A990" s="1936" t="inlineStr">
        <is>
          <t>01/07/2022</t>
        </is>
      </c>
      <c r="B990" s="1563" t="n">
        <v>6794</v>
      </c>
      <c r="C990" s="1938" t="inlineStr">
        <is>
          <t>294</t>
        </is>
      </c>
      <c r="D990" s="1921">
        <f>B990/B991-1</f>
        <v/>
      </c>
      <c r="E990" s="1921">
        <f>C990/C991-1</f>
        <v/>
      </c>
      <c r="F990" s="1921">
        <f>$L$2/365</f>
        <v/>
      </c>
      <c r="G990" s="1921">
        <f>D990-F990</f>
        <v/>
      </c>
      <c r="H990" s="1921">
        <f>E990-F990</f>
        <v/>
      </c>
    </row>
    <row r="991" ht="14.25" customHeight="1">
      <c r="A991" s="1933" t="inlineStr">
        <is>
          <t>30/06/2022</t>
        </is>
      </c>
      <c r="B991" s="1563" t="n">
        <v>6912</v>
      </c>
      <c r="C991" s="1939" t="inlineStr">
        <is>
          <t>302</t>
        </is>
      </c>
      <c r="D991" s="1921">
        <f>B991/B992-1</f>
        <v/>
      </c>
      <c r="E991" s="1921">
        <f>C991/C992-1</f>
        <v/>
      </c>
      <c r="F991" s="1921">
        <f>$L$2/365</f>
        <v/>
      </c>
      <c r="G991" s="1921">
        <f>D991-F991</f>
        <v/>
      </c>
      <c r="H991" s="1921">
        <f>E991-F991</f>
        <v/>
      </c>
    </row>
    <row r="992" ht="14.25" customHeight="1">
      <c r="A992" s="1936" t="inlineStr">
        <is>
          <t>29/06/2022</t>
        </is>
      </c>
      <c r="B992" s="1563" t="n">
        <v>6942</v>
      </c>
      <c r="C992" s="1938" t="inlineStr">
        <is>
          <t>308</t>
        </is>
      </c>
      <c r="D992" s="1921">
        <f>B992/B993-1</f>
        <v/>
      </c>
      <c r="E992" s="1921">
        <f>C992/C993-1</f>
        <v/>
      </c>
      <c r="F992" s="1921">
        <f>$L$2/365</f>
        <v/>
      </c>
      <c r="G992" s="1921">
        <f>D992-F992</f>
        <v/>
      </c>
      <c r="H992" s="1921">
        <f>E992-F992</f>
        <v/>
      </c>
    </row>
    <row r="993" ht="14.25" customHeight="1">
      <c r="A993" s="1933" t="inlineStr">
        <is>
          <t>28/06/2022</t>
        </is>
      </c>
      <c r="B993" s="1563" t="n">
        <v>6996</v>
      </c>
      <c r="C993" s="1939" t="inlineStr">
        <is>
          <t>312</t>
        </is>
      </c>
      <c r="D993" s="1921">
        <f>B993/B994-1</f>
        <v/>
      </c>
      <c r="E993" s="1921">
        <f>C993/C994-1</f>
        <v/>
      </c>
      <c r="F993" s="1921">
        <f>$L$2/365</f>
        <v/>
      </c>
      <c r="G993" s="1921">
        <f>D993-F993</f>
        <v/>
      </c>
      <c r="H993" s="1921">
        <f>E993-F993</f>
        <v/>
      </c>
    </row>
    <row r="994" ht="14.25" customHeight="1">
      <c r="A994" s="1936" t="inlineStr">
        <is>
          <t>27/06/2022</t>
        </is>
      </c>
      <c r="B994" s="1563" t="n">
        <v>7016</v>
      </c>
      <c r="C994" s="1938" t="inlineStr">
        <is>
          <t>320</t>
        </is>
      </c>
      <c r="D994" s="1921">
        <f>B994/B995-1</f>
        <v/>
      </c>
      <c r="E994" s="1921">
        <f>C994/C995-1</f>
        <v/>
      </c>
      <c r="F994" s="1921">
        <f>$L$2/365</f>
        <v/>
      </c>
      <c r="G994" s="1921">
        <f>D994-F994</f>
        <v/>
      </c>
      <c r="H994" s="1921">
        <f>E994-F994</f>
        <v/>
      </c>
    </row>
    <row r="995" ht="14.25" customHeight="1">
      <c r="A995" s="1933" t="inlineStr">
        <is>
          <t>24/06/2022</t>
        </is>
      </c>
      <c r="B995" s="1563" t="n">
        <v>7043</v>
      </c>
      <c r="C995" s="1939" t="inlineStr">
        <is>
          <t>314</t>
        </is>
      </c>
      <c r="D995" s="1921">
        <f>B995/B996-1</f>
        <v/>
      </c>
      <c r="E995" s="1921">
        <f>C995/C996-1</f>
        <v/>
      </c>
      <c r="F995" s="1921">
        <f>$L$2/365</f>
        <v/>
      </c>
      <c r="G995" s="1921">
        <f>D995-F995</f>
        <v/>
      </c>
      <c r="H995" s="1921">
        <f>E995-F995</f>
        <v/>
      </c>
    </row>
    <row r="996" ht="14.25" customHeight="1">
      <c r="A996" s="1936" t="inlineStr">
        <is>
          <t>23/06/2022</t>
        </is>
      </c>
      <c r="B996" s="1563" t="n">
        <v>6998</v>
      </c>
      <c r="C996" s="1938" t="inlineStr">
        <is>
          <t>320</t>
        </is>
      </c>
      <c r="D996" s="1921">
        <f>B996/B997-1</f>
        <v/>
      </c>
      <c r="E996" s="1921">
        <f>C996/C997-1</f>
        <v/>
      </c>
      <c r="F996" s="1921">
        <f>$L$2/365</f>
        <v/>
      </c>
      <c r="G996" s="1921">
        <f>D996-F996</f>
        <v/>
      </c>
      <c r="H996" s="1921">
        <f>E996-F996</f>
        <v/>
      </c>
    </row>
    <row r="997" ht="14.25" customHeight="1">
      <c r="A997" s="1933" t="inlineStr">
        <is>
          <t>22/06/2022</t>
        </is>
      </c>
      <c r="B997" s="1563" t="n">
        <v>6984</v>
      </c>
      <c r="C997" s="1939" t="inlineStr">
        <is>
          <t>322</t>
        </is>
      </c>
      <c r="D997" s="1921">
        <f>B997/B998-1</f>
        <v/>
      </c>
      <c r="E997" s="1921">
        <f>C997/C998-1</f>
        <v/>
      </c>
      <c r="F997" s="1921">
        <f>$L$2/365</f>
        <v/>
      </c>
      <c r="G997" s="1921">
        <f>D997-F997</f>
        <v/>
      </c>
      <c r="H997" s="1921">
        <f>E997-F997</f>
        <v/>
      </c>
    </row>
    <row r="998" ht="14.25" customHeight="1">
      <c r="A998" s="1936" t="inlineStr">
        <is>
          <t>21/06/2022</t>
        </is>
      </c>
      <c r="B998" s="1563" t="n">
        <v>7044</v>
      </c>
      <c r="C998" s="1938" t="inlineStr">
        <is>
          <t>322</t>
        </is>
      </c>
      <c r="D998" s="1921">
        <f>B998/B999-1</f>
        <v/>
      </c>
      <c r="E998" s="1921">
        <f>C998/C999-1</f>
        <v/>
      </c>
      <c r="F998" s="1921">
        <f>$L$2/365</f>
        <v/>
      </c>
      <c r="G998" s="1921">
        <f>D998-F998</f>
        <v/>
      </c>
      <c r="H998" s="1921">
        <f>E998-F998</f>
        <v/>
      </c>
    </row>
    <row r="999" ht="14.25" customHeight="1">
      <c r="A999" s="1933" t="inlineStr">
        <is>
          <t>20/06/2022</t>
        </is>
      </c>
      <c r="B999" s="1563" t="n">
        <v>6976</v>
      </c>
      <c r="C999" s="1939" t="inlineStr">
        <is>
          <t>334</t>
        </is>
      </c>
      <c r="D999" s="1921">
        <f>B999/B1000-1</f>
        <v/>
      </c>
      <c r="E999" s="1921">
        <f>C999/C1000-1</f>
        <v/>
      </c>
      <c r="F999" s="1921">
        <f>$L$2/365</f>
        <v/>
      </c>
      <c r="G999" s="1921">
        <f>D999-F999</f>
        <v/>
      </c>
      <c r="H999" s="1921">
        <f>E999-F999</f>
        <v/>
      </c>
    </row>
    <row r="1000" ht="14.25" customHeight="1">
      <c r="A1000" s="1936" t="inlineStr">
        <is>
          <t>17/06/2022</t>
        </is>
      </c>
      <c r="B1000" s="1563" t="n">
        <v>6937</v>
      </c>
      <c r="C1000" s="1938" t="inlineStr">
        <is>
          <t>308</t>
        </is>
      </c>
      <c r="D1000" s="1921">
        <f>B1000/B1001-1</f>
        <v/>
      </c>
      <c r="E1000" s="1921">
        <f>C1000/C1001-1</f>
        <v/>
      </c>
      <c r="F1000" s="1921">
        <f>$L$2/365</f>
        <v/>
      </c>
      <c r="G1000" s="1921">
        <f>D1000-F1000</f>
        <v/>
      </c>
      <c r="H1000" s="1921">
        <f>E1000-F1000</f>
        <v/>
      </c>
    </row>
    <row r="1001" ht="14.25" customHeight="1">
      <c r="A1001" s="1933" t="inlineStr">
        <is>
          <t>16/06/2022</t>
        </is>
      </c>
      <c r="B1001" s="1563" t="n">
        <v>7050</v>
      </c>
      <c r="C1001" s="1939" t="inlineStr">
        <is>
          <t>308</t>
        </is>
      </c>
      <c r="D1001" s="1921">
        <f>B1001/B1002-1</f>
        <v/>
      </c>
      <c r="E1001" s="1921">
        <f>C1001/C1002-1</f>
        <v/>
      </c>
      <c r="F1001" s="1921">
        <f>$L$2/365</f>
        <v/>
      </c>
      <c r="G1001" s="1921">
        <f>D1001-F1001</f>
        <v/>
      </c>
      <c r="H1001" s="1921">
        <f>E1001-F1001</f>
        <v/>
      </c>
    </row>
    <row r="1002" ht="14.25" customHeight="1">
      <c r="A1002" s="1936" t="inlineStr">
        <is>
          <t>15/06/2022</t>
        </is>
      </c>
      <c r="B1002" s="1563" t="n">
        <v>7007</v>
      </c>
      <c r="C1002" s="1938" t="inlineStr">
        <is>
          <t>314</t>
        </is>
      </c>
      <c r="D1002" s="1921">
        <f>B1002/B1003-1</f>
        <v/>
      </c>
      <c r="E1002" s="1921">
        <f>C1002/C1003-1</f>
        <v/>
      </c>
      <c r="F1002" s="1921">
        <f>$L$2/365</f>
        <v/>
      </c>
      <c r="G1002" s="1921">
        <f>D1002-F1002</f>
        <v/>
      </c>
      <c r="H1002" s="1921">
        <f>E1002-F1002</f>
        <v/>
      </c>
    </row>
    <row r="1003" ht="14.25" customHeight="1">
      <c r="A1003" s="1933" t="inlineStr">
        <is>
          <t>14/06/2022</t>
        </is>
      </c>
      <c r="B1003" s="1563" t="n">
        <v>7050</v>
      </c>
      <c r="C1003" s="1939" t="inlineStr">
        <is>
          <t>318</t>
        </is>
      </c>
      <c r="D1003" s="1921">
        <f>B1003/B1004-1</f>
        <v/>
      </c>
      <c r="E1003" s="1921">
        <f>C1003/C1004-1</f>
        <v/>
      </c>
      <c r="F1003" s="1921">
        <f>$L$2/365</f>
        <v/>
      </c>
      <c r="G1003" s="1921">
        <f>D1003-F1003</f>
        <v/>
      </c>
      <c r="H1003" s="1921">
        <f>E1003-F1003</f>
        <v/>
      </c>
    </row>
    <row r="1004" ht="14.25" customHeight="1">
      <c r="A1004" s="1936" t="inlineStr">
        <is>
          <t>13/06/2022</t>
        </is>
      </c>
      <c r="B1004" s="1563" t="n">
        <v>6995</v>
      </c>
      <c r="C1004" s="1938" t="inlineStr">
        <is>
          <t>312</t>
        </is>
      </c>
      <c r="D1004" s="1921">
        <f>B1004/B1005-1</f>
        <v/>
      </c>
      <c r="E1004" s="1921">
        <f>C1004/C1005-1</f>
        <v/>
      </c>
      <c r="F1004" s="1921">
        <f>$L$2/365</f>
        <v/>
      </c>
      <c r="G1004" s="1921">
        <f>D1004-F1004</f>
        <v/>
      </c>
      <c r="H1004" s="1921">
        <f>E1004-F1004</f>
        <v/>
      </c>
    </row>
    <row r="1005" ht="14.25" customHeight="1">
      <c r="A1005" s="1933" t="inlineStr">
        <is>
          <t>10/06/2022</t>
        </is>
      </c>
      <c r="B1005" s="1563" t="n">
        <v>7087</v>
      </c>
      <c r="C1005" s="1939" t="inlineStr">
        <is>
          <t>312</t>
        </is>
      </c>
      <c r="D1005" s="1921">
        <f>B1005/B1006-1</f>
        <v/>
      </c>
      <c r="E1005" s="1921">
        <f>C1005/C1006-1</f>
        <v/>
      </c>
      <c r="F1005" s="1921">
        <f>$L$2/365</f>
        <v/>
      </c>
      <c r="G1005" s="1921">
        <f>D1005-F1005</f>
        <v/>
      </c>
      <c r="H1005" s="1921">
        <f>E1005-F1005</f>
        <v/>
      </c>
    </row>
    <row r="1006" ht="14.25" customHeight="1">
      <c r="A1006" s="1936" t="inlineStr">
        <is>
          <t>09/06/2022</t>
        </is>
      </c>
      <c r="B1006" s="1563" t="n">
        <v>7183</v>
      </c>
      <c r="C1006" s="1938" t="inlineStr">
        <is>
          <t>324</t>
        </is>
      </c>
      <c r="D1006" s="1921">
        <f>B1006/B1007-1</f>
        <v/>
      </c>
      <c r="E1006" s="1921">
        <f>C1006/C1007-1</f>
        <v/>
      </c>
      <c r="F1006" s="1921">
        <f>$L$2/365</f>
        <v/>
      </c>
      <c r="G1006" s="1921">
        <f>D1006-F1006</f>
        <v/>
      </c>
      <c r="H1006" s="1921">
        <f>E1006-F1006</f>
        <v/>
      </c>
    </row>
    <row r="1007" ht="14.25" customHeight="1">
      <c r="A1007" s="1933" t="inlineStr">
        <is>
          <t>08/06/2022</t>
        </is>
      </c>
      <c r="B1007" s="1563" t="n">
        <v>7193</v>
      </c>
      <c r="C1007" s="1939" t="inlineStr">
        <is>
          <t>310</t>
        </is>
      </c>
      <c r="D1007" s="1921">
        <f>B1007/B1008-1</f>
        <v/>
      </c>
      <c r="E1007" s="1921">
        <f>C1007/C1008-1</f>
        <v/>
      </c>
      <c r="F1007" s="1921">
        <f>$L$2/365</f>
        <v/>
      </c>
      <c r="G1007" s="1921">
        <f>D1007-F1007</f>
        <v/>
      </c>
      <c r="H1007" s="1921">
        <f>E1007-F1007</f>
        <v/>
      </c>
    </row>
    <row r="1008" ht="14.25" customHeight="1">
      <c r="A1008" s="1936" t="inlineStr">
        <is>
          <t>07/06/2022</t>
        </is>
      </c>
      <c r="B1008" s="1563" t="n">
        <v>7141</v>
      </c>
      <c r="C1008" s="1938" t="inlineStr">
        <is>
          <t>312</t>
        </is>
      </c>
      <c r="D1008" s="1921">
        <f>B1008/B1009-1</f>
        <v/>
      </c>
      <c r="E1008" s="1921">
        <f>C1008/C1009-1</f>
        <v/>
      </c>
      <c r="F1008" s="1921">
        <f>$L$2/365</f>
        <v/>
      </c>
      <c r="G1008" s="1921">
        <f>D1008-F1008</f>
        <v/>
      </c>
      <c r="H1008" s="1921">
        <f>E1008-F1008</f>
        <v/>
      </c>
    </row>
    <row r="1009" ht="14.25" customHeight="1">
      <c r="A1009" s="1933" t="inlineStr">
        <is>
          <t>06/06/2022</t>
        </is>
      </c>
      <c r="B1009" s="1563" t="n">
        <v>7097</v>
      </c>
      <c r="C1009" s="1939" t="inlineStr">
        <is>
          <t>308</t>
        </is>
      </c>
      <c r="D1009" s="1921">
        <f>B1009/B1010-1</f>
        <v/>
      </c>
      <c r="E1009" s="1921">
        <f>C1009/C1010-1</f>
        <v/>
      </c>
      <c r="F1009" s="1921">
        <f>$L$2/365</f>
        <v/>
      </c>
      <c r="G1009" s="1921">
        <f>D1009-F1009</f>
        <v/>
      </c>
      <c r="H1009" s="1921">
        <f>E1009-F1009</f>
        <v/>
      </c>
    </row>
    <row r="1010" ht="14.25" customHeight="1">
      <c r="A1010" s="1936" t="inlineStr">
        <is>
          <t>03/06/2022</t>
        </is>
      </c>
      <c r="B1010" s="1563" t="n">
        <v>7183</v>
      </c>
      <c r="C1010" s="1938" t="inlineStr">
        <is>
          <t>310</t>
        </is>
      </c>
      <c r="D1010" s="1921">
        <f>B1010/B1011-1</f>
        <v/>
      </c>
      <c r="E1010" s="1921">
        <f>C1010/C1011-1</f>
        <v/>
      </c>
      <c r="F1010" s="1921">
        <f>$L$2/365</f>
        <v/>
      </c>
      <c r="G1010" s="1921">
        <f>D1010-F1010</f>
        <v/>
      </c>
      <c r="H1010" s="1921">
        <f>E1010-F1010</f>
        <v/>
      </c>
    </row>
    <row r="1011" ht="14.25" customHeight="1">
      <c r="A1011" s="1933" t="inlineStr">
        <is>
          <t>02/06/2022</t>
        </is>
      </c>
      <c r="B1011" s="1563" t="n">
        <v>7149</v>
      </c>
      <c r="C1011" s="1939" t="inlineStr">
        <is>
          <t>314</t>
        </is>
      </c>
      <c r="D1011" s="1921">
        <f>B1011/B1012-1</f>
        <v/>
      </c>
      <c r="E1011" s="1921">
        <f>C1011/C1012-1</f>
        <v/>
      </c>
      <c r="F1011" s="1921">
        <f>$L$2/365</f>
        <v/>
      </c>
      <c r="G1011" s="1921">
        <f>D1011-F1011</f>
        <v/>
      </c>
      <c r="H1011" s="1921">
        <f>E1011-F1011</f>
        <v/>
      </c>
    </row>
    <row r="1012" ht="14.25" customHeight="1">
      <c r="A1012" s="1936" t="inlineStr">
        <is>
          <t>31/05/2022</t>
        </is>
      </c>
      <c r="B1012" s="1563" t="n">
        <v>7149</v>
      </c>
      <c r="C1012" s="1938" t="inlineStr">
        <is>
          <t>330</t>
        </is>
      </c>
      <c r="D1012" s="1921">
        <f>B1012/B1013-1</f>
        <v/>
      </c>
      <c r="E1012" s="1921">
        <f>C1012/C1013-1</f>
        <v/>
      </c>
      <c r="F1012" s="1921">
        <f>$L$2/365</f>
        <v/>
      </c>
      <c r="G1012" s="1921">
        <f>D1012-F1012</f>
        <v/>
      </c>
      <c r="H1012" s="1921">
        <f>E1012-F1012</f>
        <v/>
      </c>
    </row>
    <row r="1013" ht="14.25" customHeight="1">
      <c r="A1013" s="1933" t="inlineStr">
        <is>
          <t>30/05/2022</t>
        </is>
      </c>
      <c r="B1013" s="1563" t="n">
        <v>7038</v>
      </c>
      <c r="C1013" s="1939" t="inlineStr">
        <is>
          <t>332</t>
        </is>
      </c>
      <c r="D1013" s="1921">
        <f>B1013/B1014-1</f>
        <v/>
      </c>
      <c r="E1013" s="1921">
        <f>C1013/C1014-1</f>
        <v/>
      </c>
      <c r="F1013" s="1921">
        <f>$L$2/365</f>
        <v/>
      </c>
      <c r="G1013" s="1921">
        <f>D1013-F1013</f>
        <v/>
      </c>
      <c r="H1013" s="1921">
        <f>E1013-F1013</f>
        <v/>
      </c>
    </row>
    <row r="1014" ht="14.25" customHeight="1">
      <c r="A1014" s="1936" t="inlineStr">
        <is>
          <t>27/05/2022</t>
        </is>
      </c>
      <c r="B1014" s="1563" t="n">
        <v>7026</v>
      </c>
      <c r="C1014" s="1938" t="inlineStr">
        <is>
          <t>334</t>
        </is>
      </c>
      <c r="D1014" s="1921">
        <f>B1014/B1015-1</f>
        <v/>
      </c>
      <c r="E1014" s="1921">
        <f>C1014/C1015-1</f>
        <v/>
      </c>
      <c r="F1014" s="1921">
        <f>$L$2/365</f>
        <v/>
      </c>
      <c r="G1014" s="1921">
        <f>D1014-F1014</f>
        <v/>
      </c>
      <c r="H1014" s="1921">
        <f>E1014-F1014</f>
        <v/>
      </c>
    </row>
    <row r="1015" ht="14.25" customHeight="1">
      <c r="A1015" s="1933" t="inlineStr">
        <is>
          <t>25/05/2022</t>
        </is>
      </c>
      <c r="B1015" s="1563" t="n">
        <v>6884</v>
      </c>
      <c r="C1015" s="1939" t="inlineStr">
        <is>
          <t>338</t>
        </is>
      </c>
      <c r="D1015" s="1921">
        <f>B1015/B1016-1</f>
        <v/>
      </c>
      <c r="E1015" s="1921">
        <f>C1015/C1016-1</f>
        <v/>
      </c>
      <c r="F1015" s="1921">
        <f>$L$2/365</f>
        <v/>
      </c>
      <c r="G1015" s="1921">
        <f>D1015-F1015</f>
        <v/>
      </c>
      <c r="H1015" s="1921">
        <f>E1015-F1015</f>
        <v/>
      </c>
    </row>
    <row r="1016" ht="14.25" customHeight="1">
      <c r="A1016" s="1936" t="inlineStr">
        <is>
          <t>24/05/2022</t>
        </is>
      </c>
      <c r="B1016" s="1563" t="n">
        <v>6914</v>
      </c>
      <c r="C1016" s="1938" t="inlineStr">
        <is>
          <t>362</t>
        </is>
      </c>
      <c r="D1016" s="1921">
        <f>B1016/B1017-1</f>
        <v/>
      </c>
      <c r="E1016" s="1921">
        <f>C1016/C1017-1</f>
        <v/>
      </c>
      <c r="F1016" s="1921">
        <f>$L$2/365</f>
        <v/>
      </c>
      <c r="G1016" s="1921">
        <f>D1016-F1016</f>
        <v/>
      </c>
      <c r="H1016" s="1921">
        <f>E1016-F1016</f>
        <v/>
      </c>
    </row>
    <row r="1017" ht="14.25" customHeight="1">
      <c r="A1017" s="1933" t="inlineStr">
        <is>
          <t>23/05/2022</t>
        </is>
      </c>
      <c r="B1017" s="1563" t="n">
        <v>6841</v>
      </c>
      <c r="C1017" s="1939" t="inlineStr">
        <is>
          <t>356</t>
        </is>
      </c>
      <c r="D1017" s="1921">
        <f>B1017/B1018-1</f>
        <v/>
      </c>
      <c r="E1017" s="1921">
        <f>C1017/C1018-1</f>
        <v/>
      </c>
      <c r="F1017" s="1921">
        <f>$L$2/365</f>
        <v/>
      </c>
      <c r="G1017" s="1921">
        <f>D1017-F1017</f>
        <v/>
      </c>
      <c r="H1017" s="1921">
        <f>E1017-F1017</f>
        <v/>
      </c>
    </row>
    <row r="1018" ht="14.25" customHeight="1">
      <c r="A1018" s="1936" t="inlineStr">
        <is>
          <t>20/05/2022</t>
        </is>
      </c>
      <c r="B1018" s="1563" t="n">
        <v>6918</v>
      </c>
      <c r="C1018" s="1938" t="inlineStr">
        <is>
          <t>354</t>
        </is>
      </c>
      <c r="D1018" s="1921">
        <f>B1018/B1019-1</f>
        <v/>
      </c>
      <c r="E1018" s="1921">
        <f>C1018/C1019-1</f>
        <v/>
      </c>
      <c r="F1018" s="1921">
        <f>$L$2/365</f>
        <v/>
      </c>
      <c r="G1018" s="1921">
        <f>D1018-F1018</f>
        <v/>
      </c>
      <c r="H1018" s="1921">
        <f>E1018-F1018</f>
        <v/>
      </c>
    </row>
    <row r="1019" ht="14.25" customHeight="1">
      <c r="A1019" s="1933" t="inlineStr">
        <is>
          <t>19/05/2022</t>
        </is>
      </c>
      <c r="B1019" s="1563" t="n">
        <v>6823</v>
      </c>
      <c r="C1019" s="1939" t="inlineStr">
        <is>
          <t>380</t>
        </is>
      </c>
      <c r="D1019" s="1921">
        <f>B1019/B1020-1</f>
        <v/>
      </c>
      <c r="E1019" s="1921">
        <f>C1019/C1020-1</f>
        <v/>
      </c>
      <c r="F1019" s="1921">
        <f>$L$2/365</f>
        <v/>
      </c>
      <c r="G1019" s="1921">
        <f>D1019-F1019</f>
        <v/>
      </c>
      <c r="H1019" s="1921">
        <f>E1019-F1019</f>
        <v/>
      </c>
    </row>
    <row r="1020" ht="14.25" customHeight="1">
      <c r="A1020" s="1936" t="inlineStr">
        <is>
          <t>18/05/2022</t>
        </is>
      </c>
      <c r="B1020" s="1563" t="n">
        <v>6793</v>
      </c>
      <c r="C1020" s="1938" t="inlineStr">
        <is>
          <t>364</t>
        </is>
      </c>
      <c r="D1020" s="1921">
        <f>B1020/B1021-1</f>
        <v/>
      </c>
      <c r="E1020" s="1921">
        <f>C1020/C1021-1</f>
        <v/>
      </c>
      <c r="F1020" s="1921">
        <f>$L$2/365</f>
        <v/>
      </c>
      <c r="G1020" s="1921">
        <f>D1020-F1020</f>
        <v/>
      </c>
      <c r="H1020" s="1921">
        <f>E1020-F1020</f>
        <v/>
      </c>
    </row>
    <row r="1021" ht="14.25" customHeight="1">
      <c r="A1021" s="1933" t="inlineStr">
        <is>
          <t>17/05/2022</t>
        </is>
      </c>
      <c r="B1021" s="1563" t="n">
        <v>6644</v>
      </c>
      <c r="C1021" s="1939" t="inlineStr">
        <is>
          <t>368</t>
        </is>
      </c>
      <c r="D1021" s="1921">
        <f>B1021/B1022-1</f>
        <v/>
      </c>
      <c r="E1021" s="1921">
        <f>C1021/C1022-1</f>
        <v/>
      </c>
      <c r="F1021" s="1921">
        <f>$L$2/365</f>
        <v/>
      </c>
      <c r="G1021" s="1921">
        <f>D1021-F1021</f>
        <v/>
      </c>
      <c r="H1021" s="1921">
        <f>E1021-F1021</f>
        <v/>
      </c>
    </row>
    <row r="1022" ht="14.25" customHeight="1">
      <c r="A1022" s="1936" t="inlineStr">
        <is>
          <t>13/05/2022</t>
        </is>
      </c>
      <c r="B1022" s="1563" t="n">
        <v>6598</v>
      </c>
      <c r="C1022" s="1938" t="inlineStr">
        <is>
          <t>350</t>
        </is>
      </c>
      <c r="D1022" s="1921">
        <f>B1022/B1023-1</f>
        <v/>
      </c>
      <c r="E1022" s="1921">
        <f>C1022/C1023-1</f>
        <v/>
      </c>
      <c r="F1022" s="1921">
        <f>$L$2/365</f>
        <v/>
      </c>
      <c r="G1022" s="1921">
        <f>D1022-F1022</f>
        <v/>
      </c>
      <c r="H1022" s="1921">
        <f>E1022-F1022</f>
        <v/>
      </c>
    </row>
    <row r="1023" ht="14.25" customHeight="1">
      <c r="A1023" s="1933" t="inlineStr">
        <is>
          <t>12/05/2022</t>
        </is>
      </c>
      <c r="B1023" s="1563" t="n">
        <v>6600</v>
      </c>
      <c r="C1023" s="1939" t="inlineStr">
        <is>
          <t>342</t>
        </is>
      </c>
      <c r="D1023" s="1921">
        <f>B1023/B1024-1</f>
        <v/>
      </c>
      <c r="E1023" s="1921">
        <f>C1023/C1024-1</f>
        <v/>
      </c>
      <c r="F1023" s="1921">
        <f>$L$2/365</f>
        <v/>
      </c>
      <c r="G1023" s="1921">
        <f>D1023-F1023</f>
        <v/>
      </c>
      <c r="H1023" s="1921">
        <f>E1023-F1023</f>
        <v/>
      </c>
    </row>
    <row r="1024" ht="14.25" customHeight="1">
      <c r="A1024" s="1936" t="inlineStr">
        <is>
          <t>11/05/2022</t>
        </is>
      </c>
      <c r="B1024" s="1563" t="n">
        <v>6816</v>
      </c>
      <c r="C1024" s="1938" t="inlineStr">
        <is>
          <t>358</t>
        </is>
      </c>
      <c r="D1024" s="1921">
        <f>B1024/B1025-1</f>
        <v/>
      </c>
      <c r="E1024" s="1921">
        <f>C1024/C1025-1</f>
        <v/>
      </c>
      <c r="F1024" s="1921">
        <f>$L$2/365</f>
        <v/>
      </c>
      <c r="G1024" s="1921">
        <f>D1024-F1024</f>
        <v/>
      </c>
      <c r="H1024" s="1921">
        <f>E1024-F1024</f>
        <v/>
      </c>
    </row>
    <row r="1025" ht="14.25" customHeight="1">
      <c r="A1025" s="1933" t="inlineStr">
        <is>
          <t>10/05/2022</t>
        </is>
      </c>
      <c r="B1025" s="1563" t="n">
        <v>6820</v>
      </c>
      <c r="C1025" s="1939" t="inlineStr">
        <is>
          <t>370</t>
        </is>
      </c>
      <c r="D1025" s="1921">
        <f>B1025/B1026-1</f>
        <v/>
      </c>
      <c r="E1025" s="1921">
        <f>C1025/C1026-1</f>
        <v/>
      </c>
      <c r="F1025" s="1921">
        <f>$L$2/365</f>
        <v/>
      </c>
      <c r="G1025" s="1921">
        <f>D1025-F1025</f>
        <v/>
      </c>
      <c r="H1025" s="1921">
        <f>E1025-F1025</f>
        <v/>
      </c>
    </row>
    <row r="1026" ht="14.25" customHeight="1">
      <c r="A1026" s="1936" t="inlineStr">
        <is>
          <t>09/05/2022</t>
        </is>
      </c>
      <c r="B1026" s="1563" t="n">
        <v>6910</v>
      </c>
      <c r="C1026" s="1938" t="inlineStr">
        <is>
          <t>368</t>
        </is>
      </c>
      <c r="D1026" s="1921">
        <f>B1026/B1027-1</f>
        <v/>
      </c>
      <c r="E1026" s="1921">
        <f>C1026/C1027-1</f>
        <v/>
      </c>
      <c r="F1026" s="1921">
        <f>$L$2/365</f>
        <v/>
      </c>
      <c r="G1026" s="1921">
        <f>D1026-F1026</f>
        <v/>
      </c>
      <c r="H1026" s="1921">
        <f>E1026-F1026</f>
        <v/>
      </c>
    </row>
    <row r="1027" ht="14.25" customHeight="1">
      <c r="A1027" s="1933" t="inlineStr">
        <is>
          <t>28/04/2022</t>
        </is>
      </c>
      <c r="B1027" s="1563" t="n">
        <v>7229</v>
      </c>
      <c r="C1027" s="1939" t="inlineStr">
        <is>
          <t>368</t>
        </is>
      </c>
      <c r="D1027" s="1921">
        <f>B1027/B1028-1</f>
        <v/>
      </c>
      <c r="E1027" s="1921">
        <f>C1027/C1028-1</f>
        <v/>
      </c>
      <c r="F1027" s="1921">
        <f>$L$2/365</f>
        <v/>
      </c>
      <c r="G1027" s="1921">
        <f>D1027-F1027</f>
        <v/>
      </c>
      <c r="H1027" s="1921">
        <f>E1027-F1027</f>
        <v/>
      </c>
    </row>
    <row r="1028" ht="14.25" customHeight="1">
      <c r="A1028" s="1936" t="inlineStr">
        <is>
          <t>27/04/2022</t>
        </is>
      </c>
      <c r="B1028" s="1563" t="n">
        <v>7197</v>
      </c>
      <c r="C1028" s="1938" t="inlineStr">
        <is>
          <t>370</t>
        </is>
      </c>
      <c r="D1028" s="1921">
        <f>B1028/B1029-1</f>
        <v/>
      </c>
      <c r="E1028" s="1921">
        <f>C1028/C1029-1</f>
        <v/>
      </c>
      <c r="F1028" s="1921">
        <f>$L$2/365</f>
        <v/>
      </c>
      <c r="G1028" s="1921">
        <f>D1028-F1028</f>
        <v/>
      </c>
      <c r="H1028" s="1921">
        <f>E1028-F1028</f>
        <v/>
      </c>
    </row>
    <row r="1029" ht="14.25" customHeight="1">
      <c r="A1029" s="1933" t="inlineStr">
        <is>
          <t>26/04/2022</t>
        </is>
      </c>
      <c r="B1029" s="1563" t="n">
        <v>7232</v>
      </c>
      <c r="C1029" s="1939" t="inlineStr">
        <is>
          <t>386</t>
        </is>
      </c>
      <c r="D1029" s="1921">
        <f>B1029/B1030-1</f>
        <v/>
      </c>
      <c r="E1029" s="1921">
        <f>C1029/C1030-1</f>
        <v/>
      </c>
      <c r="F1029" s="1921">
        <f>$L$2/365</f>
        <v/>
      </c>
      <c r="G1029" s="1921">
        <f>D1029-F1029</f>
        <v/>
      </c>
      <c r="H1029" s="1921">
        <f>E1029-F1029</f>
        <v/>
      </c>
    </row>
    <row r="1030" ht="14.25" customHeight="1">
      <c r="A1030" s="1936" t="inlineStr">
        <is>
          <t>25/04/2022</t>
        </is>
      </c>
      <c r="B1030" s="1563" t="n">
        <v>7216</v>
      </c>
      <c r="C1030" s="1938" t="inlineStr">
        <is>
          <t>386</t>
        </is>
      </c>
      <c r="D1030" s="1921">
        <f>B1030/B1031-1</f>
        <v/>
      </c>
      <c r="E1030" s="1921">
        <f>C1030/C1031-1</f>
        <v/>
      </c>
      <c r="F1030" s="1921">
        <f>$L$2/365</f>
        <v/>
      </c>
      <c r="G1030" s="1921">
        <f>D1030-F1030</f>
        <v/>
      </c>
      <c r="H1030" s="1921">
        <f>E1030-F1030</f>
        <v/>
      </c>
    </row>
    <row r="1031" ht="14.25" customHeight="1">
      <c r="A1031" s="1933" t="inlineStr">
        <is>
          <t>22/04/2022</t>
        </is>
      </c>
      <c r="B1031" s="1563" t="n">
        <v>7226</v>
      </c>
      <c r="C1031" s="1939" t="inlineStr">
        <is>
          <t>410</t>
        </is>
      </c>
      <c r="D1031" s="1921">
        <f>B1031/B1032-1</f>
        <v/>
      </c>
      <c r="E1031" s="1921">
        <f>C1031/C1032-1</f>
        <v/>
      </c>
      <c r="F1031" s="1921">
        <f>$L$2/365</f>
        <v/>
      </c>
      <c r="G1031" s="1921">
        <f>D1031-F1031</f>
        <v/>
      </c>
      <c r="H1031" s="1921">
        <f>E1031-F1031</f>
        <v/>
      </c>
    </row>
    <row r="1032" ht="14.25" customHeight="1">
      <c r="A1032" s="1936" t="inlineStr">
        <is>
          <t>21/04/2022</t>
        </is>
      </c>
      <c r="B1032" s="1563" t="n">
        <v>7276</v>
      </c>
      <c r="C1032" s="1938" t="inlineStr">
        <is>
          <t>382</t>
        </is>
      </c>
      <c r="D1032" s="1921">
        <f>B1032/B1033-1</f>
        <v/>
      </c>
      <c r="E1032" s="1921">
        <f>C1032/C1033-1</f>
        <v/>
      </c>
      <c r="F1032" s="1921">
        <f>$L$2/365</f>
        <v/>
      </c>
      <c r="G1032" s="1921">
        <f>D1032-F1032</f>
        <v/>
      </c>
      <c r="H1032" s="1921">
        <f>E1032-F1032</f>
        <v/>
      </c>
    </row>
    <row r="1033" ht="14.25" customHeight="1">
      <c r="A1033" s="1933" t="inlineStr">
        <is>
          <t>20/04/2022</t>
        </is>
      </c>
      <c r="B1033" s="1563" t="n">
        <v>7227</v>
      </c>
      <c r="C1033" s="1939" t="inlineStr">
        <is>
          <t>410</t>
        </is>
      </c>
      <c r="D1033" s="1921">
        <f>B1033/B1034-1</f>
        <v/>
      </c>
      <c r="E1033" s="1921">
        <f>C1033/C1034-1</f>
        <v/>
      </c>
      <c r="F1033" s="1921">
        <f>$L$2/365</f>
        <v/>
      </c>
      <c r="G1033" s="1921">
        <f>D1033-F1033</f>
        <v/>
      </c>
      <c r="H1033" s="1921">
        <f>E1033-F1033</f>
        <v/>
      </c>
    </row>
    <row r="1034" ht="14.25" customHeight="1">
      <c r="A1034" s="1936" t="inlineStr">
        <is>
          <t>19/04/2022</t>
        </is>
      </c>
      <c r="B1034" s="1563" t="n">
        <v>7199</v>
      </c>
      <c r="C1034" s="1938" t="inlineStr">
        <is>
          <t>384</t>
        </is>
      </c>
      <c r="D1034" s="1921">
        <f>B1034/B1035-1</f>
        <v/>
      </c>
      <c r="E1034" s="1921">
        <f>C1034/C1035-1</f>
        <v/>
      </c>
      <c r="F1034" s="1921">
        <f>$L$2/365</f>
        <v/>
      </c>
      <c r="G1034" s="1921">
        <f>D1034-F1034</f>
        <v/>
      </c>
      <c r="H1034" s="1921">
        <f>E1034-F1034</f>
        <v/>
      </c>
    </row>
    <row r="1035" ht="14.25" customHeight="1">
      <c r="A1035" s="1933" t="inlineStr">
        <is>
          <t>18/04/2022</t>
        </is>
      </c>
      <c r="B1035" s="1563" t="n">
        <v>7275</v>
      </c>
      <c r="C1035" s="1939" t="inlineStr">
        <is>
          <t>370</t>
        </is>
      </c>
      <c r="D1035" s="1921">
        <f>B1035/B1036-1</f>
        <v/>
      </c>
      <c r="E1035" s="1921">
        <f>C1035/C1036-1</f>
        <v/>
      </c>
      <c r="F1035" s="1921">
        <f>$L$2/365</f>
        <v/>
      </c>
      <c r="G1035" s="1921">
        <f>D1035-F1035</f>
        <v/>
      </c>
      <c r="H1035" s="1921">
        <f>E1035-F1035</f>
        <v/>
      </c>
    </row>
    <row r="1036" ht="14.25" customHeight="1">
      <c r="A1036" s="1936" t="inlineStr">
        <is>
          <t>14/04/2022</t>
        </is>
      </c>
      <c r="B1036" s="1563" t="n">
        <v>7236</v>
      </c>
      <c r="C1036" s="1938" t="inlineStr">
        <is>
          <t>396</t>
        </is>
      </c>
      <c r="D1036" s="1921">
        <f>B1036/B1037-1</f>
        <v/>
      </c>
      <c r="E1036" s="1921">
        <f>C1036/C1037-1</f>
        <v/>
      </c>
      <c r="F1036" s="1921">
        <f>$L$2/365</f>
        <v/>
      </c>
      <c r="G1036" s="1921">
        <f>D1036-F1036</f>
        <v/>
      </c>
      <c r="H1036" s="1921">
        <f>E1036-F1036</f>
        <v/>
      </c>
    </row>
    <row r="1037" ht="14.25" customHeight="1">
      <c r="A1037" s="1933" t="inlineStr">
        <is>
          <t>13/04/2022</t>
        </is>
      </c>
      <c r="B1037" s="1563" t="n">
        <v>7263</v>
      </c>
      <c r="C1037" s="1939" t="inlineStr">
        <is>
          <t>424</t>
        </is>
      </c>
      <c r="D1037" s="1921">
        <f>B1037/B1038-1</f>
        <v/>
      </c>
      <c r="E1037" s="1921">
        <f>C1037/C1038-1</f>
        <v/>
      </c>
      <c r="F1037" s="1921">
        <f>$L$2/365</f>
        <v/>
      </c>
      <c r="G1037" s="1921">
        <f>D1037-F1037</f>
        <v/>
      </c>
      <c r="H1037" s="1921">
        <f>E1037-F1037</f>
        <v/>
      </c>
    </row>
    <row r="1038" ht="14.25" customHeight="1">
      <c r="A1038" s="1936" t="inlineStr">
        <is>
          <t>12/04/2022</t>
        </is>
      </c>
      <c r="B1038" s="1563" t="n">
        <v>7215</v>
      </c>
      <c r="C1038" s="1938" t="inlineStr">
        <is>
          <t>454</t>
        </is>
      </c>
      <c r="D1038" s="1921">
        <f>B1038/B1039-1</f>
        <v/>
      </c>
      <c r="E1038" s="1921">
        <f>C1038/C1039-1</f>
        <v/>
      </c>
      <c r="F1038" s="1921">
        <f>$L$2/365</f>
        <v/>
      </c>
      <c r="G1038" s="1921">
        <f>D1038-F1038</f>
        <v/>
      </c>
      <c r="H1038" s="1921">
        <f>E1038-F1038</f>
        <v/>
      </c>
    </row>
    <row r="1039" ht="14.25" customHeight="1">
      <c r="A1039" s="1933" t="inlineStr">
        <is>
          <t>11/04/2022</t>
        </is>
      </c>
      <c r="B1039" s="1563" t="n">
        <v>7204</v>
      </c>
      <c r="C1039" s="1939" t="inlineStr">
        <is>
          <t>474</t>
        </is>
      </c>
      <c r="D1039" s="1921">
        <f>B1039/B1040-1</f>
        <v/>
      </c>
      <c r="E1039" s="1921">
        <f>C1039/C1040-1</f>
        <v/>
      </c>
      <c r="F1039" s="1921">
        <f>$L$2/365</f>
        <v/>
      </c>
      <c r="G1039" s="1921">
        <f>D1039-F1039</f>
        <v/>
      </c>
      <c r="H1039" s="1921">
        <f>E1039-F1039</f>
        <v/>
      </c>
    </row>
    <row r="1040" ht="14.25" customHeight="1">
      <c r="A1040" s="1936" t="inlineStr">
        <is>
          <t>08/04/2022</t>
        </is>
      </c>
      <c r="B1040" s="1563" t="n">
        <v>7211</v>
      </c>
      <c r="C1040" s="1938" t="inlineStr">
        <is>
          <t>488</t>
        </is>
      </c>
      <c r="D1040" s="1921">
        <f>B1040/B1041-1</f>
        <v/>
      </c>
      <c r="E1040" s="1921">
        <f>C1040/C1041-1</f>
        <v/>
      </c>
      <c r="F1040" s="1921">
        <f>$L$2/365</f>
        <v/>
      </c>
      <c r="G1040" s="1921">
        <f>D1040-F1040</f>
        <v/>
      </c>
      <c r="H1040" s="1921">
        <f>E1040-F1040</f>
        <v/>
      </c>
    </row>
    <row r="1041" ht="14.25" customHeight="1">
      <c r="A1041" s="1933" t="inlineStr">
        <is>
          <t>07/04/2022</t>
        </is>
      </c>
      <c r="B1041" s="1563" t="n">
        <v>7127</v>
      </c>
      <c r="C1041" s="1939" t="inlineStr">
        <is>
          <t>494</t>
        </is>
      </c>
      <c r="D1041" s="1921">
        <f>B1041/B1042-1</f>
        <v/>
      </c>
      <c r="E1041" s="1921">
        <f>C1041/C1042-1</f>
        <v/>
      </c>
      <c r="F1041" s="1921">
        <f>$L$2/365</f>
        <v/>
      </c>
      <c r="G1041" s="1921">
        <f>D1041-F1041</f>
        <v/>
      </c>
      <c r="H1041" s="1921">
        <f>E1041-F1041</f>
        <v/>
      </c>
    </row>
    <row r="1042" ht="14.25" customHeight="1">
      <c r="A1042" s="1936" t="inlineStr">
        <is>
          <t>06/04/2022</t>
        </is>
      </c>
      <c r="B1042" s="1563" t="n">
        <v>7104</v>
      </c>
      <c r="C1042" s="1938" t="inlineStr">
        <is>
          <t>492</t>
        </is>
      </c>
      <c r="D1042" s="1921">
        <f>B1042/B1043-1</f>
        <v/>
      </c>
      <c r="E1042" s="1921">
        <f>C1042/C1043-1</f>
        <v/>
      </c>
      <c r="F1042" s="1921">
        <f>$L$2/365</f>
        <v/>
      </c>
      <c r="G1042" s="1921">
        <f>D1042-F1042</f>
        <v/>
      </c>
      <c r="H1042" s="1921">
        <f>E1042-F1042</f>
        <v/>
      </c>
    </row>
    <row r="1043" ht="14.25" customHeight="1">
      <c r="A1043" s="1933" t="inlineStr">
        <is>
          <t>05/04/2022</t>
        </is>
      </c>
      <c r="B1043" s="1563" t="n">
        <v>7148</v>
      </c>
      <c r="C1043" s="1939" t="inlineStr">
        <is>
          <t>500</t>
        </is>
      </c>
      <c r="D1043" s="1921">
        <f>B1043/B1044-1</f>
        <v/>
      </c>
      <c r="E1043" s="1921">
        <f>C1043/C1044-1</f>
        <v/>
      </c>
      <c r="F1043" s="1921">
        <f>$L$2/365</f>
        <v/>
      </c>
      <c r="G1043" s="1921">
        <f>D1043-F1043</f>
        <v/>
      </c>
      <c r="H1043" s="1921">
        <f>E1043-F1043</f>
        <v/>
      </c>
    </row>
    <row r="1044" ht="14.25" customHeight="1">
      <c r="A1044" s="1936" t="inlineStr">
        <is>
          <t>04/04/2022</t>
        </is>
      </c>
      <c r="B1044" s="1563" t="n">
        <v>7116</v>
      </c>
      <c r="C1044" s="1938" t="inlineStr">
        <is>
          <t>500</t>
        </is>
      </c>
      <c r="D1044" s="1921">
        <f>B1044/B1045-1</f>
        <v/>
      </c>
      <c r="E1044" s="1921">
        <f>C1044/C1045-1</f>
        <v/>
      </c>
      <c r="F1044" s="1921">
        <f>$L$2/365</f>
        <v/>
      </c>
      <c r="G1044" s="1921">
        <f>D1044-F1044</f>
        <v/>
      </c>
      <c r="H1044" s="1921">
        <f>E1044-F1044</f>
        <v/>
      </c>
    </row>
    <row r="1045" ht="14.25" customHeight="1">
      <c r="A1045" s="1933" t="inlineStr">
        <is>
          <t>01/04/2022</t>
        </is>
      </c>
      <c r="B1045" s="1563" t="n">
        <v>7079</v>
      </c>
      <c r="C1045" s="1939" t="inlineStr">
        <is>
          <t>505</t>
        </is>
      </c>
      <c r="D1045" s="1921">
        <f>B1045/B1046-1</f>
        <v/>
      </c>
      <c r="E1045" s="1921">
        <f>C1045/C1046-1</f>
        <v/>
      </c>
      <c r="F1045" s="1921">
        <f>$L$2/365</f>
        <v/>
      </c>
      <c r="G1045" s="1921">
        <f>D1045-F1045</f>
        <v/>
      </c>
      <c r="H1045" s="1921">
        <f>E1045-F1045</f>
        <v/>
      </c>
    </row>
    <row r="1046" ht="14.25" customHeight="1">
      <c r="A1046" s="1936" t="inlineStr">
        <is>
          <t>31/03/2022</t>
        </is>
      </c>
      <c r="B1046" s="1563" t="n">
        <v>7071</v>
      </c>
      <c r="C1046" s="1938" t="inlineStr">
        <is>
          <t>505</t>
        </is>
      </c>
      <c r="D1046" s="1921">
        <f>B1046/B1047-1</f>
        <v/>
      </c>
      <c r="E1046" s="1921">
        <f>C1046/C1047-1</f>
        <v/>
      </c>
      <c r="F1046" s="1921">
        <f>$L$2/365</f>
        <v/>
      </c>
      <c r="G1046" s="1921">
        <f>D1046-F1046</f>
        <v/>
      </c>
      <c r="H1046" s="1921">
        <f>E1046-F1046</f>
        <v/>
      </c>
    </row>
    <row r="1047" ht="14.25" customHeight="1">
      <c r="A1047" s="1933" t="inlineStr">
        <is>
          <t>30/03/2022</t>
        </is>
      </c>
      <c r="B1047" s="1563" t="n">
        <v>7053</v>
      </c>
      <c r="C1047" s="1939" t="inlineStr">
        <is>
          <t>498</t>
        </is>
      </c>
      <c r="D1047" s="1921">
        <f>B1047/B1048-1</f>
        <v/>
      </c>
      <c r="E1047" s="1921">
        <f>C1047/C1048-1</f>
        <v/>
      </c>
      <c r="F1047" s="1921">
        <f>$L$2/365</f>
        <v/>
      </c>
      <c r="G1047" s="1921">
        <f>D1047-F1047</f>
        <v/>
      </c>
      <c r="H1047" s="1921">
        <f>E1047-F1047</f>
        <v/>
      </c>
    </row>
    <row r="1048" ht="14.25" customHeight="1">
      <c r="A1048" s="1936" t="inlineStr">
        <is>
          <t>29/03/2022</t>
        </is>
      </c>
      <c r="B1048" s="1563" t="n">
        <v>7012</v>
      </c>
      <c r="C1048" s="1938" t="inlineStr">
        <is>
          <t>492</t>
        </is>
      </c>
      <c r="D1048" s="1921">
        <f>B1048/B1049-1</f>
        <v/>
      </c>
      <c r="E1048" s="1921">
        <f>C1048/C1049-1</f>
        <v/>
      </c>
      <c r="F1048" s="1921">
        <f>$L$2/365</f>
        <v/>
      </c>
      <c r="G1048" s="1921">
        <f>D1048-F1048</f>
        <v/>
      </c>
      <c r="H1048" s="1921">
        <f>E1048-F1048</f>
        <v/>
      </c>
    </row>
    <row r="1049" ht="14.25" customHeight="1">
      <c r="A1049" s="1933" t="inlineStr">
        <is>
          <t>28/03/2022</t>
        </is>
      </c>
      <c r="B1049" s="1563" t="n">
        <v>7050</v>
      </c>
      <c r="C1049" s="1939" t="inlineStr">
        <is>
          <t>494</t>
        </is>
      </c>
      <c r="D1049" s="1921">
        <f>B1049/B1050-1</f>
        <v/>
      </c>
      <c r="E1049" s="1921">
        <f>C1049/C1050-1</f>
        <v/>
      </c>
      <c r="F1049" s="1921">
        <f>$L$2/365</f>
        <v/>
      </c>
      <c r="G1049" s="1921">
        <f>D1049-F1049</f>
        <v/>
      </c>
      <c r="H1049" s="1921">
        <f>E1049-F1049</f>
        <v/>
      </c>
    </row>
    <row r="1050" ht="14.25" customHeight="1">
      <c r="A1050" s="1936" t="inlineStr">
        <is>
          <t>25/03/2022</t>
        </is>
      </c>
      <c r="B1050" s="1563" t="n">
        <v>7003</v>
      </c>
      <c r="C1050" s="1938" t="inlineStr">
        <is>
          <t>494</t>
        </is>
      </c>
      <c r="D1050" s="1921">
        <f>B1050/B1051-1</f>
        <v/>
      </c>
      <c r="E1050" s="1921">
        <f>C1050/C1051-1</f>
        <v/>
      </c>
      <c r="F1050" s="1921">
        <f>$L$2/365</f>
        <v/>
      </c>
      <c r="G1050" s="1921">
        <f>D1050-F1050</f>
        <v/>
      </c>
      <c r="H1050" s="1921">
        <f>E1050-F1050</f>
        <v/>
      </c>
    </row>
    <row r="1051" ht="14.25" customHeight="1">
      <c r="A1051" s="1933" t="inlineStr">
        <is>
          <t>24/03/2022</t>
        </is>
      </c>
      <c r="B1051" s="1563" t="n">
        <v>7050</v>
      </c>
      <c r="C1051" s="1939" t="inlineStr">
        <is>
          <t>496</t>
        </is>
      </c>
      <c r="D1051" s="1921">
        <f>B1051/B1052-1</f>
        <v/>
      </c>
      <c r="E1051" s="1921">
        <f>C1051/C1052-1</f>
        <v/>
      </c>
      <c r="F1051" s="1921">
        <f>$L$2/365</f>
        <v/>
      </c>
      <c r="G1051" s="1921">
        <f>D1051-F1051</f>
        <v/>
      </c>
      <c r="H1051" s="1921">
        <f>E1051-F1051</f>
        <v/>
      </c>
    </row>
    <row r="1052" ht="14.25" customHeight="1">
      <c r="A1052" s="1936" t="inlineStr">
        <is>
          <t>23/03/2022</t>
        </is>
      </c>
      <c r="B1052" s="1563" t="n">
        <v>6996</v>
      </c>
      <c r="C1052" s="1938" t="inlineStr">
        <is>
          <t>496</t>
        </is>
      </c>
      <c r="D1052" s="1921">
        <f>B1052/B1053-1</f>
        <v/>
      </c>
      <c r="E1052" s="1921">
        <f>C1052/C1053-1</f>
        <v/>
      </c>
      <c r="F1052" s="1921">
        <f>$L$2/365</f>
        <v/>
      </c>
      <c r="G1052" s="1921">
        <f>D1052-F1052</f>
        <v/>
      </c>
      <c r="H1052" s="1921">
        <f>E1052-F1052</f>
        <v/>
      </c>
    </row>
    <row r="1053" ht="14.25" customHeight="1">
      <c r="A1053" s="1933" t="inlineStr">
        <is>
          <t>22/03/2022</t>
        </is>
      </c>
      <c r="B1053" s="1563" t="n">
        <v>7001</v>
      </c>
      <c r="C1053" s="1939" t="inlineStr">
        <is>
          <t>498</t>
        </is>
      </c>
      <c r="D1053" s="1921">
        <f>B1053/B1054-1</f>
        <v/>
      </c>
      <c r="E1053" s="1921">
        <f>C1053/C1054-1</f>
        <v/>
      </c>
      <c r="F1053" s="1921">
        <f>$L$2/365</f>
        <v/>
      </c>
      <c r="G1053" s="1921">
        <f>D1053-F1053</f>
        <v/>
      </c>
      <c r="H1053" s="1921">
        <f>E1053-F1053</f>
        <v/>
      </c>
    </row>
    <row r="1054" ht="14.25" customHeight="1">
      <c r="A1054" s="1936" t="inlineStr">
        <is>
          <t>21/03/2022</t>
        </is>
      </c>
      <c r="B1054" s="1563" t="n">
        <v>6955</v>
      </c>
      <c r="C1054" s="1938" t="inlineStr">
        <is>
          <t>500</t>
        </is>
      </c>
      <c r="D1054" s="1921">
        <f>B1054/B1055-1</f>
        <v/>
      </c>
      <c r="E1054" s="1921">
        <f>C1054/C1055-1</f>
        <v/>
      </c>
      <c r="F1054" s="1921">
        <f>$L$2/365</f>
        <v/>
      </c>
      <c r="G1054" s="1921">
        <f>D1054-F1054</f>
        <v/>
      </c>
      <c r="H1054" s="1921">
        <f>E1054-F1054</f>
        <v/>
      </c>
    </row>
    <row r="1055" ht="14.25" customHeight="1">
      <c r="A1055" s="1933" t="inlineStr">
        <is>
          <t>18/03/2022</t>
        </is>
      </c>
      <c r="B1055" s="1563" t="n">
        <v>6955</v>
      </c>
      <c r="C1055" s="1939" t="inlineStr">
        <is>
          <t>494</t>
        </is>
      </c>
      <c r="D1055" s="1921">
        <f>B1055/B1056-1</f>
        <v/>
      </c>
      <c r="E1055" s="1921">
        <f>C1055/C1056-1</f>
        <v/>
      </c>
      <c r="F1055" s="1921">
        <f>$L$2/365</f>
        <v/>
      </c>
      <c r="G1055" s="1921">
        <f>D1055-F1055</f>
        <v/>
      </c>
      <c r="H1055" s="1921">
        <f>E1055-F1055</f>
        <v/>
      </c>
    </row>
    <row r="1056" ht="14.25" customHeight="1">
      <c r="A1056" s="1936" t="inlineStr">
        <is>
          <t>17/03/2022</t>
        </is>
      </c>
      <c r="B1056" s="1563" t="n">
        <v>6964</v>
      </c>
      <c r="C1056" s="1938" t="inlineStr">
        <is>
          <t>496</t>
        </is>
      </c>
      <c r="D1056" s="1921">
        <f>B1056/B1057-1</f>
        <v/>
      </c>
      <c r="E1056" s="1921">
        <f>C1056/C1057-1</f>
        <v/>
      </c>
      <c r="F1056" s="1921">
        <f>$L$2/365</f>
        <v/>
      </c>
      <c r="G1056" s="1921">
        <f>D1056-F1056</f>
        <v/>
      </c>
      <c r="H1056" s="1921">
        <f>E1056-F1056</f>
        <v/>
      </c>
    </row>
    <row r="1057" ht="14.25" customHeight="1">
      <c r="A1057" s="1933" t="inlineStr">
        <is>
          <t>16/03/2022</t>
        </is>
      </c>
      <c r="B1057" s="1563" t="n">
        <v>6992</v>
      </c>
      <c r="C1057" s="1939" t="inlineStr">
        <is>
          <t>494</t>
        </is>
      </c>
      <c r="D1057" s="1921">
        <f>B1057/B1058-1</f>
        <v/>
      </c>
      <c r="E1057" s="1921">
        <f>C1057/C1058-1</f>
        <v/>
      </c>
      <c r="F1057" s="1921">
        <f>$L$2/365</f>
        <v/>
      </c>
      <c r="G1057" s="1921">
        <f>D1057-F1057</f>
        <v/>
      </c>
      <c r="H1057" s="1921">
        <f>E1057-F1057</f>
        <v/>
      </c>
    </row>
    <row r="1058" ht="14.25" customHeight="1">
      <c r="A1058" s="1936" t="inlineStr">
        <is>
          <t>15/03/2022</t>
        </is>
      </c>
      <c r="B1058" s="1563" t="n">
        <v>6918</v>
      </c>
      <c r="C1058" s="1938" t="inlineStr">
        <is>
          <t>494</t>
        </is>
      </c>
      <c r="D1058" s="1921">
        <f>B1058/B1059-1</f>
        <v/>
      </c>
      <c r="E1058" s="1921">
        <f>C1058/C1059-1</f>
        <v/>
      </c>
      <c r="F1058" s="1921">
        <f>$L$2/365</f>
        <v/>
      </c>
      <c r="G1058" s="1921">
        <f>D1058-F1058</f>
        <v/>
      </c>
      <c r="H1058" s="1921">
        <f>E1058-F1058</f>
        <v/>
      </c>
    </row>
    <row r="1059" ht="14.25" customHeight="1">
      <c r="A1059" s="1933" t="inlineStr">
        <is>
          <t>14/03/2022</t>
        </is>
      </c>
      <c r="B1059" s="1563" t="n">
        <v>6952</v>
      </c>
      <c r="C1059" s="1939" t="inlineStr">
        <is>
          <t>492</t>
        </is>
      </c>
      <c r="D1059" s="1921">
        <f>B1059/B1060-1</f>
        <v/>
      </c>
      <c r="E1059" s="1921">
        <f>C1059/C1060-1</f>
        <v/>
      </c>
      <c r="F1059" s="1921">
        <f>$L$2/365</f>
        <v/>
      </c>
      <c r="G1059" s="1921">
        <f>D1059-F1059</f>
        <v/>
      </c>
      <c r="H1059" s="1921">
        <f>E1059-F1059</f>
        <v/>
      </c>
    </row>
    <row r="1060" ht="14.25" customHeight="1">
      <c r="A1060" s="1936" t="inlineStr">
        <is>
          <t>11/03/2022</t>
        </is>
      </c>
      <c r="B1060" s="1563" t="n">
        <v>6923</v>
      </c>
      <c r="C1060" s="1938" t="inlineStr">
        <is>
          <t>498</t>
        </is>
      </c>
      <c r="D1060" s="1921">
        <f>B1060/B1061-1</f>
        <v/>
      </c>
      <c r="E1060" s="1921">
        <f>C1060/C1061-1</f>
        <v/>
      </c>
      <c r="F1060" s="1921">
        <f>$L$2/365</f>
        <v/>
      </c>
      <c r="G1060" s="1921">
        <f>D1060-F1060</f>
        <v/>
      </c>
      <c r="H1060" s="1921">
        <f>E1060-F1060</f>
        <v/>
      </c>
    </row>
    <row r="1061" ht="14.25" customHeight="1">
      <c r="A1061" s="1933" t="inlineStr">
        <is>
          <t>10/03/2022</t>
        </is>
      </c>
      <c r="B1061" s="1563" t="n">
        <v>6924</v>
      </c>
      <c r="C1061" s="1939" t="inlineStr">
        <is>
          <t>505</t>
        </is>
      </c>
      <c r="D1061" s="1921">
        <f>B1061/B1062-1</f>
        <v/>
      </c>
      <c r="E1061" s="1921">
        <f>C1061/C1062-1</f>
        <v/>
      </c>
      <c r="F1061" s="1921">
        <f>$L$2/365</f>
        <v/>
      </c>
      <c r="G1061" s="1921">
        <f>D1061-F1061</f>
        <v/>
      </c>
      <c r="H1061" s="1921">
        <f>E1061-F1061</f>
        <v/>
      </c>
    </row>
    <row r="1062" ht="14.25" customHeight="1">
      <c r="A1062" s="1936" t="inlineStr">
        <is>
          <t>09/03/2022</t>
        </is>
      </c>
      <c r="B1062" s="1563" t="n">
        <v>6864</v>
      </c>
      <c r="C1062" s="1938" t="inlineStr">
        <is>
          <t>500</t>
        </is>
      </c>
      <c r="D1062" s="1921">
        <f>B1062/B1063-1</f>
        <v/>
      </c>
      <c r="E1062" s="1921">
        <f>C1062/C1063-1</f>
        <v/>
      </c>
      <c r="F1062" s="1921">
        <f>$L$2/365</f>
        <v/>
      </c>
      <c r="G1062" s="1921">
        <f>D1062-F1062</f>
        <v/>
      </c>
      <c r="H1062" s="1921">
        <f>E1062-F1062</f>
        <v/>
      </c>
    </row>
    <row r="1063" ht="14.25" customHeight="1">
      <c r="A1063" s="1933" t="inlineStr">
        <is>
          <t>08/03/2022</t>
        </is>
      </c>
      <c r="B1063" s="1563" t="n">
        <v>6814</v>
      </c>
      <c r="C1063" s="1939" t="inlineStr">
        <is>
          <t>496</t>
        </is>
      </c>
      <c r="D1063" s="1921">
        <f>B1063/B1064-1</f>
        <v/>
      </c>
      <c r="E1063" s="1921">
        <f>C1063/C1064-1</f>
        <v/>
      </c>
      <c r="F1063" s="1921">
        <f>$L$2/365</f>
        <v/>
      </c>
      <c r="G1063" s="1921">
        <f>D1063-F1063</f>
        <v/>
      </c>
      <c r="H1063" s="1921">
        <f>E1063-F1063</f>
        <v/>
      </c>
    </row>
    <row r="1064" ht="14.25" customHeight="1">
      <c r="A1064" s="1936" t="inlineStr">
        <is>
          <t>07/03/2022</t>
        </is>
      </c>
      <c r="B1064" s="1563" t="n">
        <v>6869</v>
      </c>
      <c r="C1064" s="1938" t="inlineStr">
        <is>
          <t>498</t>
        </is>
      </c>
      <c r="D1064" s="1921">
        <f>B1064/B1065-1</f>
        <v/>
      </c>
      <c r="E1064" s="1921">
        <f>C1064/C1065-1</f>
        <v/>
      </c>
      <c r="F1064" s="1921">
        <f>$L$2/365</f>
        <v/>
      </c>
      <c r="G1064" s="1921">
        <f>D1064-F1064</f>
        <v/>
      </c>
      <c r="H1064" s="1921">
        <f>E1064-F1064</f>
        <v/>
      </c>
    </row>
    <row r="1065" ht="14.25" customHeight="1">
      <c r="A1065" s="1933" t="inlineStr">
        <is>
          <t>04/03/2022</t>
        </is>
      </c>
      <c r="B1065" s="1563" t="n">
        <v>6928</v>
      </c>
      <c r="C1065" s="1939" t="inlineStr">
        <is>
          <t>530</t>
        </is>
      </c>
      <c r="D1065" s="1921">
        <f>B1065/B1066-1</f>
        <v/>
      </c>
      <c r="E1065" s="1921">
        <f>C1065/C1066-1</f>
        <v/>
      </c>
      <c r="F1065" s="1921">
        <f>$L$2/365</f>
        <v/>
      </c>
      <c r="G1065" s="1921">
        <f>D1065-F1065</f>
        <v/>
      </c>
      <c r="H1065" s="1921">
        <f>E1065-F1065</f>
        <v/>
      </c>
    </row>
    <row r="1066" ht="14.25" customHeight="1">
      <c r="A1066" s="1936" t="inlineStr">
        <is>
          <t>02/03/2022</t>
        </is>
      </c>
      <c r="B1066" s="1563" t="n">
        <v>6868</v>
      </c>
      <c r="C1066" s="1938" t="inlineStr">
        <is>
          <t>525</t>
        </is>
      </c>
      <c r="D1066" s="1921">
        <f>B1066/B1067-1</f>
        <v/>
      </c>
      <c r="E1066" s="1921">
        <f>C1066/C1067-1</f>
        <v/>
      </c>
      <c r="F1066" s="1921">
        <f>$L$2/365</f>
        <v/>
      </c>
      <c r="G1066" s="1921">
        <f>D1066-F1066</f>
        <v/>
      </c>
      <c r="H1066" s="1921">
        <f>E1066-F1066</f>
        <v/>
      </c>
    </row>
    <row r="1067" ht="14.25" customHeight="1">
      <c r="A1067" s="1933" t="inlineStr">
        <is>
          <t>01/03/2022</t>
        </is>
      </c>
      <c r="B1067" s="1563" t="n">
        <v>6921</v>
      </c>
      <c r="C1067" s="1939" t="inlineStr">
        <is>
          <t>500</t>
        </is>
      </c>
      <c r="D1067" s="1921">
        <f>B1067/B1068-1</f>
        <v/>
      </c>
      <c r="E1067" s="1921">
        <f>C1067/C1068-1</f>
        <v/>
      </c>
      <c r="F1067" s="1921">
        <f>$L$2/365</f>
        <v/>
      </c>
      <c r="G1067" s="1921">
        <f>D1067-F1067</f>
        <v/>
      </c>
      <c r="H1067" s="1921">
        <f>E1067-F1067</f>
        <v/>
      </c>
    </row>
    <row r="1068" ht="14.25" customHeight="1">
      <c r="A1068" s="1936" t="inlineStr">
        <is>
          <t>25/02/2022</t>
        </is>
      </c>
      <c r="B1068" s="1563" t="n">
        <v>6888</v>
      </c>
      <c r="C1068" s="1938" t="inlineStr">
        <is>
          <t>500</t>
        </is>
      </c>
      <c r="D1068" s="1921">
        <f>B1068/B1069-1</f>
        <v/>
      </c>
      <c r="E1068" s="1921">
        <f>C1068/C1069-1</f>
        <v/>
      </c>
      <c r="F1068" s="1921">
        <f>$L$2/365</f>
        <v/>
      </c>
      <c r="G1068" s="1921">
        <f>D1068-F1068</f>
        <v/>
      </c>
      <c r="H1068" s="1921">
        <f>E1068-F1068</f>
        <v/>
      </c>
    </row>
    <row r="1069" ht="14.25" customHeight="1">
      <c r="A1069" s="1933" t="inlineStr">
        <is>
          <t>24/02/2022</t>
        </is>
      </c>
      <c r="B1069" s="1563" t="n">
        <v>6818</v>
      </c>
      <c r="C1069" s="1939" t="inlineStr">
        <is>
          <t>505</t>
        </is>
      </c>
      <c r="D1069" s="1921">
        <f>B1069/B1070-1</f>
        <v/>
      </c>
      <c r="E1069" s="1921">
        <f>C1069/C1070-1</f>
        <v/>
      </c>
      <c r="F1069" s="1921">
        <f>$L$2/365</f>
        <v/>
      </c>
      <c r="G1069" s="1921">
        <f>D1069-F1069</f>
        <v/>
      </c>
      <c r="H1069" s="1921">
        <f>E1069-F1069</f>
        <v/>
      </c>
    </row>
    <row r="1070" ht="14.25" customHeight="1">
      <c r="A1070" s="1936" t="inlineStr">
        <is>
          <t>23/02/2022</t>
        </is>
      </c>
      <c r="B1070" s="1563" t="n">
        <v>6920</v>
      </c>
      <c r="C1070" s="1938" t="inlineStr">
        <is>
          <t>540</t>
        </is>
      </c>
      <c r="D1070" s="1921">
        <f>B1070/B1071-1</f>
        <v/>
      </c>
      <c r="E1070" s="1921">
        <f>C1070/C1071-1</f>
        <v/>
      </c>
      <c r="F1070" s="1921">
        <f>$L$2/365</f>
        <v/>
      </c>
      <c r="G1070" s="1921">
        <f>D1070-F1070</f>
        <v/>
      </c>
      <c r="H1070" s="1921">
        <f>E1070-F1070</f>
        <v/>
      </c>
    </row>
    <row r="1071" ht="14.25" customHeight="1">
      <c r="A1071" s="1933" t="inlineStr">
        <is>
          <t>22/02/2022</t>
        </is>
      </c>
      <c r="B1071" s="1563" t="n">
        <v>6862</v>
      </c>
      <c r="C1071" s="1939" t="inlineStr">
        <is>
          <t>545</t>
        </is>
      </c>
      <c r="D1071" s="1921">
        <f>B1071/B1072-1</f>
        <v/>
      </c>
      <c r="E1071" s="1921">
        <f>C1071/C1072-1</f>
        <v/>
      </c>
      <c r="F1071" s="1921">
        <f>$L$2/365</f>
        <v/>
      </c>
      <c r="G1071" s="1921">
        <f>D1071-F1071</f>
        <v/>
      </c>
      <c r="H1071" s="1921">
        <f>E1071-F1071</f>
        <v/>
      </c>
    </row>
    <row r="1072" ht="14.25" customHeight="1">
      <c r="A1072" s="1936" t="inlineStr">
        <is>
          <t>21/02/2022</t>
        </is>
      </c>
      <c r="B1072" s="1563" t="n">
        <v>6903</v>
      </c>
      <c r="C1072" s="1938" t="inlineStr">
        <is>
          <t>550</t>
        </is>
      </c>
      <c r="D1072" s="1921">
        <f>B1072/B1073-1</f>
        <v/>
      </c>
      <c r="E1072" s="1921">
        <f>C1072/C1073-1</f>
        <v/>
      </c>
      <c r="F1072" s="1921">
        <f>$L$2/365</f>
        <v/>
      </c>
      <c r="G1072" s="1921">
        <f>D1072-F1072</f>
        <v/>
      </c>
      <c r="H1072" s="1921">
        <f>E1072-F1072</f>
        <v/>
      </c>
    </row>
    <row r="1073" ht="14.25" customHeight="1">
      <c r="A1073" s="1933" t="inlineStr">
        <is>
          <t>18/02/2022</t>
        </is>
      </c>
      <c r="B1073" s="1563" t="n">
        <v>6893</v>
      </c>
      <c r="C1073" s="1939" t="inlineStr">
        <is>
          <t>575</t>
        </is>
      </c>
      <c r="D1073" s="1921">
        <f>B1073/B1074-1</f>
        <v/>
      </c>
      <c r="E1073" s="1921">
        <f>C1073/C1074-1</f>
        <v/>
      </c>
      <c r="F1073" s="1921">
        <f>$L$2/365</f>
        <v/>
      </c>
      <c r="G1073" s="1921">
        <f>D1073-F1073</f>
        <v/>
      </c>
      <c r="H1073" s="1921">
        <f>E1073-F1073</f>
        <v/>
      </c>
    </row>
    <row r="1074" ht="14.25" customHeight="1">
      <c r="A1074" s="1936" t="inlineStr">
        <is>
          <t>17/02/2022</t>
        </is>
      </c>
      <c r="B1074" s="1563" t="n">
        <v>6835</v>
      </c>
      <c r="C1074" s="1938" t="inlineStr">
        <is>
          <t>575</t>
        </is>
      </c>
      <c r="D1074" s="1921">
        <f>B1074/B1075-1</f>
        <v/>
      </c>
      <c r="E1074" s="1921">
        <f>C1074/C1075-1</f>
        <v/>
      </c>
      <c r="F1074" s="1921">
        <f>$L$2/365</f>
        <v/>
      </c>
      <c r="G1074" s="1921">
        <f>D1074-F1074</f>
        <v/>
      </c>
      <c r="H1074" s="1921">
        <f>E1074-F1074</f>
        <v/>
      </c>
    </row>
    <row r="1075" ht="14.25" customHeight="1">
      <c r="A1075" s="1933" t="inlineStr">
        <is>
          <t>16/02/2022</t>
        </is>
      </c>
      <c r="B1075" s="1563" t="n">
        <v>6850</v>
      </c>
      <c r="C1075" s="1939" t="inlineStr">
        <is>
          <t>585</t>
        </is>
      </c>
      <c r="D1075" s="1921">
        <f>B1075/B1076-1</f>
        <v/>
      </c>
      <c r="E1075" s="1921">
        <f>C1075/C1076-1</f>
        <v/>
      </c>
      <c r="F1075" s="1921">
        <f>$L$2/365</f>
        <v/>
      </c>
      <c r="G1075" s="1921">
        <f>D1075-F1075</f>
        <v/>
      </c>
      <c r="H1075" s="1921">
        <f>E1075-F1075</f>
        <v/>
      </c>
    </row>
    <row r="1076" ht="14.25" customHeight="1">
      <c r="A1076" s="1936" t="inlineStr">
        <is>
          <t>15/02/2022</t>
        </is>
      </c>
      <c r="B1076" s="1563" t="n">
        <v>6808</v>
      </c>
      <c r="C1076" s="1938" t="inlineStr">
        <is>
          <t>585</t>
        </is>
      </c>
      <c r="D1076" s="1921">
        <f>B1076/B1077-1</f>
        <v/>
      </c>
      <c r="E1076" s="1921">
        <f>C1076/C1077-1</f>
        <v/>
      </c>
      <c r="F1076" s="1921">
        <f>$L$2/365</f>
        <v/>
      </c>
      <c r="G1076" s="1921">
        <f>D1076-F1076</f>
        <v/>
      </c>
      <c r="H1076" s="1921">
        <f>E1076-F1076</f>
        <v/>
      </c>
    </row>
    <row r="1077" ht="14.25" customHeight="1">
      <c r="A1077" s="1933" t="inlineStr">
        <is>
          <t>14/02/2022</t>
        </is>
      </c>
      <c r="B1077" s="1563" t="n">
        <v>6734</v>
      </c>
      <c r="C1077" s="1939" t="inlineStr">
        <is>
          <t>585</t>
        </is>
      </c>
      <c r="D1077" s="1921">
        <f>B1077/B1078-1</f>
        <v/>
      </c>
      <c r="E1077" s="1921">
        <f>C1077/C1078-1</f>
        <v/>
      </c>
      <c r="F1077" s="1921">
        <f>$L$2/365</f>
        <v/>
      </c>
      <c r="G1077" s="1921">
        <f>D1077-F1077</f>
        <v/>
      </c>
      <c r="H1077" s="1921">
        <f>E1077-F1077</f>
        <v/>
      </c>
    </row>
    <row r="1078" ht="14.25" customHeight="1">
      <c r="A1078" s="1936" t="inlineStr">
        <is>
          <t>11/02/2022</t>
        </is>
      </c>
      <c r="B1078" s="1563" t="n">
        <v>6816</v>
      </c>
      <c r="C1078" s="1938" t="inlineStr">
        <is>
          <t>585</t>
        </is>
      </c>
      <c r="D1078" s="1921">
        <f>B1078/B1079-1</f>
        <v/>
      </c>
      <c r="E1078" s="1921">
        <f>C1078/C1079-1</f>
        <v/>
      </c>
      <c r="F1078" s="1921">
        <f>$L$2/365</f>
        <v/>
      </c>
      <c r="G1078" s="1921">
        <f>D1078-F1078</f>
        <v/>
      </c>
      <c r="H1078" s="1921">
        <f>E1078-F1078</f>
        <v/>
      </c>
    </row>
    <row r="1079" ht="14.25" customHeight="1">
      <c r="A1079" s="1933" t="inlineStr">
        <is>
          <t>10/02/2022</t>
        </is>
      </c>
      <c r="B1079" s="1563" t="n">
        <v>6824</v>
      </c>
      <c r="C1079" s="1939" t="inlineStr">
        <is>
          <t>585</t>
        </is>
      </c>
      <c r="D1079" s="1921">
        <f>B1079/B1080-1</f>
        <v/>
      </c>
      <c r="E1079" s="1921">
        <f>C1079/C1080-1</f>
        <v/>
      </c>
      <c r="F1079" s="1921">
        <f>$L$2/365</f>
        <v/>
      </c>
      <c r="G1079" s="1921">
        <f>D1079-F1079</f>
        <v/>
      </c>
      <c r="H1079" s="1921">
        <f>E1079-F1079</f>
        <v/>
      </c>
    </row>
    <row r="1080" ht="14.25" customHeight="1">
      <c r="A1080" s="1936" t="inlineStr">
        <is>
          <t>09/02/2022</t>
        </is>
      </c>
      <c r="B1080" s="1563" t="n">
        <v>6835</v>
      </c>
      <c r="C1080" s="1938" t="inlineStr">
        <is>
          <t>580</t>
        </is>
      </c>
      <c r="D1080" s="1921">
        <f>B1080/B1081-1</f>
        <v/>
      </c>
      <c r="E1080" s="1921">
        <f>C1080/C1081-1</f>
        <v/>
      </c>
      <c r="F1080" s="1921">
        <f>$L$2/365</f>
        <v/>
      </c>
      <c r="G1080" s="1921">
        <f>D1080-F1080</f>
        <v/>
      </c>
      <c r="H1080" s="1921">
        <f>E1080-F1080</f>
        <v/>
      </c>
    </row>
    <row r="1081" ht="14.25" customHeight="1">
      <c r="A1081" s="1933" t="inlineStr">
        <is>
          <t>08/02/2022</t>
        </is>
      </c>
      <c r="B1081" s="1563" t="n">
        <v>6790</v>
      </c>
      <c r="C1081" s="1939" t="inlineStr">
        <is>
          <t>585</t>
        </is>
      </c>
      <c r="D1081" s="1921">
        <f>B1081/B1082-1</f>
        <v/>
      </c>
      <c r="E1081" s="1921">
        <f>C1081/C1082-1</f>
        <v/>
      </c>
      <c r="F1081" s="1921">
        <f>$L$2/365</f>
        <v/>
      </c>
      <c r="G1081" s="1921">
        <f>D1081-F1081</f>
        <v/>
      </c>
      <c r="H1081" s="1921">
        <f>E1081-F1081</f>
        <v/>
      </c>
    </row>
    <row r="1082" ht="14.25" customHeight="1">
      <c r="A1082" s="1936" t="inlineStr">
        <is>
          <t>07/02/2022</t>
        </is>
      </c>
      <c r="B1082" s="1563" t="n">
        <v>6805</v>
      </c>
      <c r="C1082" s="1938" t="inlineStr">
        <is>
          <t>600</t>
        </is>
      </c>
      <c r="D1082" s="1921">
        <f>B1082/B1083-1</f>
        <v/>
      </c>
      <c r="E1082" s="1921">
        <f>C1082/C1083-1</f>
        <v/>
      </c>
      <c r="F1082" s="1921">
        <f>$L$2/365</f>
        <v/>
      </c>
      <c r="G1082" s="1921">
        <f>D1082-F1082</f>
        <v/>
      </c>
      <c r="H1082" s="1921">
        <f>E1082-F1082</f>
        <v/>
      </c>
    </row>
    <row r="1083" ht="14.25" customHeight="1">
      <c r="A1083" s="1933" t="inlineStr">
        <is>
          <t>04/02/2022</t>
        </is>
      </c>
      <c r="B1083" s="1563" t="n">
        <v>6731</v>
      </c>
      <c r="C1083" s="1939" t="inlineStr">
        <is>
          <t>590</t>
        </is>
      </c>
      <c r="D1083" s="1921">
        <f>B1083/B1084-1</f>
        <v/>
      </c>
      <c r="E1083" s="1921">
        <f>C1083/C1084-1</f>
        <v/>
      </c>
      <c r="F1083" s="1921">
        <f>$L$2/365</f>
        <v/>
      </c>
      <c r="G1083" s="1921">
        <f>D1083-F1083</f>
        <v/>
      </c>
      <c r="H1083" s="1921">
        <f>E1083-F1083</f>
        <v/>
      </c>
    </row>
    <row r="1084" ht="14.25" customHeight="1">
      <c r="A1084" s="1936" t="inlineStr">
        <is>
          <t>03/02/2022</t>
        </is>
      </c>
      <c r="B1084" s="1563" t="n">
        <v>6684</v>
      </c>
      <c r="C1084" s="1938" t="inlineStr">
        <is>
          <t>625</t>
        </is>
      </c>
      <c r="D1084" s="1921">
        <f>B1084/B1085-1</f>
        <v/>
      </c>
      <c r="E1084" s="1921">
        <f>C1084/C1085-1</f>
        <v/>
      </c>
      <c r="F1084" s="1921">
        <f>$L$2/365</f>
        <v/>
      </c>
      <c r="G1084" s="1921">
        <f>D1084-F1084</f>
        <v/>
      </c>
      <c r="H1084" s="1921">
        <f>E1084-F1084</f>
        <v/>
      </c>
    </row>
    <row r="1085" ht="14.25" customHeight="1">
      <c r="A1085" s="1933" t="inlineStr">
        <is>
          <t>02/02/2022</t>
        </is>
      </c>
      <c r="B1085" s="1563" t="n">
        <v>6708</v>
      </c>
      <c r="C1085" s="1939" t="inlineStr">
        <is>
          <t>640</t>
        </is>
      </c>
      <c r="D1085" s="1921">
        <f>B1085/B1086-1</f>
        <v/>
      </c>
      <c r="E1085" s="1921">
        <f>C1085/C1086-1</f>
        <v/>
      </c>
      <c r="F1085" s="1921">
        <f>$L$2/365</f>
        <v/>
      </c>
      <c r="G1085" s="1921">
        <f>D1085-F1085</f>
        <v/>
      </c>
      <c r="H1085" s="1921">
        <f>E1085-F1085</f>
        <v/>
      </c>
    </row>
    <row r="1086" ht="14.25" customHeight="1">
      <c r="A1086" s="1936" t="inlineStr">
        <is>
          <t>31/01/2022</t>
        </is>
      </c>
      <c r="B1086" s="1563" t="n">
        <v>6631</v>
      </c>
      <c r="C1086" s="1938" t="inlineStr">
        <is>
          <t>610</t>
        </is>
      </c>
      <c r="D1086" s="1921">
        <f>B1086/B1087-1</f>
        <v/>
      </c>
      <c r="E1086" s="1921">
        <f>C1086/C1087-1</f>
        <v/>
      </c>
      <c r="F1086" s="1921">
        <f>$L$2/365</f>
        <v/>
      </c>
      <c r="G1086" s="1921">
        <f>D1086-F1086</f>
        <v/>
      </c>
      <c r="H1086" s="1921">
        <f>E1086-F1086</f>
        <v/>
      </c>
    </row>
    <row r="1087" ht="14.25" customHeight="1">
      <c r="A1087" s="1933" t="inlineStr">
        <is>
          <t>28/01/2022</t>
        </is>
      </c>
      <c r="B1087" s="1563" t="n">
        <v>6646</v>
      </c>
      <c r="C1087" s="1939" t="inlineStr">
        <is>
          <t>615</t>
        </is>
      </c>
      <c r="D1087" s="1921">
        <f>B1087/B1088-1</f>
        <v/>
      </c>
      <c r="E1087" s="1921">
        <f>C1087/C1088-1</f>
        <v/>
      </c>
      <c r="F1087" s="1921">
        <f>$L$2/365</f>
        <v/>
      </c>
      <c r="G1087" s="1921">
        <f>D1087-F1087</f>
        <v/>
      </c>
      <c r="H1087" s="1921">
        <f>E1087-F1087</f>
        <v/>
      </c>
    </row>
    <row r="1088" ht="14.25" customHeight="1">
      <c r="A1088" s="1936" t="inlineStr">
        <is>
          <t>27/01/2022</t>
        </is>
      </c>
      <c r="B1088" s="1563" t="n">
        <v>6611</v>
      </c>
      <c r="C1088" s="1938" t="inlineStr">
        <is>
          <t>580</t>
        </is>
      </c>
      <c r="D1088" s="1921">
        <f>B1088/B1089-1</f>
        <v/>
      </c>
      <c r="E1088" s="1921">
        <f>C1088/C1089-1</f>
        <v/>
      </c>
      <c r="F1088" s="1921">
        <f>$L$2/365</f>
        <v/>
      </c>
      <c r="G1088" s="1921">
        <f>D1088-F1088</f>
        <v/>
      </c>
      <c r="H1088" s="1921">
        <f>E1088-F1088</f>
        <v/>
      </c>
    </row>
    <row r="1089" ht="14.25" customHeight="1">
      <c r="A1089" s="1933" t="inlineStr">
        <is>
          <t>26/01/2022</t>
        </is>
      </c>
      <c r="B1089" s="1563" t="n">
        <v>6601</v>
      </c>
      <c r="C1089" s="1939" t="inlineStr">
        <is>
          <t>565</t>
        </is>
      </c>
      <c r="D1089" s="1921">
        <f>B1089/B1090-1</f>
        <v/>
      </c>
      <c r="E1089" s="1921">
        <f>C1089/C1090-1</f>
        <v/>
      </c>
      <c r="F1089" s="1921">
        <f>$L$2/365</f>
        <v/>
      </c>
      <c r="G1089" s="1921">
        <f>D1089-F1089</f>
        <v/>
      </c>
      <c r="H1089" s="1921">
        <f>E1089-F1089</f>
        <v/>
      </c>
    </row>
    <row r="1090" ht="14.25" customHeight="1">
      <c r="A1090" s="1936" t="inlineStr">
        <is>
          <t>25/01/2022</t>
        </is>
      </c>
      <c r="B1090" s="1563" t="n">
        <v>6568</v>
      </c>
      <c r="C1090" s="1938" t="inlineStr">
        <is>
          <t>570</t>
        </is>
      </c>
      <c r="D1090" s="1921">
        <f>B1090/B1091-1</f>
        <v/>
      </c>
      <c r="E1090" s="1921">
        <f>C1090/C1091-1</f>
        <v/>
      </c>
      <c r="F1090" s="1921">
        <f>$L$2/365</f>
        <v/>
      </c>
      <c r="G1090" s="1921">
        <f>D1090-F1090</f>
        <v/>
      </c>
      <c r="H1090" s="1921">
        <f>E1090-F1090</f>
        <v/>
      </c>
    </row>
    <row r="1091" ht="14.25" customHeight="1">
      <c r="A1091" s="1933" t="inlineStr">
        <is>
          <t>24/01/2022</t>
        </is>
      </c>
      <c r="B1091" s="1563" t="n">
        <v>6655</v>
      </c>
      <c r="C1091" s="1939" t="inlineStr">
        <is>
          <t>575</t>
        </is>
      </c>
      <c r="D1091" s="1921">
        <f>B1091/B1092-1</f>
        <v/>
      </c>
      <c r="E1091" s="1921">
        <f>C1091/C1092-1</f>
        <v/>
      </c>
      <c r="F1091" s="1921">
        <f>$L$2/365</f>
        <v/>
      </c>
      <c r="G1091" s="1921">
        <f>D1091-F1091</f>
        <v/>
      </c>
      <c r="H1091" s="1921">
        <f>E1091-F1091</f>
        <v/>
      </c>
    </row>
    <row r="1092" ht="14.25" customHeight="1">
      <c r="A1092" s="1936" t="inlineStr">
        <is>
          <t>21/01/2022</t>
        </is>
      </c>
      <c r="B1092" s="1563" t="n">
        <v>6726</v>
      </c>
      <c r="C1092" s="1938" t="inlineStr">
        <is>
          <t>595</t>
        </is>
      </c>
      <c r="D1092" s="1921">
        <f>B1092/B1093-1</f>
        <v/>
      </c>
      <c r="E1092" s="1921">
        <f>C1092/C1093-1</f>
        <v/>
      </c>
      <c r="F1092" s="1921">
        <f>$L$2/365</f>
        <v/>
      </c>
      <c r="G1092" s="1921">
        <f>D1092-F1092</f>
        <v/>
      </c>
      <c r="H1092" s="1921">
        <f>E1092-F1092</f>
        <v/>
      </c>
    </row>
    <row r="1093" ht="14.25" customHeight="1">
      <c r="A1093" s="1933" t="inlineStr">
        <is>
          <t>20/01/2022</t>
        </is>
      </c>
      <c r="B1093" s="1563" t="n">
        <v>6627</v>
      </c>
      <c r="C1093" s="1939" t="inlineStr">
        <is>
          <t>565</t>
        </is>
      </c>
      <c r="D1093" s="1921">
        <f>B1093/B1094-1</f>
        <v/>
      </c>
      <c r="E1093" s="1921">
        <f>C1093/C1094-1</f>
        <v/>
      </c>
      <c r="F1093" s="1921">
        <f>$L$2/365</f>
        <v/>
      </c>
      <c r="G1093" s="1921">
        <f>D1093-F1093</f>
        <v/>
      </c>
      <c r="H1093" s="1921">
        <f>E1093-F1093</f>
        <v/>
      </c>
    </row>
    <row r="1094" ht="14.25" customHeight="1">
      <c r="A1094" s="1936" t="inlineStr">
        <is>
          <t>19/01/2022</t>
        </is>
      </c>
      <c r="B1094" s="1563" t="n">
        <v>6592</v>
      </c>
      <c r="C1094" s="1938" t="inlineStr">
        <is>
          <t>560</t>
        </is>
      </c>
      <c r="D1094" s="1921">
        <f>B1094/B1095-1</f>
        <v/>
      </c>
      <c r="E1094" s="1921">
        <f>C1094/C1095-1</f>
        <v/>
      </c>
      <c r="F1094" s="1921">
        <f>$L$2/365</f>
        <v/>
      </c>
      <c r="G1094" s="1921">
        <f>D1094-F1094</f>
        <v/>
      </c>
      <c r="H1094" s="1921">
        <f>E1094-F1094</f>
        <v/>
      </c>
    </row>
    <row r="1095" ht="14.25" customHeight="1">
      <c r="A1095" s="1933" t="inlineStr">
        <is>
          <t>18/01/2022</t>
        </is>
      </c>
      <c r="B1095" s="1563" t="n">
        <v>6614</v>
      </c>
      <c r="C1095" s="1939" t="inlineStr">
        <is>
          <t>565</t>
        </is>
      </c>
      <c r="D1095" s="1921">
        <f>B1095/B1096-1</f>
        <v/>
      </c>
      <c r="E1095" s="1921">
        <f>C1095/C1096-1</f>
        <v/>
      </c>
      <c r="F1095" s="1921">
        <f>$L$2/365</f>
        <v/>
      </c>
      <c r="G1095" s="1921">
        <f>D1095-F1095</f>
        <v/>
      </c>
      <c r="H1095" s="1921">
        <f>E1095-F1095</f>
        <v/>
      </c>
    </row>
    <row r="1096" ht="14.25" customHeight="1">
      <c r="A1096" s="1936" t="inlineStr">
        <is>
          <t>17/01/2022</t>
        </is>
      </c>
      <c r="B1096" s="1563" t="n">
        <v>6645</v>
      </c>
      <c r="C1096" s="1938" t="inlineStr">
        <is>
          <t>530</t>
        </is>
      </c>
      <c r="D1096" s="1921">
        <f>B1096/B1097-1</f>
        <v/>
      </c>
      <c r="E1096" s="1921">
        <f>C1096/C1097-1</f>
        <v/>
      </c>
      <c r="F1096" s="1921">
        <f>$L$2/365</f>
        <v/>
      </c>
      <c r="G1096" s="1921">
        <f>D1096-F1096</f>
        <v/>
      </c>
      <c r="H1096" s="1921">
        <f>E1096-F1096</f>
        <v/>
      </c>
    </row>
    <row r="1097" ht="14.25" customHeight="1">
      <c r="A1097" s="1933" t="inlineStr">
        <is>
          <t>14/01/2022</t>
        </is>
      </c>
      <c r="B1097" s="1563" t="n">
        <v>6693</v>
      </c>
      <c r="C1097" s="1939" t="inlineStr">
        <is>
          <t>525</t>
        </is>
      </c>
      <c r="D1097" s="1921">
        <f>B1097/B1098-1</f>
        <v/>
      </c>
      <c r="E1097" s="1921">
        <f>C1097/C1098-1</f>
        <v/>
      </c>
      <c r="F1097" s="1921">
        <f>$L$2/365</f>
        <v/>
      </c>
      <c r="G1097" s="1921">
        <f>D1097-F1097</f>
        <v/>
      </c>
      <c r="H1097" s="1921">
        <f>E1097-F1097</f>
        <v/>
      </c>
    </row>
    <row r="1098" ht="14.25" customHeight="1">
      <c r="A1098" s="1936" t="inlineStr">
        <is>
          <t>13/01/2022</t>
        </is>
      </c>
      <c r="B1098" s="1563" t="n">
        <v>6658</v>
      </c>
      <c r="C1098" s="1938" t="inlineStr">
        <is>
          <t>486</t>
        </is>
      </c>
      <c r="D1098" s="1921">
        <f>B1098/B1099-1</f>
        <v/>
      </c>
      <c r="E1098" s="1921">
        <f>C1098/C1099-1</f>
        <v/>
      </c>
      <c r="F1098" s="1921">
        <f>$L$2/365</f>
        <v/>
      </c>
      <c r="G1098" s="1921">
        <f>D1098-F1098</f>
        <v/>
      </c>
      <c r="H1098" s="1921">
        <f>E1098-F1098</f>
        <v/>
      </c>
    </row>
    <row r="1099" ht="14.25" customHeight="1">
      <c r="A1099" s="1933" t="inlineStr">
        <is>
          <t>12/01/2022</t>
        </is>
      </c>
      <c r="B1099" s="1563" t="n">
        <v>6647</v>
      </c>
      <c r="C1099" s="1939" t="inlineStr">
        <is>
          <t>480</t>
        </is>
      </c>
      <c r="D1099" s="1921">
        <f>B1099/B1100-1</f>
        <v/>
      </c>
      <c r="E1099" s="1921">
        <f>C1099/C1100-1</f>
        <v/>
      </c>
      <c r="F1099" s="1921">
        <f>$L$2/365</f>
        <v/>
      </c>
      <c r="G1099" s="1921">
        <f>D1099-F1099</f>
        <v/>
      </c>
      <c r="H1099" s="1921">
        <f>E1099-F1099</f>
        <v/>
      </c>
    </row>
    <row r="1100" ht="14.25" customHeight="1">
      <c r="A1100" s="1936" t="inlineStr">
        <is>
          <t>11/01/2022</t>
        </is>
      </c>
      <c r="B1100" s="1563" t="n">
        <v>6648</v>
      </c>
      <c r="C1100" s="1938" t="inlineStr">
        <is>
          <t>496</t>
        </is>
      </c>
      <c r="D1100" s="1921">
        <f>B1100/B1101-1</f>
        <v/>
      </c>
      <c r="E1100" s="1921">
        <f>C1100/C1101-1</f>
        <v/>
      </c>
      <c r="F1100" s="1921">
        <f>$L$2/365</f>
        <v/>
      </c>
      <c r="G1100" s="1921">
        <f>D1100-F1100</f>
        <v/>
      </c>
      <c r="H1100" s="1921">
        <f>E1100-F1100</f>
        <v/>
      </c>
    </row>
    <row r="1101" ht="14.25" customHeight="1">
      <c r="A1101" s="1933" t="inlineStr">
        <is>
          <t>10/01/2022</t>
        </is>
      </c>
      <c r="B1101" s="1563" t="n">
        <v>6691</v>
      </c>
      <c r="C1101" s="1939" t="inlineStr">
        <is>
          <t>498</t>
        </is>
      </c>
      <c r="D1101" s="1921">
        <f>B1101/B1102-1</f>
        <v/>
      </c>
      <c r="E1101" s="1921">
        <f>C1101/C1102-1</f>
        <v/>
      </c>
      <c r="F1101" s="1921">
        <f>$L$2/365</f>
        <v/>
      </c>
      <c r="G1101" s="1921">
        <f>D1101-F1101</f>
        <v/>
      </c>
      <c r="H1101" s="1921">
        <f>E1101-F1101</f>
        <v/>
      </c>
    </row>
    <row r="1102" ht="14.25" customHeight="1">
      <c r="A1102" s="1936" t="inlineStr">
        <is>
          <t>07/01/2022</t>
        </is>
      </c>
      <c r="B1102" s="1563" t="n">
        <v>6701</v>
      </c>
      <c r="C1102" s="1938" t="inlineStr">
        <is>
          <t>510</t>
        </is>
      </c>
      <c r="D1102" s="1921">
        <f>B1102/B1103-1</f>
        <v/>
      </c>
      <c r="E1102" s="1921">
        <f>C1102/C1103-1</f>
        <v/>
      </c>
      <c r="F1102" s="1921">
        <f>$L$2/365</f>
        <v/>
      </c>
      <c r="G1102" s="1921">
        <f>D1102-F1102</f>
        <v/>
      </c>
      <c r="H1102" s="1921">
        <f>E1102-F1102</f>
        <v/>
      </c>
    </row>
    <row r="1103" ht="14.25" customHeight="1">
      <c r="A1103" s="1933" t="inlineStr">
        <is>
          <t>06/01/2022</t>
        </is>
      </c>
      <c r="B1103" s="1563" t="n">
        <v>6653</v>
      </c>
      <c r="C1103" s="1939" t="inlineStr">
        <is>
          <t>498</t>
        </is>
      </c>
      <c r="D1103" s="1921">
        <f>B1103/B1104-1</f>
        <v/>
      </c>
      <c r="E1103" s="1921">
        <f>C1103/C1104-1</f>
        <v/>
      </c>
      <c r="F1103" s="1921">
        <f>$L$2/365</f>
        <v/>
      </c>
      <c r="G1103" s="1921">
        <f>D1103-F1103</f>
        <v/>
      </c>
      <c r="H1103" s="1921">
        <f>E1103-F1103</f>
        <v/>
      </c>
    </row>
    <row r="1104" ht="14.25" customHeight="1">
      <c r="A1104" s="1936" t="inlineStr">
        <is>
          <t>05/01/2022</t>
        </is>
      </c>
      <c r="B1104" s="1563" t="n">
        <v>6662</v>
      </c>
      <c r="C1104" s="1938" t="inlineStr">
        <is>
          <t>530</t>
        </is>
      </c>
      <c r="D1104" s="1921">
        <f>B1104/B1105-1</f>
        <v/>
      </c>
      <c r="E1104" s="1921">
        <f>C1104/C1105-1</f>
        <v/>
      </c>
      <c r="F1104" s="1921">
        <f>$L$2/365</f>
        <v/>
      </c>
      <c r="G1104" s="1921">
        <f>D1104-F1104</f>
        <v/>
      </c>
      <c r="H1104" s="1921">
        <f>E1104-F1104</f>
        <v/>
      </c>
    </row>
    <row r="1105" ht="14.25" customHeight="1">
      <c r="A1105" s="1933" t="inlineStr">
        <is>
          <t>04/01/2022</t>
        </is>
      </c>
      <c r="B1105" s="1563" t="n">
        <v>6695</v>
      </c>
      <c r="C1105" s="1939" t="inlineStr">
        <is>
          <t>540</t>
        </is>
      </c>
      <c r="D1105" s="1921">
        <f>B1105/B1106-1</f>
        <v/>
      </c>
      <c r="E1105" s="1921">
        <f>C1105/C1106-1</f>
        <v/>
      </c>
      <c r="F1105" s="1921">
        <f>$L$2/365</f>
        <v/>
      </c>
      <c r="G1105" s="1921">
        <f>D1105-F1105</f>
        <v/>
      </c>
      <c r="H1105" s="1921">
        <f>E1105-F1105</f>
        <v/>
      </c>
    </row>
    <row r="1106" ht="14.25" customHeight="1">
      <c r="A1106" s="1936" t="inlineStr">
        <is>
          <t>03/01/2022</t>
        </is>
      </c>
      <c r="B1106" s="1563" t="n">
        <v>6665</v>
      </c>
      <c r="C1106" s="1938" t="inlineStr">
        <is>
          <t>550</t>
        </is>
      </c>
      <c r="D1106" s="1921">
        <f>B1106/B1107-1</f>
        <v/>
      </c>
      <c r="E1106" s="1921">
        <f>C1106/C1107-1</f>
        <v/>
      </c>
      <c r="F1106" s="1921">
        <f>$L$2/365</f>
        <v/>
      </c>
      <c r="G1106" s="1921">
        <f>D1106-F1106</f>
        <v/>
      </c>
      <c r="H1106" s="1921">
        <f>E1106-F1106</f>
        <v/>
      </c>
    </row>
    <row r="1107" ht="14.25" customHeight="1">
      <c r="A1107" s="1933" t="inlineStr">
        <is>
          <t>30/12/2021</t>
        </is>
      </c>
      <c r="B1107" s="1563" t="n">
        <v>6581</v>
      </c>
      <c r="C1107" s="1939" t="inlineStr">
        <is>
          <t>545</t>
        </is>
      </c>
      <c r="D1107" s="1921">
        <f>B1107/B1108-1</f>
        <v/>
      </c>
      <c r="E1107" s="1921">
        <f>C1107/C1108-1</f>
        <v/>
      </c>
      <c r="F1107" s="1921">
        <f>$L$2/365</f>
        <v/>
      </c>
      <c r="G1107" s="1921">
        <f>D1107-F1107</f>
        <v/>
      </c>
      <c r="H1107" s="1921">
        <f>E1107-F1107</f>
        <v/>
      </c>
    </row>
    <row r="1108" ht="14.25" customHeight="1">
      <c r="A1108" s="1936" t="inlineStr">
        <is>
          <t>29/12/2021</t>
        </is>
      </c>
      <c r="B1108" s="1563" t="n">
        <v>6601</v>
      </c>
      <c r="C1108" s="1938" t="inlineStr">
        <is>
          <t>545</t>
        </is>
      </c>
      <c r="D1108" s="1921">
        <f>B1108/B1109-1</f>
        <v/>
      </c>
      <c r="E1108" s="1921">
        <f>C1108/C1109-1</f>
        <v/>
      </c>
      <c r="F1108" s="1921">
        <f>$L$2/365</f>
        <v/>
      </c>
      <c r="G1108" s="1921">
        <f>D1108-F1108</f>
        <v/>
      </c>
      <c r="H1108" s="1921">
        <f>E1108-F1108</f>
        <v/>
      </c>
    </row>
    <row r="1109" ht="14.25" customHeight="1">
      <c r="A1109" s="1933" t="inlineStr">
        <is>
          <t>28/12/2021</t>
        </is>
      </c>
      <c r="B1109" s="1563" t="n">
        <v>6598</v>
      </c>
      <c r="C1109" s="1939" t="inlineStr">
        <is>
          <t>550</t>
        </is>
      </c>
      <c r="D1109" s="1921">
        <f>B1109/B1110-1</f>
        <v/>
      </c>
      <c r="E1109" s="1921">
        <f>C1109/C1110-1</f>
        <v/>
      </c>
      <c r="F1109" s="1921">
        <f>$L$2/365</f>
        <v/>
      </c>
      <c r="G1109" s="1921">
        <f>D1109-F1109</f>
        <v/>
      </c>
      <c r="H1109" s="1921">
        <f>E1109-F1109</f>
        <v/>
      </c>
    </row>
    <row r="1110" ht="14.25" customHeight="1">
      <c r="A1110" s="1936" t="inlineStr">
        <is>
          <t>27/12/2021</t>
        </is>
      </c>
      <c r="B1110" s="1563" t="n">
        <v>6575</v>
      </c>
      <c r="C1110" s="1938" t="inlineStr">
        <is>
          <t>550</t>
        </is>
      </c>
      <c r="D1110" s="1921">
        <f>B1110/B1111-1</f>
        <v/>
      </c>
      <c r="E1110" s="1921">
        <f>C1110/C1111-1</f>
        <v/>
      </c>
      <c r="F1110" s="1921">
        <f>$L$2/365</f>
        <v/>
      </c>
      <c r="G1110" s="1921">
        <f>D1110-F1110</f>
        <v/>
      </c>
      <c r="H1110" s="1921">
        <f>E1110-F1110</f>
        <v/>
      </c>
    </row>
    <row r="1111" ht="14.25" customHeight="1">
      <c r="A1111" s="1933" t="inlineStr">
        <is>
          <t>24/12/2021</t>
        </is>
      </c>
      <c r="B1111" s="1563" t="n">
        <v>6563</v>
      </c>
      <c r="C1111" s="1939" t="inlineStr">
        <is>
          <t>555</t>
        </is>
      </c>
      <c r="D1111" s="1921">
        <f>B1111/B1112-1</f>
        <v/>
      </c>
      <c r="E1111" s="1921">
        <f>C1111/C1112-1</f>
        <v/>
      </c>
      <c r="F1111" s="1921">
        <f>$L$2/365</f>
        <v/>
      </c>
      <c r="G1111" s="1921">
        <f>D1111-F1111</f>
        <v/>
      </c>
      <c r="H1111" s="1921">
        <f>E1111-F1111</f>
        <v/>
      </c>
    </row>
    <row r="1112" ht="14.25" customHeight="1">
      <c r="A1112" s="1936" t="inlineStr">
        <is>
          <t>23/12/2021</t>
        </is>
      </c>
      <c r="B1112" s="1563" t="n">
        <v>6556</v>
      </c>
      <c r="C1112" s="1938" t="inlineStr">
        <is>
          <t>560</t>
        </is>
      </c>
      <c r="D1112" s="1921">
        <f>B1112/B1113-1</f>
        <v/>
      </c>
      <c r="E1112" s="1921">
        <f>C1112/C1113-1</f>
        <v/>
      </c>
      <c r="F1112" s="1921">
        <f>$L$2/365</f>
        <v/>
      </c>
      <c r="G1112" s="1921">
        <f>D1112-F1112</f>
        <v/>
      </c>
      <c r="H1112" s="1921">
        <f>E1112-F1112</f>
        <v/>
      </c>
    </row>
    <row r="1113" ht="14.25" customHeight="1">
      <c r="A1113" s="1933" t="inlineStr">
        <is>
          <t>22/12/2021</t>
        </is>
      </c>
      <c r="B1113" s="1563" t="n">
        <v>6530</v>
      </c>
      <c r="C1113" s="1939" t="inlineStr">
        <is>
          <t>550</t>
        </is>
      </c>
      <c r="D1113" s="1921">
        <f>B1113/B1114-1</f>
        <v/>
      </c>
      <c r="E1113" s="1921">
        <f>C1113/C1114-1</f>
        <v/>
      </c>
      <c r="F1113" s="1921">
        <f>$L$2/365</f>
        <v/>
      </c>
      <c r="G1113" s="1921">
        <f>D1113-F1113</f>
        <v/>
      </c>
      <c r="H1113" s="1921">
        <f>E1113-F1113</f>
        <v/>
      </c>
    </row>
    <row r="1114" ht="14.25" customHeight="1">
      <c r="A1114" s="1936" t="inlineStr">
        <is>
          <t>21/12/2021</t>
        </is>
      </c>
      <c r="B1114" s="1563" t="n">
        <v>6554</v>
      </c>
      <c r="C1114" s="1938" t="inlineStr">
        <is>
          <t>540</t>
        </is>
      </c>
      <c r="D1114" s="1921">
        <f>B1114/B1115-1</f>
        <v/>
      </c>
      <c r="E1114" s="1921">
        <f>C1114/C1115-1</f>
        <v/>
      </c>
      <c r="F1114" s="1921">
        <f>$L$2/365</f>
        <v/>
      </c>
      <c r="G1114" s="1921">
        <f>D1114-F1114</f>
        <v/>
      </c>
      <c r="H1114" s="1921">
        <f>E1114-F1114</f>
        <v/>
      </c>
    </row>
    <row r="1115" ht="14.25" customHeight="1">
      <c r="A1115" s="1933" t="inlineStr">
        <is>
          <t>20/12/2021</t>
        </is>
      </c>
      <c r="B1115" s="1563" t="n">
        <v>6547</v>
      </c>
      <c r="C1115" s="1939" t="inlineStr">
        <is>
          <t>535</t>
        </is>
      </c>
      <c r="D1115" s="1921">
        <f>B1115/B1116-1</f>
        <v/>
      </c>
      <c r="E1115" s="1921">
        <f>C1115/C1116-1</f>
        <v/>
      </c>
      <c r="F1115" s="1921">
        <f>$L$2/365</f>
        <v/>
      </c>
      <c r="G1115" s="1921">
        <f>D1115-F1115</f>
        <v/>
      </c>
      <c r="H1115" s="1921">
        <f>E1115-F1115</f>
        <v/>
      </c>
    </row>
    <row r="1116" ht="14.25" customHeight="1">
      <c r="A1116" s="1936" t="inlineStr">
        <is>
          <t>17/12/2021</t>
        </is>
      </c>
      <c r="B1116" s="1563" t="n">
        <v>6602</v>
      </c>
      <c r="C1116" s="1938" t="inlineStr">
        <is>
          <t>550</t>
        </is>
      </c>
      <c r="D1116" s="1921">
        <f>B1116/B1117-1</f>
        <v/>
      </c>
      <c r="E1116" s="1921">
        <f>C1116/C1117-1</f>
        <v/>
      </c>
      <c r="F1116" s="1921">
        <f>$L$2/365</f>
        <v/>
      </c>
      <c r="G1116" s="1921">
        <f>D1116-F1116</f>
        <v/>
      </c>
      <c r="H1116" s="1921">
        <f>E1116-F1116</f>
        <v/>
      </c>
    </row>
    <row r="1117" ht="14.25" customHeight="1">
      <c r="A1117" s="1933" t="inlineStr">
        <is>
          <t>16/12/2021</t>
        </is>
      </c>
      <c r="B1117" s="1563" t="n">
        <v>6595</v>
      </c>
      <c r="C1117" s="1939" t="inlineStr">
        <is>
          <t>560</t>
        </is>
      </c>
      <c r="D1117" s="1921">
        <f>B1117/B1118-1</f>
        <v/>
      </c>
      <c r="E1117" s="1921">
        <f>C1117/C1118-1</f>
        <v/>
      </c>
      <c r="F1117" s="1921">
        <f>$L$2/365</f>
        <v/>
      </c>
      <c r="G1117" s="1921">
        <f>D1117-F1117</f>
        <v/>
      </c>
      <c r="H1117" s="1921">
        <f>E1117-F1117</f>
        <v/>
      </c>
    </row>
    <row r="1118" ht="14.25" customHeight="1">
      <c r="A1118" s="1936" t="inlineStr">
        <is>
          <t>15/12/2021</t>
        </is>
      </c>
      <c r="B1118" s="1563" t="n">
        <v>6626</v>
      </c>
      <c r="C1118" s="1938" t="inlineStr">
        <is>
          <t>590</t>
        </is>
      </c>
      <c r="D1118" s="1921">
        <f>B1118/B1119-1</f>
        <v/>
      </c>
      <c r="E1118" s="1921">
        <f>C1118/C1119-1</f>
        <v/>
      </c>
      <c r="F1118" s="1921">
        <f>$L$2/365</f>
        <v/>
      </c>
      <c r="G1118" s="1921">
        <f>D1118-F1118</f>
        <v/>
      </c>
      <c r="H1118" s="1921">
        <f>E1118-F1118</f>
        <v/>
      </c>
    </row>
    <row r="1119" ht="14.25" customHeight="1">
      <c r="A1119" s="1933" t="inlineStr">
        <is>
          <t>14/12/2021</t>
        </is>
      </c>
      <c r="B1119" s="1563" t="n">
        <v>6616</v>
      </c>
      <c r="C1119" s="1939" t="inlineStr">
        <is>
          <t>595</t>
        </is>
      </c>
      <c r="D1119" s="1921">
        <f>B1119/B1120-1</f>
        <v/>
      </c>
      <c r="E1119" s="1921">
        <f>C1119/C1120-1</f>
        <v/>
      </c>
      <c r="F1119" s="1921">
        <f>$L$2/365</f>
        <v/>
      </c>
      <c r="G1119" s="1921">
        <f>D1119-F1119</f>
        <v/>
      </c>
      <c r="H1119" s="1921">
        <f>E1119-F1119</f>
        <v/>
      </c>
    </row>
    <row r="1120" ht="14.25" customHeight="1">
      <c r="A1120" s="1936" t="inlineStr">
        <is>
          <t>13/12/2021</t>
        </is>
      </c>
      <c r="B1120" s="1563" t="n">
        <v>6663</v>
      </c>
      <c r="C1120" s="1938" t="inlineStr">
        <is>
          <t>595</t>
        </is>
      </c>
      <c r="D1120" s="1921">
        <f>B1120/B1121-1</f>
        <v/>
      </c>
      <c r="E1120" s="1921">
        <f>C1120/C1121-1</f>
        <v/>
      </c>
      <c r="F1120" s="1921">
        <f>$L$2/365</f>
        <v/>
      </c>
      <c r="G1120" s="1921">
        <f>D1120-F1120</f>
        <v/>
      </c>
      <c r="H1120" s="1921">
        <f>E1120-F1120</f>
        <v/>
      </c>
    </row>
    <row r="1121" ht="14.25" customHeight="1">
      <c r="A1121" s="1933" t="inlineStr">
        <is>
          <t>10/12/2021</t>
        </is>
      </c>
      <c r="B1121" s="1563" t="n">
        <v>6653</v>
      </c>
      <c r="C1121" s="1939" t="inlineStr">
        <is>
          <t>615</t>
        </is>
      </c>
      <c r="D1121" s="1921">
        <f>B1121/B1122-1</f>
        <v/>
      </c>
      <c r="E1121" s="1921">
        <f>C1121/C1122-1</f>
        <v/>
      </c>
      <c r="F1121" s="1921">
        <f>$L$2/365</f>
        <v/>
      </c>
      <c r="G1121" s="1921">
        <f>D1121-F1121</f>
        <v/>
      </c>
      <c r="H1121" s="1921">
        <f>E1121-F1121</f>
        <v/>
      </c>
    </row>
    <row r="1122" ht="14.25" customHeight="1">
      <c r="A1122" s="1936" t="inlineStr">
        <is>
          <t>09/12/2021</t>
        </is>
      </c>
      <c r="B1122" s="1563" t="n">
        <v>6644</v>
      </c>
      <c r="C1122" s="1938" t="inlineStr">
        <is>
          <t>615</t>
        </is>
      </c>
      <c r="D1122" s="1921">
        <f>B1122/B1123-1</f>
        <v/>
      </c>
      <c r="E1122" s="1921">
        <f>C1122/C1123-1</f>
        <v/>
      </c>
      <c r="F1122" s="1921">
        <f>$L$2/365</f>
        <v/>
      </c>
      <c r="G1122" s="1921">
        <f>D1122-F1122</f>
        <v/>
      </c>
      <c r="H1122" s="1921">
        <f>E1122-F1122</f>
        <v/>
      </c>
    </row>
    <row r="1123" ht="14.25" customHeight="1">
      <c r="A1123" s="1933" t="inlineStr">
        <is>
          <t>08/12/2021</t>
        </is>
      </c>
      <c r="B1123" s="1563" t="n">
        <v>6604</v>
      </c>
      <c r="C1123" s="1939" t="inlineStr">
        <is>
          <t>615</t>
        </is>
      </c>
      <c r="D1123" s="1921">
        <f>B1123/B1124-1</f>
        <v/>
      </c>
      <c r="E1123" s="1921">
        <f>C1123/C1124-1</f>
        <v/>
      </c>
      <c r="F1123" s="1921">
        <f>$L$2/365</f>
        <v/>
      </c>
      <c r="G1123" s="1921">
        <f>D1123-F1123</f>
        <v/>
      </c>
      <c r="H1123" s="1921">
        <f>E1123-F1123</f>
        <v/>
      </c>
    </row>
    <row r="1124" ht="14.25" customHeight="1">
      <c r="A1124" s="1936" t="inlineStr">
        <is>
          <t>07/12/2021</t>
        </is>
      </c>
      <c r="B1124" s="1563" t="n">
        <v>6603</v>
      </c>
      <c r="C1124" s="1938" t="inlineStr">
        <is>
          <t>615</t>
        </is>
      </c>
      <c r="D1124" s="1921">
        <f>B1124/B1125-1</f>
        <v/>
      </c>
      <c r="E1124" s="1921">
        <f>C1124/C1125-1</f>
        <v/>
      </c>
      <c r="F1124" s="1921">
        <f>$L$2/365</f>
        <v/>
      </c>
      <c r="G1124" s="1921">
        <f>D1124-F1124</f>
        <v/>
      </c>
      <c r="H1124" s="1921">
        <f>E1124-F1124</f>
        <v/>
      </c>
    </row>
    <row r="1125" ht="14.25" customHeight="1">
      <c r="A1125" s="1933" t="inlineStr">
        <is>
          <t>06/12/2021</t>
        </is>
      </c>
      <c r="B1125" s="1563" t="n">
        <v>6547</v>
      </c>
      <c r="C1125" s="1939" t="inlineStr">
        <is>
          <t>580</t>
        </is>
      </c>
      <c r="D1125" s="1921">
        <f>B1125/B1126-1</f>
        <v/>
      </c>
      <c r="E1125" s="1921">
        <f>C1125/C1126-1</f>
        <v/>
      </c>
      <c r="F1125" s="1921">
        <f>$L$2/365</f>
        <v/>
      </c>
      <c r="G1125" s="1921">
        <f>D1125-F1125</f>
        <v/>
      </c>
      <c r="H1125" s="1921">
        <f>E1125-F1125</f>
        <v/>
      </c>
    </row>
    <row r="1126" ht="14.25" customHeight="1">
      <c r="A1126" s="1936" t="inlineStr">
        <is>
          <t>03/12/2021</t>
        </is>
      </c>
      <c r="B1126" s="1563" t="n">
        <v>6539</v>
      </c>
      <c r="C1126" s="1938" t="inlineStr">
        <is>
          <t>615</t>
        </is>
      </c>
      <c r="D1126" s="1921">
        <f>B1126/B1127-1</f>
        <v/>
      </c>
      <c r="E1126" s="1921">
        <f>C1126/C1127-1</f>
        <v/>
      </c>
      <c r="F1126" s="1921">
        <f>$L$2/365</f>
        <v/>
      </c>
      <c r="G1126" s="1921">
        <f>D1126-F1126</f>
        <v/>
      </c>
      <c r="H1126" s="1921">
        <f>E1126-F1126</f>
        <v/>
      </c>
    </row>
    <row r="1127" ht="14.25" customHeight="1">
      <c r="A1127" s="1933" t="inlineStr">
        <is>
          <t>02/12/2021</t>
        </is>
      </c>
      <c r="B1127" s="1563" t="n">
        <v>6584</v>
      </c>
      <c r="C1127" s="1939" t="inlineStr">
        <is>
          <t>635</t>
        </is>
      </c>
      <c r="D1127" s="1921">
        <f>B1127/B1128-1</f>
        <v/>
      </c>
      <c r="E1127" s="1921">
        <f>C1127/C1128-1</f>
        <v/>
      </c>
      <c r="F1127" s="1921">
        <f>$L$2/365</f>
        <v/>
      </c>
      <c r="G1127" s="1921">
        <f>D1127-F1127</f>
        <v/>
      </c>
      <c r="H1127" s="1921">
        <f>E1127-F1127</f>
        <v/>
      </c>
    </row>
    <row r="1128" ht="14.25" customHeight="1">
      <c r="A1128" s="1936" t="inlineStr">
        <is>
          <t>01/12/2021</t>
        </is>
      </c>
      <c r="B1128" s="1563" t="n">
        <v>6508</v>
      </c>
      <c r="C1128" s="1938" t="inlineStr">
        <is>
          <t>650</t>
        </is>
      </c>
      <c r="D1128" s="1921">
        <f>B1128/B1129-1</f>
        <v/>
      </c>
      <c r="E1128" s="1921">
        <f>C1128/C1129-1</f>
        <v/>
      </c>
      <c r="F1128" s="1921">
        <f>$L$2/365</f>
        <v/>
      </c>
      <c r="G1128" s="1921">
        <f>D1128-F1128</f>
        <v/>
      </c>
      <c r="H1128" s="1921">
        <f>E1128-F1128</f>
        <v/>
      </c>
    </row>
    <row r="1129" ht="14.25" customHeight="1">
      <c r="A1129" s="1933" t="inlineStr">
        <is>
          <t>30/11/2021</t>
        </is>
      </c>
      <c r="B1129" s="1563" t="n">
        <v>6534</v>
      </c>
      <c r="C1129" s="1939" t="inlineStr">
        <is>
          <t>660</t>
        </is>
      </c>
      <c r="D1129" s="1921">
        <f>B1129/B1130-1</f>
        <v/>
      </c>
      <c r="E1129" s="1921">
        <f>C1129/C1130-1</f>
        <v/>
      </c>
      <c r="F1129" s="1921">
        <f>$L$2/365</f>
        <v/>
      </c>
      <c r="G1129" s="1921">
        <f>D1129-F1129</f>
        <v/>
      </c>
      <c r="H1129" s="1921">
        <f>E1129-F1129</f>
        <v/>
      </c>
    </row>
    <row r="1130" ht="14.25" customHeight="1">
      <c r="A1130" s="1936" t="inlineStr">
        <is>
          <t>29/11/2021</t>
        </is>
      </c>
      <c r="B1130" s="1563" t="n">
        <v>6608</v>
      </c>
      <c r="C1130" s="1938" t="inlineStr">
        <is>
          <t>655</t>
        </is>
      </c>
      <c r="D1130" s="1921">
        <f>B1130/B1131-1</f>
        <v/>
      </c>
      <c r="E1130" s="1921">
        <f>C1130/C1131-1</f>
        <v/>
      </c>
      <c r="F1130" s="1921">
        <f>$L$2/365</f>
        <v/>
      </c>
      <c r="G1130" s="1921">
        <f>D1130-F1130</f>
        <v/>
      </c>
      <c r="H1130" s="1921">
        <f>E1130-F1130</f>
        <v/>
      </c>
    </row>
    <row r="1131" ht="14.25" customHeight="1">
      <c r="A1131" s="1933" t="inlineStr">
        <is>
          <t>26/11/2021</t>
        </is>
      </c>
      <c r="B1131" s="1563" t="n">
        <v>6562</v>
      </c>
      <c r="C1131" s="1939" t="inlineStr">
        <is>
          <t>655</t>
        </is>
      </c>
      <c r="D1131" s="1921">
        <f>B1131/B1132-1</f>
        <v/>
      </c>
      <c r="E1131" s="1921">
        <f>C1131/C1132-1</f>
        <v/>
      </c>
      <c r="F1131" s="1921">
        <f>$L$2/365</f>
        <v/>
      </c>
      <c r="G1131" s="1921">
        <f>D1131-F1131</f>
        <v/>
      </c>
      <c r="H1131" s="1921">
        <f>E1131-F1131</f>
        <v/>
      </c>
    </row>
    <row r="1132" ht="14.25" customHeight="1">
      <c r="A1132" s="1936" t="inlineStr">
        <is>
          <t>25/11/2021</t>
        </is>
      </c>
      <c r="B1132" s="1563" t="n">
        <v>6699</v>
      </c>
      <c r="C1132" s="1938" t="inlineStr">
        <is>
          <t>650</t>
        </is>
      </c>
      <c r="D1132" s="1921">
        <f>B1132/B1133-1</f>
        <v/>
      </c>
      <c r="E1132" s="1921">
        <f>C1132/C1133-1</f>
        <v/>
      </c>
      <c r="F1132" s="1921">
        <f>$L$2/365</f>
        <v/>
      </c>
      <c r="G1132" s="1921">
        <f>D1132-F1132</f>
        <v/>
      </c>
      <c r="H1132" s="1921">
        <f>E1132-F1132</f>
        <v/>
      </c>
    </row>
    <row r="1133" ht="14.25" customHeight="1">
      <c r="A1133" s="1933" t="inlineStr">
        <is>
          <t>24/11/2021</t>
        </is>
      </c>
      <c r="B1133" s="1563" t="n">
        <v>6683</v>
      </c>
      <c r="C1133" s="1939" t="inlineStr">
        <is>
          <t>665</t>
        </is>
      </c>
      <c r="D1133" s="1921">
        <f>B1133/B1134-1</f>
        <v/>
      </c>
      <c r="E1133" s="1921">
        <f>C1133/C1134-1</f>
        <v/>
      </c>
      <c r="F1133" s="1921">
        <f>$L$2/365</f>
        <v/>
      </c>
      <c r="G1133" s="1921">
        <f>D1133-F1133</f>
        <v/>
      </c>
      <c r="H1133" s="1921">
        <f>E1133-F1133</f>
        <v/>
      </c>
    </row>
    <row r="1134" ht="14.25" customHeight="1">
      <c r="A1134" s="1936" t="inlineStr">
        <is>
          <t>23/11/2021</t>
        </is>
      </c>
      <c r="B1134" s="1563" t="n">
        <v>6678</v>
      </c>
      <c r="C1134" s="1938" t="inlineStr">
        <is>
          <t>655</t>
        </is>
      </c>
      <c r="D1134" s="1921">
        <f>B1134/B1135-1</f>
        <v/>
      </c>
      <c r="E1134" s="1921">
        <f>C1134/C1135-1</f>
        <v/>
      </c>
      <c r="F1134" s="1921">
        <f>$L$2/365</f>
        <v/>
      </c>
      <c r="G1134" s="1921">
        <f>D1134-F1134</f>
        <v/>
      </c>
      <c r="H1134" s="1921">
        <f>E1134-F1134</f>
        <v/>
      </c>
    </row>
    <row r="1135" ht="14.25" customHeight="1">
      <c r="A1135" s="1933" t="inlineStr">
        <is>
          <t>22/11/2021</t>
        </is>
      </c>
      <c r="B1135" s="1563" t="n">
        <v>6723</v>
      </c>
      <c r="C1135" s="1939" t="inlineStr">
        <is>
          <t>670</t>
        </is>
      </c>
      <c r="D1135" s="1921">
        <f>B1135/B1136-1</f>
        <v/>
      </c>
      <c r="E1135" s="1921">
        <f>C1135/C1136-1</f>
        <v/>
      </c>
      <c r="F1135" s="1921">
        <f>$L$2/365</f>
        <v/>
      </c>
      <c r="G1135" s="1921">
        <f>D1135-F1135</f>
        <v/>
      </c>
      <c r="H1135" s="1921">
        <f>E1135-F1135</f>
        <v/>
      </c>
    </row>
    <row r="1136" ht="14.25" customHeight="1">
      <c r="A1136" s="1936" t="inlineStr">
        <is>
          <t>19/11/2021</t>
        </is>
      </c>
      <c r="B1136" s="1563" t="n">
        <v>6720</v>
      </c>
      <c r="C1136" s="1938" t="inlineStr">
        <is>
          <t>675</t>
        </is>
      </c>
      <c r="D1136" s="1921">
        <f>B1136/B1137-1</f>
        <v/>
      </c>
      <c r="E1136" s="1921">
        <f>C1136/C1137-1</f>
        <v/>
      </c>
      <c r="F1136" s="1921">
        <f>$L$2/365</f>
        <v/>
      </c>
      <c r="G1136" s="1921">
        <f>D1136-F1136</f>
        <v/>
      </c>
      <c r="H1136" s="1921">
        <f>E1136-F1136</f>
        <v/>
      </c>
    </row>
    <row r="1137" ht="14.25" customHeight="1">
      <c r="A1137" s="1933" t="inlineStr">
        <is>
          <t>18/11/2021</t>
        </is>
      </c>
      <c r="B1137" s="1563" t="n">
        <v>6636</v>
      </c>
      <c r="C1137" s="1939" t="inlineStr">
        <is>
          <t>670</t>
        </is>
      </c>
      <c r="D1137" s="1921">
        <f>B1137/B1138-1</f>
        <v/>
      </c>
      <c r="E1137" s="1921">
        <f>C1137/C1138-1</f>
        <v/>
      </c>
      <c r="F1137" s="1921">
        <f>$L$2/365</f>
        <v/>
      </c>
      <c r="G1137" s="1921">
        <f>D1137-F1137</f>
        <v/>
      </c>
      <c r="H1137" s="1921">
        <f>E1137-F1137</f>
        <v/>
      </c>
    </row>
    <row r="1138" ht="14.25" customHeight="1">
      <c r="A1138" s="1936" t="inlineStr">
        <is>
          <t>17/11/2021</t>
        </is>
      </c>
      <c r="B1138" s="1563" t="n">
        <v>6676</v>
      </c>
      <c r="C1138" s="1938" t="inlineStr">
        <is>
          <t>665</t>
        </is>
      </c>
      <c r="D1138" s="1921">
        <f>B1138/B1139-1</f>
        <v/>
      </c>
      <c r="E1138" s="1921">
        <f>C1138/C1139-1</f>
        <v/>
      </c>
      <c r="F1138" s="1921">
        <f>$L$2/365</f>
        <v/>
      </c>
      <c r="G1138" s="1921">
        <f>D1138-F1138</f>
        <v/>
      </c>
      <c r="H1138" s="1921">
        <f>E1138-F1138</f>
        <v/>
      </c>
    </row>
    <row r="1139" ht="14.25" customHeight="1">
      <c r="A1139" s="1933" t="inlineStr">
        <is>
          <t>16/11/2021</t>
        </is>
      </c>
      <c r="B1139" s="1563" t="n">
        <v>6651</v>
      </c>
      <c r="C1139" s="1939" t="inlineStr">
        <is>
          <t>685</t>
        </is>
      </c>
      <c r="D1139" s="1921">
        <f>B1139/B1140-1</f>
        <v/>
      </c>
      <c r="E1139" s="1921">
        <f>C1139/C1140-1</f>
        <v/>
      </c>
      <c r="F1139" s="1921">
        <f>$L$2/365</f>
        <v/>
      </c>
      <c r="G1139" s="1921">
        <f>D1139-F1139</f>
        <v/>
      </c>
      <c r="H1139" s="1921">
        <f>E1139-F1139</f>
        <v/>
      </c>
    </row>
    <row r="1140" ht="14.25" customHeight="1">
      <c r="A1140" s="1936" t="inlineStr">
        <is>
          <t>15/11/2021</t>
        </is>
      </c>
      <c r="B1140" s="1563" t="n">
        <v>6616</v>
      </c>
      <c r="C1140" s="1938" t="inlineStr">
        <is>
          <t>695</t>
        </is>
      </c>
      <c r="D1140" s="1921">
        <f>B1140/B1141-1</f>
        <v/>
      </c>
      <c r="E1140" s="1921">
        <f>C1140/C1141-1</f>
        <v/>
      </c>
      <c r="F1140" s="1921">
        <f>$L$2/365</f>
        <v/>
      </c>
      <c r="G1140" s="1921">
        <f>D1140-F1140</f>
        <v/>
      </c>
      <c r="H1140" s="1921">
        <f>E1140-F1140</f>
        <v/>
      </c>
    </row>
    <row r="1141" ht="14.25" customHeight="1">
      <c r="A1141" s="1933" t="inlineStr">
        <is>
          <t>12/11/2021</t>
        </is>
      </c>
      <c r="B1141" s="1563" t="n">
        <v>6651</v>
      </c>
      <c r="C1141" s="1939" t="inlineStr">
        <is>
          <t>695</t>
        </is>
      </c>
      <c r="D1141" s="1921">
        <f>B1141/B1142-1</f>
        <v/>
      </c>
      <c r="E1141" s="1921">
        <f>C1141/C1142-1</f>
        <v/>
      </c>
      <c r="F1141" s="1921">
        <f>$L$2/365</f>
        <v/>
      </c>
      <c r="G1141" s="1921">
        <f>D1141-F1141</f>
        <v/>
      </c>
      <c r="H1141" s="1921">
        <f>E1141-F1141</f>
        <v/>
      </c>
    </row>
    <row r="1142" ht="14.25" customHeight="1">
      <c r="A1142" s="1936" t="inlineStr">
        <is>
          <t>11/11/2021</t>
        </is>
      </c>
      <c r="B1142" s="1563" t="n">
        <v>6691</v>
      </c>
      <c r="C1142" s="1938" t="inlineStr">
        <is>
          <t>710</t>
        </is>
      </c>
      <c r="D1142" s="1921">
        <f>B1142/B1143-1</f>
        <v/>
      </c>
      <c r="E1142" s="1921">
        <f>C1142/C1143-1</f>
        <v/>
      </c>
      <c r="F1142" s="1921">
        <f>$L$2/365</f>
        <v/>
      </c>
      <c r="G1142" s="1921">
        <f>D1142-F1142</f>
        <v/>
      </c>
      <c r="H1142" s="1921">
        <f>E1142-F1142</f>
        <v/>
      </c>
    </row>
    <row r="1143" ht="14.25" customHeight="1">
      <c r="A1143" s="1933" t="inlineStr">
        <is>
          <t>10/11/2021</t>
        </is>
      </c>
      <c r="B1143" s="1563" t="n">
        <v>6683</v>
      </c>
      <c r="C1143" s="1939" t="inlineStr">
        <is>
          <t>710</t>
        </is>
      </c>
      <c r="D1143" s="1921">
        <f>B1143/B1144-1</f>
        <v/>
      </c>
      <c r="E1143" s="1921">
        <f>C1143/C1144-1</f>
        <v/>
      </c>
      <c r="F1143" s="1921">
        <f>$L$2/365</f>
        <v/>
      </c>
      <c r="G1143" s="1921">
        <f>D1143-F1143</f>
        <v/>
      </c>
      <c r="H1143" s="1921">
        <f>E1143-F1143</f>
        <v/>
      </c>
    </row>
    <row r="1144" ht="14.25" customHeight="1">
      <c r="A1144" s="1936" t="inlineStr">
        <is>
          <t>09/11/2021</t>
        </is>
      </c>
      <c r="B1144" s="1563" t="n">
        <v>6670</v>
      </c>
      <c r="C1144" s="1938" t="inlineStr">
        <is>
          <t>705</t>
        </is>
      </c>
      <c r="D1144" s="1921">
        <f>B1144/B1145-1</f>
        <v/>
      </c>
      <c r="E1144" s="1921">
        <f>C1144/C1145-1</f>
        <v/>
      </c>
      <c r="F1144" s="1921">
        <f>$L$2/365</f>
        <v/>
      </c>
      <c r="G1144" s="1921">
        <f>D1144-F1144</f>
        <v/>
      </c>
      <c r="H1144" s="1921">
        <f>E1144-F1144</f>
        <v/>
      </c>
    </row>
    <row r="1145" ht="14.25" customHeight="1">
      <c r="A1145" s="1933" t="inlineStr">
        <is>
          <t>08/11/2021</t>
        </is>
      </c>
      <c r="B1145" s="1563" t="n">
        <v>6632</v>
      </c>
      <c r="C1145" s="1939" t="inlineStr">
        <is>
          <t>720</t>
        </is>
      </c>
      <c r="D1145" s="1921">
        <f>B1145/B1146-1</f>
        <v/>
      </c>
      <c r="E1145" s="1921">
        <f>C1145/C1146-1</f>
        <v/>
      </c>
      <c r="F1145" s="1921">
        <f>$L$2/365</f>
        <v/>
      </c>
      <c r="G1145" s="1921">
        <f>D1145-F1145</f>
        <v/>
      </c>
      <c r="H1145" s="1921">
        <f>E1145-F1145</f>
        <v/>
      </c>
    </row>
    <row r="1146" ht="14.25" customHeight="1">
      <c r="A1146" s="1936" t="inlineStr">
        <is>
          <t>05/11/2021</t>
        </is>
      </c>
      <c r="B1146" s="1563" t="n">
        <v>6582</v>
      </c>
      <c r="C1146" s="1938" t="inlineStr">
        <is>
          <t>690</t>
        </is>
      </c>
      <c r="D1146" s="1921">
        <f>B1146/B1147-1</f>
        <v/>
      </c>
      <c r="E1146" s="1921">
        <f>C1146/C1147-1</f>
        <v/>
      </c>
      <c r="F1146" s="1921">
        <f>$L$2/365</f>
        <v/>
      </c>
      <c r="G1146" s="1921">
        <f>D1146-F1146</f>
        <v/>
      </c>
      <c r="H1146" s="1921">
        <f>E1146-F1146</f>
        <v/>
      </c>
    </row>
    <row r="1147" ht="14.25" customHeight="1">
      <c r="A1147" s="1933" t="inlineStr">
        <is>
          <t>04/11/2021</t>
        </is>
      </c>
      <c r="B1147" s="1563" t="n">
        <v>6586</v>
      </c>
      <c r="C1147" s="1939" t="inlineStr">
        <is>
          <t>705</t>
        </is>
      </c>
      <c r="D1147" s="1921">
        <f>B1147/B1148-1</f>
        <v/>
      </c>
      <c r="E1147" s="1921">
        <f>C1147/C1148-1</f>
        <v/>
      </c>
      <c r="F1147" s="1921">
        <f>$L$2/365</f>
        <v/>
      </c>
      <c r="G1147" s="1921">
        <f>D1147-F1147</f>
        <v/>
      </c>
      <c r="H1147" s="1921">
        <f>E1147-F1147</f>
        <v/>
      </c>
    </row>
    <row r="1148" ht="14.25" customHeight="1">
      <c r="A1148" s="1936" t="inlineStr">
        <is>
          <t>03/11/2021</t>
        </is>
      </c>
      <c r="B1148" s="1563" t="n">
        <v>6552</v>
      </c>
      <c r="C1148" s="1938" t="inlineStr">
        <is>
          <t>745</t>
        </is>
      </c>
      <c r="D1148" s="1921">
        <f>B1148/B1149-1</f>
        <v/>
      </c>
      <c r="E1148" s="1921">
        <f>C1148/C1149-1</f>
        <v/>
      </c>
      <c r="F1148" s="1921">
        <f>$L$2/365</f>
        <v/>
      </c>
      <c r="G1148" s="1921">
        <f>D1148-F1148</f>
        <v/>
      </c>
      <c r="H1148" s="1921">
        <f>E1148-F1148</f>
        <v/>
      </c>
    </row>
    <row r="1149" ht="14.25" customHeight="1">
      <c r="A1149" s="1933" t="inlineStr">
        <is>
          <t>02/11/2021</t>
        </is>
      </c>
      <c r="B1149" s="1563" t="n">
        <v>6493</v>
      </c>
      <c r="C1149" s="1939" t="inlineStr">
        <is>
          <t>740</t>
        </is>
      </c>
      <c r="D1149" s="1921">
        <f>B1149/B1150-1</f>
        <v/>
      </c>
      <c r="E1149" s="1921">
        <f>C1149/C1150-1</f>
        <v/>
      </c>
      <c r="F1149" s="1921">
        <f>$L$2/365</f>
        <v/>
      </c>
      <c r="G1149" s="1921">
        <f>D1149-F1149</f>
        <v/>
      </c>
      <c r="H1149" s="1921">
        <f>E1149-F1149</f>
        <v/>
      </c>
    </row>
    <row r="1150" ht="14.25" customHeight="1">
      <c r="A1150" s="1936" t="inlineStr">
        <is>
          <t>01/11/2021</t>
        </is>
      </c>
      <c r="B1150" s="1563" t="n">
        <v>6553</v>
      </c>
      <c r="C1150" s="1938" t="inlineStr">
        <is>
          <t>690</t>
        </is>
      </c>
      <c r="D1150" s="1921">
        <f>B1150/B1151-1</f>
        <v/>
      </c>
      <c r="E1150" s="1921">
        <f>C1150/C1151-1</f>
        <v/>
      </c>
      <c r="F1150" s="1921">
        <f>$L$2/365</f>
        <v/>
      </c>
      <c r="G1150" s="1921">
        <f>D1150-F1150</f>
        <v/>
      </c>
      <c r="H1150" s="1921">
        <f>E1150-F1150</f>
        <v/>
      </c>
    </row>
    <row r="1151" ht="14.25" customHeight="1">
      <c r="A1151" s="1933" t="inlineStr">
        <is>
          <t>29/10/2021</t>
        </is>
      </c>
      <c r="B1151" s="1563" t="n">
        <v>6591</v>
      </c>
      <c r="C1151" s="1939" t="inlineStr">
        <is>
          <t>665</t>
        </is>
      </c>
      <c r="D1151" s="1921">
        <f>B1151/B1152-1</f>
        <v/>
      </c>
      <c r="E1151" s="1921">
        <f>C1151/C1152-1</f>
        <v/>
      </c>
      <c r="F1151" s="1921">
        <f>$L$2/365</f>
        <v/>
      </c>
      <c r="G1151" s="1921">
        <f>D1151-F1151</f>
        <v/>
      </c>
      <c r="H1151" s="1921">
        <f>E1151-F1151</f>
        <v/>
      </c>
    </row>
    <row r="1152" ht="14.25" customHeight="1">
      <c r="A1152" s="1936" t="inlineStr">
        <is>
          <t>28/10/2021</t>
        </is>
      </c>
      <c r="B1152" s="1563" t="n">
        <v>6524</v>
      </c>
      <c r="C1152" s="1938" t="inlineStr">
        <is>
          <t>650</t>
        </is>
      </c>
      <c r="D1152" s="1921">
        <f>B1152/B1153-1</f>
        <v/>
      </c>
      <c r="E1152" s="1921">
        <f>C1152/C1153-1</f>
        <v/>
      </c>
      <c r="F1152" s="1921">
        <f>$L$2/365</f>
        <v/>
      </c>
      <c r="G1152" s="1921">
        <f>D1152-F1152</f>
        <v/>
      </c>
      <c r="H1152" s="1921">
        <f>E1152-F1152</f>
        <v/>
      </c>
    </row>
    <row r="1153" ht="14.25" customHeight="1">
      <c r="A1153" s="1933" t="inlineStr">
        <is>
          <t>27/10/2021</t>
        </is>
      </c>
      <c r="B1153" s="1563" t="n">
        <v>6602</v>
      </c>
      <c r="C1153" s="1939" t="inlineStr">
        <is>
          <t>660</t>
        </is>
      </c>
      <c r="D1153" s="1921">
        <f>B1153/B1154-1</f>
        <v/>
      </c>
      <c r="E1153" s="1921">
        <f>C1153/C1154-1</f>
        <v/>
      </c>
      <c r="F1153" s="1921">
        <f>$L$2/365</f>
        <v/>
      </c>
      <c r="G1153" s="1921">
        <f>D1153-F1153</f>
        <v/>
      </c>
      <c r="H1153" s="1921">
        <f>E1153-F1153</f>
        <v/>
      </c>
    </row>
    <row r="1154" ht="14.25" customHeight="1">
      <c r="A1154" s="1936" t="inlineStr">
        <is>
          <t>26/10/2021</t>
        </is>
      </c>
      <c r="B1154" s="1563" t="n">
        <v>6657</v>
      </c>
      <c r="C1154" s="1938" t="inlineStr">
        <is>
          <t>675</t>
        </is>
      </c>
      <c r="D1154" s="1921">
        <f>B1154/B1155-1</f>
        <v/>
      </c>
      <c r="E1154" s="1921">
        <f>C1154/C1155-1</f>
        <v/>
      </c>
      <c r="F1154" s="1921">
        <f>$L$2/365</f>
        <v/>
      </c>
      <c r="G1154" s="1921">
        <f>D1154-F1154</f>
        <v/>
      </c>
      <c r="H1154" s="1921">
        <f>E1154-F1154</f>
        <v/>
      </c>
    </row>
    <row r="1155" ht="14.25" customHeight="1">
      <c r="A1155" s="1933" t="inlineStr">
        <is>
          <t>25/10/2021</t>
        </is>
      </c>
      <c r="B1155" s="1563" t="n">
        <v>6626</v>
      </c>
      <c r="C1155" s="1939" t="inlineStr">
        <is>
          <t>665</t>
        </is>
      </c>
      <c r="D1155" s="1921">
        <f>B1155/B1156-1</f>
        <v/>
      </c>
      <c r="E1155" s="1921">
        <f>C1155/C1156-1</f>
        <v/>
      </c>
      <c r="F1155" s="1921">
        <f>$L$2/365</f>
        <v/>
      </c>
      <c r="G1155" s="1921">
        <f>D1155-F1155</f>
        <v/>
      </c>
      <c r="H1155" s="1921">
        <f>E1155-F1155</f>
        <v/>
      </c>
    </row>
    <row r="1156" ht="14.25" customHeight="1">
      <c r="A1156" s="1936" t="inlineStr">
        <is>
          <t>22/10/2021</t>
        </is>
      </c>
      <c r="B1156" s="1563" t="n">
        <v>6644</v>
      </c>
      <c r="C1156" s="1938" t="inlineStr">
        <is>
          <t>650</t>
        </is>
      </c>
      <c r="D1156" s="1921">
        <f>B1156/B1157-1</f>
        <v/>
      </c>
      <c r="E1156" s="1921">
        <f>C1156/C1157-1</f>
        <v/>
      </c>
      <c r="F1156" s="1921">
        <f>$L$2/365</f>
        <v/>
      </c>
      <c r="G1156" s="1921">
        <f>D1156-F1156</f>
        <v/>
      </c>
      <c r="H1156" s="1921">
        <f>E1156-F1156</f>
        <v/>
      </c>
    </row>
    <row r="1157" ht="14.25" customHeight="1">
      <c r="A1157" s="1933" t="inlineStr">
        <is>
          <t>21/10/2021</t>
        </is>
      </c>
      <c r="B1157" s="1563" t="n">
        <v>6633</v>
      </c>
      <c r="C1157" s="1939" t="inlineStr">
        <is>
          <t>670</t>
        </is>
      </c>
      <c r="D1157" s="1921">
        <f>B1157/B1158-1</f>
        <v/>
      </c>
      <c r="E1157" s="1921">
        <f>C1157/C1158-1</f>
        <v/>
      </c>
      <c r="F1157" s="1921">
        <f>$L$2/365</f>
        <v/>
      </c>
      <c r="G1157" s="1921">
        <f>D1157-F1157</f>
        <v/>
      </c>
      <c r="H1157" s="1921">
        <f>E1157-F1157</f>
        <v/>
      </c>
    </row>
    <row r="1158" ht="14.25" customHeight="1">
      <c r="A1158" s="1936" t="inlineStr">
        <is>
          <t>19/10/2021</t>
        </is>
      </c>
      <c r="B1158" s="1563" t="n">
        <v>6656</v>
      </c>
      <c r="C1158" s="1938" t="inlineStr">
        <is>
          <t>685</t>
        </is>
      </c>
      <c r="D1158" s="1921">
        <f>B1158/B1159-1</f>
        <v/>
      </c>
      <c r="E1158" s="1921">
        <f>C1158/C1159-1</f>
        <v/>
      </c>
      <c r="F1158" s="1921">
        <f>$L$2/365</f>
        <v/>
      </c>
      <c r="G1158" s="1921">
        <f>D1158-F1158</f>
        <v/>
      </c>
      <c r="H1158" s="1921">
        <f>E1158-F1158</f>
        <v/>
      </c>
    </row>
    <row r="1159" ht="14.25" customHeight="1">
      <c r="A1159" s="1933" t="inlineStr">
        <is>
          <t>18/10/2021</t>
        </is>
      </c>
      <c r="B1159" s="1563" t="n">
        <v>6659</v>
      </c>
      <c r="C1159" s="1939" t="inlineStr">
        <is>
          <t>675</t>
        </is>
      </c>
      <c r="D1159" s="1921">
        <f>B1159/B1160-1</f>
        <v/>
      </c>
      <c r="E1159" s="1921">
        <f>C1159/C1160-1</f>
        <v/>
      </c>
      <c r="F1159" s="1921">
        <f>$L$2/365</f>
        <v/>
      </c>
      <c r="G1159" s="1921">
        <f>D1159-F1159</f>
        <v/>
      </c>
      <c r="H1159" s="1921">
        <f>E1159-F1159</f>
        <v/>
      </c>
    </row>
    <row r="1160" ht="14.25" customHeight="1">
      <c r="A1160" s="1936" t="inlineStr">
        <is>
          <t>15/10/2021</t>
        </is>
      </c>
      <c r="B1160" s="1563" t="n">
        <v>6633</v>
      </c>
      <c r="C1160" s="1938" t="inlineStr">
        <is>
          <t>670</t>
        </is>
      </c>
      <c r="D1160" s="1921">
        <f>B1160/B1161-1</f>
        <v/>
      </c>
      <c r="E1160" s="1921">
        <f>C1160/C1161-1</f>
        <v/>
      </c>
      <c r="F1160" s="1921">
        <f>$L$2/365</f>
        <v/>
      </c>
      <c r="G1160" s="1921">
        <f>D1160-F1160</f>
        <v/>
      </c>
      <c r="H1160" s="1921">
        <f>E1160-F1160</f>
        <v/>
      </c>
    </row>
    <row r="1161" ht="14.25" customHeight="1">
      <c r="A1161" s="1933" t="inlineStr">
        <is>
          <t>14/10/2021</t>
        </is>
      </c>
      <c r="B1161" s="1563" t="n">
        <v>6626</v>
      </c>
      <c r="C1161" s="1939" t="inlineStr">
        <is>
          <t>685</t>
        </is>
      </c>
      <c r="D1161" s="1921">
        <f>B1161/B1162-1</f>
        <v/>
      </c>
      <c r="E1161" s="1921">
        <f>C1161/C1162-1</f>
        <v/>
      </c>
      <c r="F1161" s="1921">
        <f>$L$2/365</f>
        <v/>
      </c>
      <c r="G1161" s="1921">
        <f>D1161-F1161</f>
        <v/>
      </c>
      <c r="H1161" s="1921">
        <f>E1161-F1161</f>
        <v/>
      </c>
    </row>
    <row r="1162" ht="14.25" customHeight="1">
      <c r="A1162" s="1936" t="inlineStr">
        <is>
          <t>13/10/2021</t>
        </is>
      </c>
      <c r="B1162" s="1563" t="n">
        <v>6537</v>
      </c>
      <c r="C1162" s="1938" t="inlineStr">
        <is>
          <t>705</t>
        </is>
      </c>
      <c r="D1162" s="1921">
        <f>B1162/B1163-1</f>
        <v/>
      </c>
      <c r="E1162" s="1921">
        <f>C1162/C1163-1</f>
        <v/>
      </c>
      <c r="F1162" s="1921">
        <f>$L$2/365</f>
        <v/>
      </c>
      <c r="G1162" s="1921">
        <f>D1162-F1162</f>
        <v/>
      </c>
      <c r="H1162" s="1921">
        <f>E1162-F1162</f>
        <v/>
      </c>
    </row>
    <row r="1163" ht="14.25" customHeight="1">
      <c r="A1163" s="1933" t="inlineStr">
        <is>
          <t>12/10/2021</t>
        </is>
      </c>
      <c r="B1163" s="1563" t="n">
        <v>6486</v>
      </c>
      <c r="C1163" s="1939" t="inlineStr">
        <is>
          <t>710</t>
        </is>
      </c>
      <c r="D1163" s="1921">
        <f>B1163/B1164-1</f>
        <v/>
      </c>
      <c r="E1163" s="1921">
        <f>C1163/C1164-1</f>
        <v/>
      </c>
      <c r="F1163" s="1921">
        <f>$L$2/365</f>
        <v/>
      </c>
      <c r="G1163" s="1921">
        <f>D1163-F1163</f>
        <v/>
      </c>
      <c r="H1163" s="1921">
        <f>E1163-F1163</f>
        <v/>
      </c>
    </row>
    <row r="1164" ht="14.25" customHeight="1">
      <c r="A1164" s="1936" t="inlineStr">
        <is>
          <t>11/10/2021</t>
        </is>
      </c>
      <c r="B1164" s="1563" t="n">
        <v>6460</v>
      </c>
      <c r="C1164" s="1938" t="inlineStr">
        <is>
          <t>690</t>
        </is>
      </c>
      <c r="D1164" s="1921">
        <f>B1164/B1165-1</f>
        <v/>
      </c>
      <c r="E1164" s="1921">
        <f>C1164/C1165-1</f>
        <v/>
      </c>
      <c r="F1164" s="1921">
        <f>$L$2/365</f>
        <v/>
      </c>
      <c r="G1164" s="1921">
        <f>D1164-F1164</f>
        <v/>
      </c>
      <c r="H1164" s="1921">
        <f>E1164-F1164</f>
        <v/>
      </c>
    </row>
    <row r="1165" ht="14.25" customHeight="1">
      <c r="A1165" s="1933" t="inlineStr">
        <is>
          <t>08/10/2021</t>
        </is>
      </c>
      <c r="B1165" s="1563" t="n">
        <v>6482</v>
      </c>
      <c r="C1165" s="1939" t="inlineStr">
        <is>
          <t>650</t>
        </is>
      </c>
      <c r="D1165" s="1921">
        <f>B1165/B1166-1</f>
        <v/>
      </c>
      <c r="E1165" s="1921">
        <f>C1165/C1166-1</f>
        <v/>
      </c>
      <c r="F1165" s="1921">
        <f>$L$2/365</f>
        <v/>
      </c>
      <c r="G1165" s="1921">
        <f>D1165-F1165</f>
        <v/>
      </c>
      <c r="H1165" s="1921">
        <f>E1165-F1165</f>
        <v/>
      </c>
    </row>
    <row r="1166" ht="14.25" customHeight="1">
      <c r="A1166" s="1936" t="inlineStr">
        <is>
          <t>07/10/2021</t>
        </is>
      </c>
      <c r="B1166" s="1563" t="n">
        <v>6416</v>
      </c>
      <c r="C1166" s="1938" t="inlineStr">
        <is>
          <t>695</t>
        </is>
      </c>
      <c r="D1166" s="1921">
        <f>B1166/B1167-1</f>
        <v/>
      </c>
      <c r="E1166" s="1921">
        <f>C1166/C1167-1</f>
        <v/>
      </c>
      <c r="F1166" s="1921">
        <f>$L$2/365</f>
        <v/>
      </c>
      <c r="G1166" s="1921">
        <f>D1166-F1166</f>
        <v/>
      </c>
      <c r="H1166" s="1921">
        <f>E1166-F1166</f>
        <v/>
      </c>
    </row>
    <row r="1167" ht="14.25" customHeight="1">
      <c r="A1167" s="1933" t="inlineStr">
        <is>
          <t>06/10/2021</t>
        </is>
      </c>
      <c r="B1167" s="1563" t="n">
        <v>6417</v>
      </c>
      <c r="C1167" s="1939" t="inlineStr">
        <is>
          <t>685</t>
        </is>
      </c>
      <c r="D1167" s="1921">
        <f>B1167/B1168-1</f>
        <v/>
      </c>
      <c r="E1167" s="1921">
        <f>C1167/C1168-1</f>
        <v/>
      </c>
      <c r="F1167" s="1921">
        <f>$L$2/365</f>
        <v/>
      </c>
      <c r="G1167" s="1921">
        <f>D1167-F1167</f>
        <v/>
      </c>
      <c r="H1167" s="1921">
        <f>E1167-F1167</f>
        <v/>
      </c>
    </row>
    <row r="1168" ht="14.25" customHeight="1">
      <c r="A1168" s="1936" t="inlineStr">
        <is>
          <t>05/10/2021</t>
        </is>
      </c>
      <c r="B1168" s="1563" t="n">
        <v>6288</v>
      </c>
      <c r="C1168" s="1938" t="inlineStr">
        <is>
          <t>685</t>
        </is>
      </c>
      <c r="D1168" s="1921">
        <f>B1168/B1169-1</f>
        <v/>
      </c>
      <c r="E1168" s="1921">
        <f>C1168/C1169-1</f>
        <v/>
      </c>
      <c r="F1168" s="1921">
        <f>$L$2/365</f>
        <v/>
      </c>
      <c r="G1168" s="1921">
        <f>D1168-F1168</f>
        <v/>
      </c>
      <c r="H1168" s="1921">
        <f>E1168-F1168</f>
        <v/>
      </c>
    </row>
    <row r="1169" ht="14.25" customHeight="1">
      <c r="A1169" s="1933" t="inlineStr">
        <is>
          <t>04/10/2021</t>
        </is>
      </c>
      <c r="B1169" s="1563" t="n">
        <v>6343</v>
      </c>
      <c r="C1169" s="1939" t="inlineStr">
        <is>
          <t>725</t>
        </is>
      </c>
      <c r="D1169" s="1921">
        <f>B1169/B1170-1</f>
        <v/>
      </c>
      <c r="E1169" s="1921">
        <f>C1169/C1170-1</f>
        <v/>
      </c>
      <c r="F1169" s="1921">
        <f>$L$2/365</f>
        <v/>
      </c>
      <c r="G1169" s="1921">
        <f>D1169-F1169</f>
        <v/>
      </c>
      <c r="H1169" s="1921">
        <f>E1169-F1169</f>
        <v/>
      </c>
    </row>
    <row r="1170" ht="14.25" customHeight="1">
      <c r="A1170" s="1936" t="inlineStr">
        <is>
          <t>01/10/2021</t>
        </is>
      </c>
      <c r="B1170" s="1563" t="n">
        <v>6229</v>
      </c>
      <c r="C1170" s="1938" t="inlineStr">
        <is>
          <t>725</t>
        </is>
      </c>
      <c r="D1170" s="1921">
        <f>B1170/B1171-1</f>
        <v/>
      </c>
      <c r="E1170" s="1921">
        <f>C1170/C1171-1</f>
        <v/>
      </c>
      <c r="F1170" s="1921">
        <f>$L$2/365</f>
        <v/>
      </c>
      <c r="G1170" s="1921">
        <f>D1170-F1170</f>
        <v/>
      </c>
      <c r="H1170" s="1921">
        <f>E1170-F1170</f>
        <v/>
      </c>
    </row>
    <row r="1171" ht="14.25" customHeight="1">
      <c r="A1171" s="1933" t="inlineStr">
        <is>
          <t>30/09/2021</t>
        </is>
      </c>
      <c r="B1171" s="1563" t="n">
        <v>6287</v>
      </c>
      <c r="C1171" s="1939" t="inlineStr">
        <is>
          <t>775</t>
        </is>
      </c>
      <c r="D1171" s="1921">
        <f>B1171/B1172-1</f>
        <v/>
      </c>
      <c r="E1171" s="1921">
        <f>C1171/C1172-1</f>
        <v/>
      </c>
      <c r="F1171" s="1921">
        <f>$L$2/365</f>
        <v/>
      </c>
      <c r="G1171" s="1921">
        <f>D1171-F1171</f>
        <v/>
      </c>
      <c r="H1171" s="1921">
        <f>E1171-F1171</f>
        <v/>
      </c>
    </row>
    <row r="1172" ht="14.25" customHeight="1">
      <c r="A1172" s="1936" t="inlineStr">
        <is>
          <t>29/09/2021</t>
        </is>
      </c>
      <c r="B1172" s="1563" t="n">
        <v>6163</v>
      </c>
      <c r="C1172" s="1938" t="inlineStr">
        <is>
          <t>825</t>
        </is>
      </c>
      <c r="D1172" s="1921">
        <f>B1172/B1173-1</f>
        <v/>
      </c>
      <c r="E1172" s="1921">
        <f>C1172/C1173-1</f>
        <v/>
      </c>
      <c r="F1172" s="1921">
        <f>$L$2/365</f>
        <v/>
      </c>
      <c r="G1172" s="1921">
        <f>D1172-F1172</f>
        <v/>
      </c>
      <c r="H1172" s="1921">
        <f>E1172-F1172</f>
        <v/>
      </c>
    </row>
    <row r="1173" ht="14.25" customHeight="1">
      <c r="A1173" s="1933" t="inlineStr">
        <is>
          <t>28/09/2021</t>
        </is>
      </c>
      <c r="B1173" s="1563" t="n">
        <v>6113</v>
      </c>
      <c r="C1173" s="1939" t="inlineStr">
        <is>
          <t>830</t>
        </is>
      </c>
      <c r="D1173" s="1921">
        <f>B1173/B1174-1</f>
        <v/>
      </c>
      <c r="E1173" s="1921">
        <f>C1173/C1174-1</f>
        <v/>
      </c>
      <c r="F1173" s="1921">
        <f>$L$2/365</f>
        <v/>
      </c>
      <c r="G1173" s="1921">
        <f>D1173-F1173</f>
        <v/>
      </c>
      <c r="H1173" s="1921">
        <f>E1173-F1173</f>
        <v/>
      </c>
    </row>
    <row r="1174" ht="14.25" customHeight="1">
      <c r="A1174" s="1936" t="inlineStr">
        <is>
          <t>27/09/2021</t>
        </is>
      </c>
      <c r="B1174" s="1563" t="n">
        <v>6122</v>
      </c>
      <c r="C1174" s="1938" t="inlineStr">
        <is>
          <t>825</t>
        </is>
      </c>
      <c r="D1174" s="1921">
        <f>B1174/B1175-1</f>
        <v/>
      </c>
      <c r="E1174" s="1921">
        <f>C1174/C1175-1</f>
        <v/>
      </c>
      <c r="F1174" s="1921">
        <f>$L$2/365</f>
        <v/>
      </c>
      <c r="G1174" s="1921">
        <f>D1174-F1174</f>
        <v/>
      </c>
      <c r="H1174" s="1921">
        <f>E1174-F1174</f>
        <v/>
      </c>
    </row>
    <row r="1175" ht="14.25" customHeight="1">
      <c r="A1175" s="1933" t="inlineStr">
        <is>
          <t>24/09/2021</t>
        </is>
      </c>
      <c r="B1175" s="1563" t="n">
        <v>6145</v>
      </c>
      <c r="C1175" s="1939" t="inlineStr">
        <is>
          <t>825</t>
        </is>
      </c>
      <c r="D1175" s="1921">
        <f>B1175/B1176-1</f>
        <v/>
      </c>
      <c r="E1175" s="1921">
        <f>C1175/C1176-1</f>
        <v/>
      </c>
      <c r="F1175" s="1921">
        <f>$L$2/365</f>
        <v/>
      </c>
      <c r="G1175" s="1921">
        <f>D1175-F1175</f>
        <v/>
      </c>
      <c r="H1175" s="1921">
        <f>E1175-F1175</f>
        <v/>
      </c>
    </row>
    <row r="1176" ht="14.25" customHeight="1">
      <c r="A1176" s="1936" t="inlineStr">
        <is>
          <t>23/09/2021</t>
        </is>
      </c>
      <c r="B1176" s="1563" t="n">
        <v>6143</v>
      </c>
      <c r="C1176" s="1938" t="inlineStr">
        <is>
          <t>835</t>
        </is>
      </c>
      <c r="D1176" s="1921">
        <f>B1176/B1177-1</f>
        <v/>
      </c>
      <c r="E1176" s="1921">
        <f>C1176/C1177-1</f>
        <v/>
      </c>
      <c r="F1176" s="1921">
        <f>$L$2/365</f>
        <v/>
      </c>
      <c r="G1176" s="1921">
        <f>D1176-F1176</f>
        <v/>
      </c>
      <c r="H1176" s="1921">
        <f>E1176-F1176</f>
        <v/>
      </c>
    </row>
    <row r="1177" ht="14.25" customHeight="1">
      <c r="A1177" s="1933" t="inlineStr">
        <is>
          <t>22/09/2021</t>
        </is>
      </c>
      <c r="B1177" s="1563" t="n">
        <v>6108</v>
      </c>
      <c r="C1177" s="1939" t="inlineStr">
        <is>
          <t>820</t>
        </is>
      </c>
      <c r="D1177" s="1921">
        <f>B1177/B1178-1</f>
        <v/>
      </c>
      <c r="E1177" s="1921">
        <f>C1177/C1178-1</f>
        <v/>
      </c>
      <c r="F1177" s="1921">
        <f>$L$2/365</f>
        <v/>
      </c>
      <c r="G1177" s="1921">
        <f>D1177-F1177</f>
        <v/>
      </c>
      <c r="H1177" s="1921">
        <f>E1177-F1177</f>
        <v/>
      </c>
    </row>
    <row r="1178" ht="14.25" customHeight="1">
      <c r="A1178" s="1936" t="inlineStr">
        <is>
          <t>21/09/2021</t>
        </is>
      </c>
      <c r="B1178" s="1563" t="n">
        <v>6061</v>
      </c>
      <c r="C1178" s="1938" t="inlineStr">
        <is>
          <t>845</t>
        </is>
      </c>
      <c r="D1178" s="1921">
        <f>B1178/B1179-1</f>
        <v/>
      </c>
      <c r="E1178" s="1921">
        <f>C1178/C1179-1</f>
        <v/>
      </c>
      <c r="F1178" s="1921">
        <f>$L$2/365</f>
        <v/>
      </c>
      <c r="G1178" s="1921">
        <f>D1178-F1178</f>
        <v/>
      </c>
      <c r="H1178" s="1921">
        <f>E1178-F1178</f>
        <v/>
      </c>
    </row>
    <row r="1179" ht="14.25" customHeight="1">
      <c r="A1179" s="1933" t="inlineStr">
        <is>
          <t>20/09/2021</t>
        </is>
      </c>
      <c r="B1179" s="1563" t="n">
        <v>6076</v>
      </c>
      <c r="C1179" s="1939" t="inlineStr">
        <is>
          <t>865</t>
        </is>
      </c>
      <c r="D1179" s="1921">
        <f>B1179/B1180-1</f>
        <v/>
      </c>
      <c r="E1179" s="1921">
        <f>C1179/C1180-1</f>
        <v/>
      </c>
      <c r="F1179" s="1921">
        <f>$L$2/365</f>
        <v/>
      </c>
      <c r="G1179" s="1921">
        <f>D1179-F1179</f>
        <v/>
      </c>
      <c r="H1179" s="1921">
        <f>E1179-F1179</f>
        <v/>
      </c>
    </row>
    <row r="1180" ht="14.25" customHeight="1">
      <c r="A1180" s="1936" t="inlineStr">
        <is>
          <t>17/09/2021</t>
        </is>
      </c>
      <c r="B1180" s="1563" t="n">
        <v>6133</v>
      </c>
      <c r="C1180" s="1938" t="inlineStr">
        <is>
          <t>865</t>
        </is>
      </c>
      <c r="D1180" s="1921">
        <f>B1180/B1181-1</f>
        <v/>
      </c>
      <c r="E1180" s="1921">
        <f>C1180/C1181-1</f>
        <v/>
      </c>
      <c r="F1180" s="1921">
        <f>$L$2/365</f>
        <v/>
      </c>
      <c r="G1180" s="1921">
        <f>D1180-F1180</f>
        <v/>
      </c>
      <c r="H1180" s="1921">
        <f>E1180-F1180</f>
        <v/>
      </c>
    </row>
    <row r="1181" ht="14.25" customHeight="1">
      <c r="A1181" s="1933" t="inlineStr">
        <is>
          <t>16/09/2021</t>
        </is>
      </c>
      <c r="B1181" s="1563" t="n">
        <v>6110</v>
      </c>
      <c r="C1181" s="1939" t="inlineStr">
        <is>
          <t>860</t>
        </is>
      </c>
      <c r="D1181" s="1921">
        <f>B1181/B1182-1</f>
        <v/>
      </c>
      <c r="E1181" s="1921">
        <f>C1181/C1182-1</f>
        <v/>
      </c>
      <c r="F1181" s="1921">
        <f>$L$2/365</f>
        <v/>
      </c>
      <c r="G1181" s="1921">
        <f>D1181-F1181</f>
        <v/>
      </c>
      <c r="H1181" s="1921">
        <f>E1181-F1181</f>
        <v/>
      </c>
    </row>
    <row r="1182" ht="14.25" customHeight="1">
      <c r="A1182" s="1936" t="inlineStr">
        <is>
          <t>15/09/2021</t>
        </is>
      </c>
      <c r="B1182" s="1563" t="n">
        <v>6110</v>
      </c>
      <c r="C1182" s="1938" t="inlineStr">
        <is>
          <t>900</t>
        </is>
      </c>
      <c r="D1182" s="1921">
        <f>B1182/B1183-1</f>
        <v/>
      </c>
      <c r="E1182" s="1921">
        <f>C1182/C1183-1</f>
        <v/>
      </c>
      <c r="F1182" s="1921">
        <f>$L$2/365</f>
        <v/>
      </c>
      <c r="G1182" s="1921">
        <f>D1182-F1182</f>
        <v/>
      </c>
      <c r="H1182" s="1921">
        <f>E1182-F1182</f>
        <v/>
      </c>
    </row>
    <row r="1183" ht="14.25" customHeight="1">
      <c r="A1183" s="1933" t="inlineStr">
        <is>
          <t>14/09/2021</t>
        </is>
      </c>
      <c r="B1183" s="1563" t="n">
        <v>6129</v>
      </c>
      <c r="C1183" s="1939" t="inlineStr">
        <is>
          <t>860</t>
        </is>
      </c>
      <c r="D1183" s="1921">
        <f>B1183/B1184-1</f>
        <v/>
      </c>
      <c r="E1183" s="1921">
        <f>C1183/C1184-1</f>
        <v/>
      </c>
      <c r="F1183" s="1921">
        <f>$L$2/365</f>
        <v/>
      </c>
      <c r="G1183" s="1921">
        <f>D1183-F1183</f>
        <v/>
      </c>
      <c r="H1183" s="1921">
        <f>E1183-F1183</f>
        <v/>
      </c>
    </row>
    <row r="1184" ht="14.25" customHeight="1">
      <c r="A1184" s="1936" t="inlineStr">
        <is>
          <t>13/09/2021</t>
        </is>
      </c>
      <c r="B1184" s="1563" t="n">
        <v>6088</v>
      </c>
      <c r="C1184" s="1938" t="inlineStr">
        <is>
          <t>840</t>
        </is>
      </c>
      <c r="D1184" s="1921">
        <f>B1184/B1185-1</f>
        <v/>
      </c>
      <c r="E1184" s="1921">
        <f>C1184/C1185-1</f>
        <v/>
      </c>
      <c r="F1184" s="1921">
        <f>$L$2/365</f>
        <v/>
      </c>
      <c r="G1184" s="1921">
        <f>D1184-F1184</f>
        <v/>
      </c>
      <c r="H1184" s="1921">
        <f>E1184-F1184</f>
        <v/>
      </c>
    </row>
    <row r="1185" ht="14.25" customHeight="1">
      <c r="A1185" s="1933" t="inlineStr">
        <is>
          <t>10/09/2021</t>
        </is>
      </c>
      <c r="B1185" s="1563" t="n">
        <v>6095</v>
      </c>
      <c r="C1185" s="1939" t="inlineStr">
        <is>
          <t>855</t>
        </is>
      </c>
      <c r="D1185" s="1921">
        <f>B1185/B1186-1</f>
        <v/>
      </c>
      <c r="E1185" s="1921">
        <f>C1185/C1186-1</f>
        <v/>
      </c>
      <c r="F1185" s="1921">
        <f>$L$2/365</f>
        <v/>
      </c>
      <c r="G1185" s="1921">
        <f>D1185-F1185</f>
        <v/>
      </c>
      <c r="H1185" s="1921">
        <f>E1185-F1185</f>
        <v/>
      </c>
    </row>
    <row r="1186" ht="14.25" customHeight="1">
      <c r="A1186" s="1936" t="inlineStr">
        <is>
          <t>09/09/2021</t>
        </is>
      </c>
      <c r="B1186" s="1563" t="n">
        <v>6068</v>
      </c>
      <c r="C1186" s="1938" t="inlineStr">
        <is>
          <t>840</t>
        </is>
      </c>
      <c r="D1186" s="1921">
        <f>B1186/B1187-1</f>
        <v/>
      </c>
      <c r="E1186" s="1921">
        <f>C1186/C1187-1</f>
        <v/>
      </c>
      <c r="F1186" s="1921">
        <f>$L$2/365</f>
        <v/>
      </c>
      <c r="G1186" s="1921">
        <f>D1186-F1186</f>
        <v/>
      </c>
      <c r="H1186" s="1921">
        <f>E1186-F1186</f>
        <v/>
      </c>
    </row>
    <row r="1187" ht="14.25" customHeight="1">
      <c r="A1187" s="1933" t="inlineStr">
        <is>
          <t>08/09/2021</t>
        </is>
      </c>
      <c r="B1187" s="1563" t="n">
        <v>6026</v>
      </c>
      <c r="C1187" s="1939" t="inlineStr">
        <is>
          <t>835</t>
        </is>
      </c>
      <c r="D1187" s="1921">
        <f>B1187/B1188-1</f>
        <v/>
      </c>
      <c r="E1187" s="1921">
        <f>C1187/C1188-1</f>
        <v/>
      </c>
      <c r="F1187" s="1921">
        <f>$L$2/365</f>
        <v/>
      </c>
      <c r="G1187" s="1921">
        <f>D1187-F1187</f>
        <v/>
      </c>
      <c r="H1187" s="1921">
        <f>E1187-F1187</f>
        <v/>
      </c>
    </row>
    <row r="1188" ht="14.25" customHeight="1">
      <c r="A1188" s="1936" t="inlineStr">
        <is>
          <t>07/09/2021</t>
        </is>
      </c>
      <c r="B1188" s="1563" t="n">
        <v>6112</v>
      </c>
      <c r="C1188" s="1938" t="inlineStr">
        <is>
          <t>855</t>
        </is>
      </c>
      <c r="D1188" s="1921">
        <f>B1188/B1189-1</f>
        <v/>
      </c>
      <c r="E1188" s="1921">
        <f>C1188/C1189-1</f>
        <v/>
      </c>
      <c r="F1188" s="1921">
        <f>$L$2/365</f>
        <v/>
      </c>
      <c r="G1188" s="1921">
        <f>D1188-F1188</f>
        <v/>
      </c>
      <c r="H1188" s="1921">
        <f>E1188-F1188</f>
        <v/>
      </c>
    </row>
    <row r="1189" ht="14.25" customHeight="1">
      <c r="A1189" s="1933" t="inlineStr">
        <is>
          <t>06/09/2021</t>
        </is>
      </c>
      <c r="B1189" s="1563" t="n">
        <v>6127</v>
      </c>
      <c r="C1189" s="1939" t="inlineStr">
        <is>
          <t>865</t>
        </is>
      </c>
      <c r="D1189" s="1921">
        <f>B1189/B1190-1</f>
        <v/>
      </c>
      <c r="E1189" s="1921">
        <f>C1189/C1190-1</f>
        <v/>
      </c>
      <c r="F1189" s="1921">
        <f>$L$2/365</f>
        <v/>
      </c>
      <c r="G1189" s="1921">
        <f>D1189-F1189</f>
        <v/>
      </c>
      <c r="H1189" s="1921">
        <f>E1189-F1189</f>
        <v/>
      </c>
    </row>
    <row r="1190" ht="14.25" customHeight="1">
      <c r="A1190" s="1936" t="inlineStr">
        <is>
          <t>03/09/2021</t>
        </is>
      </c>
      <c r="B1190" s="1563" t="n">
        <v>6127</v>
      </c>
      <c r="C1190" s="1938" t="inlineStr">
        <is>
          <t>825</t>
        </is>
      </c>
      <c r="D1190" s="1921">
        <f>B1190/B1191-1</f>
        <v/>
      </c>
      <c r="E1190" s="1921">
        <f>C1190/C1191-1</f>
        <v/>
      </c>
      <c r="F1190" s="1921">
        <f>$L$2/365</f>
        <v/>
      </c>
      <c r="G1190" s="1921">
        <f>D1190-F1190</f>
        <v/>
      </c>
      <c r="H1190" s="1921">
        <f>E1190-F1190</f>
        <v/>
      </c>
    </row>
    <row r="1191" ht="14.25" customHeight="1">
      <c r="A1191" s="1933" t="inlineStr">
        <is>
          <t>02/09/2021</t>
        </is>
      </c>
      <c r="B1191" s="1563" t="n">
        <v>6078</v>
      </c>
      <c r="C1191" s="1939" t="inlineStr">
        <is>
          <t>805</t>
        </is>
      </c>
      <c r="D1191" s="1921">
        <f>B1191/B1192-1</f>
        <v/>
      </c>
      <c r="E1191" s="1921">
        <f>C1191/C1192-1</f>
        <v/>
      </c>
      <c r="F1191" s="1921">
        <f>$L$2/365</f>
        <v/>
      </c>
      <c r="G1191" s="1921">
        <f>D1191-F1191</f>
        <v/>
      </c>
      <c r="H1191" s="1921">
        <f>E1191-F1191</f>
        <v/>
      </c>
    </row>
    <row r="1192" ht="14.25" customHeight="1">
      <c r="A1192" s="1936" t="inlineStr">
        <is>
          <t>01/09/2021</t>
        </is>
      </c>
      <c r="B1192" s="1563" t="n">
        <v>6091</v>
      </c>
      <c r="C1192" s="1938" t="inlineStr">
        <is>
          <t>835</t>
        </is>
      </c>
      <c r="D1192" s="1921">
        <f>B1192/B1193-1</f>
        <v/>
      </c>
      <c r="E1192" s="1921">
        <f>C1192/C1193-1</f>
        <v/>
      </c>
      <c r="F1192" s="1921">
        <f>$L$2/365</f>
        <v/>
      </c>
      <c r="G1192" s="1921">
        <f>D1192-F1192</f>
        <v/>
      </c>
      <c r="H1192" s="1921">
        <f>E1192-F1192</f>
        <v/>
      </c>
    </row>
    <row r="1193" ht="14.25" customHeight="1">
      <c r="A1193" s="1933" t="inlineStr">
        <is>
          <t>31/08/2021</t>
        </is>
      </c>
      <c r="B1193" s="1563" t="n">
        <v>6150</v>
      </c>
      <c r="C1193" s="1939" t="inlineStr">
        <is>
          <t>835</t>
        </is>
      </c>
      <c r="D1193" s="1921">
        <f>B1193/B1194-1</f>
        <v/>
      </c>
      <c r="E1193" s="1921">
        <f>C1193/C1194-1</f>
        <v/>
      </c>
      <c r="F1193" s="1921">
        <f>$L$2/365</f>
        <v/>
      </c>
      <c r="G1193" s="1921">
        <f>D1193-F1193</f>
        <v/>
      </c>
      <c r="H1193" s="1921">
        <f>E1193-F1193</f>
        <v/>
      </c>
    </row>
    <row r="1194" ht="14.25" customHeight="1">
      <c r="A1194" s="1936" t="inlineStr">
        <is>
          <t>30/08/2021</t>
        </is>
      </c>
      <c r="B1194" s="1563" t="n">
        <v>6145</v>
      </c>
      <c r="C1194" s="1938" t="inlineStr">
        <is>
          <t>830</t>
        </is>
      </c>
      <c r="D1194" s="1921">
        <f>B1194/B1195-1</f>
        <v/>
      </c>
      <c r="E1194" s="1921">
        <f>C1194/C1195-1</f>
        <v/>
      </c>
      <c r="F1194" s="1921">
        <f>$L$2/365</f>
        <v/>
      </c>
      <c r="G1194" s="1921">
        <f>D1194-F1194</f>
        <v/>
      </c>
      <c r="H1194" s="1921">
        <f>E1194-F1194</f>
        <v/>
      </c>
    </row>
    <row r="1195" ht="14.25" customHeight="1">
      <c r="A1195" s="1933" t="inlineStr">
        <is>
          <t>27/08/2021</t>
        </is>
      </c>
      <c r="B1195" s="1563" t="n">
        <v>6041</v>
      </c>
      <c r="C1195" s="1939" t="inlineStr">
        <is>
          <t>820</t>
        </is>
      </c>
      <c r="D1195" s="1921">
        <f>B1195/B1196-1</f>
        <v/>
      </c>
      <c r="E1195" s="1921">
        <f>C1195/C1196-1</f>
        <v/>
      </c>
      <c r="F1195" s="1921">
        <f>$L$2/365</f>
        <v/>
      </c>
      <c r="G1195" s="1921">
        <f>D1195-F1195</f>
        <v/>
      </c>
      <c r="H1195" s="1921">
        <f>E1195-F1195</f>
        <v/>
      </c>
    </row>
    <row r="1196" ht="14.25" customHeight="1">
      <c r="A1196" s="1936" t="inlineStr">
        <is>
          <t>26/08/2021</t>
        </is>
      </c>
      <c r="B1196" s="1563" t="n">
        <v>6058</v>
      </c>
      <c r="C1196" s="1938" t="inlineStr">
        <is>
          <t>790</t>
        </is>
      </c>
      <c r="D1196" s="1921">
        <f>B1196/B1197-1</f>
        <v/>
      </c>
      <c r="E1196" s="1921">
        <f>C1196/C1197-1</f>
        <v/>
      </c>
      <c r="F1196" s="1921">
        <f>$L$2/365</f>
        <v/>
      </c>
      <c r="G1196" s="1921">
        <f>D1196-F1196</f>
        <v/>
      </c>
      <c r="H1196" s="1921">
        <f>E1196-F1196</f>
        <v/>
      </c>
    </row>
    <row r="1197" ht="14.25" customHeight="1">
      <c r="A1197" s="1933" t="inlineStr">
        <is>
          <t>25/08/2021</t>
        </is>
      </c>
      <c r="B1197" s="1563" t="n">
        <v>6113</v>
      </c>
      <c r="C1197" s="1939" t="inlineStr">
        <is>
          <t>845</t>
        </is>
      </c>
      <c r="D1197" s="1921">
        <f>B1197/B1198-1</f>
        <v/>
      </c>
      <c r="E1197" s="1921">
        <f>C1197/C1198-1</f>
        <v/>
      </c>
      <c r="F1197" s="1921">
        <f>$L$2/365</f>
        <v/>
      </c>
      <c r="G1197" s="1921">
        <f>D1197-F1197</f>
        <v/>
      </c>
      <c r="H1197" s="1921">
        <f>E1197-F1197</f>
        <v/>
      </c>
    </row>
    <row r="1198" ht="14.25" customHeight="1">
      <c r="A1198" s="1936" t="inlineStr">
        <is>
          <t>24/08/2021</t>
        </is>
      </c>
      <c r="B1198" s="1563" t="n">
        <v>6090</v>
      </c>
      <c r="C1198" s="1938" t="inlineStr">
        <is>
          <t>885</t>
        </is>
      </c>
      <c r="D1198" s="1921">
        <f>B1198/B1199-1</f>
        <v/>
      </c>
      <c r="E1198" s="1921">
        <f>C1198/C1199-1</f>
        <v/>
      </c>
      <c r="F1198" s="1921">
        <f>$L$2/365</f>
        <v/>
      </c>
      <c r="G1198" s="1921">
        <f>D1198-F1198</f>
        <v/>
      </c>
      <c r="H1198" s="1921">
        <f>E1198-F1198</f>
        <v/>
      </c>
    </row>
    <row r="1199" ht="14.25" customHeight="1">
      <c r="A1199" s="1933" t="inlineStr">
        <is>
          <t>23/08/2021</t>
        </is>
      </c>
      <c r="B1199" s="1563" t="n">
        <v>6110</v>
      </c>
      <c r="C1199" s="1939" t="inlineStr">
        <is>
          <t>915</t>
        </is>
      </c>
      <c r="D1199" s="1921">
        <f>B1199/B1200-1</f>
        <v/>
      </c>
      <c r="E1199" s="1921">
        <f>C1199/C1200-1</f>
        <v/>
      </c>
      <c r="F1199" s="1921">
        <f>$L$2/365</f>
        <v/>
      </c>
      <c r="G1199" s="1921">
        <f>D1199-F1199</f>
        <v/>
      </c>
      <c r="H1199" s="1921">
        <f>E1199-F1199</f>
        <v/>
      </c>
    </row>
    <row r="1200" ht="14.25" customHeight="1">
      <c r="A1200" s="800" t="n"/>
      <c r="B1200" s="816" t="n"/>
      <c r="C1200" s="800" t="n"/>
      <c r="D1200" s="802" t="n"/>
      <c r="E1200" s="802" t="n"/>
      <c r="F1200" s="803" t="n"/>
      <c r="G1200" s="803" t="n"/>
      <c r="H1200" s="803" t="n"/>
    </row>
    <row r="1201" ht="14.25" customHeight="1">
      <c r="A1201" s="800" t="n"/>
      <c r="B1201" s="813" t="n"/>
      <c r="C1201" s="800" t="n"/>
      <c r="D1201" s="802" t="n"/>
      <c r="E1201" s="802" t="n"/>
      <c r="F1201" s="803" t="n"/>
      <c r="G1201" s="803" t="n"/>
      <c r="H1201" s="803" t="n"/>
    </row>
    <row r="1202" ht="14.25" customHeight="1">
      <c r="A1202" s="800" t="n"/>
      <c r="B1202" s="816" t="n"/>
      <c r="C1202" s="800" t="n"/>
      <c r="D1202" s="802" t="n"/>
      <c r="E1202" s="802" t="n"/>
      <c r="F1202" s="803" t="n"/>
      <c r="G1202" s="803" t="n"/>
      <c r="H1202" s="803" t="n"/>
    </row>
    <row r="1203" ht="14.25" customHeight="1">
      <c r="B1203" s="813" t="n"/>
    </row>
    <row r="1204" ht="14.25" customHeight="1">
      <c r="B1204" s="816" t="n"/>
    </row>
  </sheetData>
  <mergeCells count="4">
    <mergeCell ref="K9:L9"/>
    <mergeCell ref="G2:H2"/>
    <mergeCell ref="B2:C2"/>
    <mergeCell ref="D2:E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topLeftCell="A2" zoomScaleNormal="100" workbookViewId="0">
      <selection activeCell="A20" sqref="A20"/>
    </sheetView>
  </sheetViews>
  <sheetFormatPr baseColWidth="8" defaultColWidth="8.7109375" defaultRowHeight="15.75"/>
  <cols>
    <col width="42.42578125" customWidth="1" style="1226" min="1" max="1"/>
    <col width="8.7109375" customWidth="1" style="1226" min="2" max="3"/>
    <col width="21" customWidth="1" style="1226" min="4" max="4"/>
    <col width="8.7109375" customWidth="1" style="1226" min="5" max="16384"/>
  </cols>
  <sheetData>
    <row r="1" ht="15" customHeight="1">
      <c r="A1" s="1866" t="inlineStr">
        <is>
          <t>WIFI</t>
        </is>
      </c>
    </row>
    <row r="2" ht="15" customHeight="1"/>
    <row r="3" ht="15" customHeight="1">
      <c r="A3" s="1867" t="inlineStr">
        <is>
          <t>Weighted Average Cost of Capital</t>
        </is>
      </c>
    </row>
    <row r="5" ht="15" customHeight="1">
      <c r="A5" s="1670" t="inlineStr">
        <is>
          <t>Debt-to-Asset</t>
        </is>
      </c>
      <c r="D5" s="1940">
        <f>('WIFI 3-Statement Model'!H66+'WIFI 3-Statement Model'!H71)/'WIFI 3-Statement Model'!H62</f>
        <v/>
      </c>
    </row>
    <row r="6" ht="15" customHeight="1">
      <c r="A6" s="1670" t="inlineStr">
        <is>
          <t>Equity-to-Asset</t>
        </is>
      </c>
      <c r="D6" s="1941">
        <f>1-D5</f>
        <v/>
      </c>
    </row>
    <row r="7" ht="15" customHeight="1">
      <c r="A7" s="1670" t="inlineStr">
        <is>
          <t>Cost of Equity (Ke)</t>
        </is>
      </c>
      <c r="D7" s="1942">
        <f>D24</f>
        <v/>
      </c>
    </row>
    <row r="8" ht="15" customHeight="1">
      <c r="A8" s="1673" t="inlineStr">
        <is>
          <t>Cost of Debt (Kd)</t>
        </is>
      </c>
      <c r="B8" s="1228" t="n"/>
      <c r="C8" s="1228" t="n"/>
      <c r="D8" s="1943">
        <f>D17</f>
        <v/>
      </c>
    </row>
    <row r="9" ht="15" customHeight="1">
      <c r="A9" s="1703" t="inlineStr">
        <is>
          <t>Weighted Average Cost of Capital</t>
        </is>
      </c>
      <c r="B9" s="1229" t="n"/>
      <c r="C9" s="1229" t="n"/>
      <c r="D9" s="1944">
        <f>D5*D8+D6*D7</f>
        <v/>
      </c>
    </row>
    <row r="11" ht="15" customHeight="1">
      <c r="A11" s="1867" t="inlineStr">
        <is>
          <t>Cost of Debt</t>
        </is>
      </c>
    </row>
    <row r="13" ht="15" customHeight="1">
      <c r="A13" s="1670" t="inlineStr">
        <is>
          <t>Interest Expense</t>
        </is>
      </c>
      <c r="D13" s="1696">
        <f>'WIFI 3-Statement Model'!H39</f>
        <v/>
      </c>
    </row>
    <row r="14" ht="15" customHeight="1">
      <c r="A14" s="1673" t="inlineStr">
        <is>
          <t>Average Total Debt</t>
        </is>
      </c>
      <c r="B14" s="1228" t="n"/>
      <c r="C14" s="1228" t="n"/>
      <c r="D14" s="1671">
        <f>('WIFI 3-Statement Model'!H66+'WIFI 3-Statement Model'!H71+'WIFI 3-Statement Model'!G71+'WIFI 3-Statement Model'!G66)/2</f>
        <v/>
      </c>
    </row>
    <row r="15" ht="15" customHeight="1">
      <c r="A15" s="1670" t="inlineStr">
        <is>
          <t>Pre-tax Cost of Debt</t>
        </is>
      </c>
      <c r="D15" s="1780">
        <f>D13/D14*-1</f>
        <v/>
      </c>
    </row>
    <row r="16" ht="15" customHeight="1">
      <c r="A16" s="1673" t="inlineStr">
        <is>
          <t>Tax Rate</t>
        </is>
      </c>
      <c r="B16" s="1228" t="n"/>
      <c r="C16" s="1228" t="n"/>
      <c r="D16" s="1828" t="n">
        <v>0.22</v>
      </c>
    </row>
    <row r="17" ht="15" customHeight="1">
      <c r="A17" s="1703" t="inlineStr">
        <is>
          <t>After Tax Cost of debt</t>
        </is>
      </c>
      <c r="B17" s="1229" t="n"/>
      <c r="C17" s="1229" t="n"/>
      <c r="D17" s="1870">
        <f>D15*(1-D16)</f>
        <v/>
      </c>
    </row>
    <row r="19" ht="15" customHeight="1">
      <c r="A19" s="1867" t="inlineStr">
        <is>
          <t>Cost of Equity</t>
        </is>
      </c>
    </row>
    <row r="21" ht="15" customHeight="1">
      <c r="A21" s="1670" t="inlineStr">
        <is>
          <t>Risk Free Rate (Indonesia 10Y Government Bond)</t>
        </is>
      </c>
      <c r="D21" s="1778" t="n">
        <v>0.0696</v>
      </c>
    </row>
    <row r="22" ht="15" customHeight="1">
      <c r="A22" s="1670" t="inlineStr">
        <is>
          <t>Equity Risk Premium</t>
        </is>
      </c>
      <c r="D22" s="1778" t="n">
        <v>0.0669</v>
      </c>
    </row>
    <row r="23" ht="15" customHeight="1">
      <c r="A23" s="1673" t="inlineStr">
        <is>
          <t>Beta</t>
        </is>
      </c>
      <c r="B23" s="1228" t="n"/>
      <c r="C23" s="1228" t="n"/>
      <c r="D23" s="1871">
        <f>'WIFI BETA'!L3</f>
        <v/>
      </c>
    </row>
    <row r="24" ht="15" customHeight="1">
      <c r="A24" s="1703" t="inlineStr">
        <is>
          <t>Cost of Equity</t>
        </is>
      </c>
      <c r="B24" s="1229" t="n"/>
      <c r="C24" s="1229" t="n"/>
      <c r="D24" s="1870">
        <f>D21+D23*(D22)</f>
        <v/>
      </c>
    </row>
  </sheetData>
  <mergeCells count="4">
    <mergeCell ref="A1:D2"/>
    <mergeCell ref="A3:D3"/>
    <mergeCell ref="A19:D19"/>
    <mergeCell ref="A11:D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T67"/>
  <sheetViews>
    <sheetView showGridLines="0" zoomScale="91" zoomScaleNormal="91" workbookViewId="0">
      <selection activeCell="M18" sqref="M18"/>
    </sheetView>
  </sheetViews>
  <sheetFormatPr baseColWidth="8" defaultColWidth="8.7109375" defaultRowHeight="14.25"/>
  <cols>
    <col width="30" customWidth="1" style="151" min="1" max="1"/>
    <col width="13" customWidth="1" style="151" min="2" max="5"/>
    <col width="15.42578125" customWidth="1" style="151" min="6" max="6"/>
    <col width="13" customWidth="1" style="151" min="7" max="7"/>
    <col width="8.7109375" customWidth="1" style="151" min="8" max="39"/>
    <col width="30" customWidth="1" style="151" min="40" max="40"/>
    <col width="13" customWidth="1" style="151" min="41" max="46"/>
    <col width="8.7109375" customWidth="1" style="151" min="47" max="16384"/>
  </cols>
  <sheetData>
    <row r="1" ht="16.5" customHeight="1">
      <c r="A1" s="1785" t="inlineStr">
        <is>
          <t>WIFI  |  Sum-of-the-Parts (SOTP) Valuation</t>
        </is>
      </c>
      <c r="B1" s="1471" t="n"/>
      <c r="C1" s="1471" t="n"/>
      <c r="D1" s="1471" t="n"/>
      <c r="E1" s="1471" t="n"/>
      <c r="F1" s="1471" t="n"/>
      <c r="G1" s="1471" t="n"/>
      <c r="AN1" s="1945" t="n"/>
      <c r="AO1" s="1471" t="n"/>
      <c r="AP1" s="1471" t="n"/>
      <c r="AQ1" s="1471" t="n"/>
      <c r="AR1" s="1471" t="n"/>
      <c r="AS1" s="1471" t="n"/>
      <c r="AT1" s="1471" t="n"/>
    </row>
    <row r="2" ht="14.25" customHeight="1">
      <c r="A2" s="1394" t="inlineStr">
        <is>
          <t xml:space="preserve">Rp bn unless stated. </t>
        </is>
      </c>
      <c r="AN2" s="175" t="n"/>
    </row>
    <row r="3" ht="14.25" customHeight="1">
      <c r="A3" s="931" t="inlineStr">
        <is>
          <t>Valuation year (1=FY26F, 2=FY27F, ... 5=FY30F):</t>
        </is>
      </c>
      <c r="C3" s="1946" t="n">
        <v>2</v>
      </c>
      <c r="D3" s="931">
        <f>CHOOSE($C$3,"FY2026F","FY2027F","FY2028F","FY2029F","FY2030F")</f>
        <v/>
      </c>
      <c r="AN3" s="647" t="n"/>
      <c r="AP3" s="824" t="n"/>
      <c r="AQ3" s="647" t="n"/>
    </row>
    <row r="4" ht="14.25" customHeight="1">
      <c r="A4" s="1371" t="inlineStr">
        <is>
          <t>A.  SEGMENT ENTERPRISE VALUE</t>
        </is>
      </c>
      <c r="B4" s="1471" t="n"/>
      <c r="C4" s="1471" t="n"/>
      <c r="D4" s="1471" t="n"/>
      <c r="E4" s="1471" t="n"/>
      <c r="F4" s="1471" t="n"/>
      <c r="G4" s="1471" t="n"/>
      <c r="AN4" s="1947" t="n"/>
      <c r="AO4" s="1471" t="n"/>
      <c r="AP4" s="1471" t="n"/>
      <c r="AQ4" s="1471" t="n"/>
      <c r="AR4" s="1471" t="n"/>
      <c r="AS4" s="1471" t="n"/>
      <c r="AT4" s="1471" t="n"/>
    </row>
    <row r="5" ht="14.25" customHeight="1">
      <c r="A5" s="1786" t="inlineStr">
        <is>
          <t>Segment</t>
        </is>
      </c>
      <c r="B5" s="1787" t="inlineStr">
        <is>
          <t>Revenue</t>
        </is>
      </c>
      <c r="C5" s="1787" t="inlineStr">
        <is>
          <t>EBITDA %</t>
        </is>
      </c>
      <c r="D5" s="1787" t="inlineStr">
        <is>
          <t>EBITDA</t>
        </is>
      </c>
      <c r="E5" s="1787" t="inlineStr">
        <is>
          <t>EV/EBITDA</t>
        </is>
      </c>
      <c r="F5" s="1787" t="inlineStr">
        <is>
          <t>Enterprise Value</t>
        </is>
      </c>
      <c r="G5" s="1787" t="inlineStr">
        <is>
          <t>% of EV</t>
        </is>
      </c>
      <c r="AN5" s="1948" t="n"/>
      <c r="AO5" s="1949" t="n"/>
      <c r="AP5" s="1949" t="n"/>
      <c r="AQ5" s="1949" t="n"/>
      <c r="AR5" s="1949" t="n"/>
      <c r="AS5" s="1949" t="n"/>
      <c r="AT5" s="1950" t="n"/>
    </row>
    <row r="6" ht="14.25" customHeight="1">
      <c r="A6" s="934" t="inlineStr">
        <is>
          <t>Telecommunication (FTTH + FWA + wholesale)</t>
        </is>
      </c>
      <c r="B6" s="1800">
        <f>CHOOSE($C$3,'WIFI 3-Statement Model'!I142+'WIFI 3-Statement Model'!I148+'WIFI 3-Statement Model'!I150,'WIFI 3-Statement Model'!J142+'WIFI 3-Statement Model'!J148+'WIFI 3-Statement Model'!J150,'WIFI 3-Statement Model'!K142+'WIFI 3-Statement Model'!K148+'WIFI 3-Statement Model'!K150,'WIFI 3-Statement Model'!L142+'WIFI 3-Statement Model'!L148+'WIFI 3-Statement Model'!L150,'WIFI 3-Statement Model'!M142+'WIFI 3-Statement Model'!M148+'WIFI 3-Statement Model'!M150)/1000000</f>
        <v/>
      </c>
      <c r="C6" s="1791">
        <f>D6/B6</f>
        <v/>
      </c>
      <c r="D6" s="1797">
        <f>$F$31*(B6*$D$65)/(B6*$D$65+B7*$D$66)</f>
        <v/>
      </c>
      <c r="E6" s="1375" t="n">
        <v>7</v>
      </c>
      <c r="F6" s="1797">
        <f>D6*E6</f>
        <v/>
      </c>
      <c r="G6" s="1791">
        <f>F6/$F$10</f>
        <v/>
      </c>
      <c r="AN6" s="628" t="n"/>
      <c r="AO6" s="640" t="n"/>
      <c r="AP6" s="1238" t="n"/>
      <c r="AQ6" s="646" t="n"/>
      <c r="AR6" s="1241" t="n"/>
      <c r="AS6" s="646" t="n"/>
      <c r="AT6" s="1240" t="n"/>
    </row>
    <row r="7" ht="14.25" customHeight="1">
      <c r="A7" s="934" t="inlineStr">
        <is>
          <t>Advertising</t>
        </is>
      </c>
      <c r="B7" s="1800">
        <f>CHOOSE($C$3,'WIFI 3-Statement Model'!I151,'WIFI 3-Statement Model'!J151,'WIFI 3-Statement Model'!K151,'WIFI 3-Statement Model'!L151,'WIFI 3-Statement Model'!M151)/1000000</f>
        <v/>
      </c>
      <c r="C7" s="1791">
        <f>D7/B7</f>
        <v/>
      </c>
      <c r="D7" s="1797">
        <f>$F$31*(B7*$D$66)/(B6*$D$65+B7*$D$66)</f>
        <v/>
      </c>
      <c r="E7" s="1375" t="n">
        <v>6</v>
      </c>
      <c r="F7" s="1797">
        <f>D7*E7</f>
        <v/>
      </c>
      <c r="G7" s="1791">
        <f>F7/$F$10</f>
        <v/>
      </c>
      <c r="AN7" s="628" t="n"/>
      <c r="AO7" s="640" t="n"/>
      <c r="AP7" s="1240" t="n"/>
      <c r="AQ7" s="646" t="n"/>
      <c r="AR7" s="1241" t="n"/>
      <c r="AS7" s="646" t="n"/>
      <c r="AT7" s="1240" t="n"/>
    </row>
    <row r="8" ht="14.25" customHeight="1">
      <c r="A8" s="628" t="n"/>
      <c r="B8" s="640" t="n"/>
      <c r="C8" s="1232" t="n"/>
      <c r="D8" s="646" t="n"/>
      <c r="E8" s="1239" t="n"/>
      <c r="F8" s="646" t="n"/>
      <c r="G8" s="1240" t="n"/>
      <c r="AN8" s="628" t="n"/>
      <c r="AO8" s="640" t="n"/>
      <c r="AP8" s="1242" t="n"/>
      <c r="AQ8" s="646" t="n"/>
      <c r="AR8" s="1241" t="n"/>
      <c r="AS8" s="646" t="n"/>
      <c r="AT8" s="1240" t="n"/>
    </row>
    <row r="9" ht="14.25" customHeight="1">
      <c r="A9" s="628" t="n"/>
      <c r="B9" s="640" t="n"/>
      <c r="C9" s="1238" t="n"/>
      <c r="D9" s="646" t="n"/>
      <c r="E9" s="1239" t="n"/>
      <c r="F9" s="646" t="n"/>
      <c r="G9" s="1240" t="n"/>
      <c r="AN9" s="628" t="n"/>
      <c r="AO9" s="640" t="n"/>
      <c r="AP9" s="1238" t="n"/>
      <c r="AQ9" s="646" t="n"/>
      <c r="AR9" s="1241" t="n"/>
      <c r="AS9" s="646" t="n"/>
      <c r="AT9" s="1240" t="n"/>
    </row>
    <row r="10" ht="14.25" customHeight="1">
      <c r="A10" s="1898" t="inlineStr">
        <is>
          <t>Total enterprise value</t>
        </is>
      </c>
      <c r="B10" s="1899">
        <f>SUM(B6:B9)</f>
        <v/>
      </c>
      <c r="C10" s="789" t="n"/>
      <c r="D10" s="1899">
        <f>SUM(D6:D9)</f>
        <v/>
      </c>
      <c r="E10" s="789" t="n"/>
      <c r="F10" s="1899">
        <f>SUM(F6:F9)</f>
        <v/>
      </c>
      <c r="G10" s="1909">
        <f>SUM(G6:G9)</f>
        <v/>
      </c>
      <c r="AN10" s="644" t="n"/>
      <c r="AO10" s="645" t="n"/>
      <c r="AP10" s="173" t="n"/>
      <c r="AQ10" s="645" t="n"/>
      <c r="AR10" s="173" t="n"/>
      <c r="AS10" s="645" t="n"/>
      <c r="AT10" s="1243" t="n"/>
    </row>
    <row r="12" ht="14.25" customHeight="1">
      <c r="A12" s="1371" t="inlineStr">
        <is>
          <t>B.  EQUITY VALUE BRIDGE</t>
        </is>
      </c>
      <c r="B12" s="1471" t="n"/>
      <c r="C12" s="1471" t="n"/>
      <c r="D12" s="1471" t="n"/>
      <c r="E12" s="1471" t="n"/>
      <c r="F12" s="1471" t="n"/>
      <c r="G12" s="1471" t="n"/>
      <c r="AN12" s="1947" t="n"/>
      <c r="AO12" s="1471" t="n"/>
      <c r="AP12" s="1471" t="n"/>
      <c r="AQ12" s="1471" t="n"/>
      <c r="AR12" s="1471" t="n"/>
      <c r="AS12" s="1471" t="n"/>
      <c r="AT12" s="1471" t="n"/>
    </row>
    <row r="13" ht="14.25" customHeight="1">
      <c r="A13" s="931" t="inlineStr">
        <is>
          <t>Enterprise value (sum of parts)</t>
        </is>
      </c>
      <c r="F13" s="1805">
        <f>F10</f>
        <v/>
      </c>
      <c r="AN13" s="647" t="n"/>
      <c r="AS13" s="648" t="n"/>
    </row>
    <row r="14" ht="14.25" customHeight="1">
      <c r="A14" s="934" t="inlineStr">
        <is>
          <t>less: Net debt (FY2027F)</t>
        </is>
      </c>
      <c r="F14" s="1800">
        <f>-(CHOOSE($C$3,'WIFI 3-Statement Model'!I124,'WIFI 3-Statement Model'!J124,'WIFI 3-Statement Model'!K124,'WIFI 3-Statement Model'!L124,'WIFI 3-Statement Model'!M124)-CHOOSE($C$3,'WIFI 3-Statement Model'!I51,'WIFI 3-Statement Model'!J51,'WIFI 3-Statement Model'!K51,'WIFI 3-Statement Model'!L51,'WIFI 3-Statement Model'!M51))/1000000</f>
        <v/>
      </c>
      <c r="AN14" s="628" t="n"/>
      <c r="AS14" s="640" t="n"/>
    </row>
    <row r="15" ht="14.25" customHeight="1">
      <c r="A15" s="1898" t="inlineStr">
        <is>
          <t>Equity value (100% of subsidiaries)</t>
        </is>
      </c>
      <c r="B15" s="789" t="n"/>
      <c r="C15" s="789" t="n"/>
      <c r="D15" s="789" t="n"/>
      <c r="E15" s="789" t="n"/>
      <c r="F15" s="1899">
        <f>F13+F14</f>
        <v/>
      </c>
      <c r="G15" s="789" t="n"/>
      <c r="AN15" s="644" t="n"/>
      <c r="AO15" s="173" t="n"/>
      <c r="AP15" s="173" t="n"/>
      <c r="AQ15" s="173" t="n"/>
      <c r="AR15" s="173" t="n"/>
      <c r="AS15" s="645" t="n"/>
      <c r="AT15" s="173" t="n"/>
    </row>
    <row r="16" ht="14.25" customHeight="1">
      <c r="A16" s="934" t="inlineStr">
        <is>
          <t>less: Minority interest (book, model FY)</t>
        </is>
      </c>
      <c r="C16" s="1232" t="n"/>
      <c r="F16" s="1800">
        <f>-CHOOSE($C$3,'WIFI 3-Statement Model'!I78,'WIFI 3-Statement Model'!J78,'WIFI 3-Statement Model'!K78,'WIFI 3-Statement Model'!L78,'WIFI 3-Statement Model'!M78)/1000000</f>
        <v/>
      </c>
      <c r="AN16" s="628" t="n"/>
      <c r="AP16" s="1242" t="n"/>
      <c r="AS16" s="646" t="n"/>
    </row>
    <row r="17" ht="14.25" customHeight="1">
      <c r="A17" s="1898" t="inlineStr">
        <is>
          <t>Equity value to WIFI shareholders</t>
        </is>
      </c>
      <c r="B17" s="789" t="n"/>
      <c r="C17" s="789" t="n"/>
      <c r="D17" s="789" t="n"/>
      <c r="E17" s="789" t="n"/>
      <c r="F17" s="1899">
        <f>F15+F16</f>
        <v/>
      </c>
      <c r="G17" s="789" t="n"/>
      <c r="AN17" s="644" t="n"/>
      <c r="AO17" s="173" t="n"/>
      <c r="AP17" s="173" t="n"/>
      <c r="AQ17" s="173" t="n"/>
      <c r="AR17" s="173" t="n"/>
      <c r="AS17" s="645" t="n"/>
      <c r="AT17" s="173" t="n"/>
    </row>
    <row r="18" ht="14.25" customHeight="1">
      <c r="A18" s="934" t="inlineStr">
        <is>
          <t>Shares outstanding (mn)</t>
        </is>
      </c>
      <c r="F18" s="1908">
        <f>'WIFI VALUATION'!H27/1000000</f>
        <v/>
      </c>
      <c r="AN18" s="628" t="n"/>
      <c r="AS18" s="785" t="n"/>
    </row>
    <row r="19" ht="14.25" customHeight="1">
      <c r="A19" s="1898" t="inlineStr">
        <is>
          <t>SOTP value per share – FY2027F (Rp)</t>
        </is>
      </c>
      <c r="B19" s="789" t="n"/>
      <c r="C19" s="789" t="n"/>
      <c r="D19" s="789" t="n"/>
      <c r="E19" s="789" t="n"/>
      <c r="F19" s="1911">
        <f>F17*1000/F18</f>
        <v/>
      </c>
      <c r="G19" s="789" t="n"/>
      <c r="AN19" s="622" t="n"/>
      <c r="AO19" s="623" t="n"/>
      <c r="AP19" s="623" t="n"/>
      <c r="AQ19" s="623" t="n"/>
      <c r="AR19" s="623" t="n"/>
      <c r="AS19" s="834" t="n"/>
      <c r="AT19" s="623" t="n"/>
    </row>
    <row r="21" ht="14.25" customHeight="1">
      <c r="A21" s="1394" t="inlineStr">
        <is>
          <t>Discount to present value</t>
        </is>
      </c>
      <c r="AN21" s="175" t="n"/>
    </row>
    <row r="22" ht="14.25" customHeight="1">
      <c r="A22" s="934" t="inlineStr">
        <is>
          <t>Cost of equity</t>
        </is>
      </c>
      <c r="C22" s="1940">
        <f>'WIFI WACC'!D7</f>
        <v/>
      </c>
      <c r="AN22" s="628" t="n"/>
      <c r="AP22" s="1238" t="n"/>
    </row>
    <row r="23" ht="14.25" customHeight="1">
      <c r="A23" s="934" t="inlineStr">
        <is>
          <t>Years to discount</t>
        </is>
      </c>
      <c r="C23" s="1794">
        <f>C3-0.6</f>
        <v/>
      </c>
      <c r="AN23" s="628" t="n"/>
      <c r="AP23" s="835" t="n"/>
    </row>
    <row r="24" ht="14.25" customHeight="1">
      <c r="A24" s="1898" t="inlineStr">
        <is>
          <t>SOTP target price – present value (Rp)</t>
        </is>
      </c>
      <c r="B24" s="789" t="n"/>
      <c r="C24" s="789" t="n"/>
      <c r="D24" s="789" t="n"/>
      <c r="E24" s="789" t="n"/>
      <c r="F24" s="1911">
        <f>F19/(1+C22)^C23</f>
        <v/>
      </c>
      <c r="G24" s="789" t="n"/>
      <c r="AN24" s="622" t="n"/>
      <c r="AO24" s="623" t="n"/>
      <c r="AP24" s="623" t="n"/>
      <c r="AQ24" s="623" t="n"/>
      <c r="AR24" s="623" t="n"/>
      <c r="AS24" s="834" t="n"/>
      <c r="AT24" s="623" t="n"/>
    </row>
    <row r="25" ht="14.25" customHeight="1">
      <c r="A25" s="934" t="inlineStr">
        <is>
          <t>Current price (Rp)</t>
        </is>
      </c>
      <c r="F25" s="1908">
        <f>'WIFI VALUATION'!H29</f>
        <v/>
      </c>
      <c r="AN25" s="628" t="n"/>
      <c r="AS25" s="785" t="n"/>
    </row>
    <row r="26" ht="14.25" customHeight="1">
      <c r="A26" s="1898" t="inlineStr">
        <is>
          <t>Upside / (downside)</t>
        </is>
      </c>
      <c r="B26" s="789" t="n"/>
      <c r="C26" s="789" t="n"/>
      <c r="D26" s="789" t="n"/>
      <c r="E26" s="789" t="n"/>
      <c r="F26" s="1909">
        <f>F24/F25-1</f>
        <v/>
      </c>
      <c r="G26" s="789" t="n"/>
      <c r="AN26" s="622" t="n"/>
      <c r="AO26" s="623" t="n"/>
      <c r="AP26" s="623" t="n"/>
      <c r="AQ26" s="623" t="n"/>
      <c r="AR26" s="623" t="n"/>
      <c r="AS26" s="1244" t="n"/>
      <c r="AT26" s="623" t="n"/>
    </row>
    <row r="27" ht="14.25" customHeight="1">
      <c r="A27" s="175" t="n"/>
      <c r="F27" s="837" t="n"/>
      <c r="AN27" s="175" t="n"/>
      <c r="AS27" s="837" t="n"/>
    </row>
    <row r="29" ht="14.25" customHeight="1">
      <c r="A29" s="1371" t="inlineStr">
        <is>
          <t>C.  CROSS-CHECKS</t>
        </is>
      </c>
      <c r="B29" s="1471" t="n"/>
      <c r="C29" s="1471" t="n"/>
      <c r="D29" s="1471" t="n"/>
      <c r="E29" s="1471" t="n"/>
      <c r="F29" s="1471" t="n"/>
      <c r="G29" s="1471" t="n"/>
      <c r="AN29" s="1947" t="n"/>
      <c r="AO29" s="1471" t="n"/>
      <c r="AP29" s="1471" t="n"/>
      <c r="AQ29" s="1471" t="n"/>
      <c r="AR29" s="1471" t="n"/>
      <c r="AS29" s="1471" t="n"/>
      <c r="AT29" s="1471" t="n"/>
    </row>
    <row r="30" ht="14.25" customHeight="1">
      <c r="A30" s="934" t="inlineStr">
        <is>
          <t>Sum of segment EBITDA (SOTP)</t>
        </is>
      </c>
      <c r="F30" s="1797">
        <f>D10</f>
        <v/>
      </c>
      <c r="AN30" s="628" t="n"/>
      <c r="AS30" s="646" t="n"/>
    </row>
    <row r="31" ht="14.25" customHeight="1">
      <c r="A31" s="934" t="inlineStr">
        <is>
          <t>Group EBITDA FY2027F (model)</t>
        </is>
      </c>
      <c r="F31" s="1800">
        <f>CHOOSE($C$3,'WIFI 3-Statement Model'!I37,'WIFI 3-Statement Model'!J37,'WIFI 3-Statement Model'!K37,'WIFI 3-Statement Model'!L37,'WIFI 3-Statement Model'!M37)/1000000</f>
        <v/>
      </c>
      <c r="AN31" s="628" t="n"/>
      <c r="AS31" s="640" t="n"/>
    </row>
    <row r="32" ht="14.25" customHeight="1">
      <c r="A32" s="1394" t="inlineStr">
        <is>
          <t xml:space="preserve">  SOTP vs model EBITDA</t>
        </is>
      </c>
      <c r="F32" s="1903">
        <f>F30/F31-1</f>
        <v/>
      </c>
      <c r="AN32" s="175" t="n"/>
      <c r="AS32" s="1245" t="n"/>
    </row>
    <row r="33" ht="14.25" customHeight="1">
      <c r="A33" s="934" t="inlineStr">
        <is>
          <t>Implied whole-co EV/EBITDA</t>
        </is>
      </c>
      <c r="F33" s="1809">
        <f>F10/F31</f>
        <v/>
      </c>
      <c r="AN33" s="628" t="n"/>
      <c r="AS33" s="1246" t="n"/>
    </row>
    <row r="34" ht="14.25" customHeight="1">
      <c r="A34" s="628" t="n"/>
      <c r="F34" s="1247" t="n"/>
      <c r="AN34" s="628" t="n"/>
      <c r="AS34" s="1247" t="n"/>
    </row>
    <row r="35" hidden="1" ht="14.25" customHeight="1"/>
    <row r="36" hidden="1" ht="14.25" customHeight="1">
      <c r="A36" s="175" t="n"/>
    </row>
    <row r="37" hidden="1" ht="14.25" customHeight="1">
      <c r="AN37" s="895" t="n"/>
      <c r="AO37" s="151" t="n"/>
      <c r="AP37" s="151" t="n"/>
      <c r="AQ37" s="151" t="n"/>
      <c r="AR37" s="151" t="n"/>
      <c r="AS37" s="151" t="n"/>
      <c r="AT37" s="151" t="n"/>
    </row>
    <row r="38" hidden="1" ht="14.25" customHeight="1">
      <c r="A38" s="895" t="n"/>
      <c r="AN38" s="647" t="n"/>
      <c r="AO38" s="647" t="n"/>
    </row>
    <row r="39" hidden="1" ht="14.25" customHeight="1">
      <c r="A39" s="628" t="n"/>
      <c r="F39" s="787" t="n"/>
      <c r="AN39" s="628" t="n"/>
      <c r="AO39" s="1248" t="n"/>
    </row>
    <row r="40" hidden="1" ht="14.25" customHeight="1">
      <c r="A40" s="628" t="n"/>
      <c r="F40" s="787" t="n"/>
      <c r="AN40" s="628" t="n"/>
      <c r="AO40" s="1248" t="n"/>
    </row>
    <row r="41" hidden="1" ht="14.25" customHeight="1">
      <c r="A41" s="647" t="n"/>
      <c r="F41" s="795" t="n"/>
      <c r="AN41" s="628" t="n"/>
      <c r="AO41" s="1248" t="n"/>
    </row>
    <row r="42" hidden="1" ht="14.25" customHeight="1">
      <c r="AN42" s="628" t="n"/>
      <c r="AO42" s="1248" t="n"/>
    </row>
    <row r="43" hidden="1" ht="14.25" customHeight="1">
      <c r="A43" s="175" t="n"/>
      <c r="AN43" s="628" t="n"/>
      <c r="AO43" s="1248" t="n"/>
    </row>
    <row r="44" hidden="1" ht="14.25" customHeight="1">
      <c r="A44" s="175" t="n"/>
      <c r="AN44" s="628" t="n"/>
      <c r="AO44" s="1248" t="n"/>
    </row>
    <row r="45" hidden="1" ht="14.25" customHeight="1">
      <c r="A45" s="175" t="n"/>
      <c r="AN45" s="628" t="n"/>
      <c r="AO45" s="1248" t="n"/>
    </row>
    <row r="46" hidden="1" ht="14.25" customHeight="1">
      <c r="A46" s="175" t="n"/>
      <c r="AN46" s="628" t="n"/>
      <c r="AO46" s="1248" t="n"/>
    </row>
    <row r="47" hidden="1" ht="14.25" customHeight="1">
      <c r="A47" s="175" t="n"/>
    </row>
    <row r="48" ht="14.25" customHeight="1">
      <c r="AN48" s="895" t="n"/>
      <c r="AO48" s="151" t="n"/>
      <c r="AP48" s="151" t="n"/>
      <c r="AQ48" s="151" t="n"/>
      <c r="AR48" s="151" t="n"/>
      <c r="AS48" s="151" t="n"/>
      <c r="AT48" s="151" t="n"/>
    </row>
    <row r="49" ht="14.25" customHeight="1">
      <c r="A49" s="1371" t="inlineStr">
        <is>
          <t xml:space="preserve">D.  BASIS FOR MULTIPLES – fibre/broadband peers </t>
        </is>
      </c>
      <c r="B49" s="1471" t="n"/>
      <c r="C49" s="1471" t="n"/>
      <c r="D49" s="1471" t="n"/>
      <c r="E49" s="1471" t="n"/>
      <c r="F49" s="1471" t="n"/>
      <c r="G49" s="1471" t="n"/>
      <c r="AN49" s="647" t="n"/>
      <c r="AO49" s="647" t="n"/>
      <c r="AP49" s="647" t="n"/>
      <c r="AQ49" s="647" t="n"/>
    </row>
    <row r="50" ht="14.25" customHeight="1">
      <c r="A50" s="931" t="inlineStr">
        <is>
          <t>Peer</t>
        </is>
      </c>
      <c r="B50" s="931" t="inlineStr">
        <is>
          <t>EV/EBITDA</t>
        </is>
      </c>
      <c r="AN50" s="628" t="n"/>
      <c r="AO50" s="785" t="n"/>
      <c r="AP50" s="785" t="n"/>
      <c r="AQ50" s="1249" t="n"/>
    </row>
    <row r="51" ht="14.25" customHeight="1">
      <c r="A51" s="934" t="inlineStr">
        <is>
          <t>Link Net (retail fibre)</t>
        </is>
      </c>
      <c r="B51" s="1951">
        <f>'TOWR WIFI-Comparable Precedent'!E40</f>
        <v/>
      </c>
      <c r="AN51" s="628" t="n"/>
      <c r="AO51" s="785" t="n"/>
      <c r="AP51" s="785" t="n"/>
      <c r="AQ51" s="1249" t="n"/>
    </row>
    <row r="52" ht="14.25" customHeight="1">
      <c r="A52" s="934" t="inlineStr">
        <is>
          <t>Converge ICT (retail fibre)</t>
        </is>
      </c>
      <c r="B52" s="1951">
        <f>'TOWR WIFI-Comparable Precedent'!E45</f>
        <v/>
      </c>
      <c r="AN52" s="175" t="n"/>
    </row>
    <row r="53" ht="14.25" customHeight="1">
      <c r="A53" s="934" t="inlineStr">
        <is>
          <t>NetLink NBN (wholesale)</t>
        </is>
      </c>
      <c r="B53" s="1951">
        <f>'TOWR WIFI-Comparable Precedent'!E46</f>
        <v/>
      </c>
    </row>
    <row r="54" ht="14.25" customHeight="1">
      <c r="A54" s="934" t="inlineStr">
        <is>
          <t>TIME dotCom</t>
        </is>
      </c>
      <c r="B54" s="1951">
        <f>'TOWR WIFI-Comparable Precedent'!E47</f>
        <v/>
      </c>
    </row>
    <row r="55" ht="14.25" customHeight="1">
      <c r="A55" s="934" t="inlineStr">
        <is>
          <t>Remala Abadi (DATA)</t>
        </is>
      </c>
      <c r="B55" s="1951">
        <f>'TOWR WIFI-Comparable Precedent'!E41</f>
        <v/>
      </c>
    </row>
    <row r="56" ht="14.25" customHeight="1">
      <c r="A56" s="934" t="inlineStr">
        <is>
          <t>Fibre peers – Quartile 1</t>
        </is>
      </c>
      <c r="B56" s="1951">
        <f>'TOWR WIFI-Comparable Precedent'!E48</f>
        <v/>
      </c>
    </row>
    <row r="57" ht="14.25" customHeight="1">
      <c r="A57" s="934" t="inlineStr">
        <is>
          <t>Fibre peers – Median</t>
        </is>
      </c>
      <c r="B57" s="1951">
        <f>'TOWR WIFI-Comparable Precedent'!E49</f>
        <v/>
      </c>
    </row>
    <row r="58" ht="14.25" customHeight="1">
      <c r="A58" s="934" t="inlineStr">
        <is>
          <t>Fibre peers – Quartile 3</t>
        </is>
      </c>
      <c r="B58" s="1951">
        <f>'TOWR WIFI-Comparable Precedent'!E50</f>
        <v/>
      </c>
    </row>
    <row r="59" ht="14.25" customHeight="1">
      <c r="A59" s="1394" t="inlineStr">
        <is>
          <t>FWA reference: MNO peers ~6x (report Exhibit 16); FTTH used 8x, FWA 7x.</t>
        </is>
      </c>
    </row>
    <row r="60" ht="14.25" customHeight="1">
      <c r="A60" s="1394" t="inlineStr">
        <is>
          <t>Segment EBITDA margins are analyst ESTIMATES - WIFI does not disclose segment-level EBITDA.</t>
        </is>
      </c>
    </row>
    <row r="61" ht="14.25" customHeight="1">
      <c r="A61" s="1394" t="inlineStr">
        <is>
          <t>Sum-of-segment EBITDA is reconciled to group EBITDA in section C (currently within a few %).</t>
        </is>
      </c>
    </row>
    <row r="63" ht="14.25" customHeight="1">
      <c r="A63" s="1371" t="inlineStr">
        <is>
          <t>F.  ACTUAL SEGMENT EBITDA MARGINS (from 'source WIFI revenue', FY2025)</t>
        </is>
      </c>
      <c r="B63" s="1471" t="n"/>
      <c r="C63" s="1471" t="n"/>
      <c r="D63" s="1471" t="n"/>
      <c r="E63" s="1471" t="n"/>
      <c r="F63" s="1471" t="n"/>
      <c r="G63" s="1471" t="n"/>
    </row>
    <row r="64" ht="14.25" customHeight="1">
      <c r="A64" s="931" t="inlineStr">
        <is>
          <t>Segment (source)</t>
        </is>
      </c>
      <c r="B64" s="931" t="inlineStr">
        <is>
          <t>Revenue</t>
        </is>
      </c>
      <c r="C64" s="931" t="inlineStr">
        <is>
          <t>EBITDA</t>
        </is>
      </c>
      <c r="D64" s="931" t="inlineStr">
        <is>
          <t>Margin</t>
        </is>
      </c>
    </row>
    <row r="65" ht="14.25" customHeight="1">
      <c r="A65" s="934" t="inlineStr">
        <is>
          <t>Telecommunication (fibre/FTTH)</t>
        </is>
      </c>
      <c r="B65" s="1908">
        <f>'source WIFI revenue'!G33/1000000</f>
        <v/>
      </c>
      <c r="C65" s="1908">
        <f>('source WIFI revenue'!G36+'source WIFI revenue'!G32)/1000000</f>
        <v/>
      </c>
      <c r="D65" s="1952">
        <f>C65/B65</f>
        <v/>
      </c>
    </row>
    <row r="66" ht="14.25" customHeight="1">
      <c r="A66" s="934" t="inlineStr">
        <is>
          <t>Advertising (media)</t>
        </is>
      </c>
      <c r="B66" s="1908">
        <f>'source WIFI revenue'!G23/1000000</f>
        <v/>
      </c>
      <c r="C66" s="1908">
        <f>('source WIFI revenue'!G27+'source WIFI revenue'!G22)/1000000</f>
        <v/>
      </c>
      <c r="D66" s="1952">
        <f>C66/B66</f>
        <v/>
      </c>
    </row>
    <row r="67" ht="14.25" customHeight="1">
      <c r="A67" s="1394" t="inlineStr">
        <is>
          <t>EBITDA = Operating Income + Depreciation, from segment disclosures. FWA not yet separate (launched 2026).</t>
        </is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539"/>
  <sheetViews>
    <sheetView zoomScaleNormal="100" workbookViewId="0">
      <selection activeCell="A1" sqref="A1"/>
    </sheetView>
  </sheetViews>
  <sheetFormatPr baseColWidth="8" defaultColWidth="8.5703125" defaultRowHeight="14.25" outlineLevelRow="1"/>
  <cols>
    <col width="85.5703125" customWidth="1" min="1" max="1"/>
    <col width="15.5703125" customWidth="1" min="2" max="6"/>
  </cols>
  <sheetData>
    <row r="1" ht="15" customHeight="1">
      <c r="A1" s="1872" t="inlineStr">
        <is>
          <t>Company Fundamentals - Balance Sheet</t>
        </is>
      </c>
      <c r="B1" s="1873" t="n"/>
      <c r="C1" s="1873" t="n"/>
      <c r="D1" s="1873" t="n"/>
      <c r="E1" s="1873" t="n"/>
      <c r="F1" s="1873" t="n"/>
    </row>
    <row r="2" ht="15" customHeight="1">
      <c r="A2" s="934" t="inlineStr">
        <is>
          <t>Company Name</t>
        </is>
      </c>
      <c r="B2" s="931" t="inlineStr">
        <is>
          <t>Solusi Sinergi Digital Tbk PT (WIFI.JK)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46253.39143464121</v>
      </c>
    </row>
    <row r="11" ht="14.25" customHeight="1">
      <c r="A11" s="1875" t="inlineStr">
        <is>
          <t>Statement Data</t>
        </is>
      </c>
      <c r="B11" s="1876" t="inlineStr">
        <is>
          <t>2021</t>
        </is>
      </c>
      <c r="C11" s="1876" t="inlineStr">
        <is>
          <t>2022</t>
        </is>
      </c>
      <c r="D11" s="1876" t="inlineStr">
        <is>
          <t>2023</t>
        </is>
      </c>
      <c r="E11" s="1876" t="inlineStr">
        <is>
          <t>2024</t>
        </is>
      </c>
      <c r="F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B12" s="1878" t="n">
        <v>44561</v>
      </c>
      <c r="C12" s="1878" t="n">
        <v>44926</v>
      </c>
      <c r="D12" s="1878" t="n">
        <v>45291</v>
      </c>
      <c r="E12" s="1878" t="n">
        <v>45657</v>
      </c>
      <c r="F12" s="1878" t="n">
        <v>46022</v>
      </c>
    </row>
    <row r="13" outlineLevel="1" ht="15" customHeight="1">
      <c r="A13" s="1877" t="inlineStr">
        <is>
          <t>Standardized Currency</t>
        </is>
      </c>
      <c r="B13" s="1879" t="inlineStr">
        <is>
          <t>IDR</t>
        </is>
      </c>
      <c r="C13" s="1879" t="inlineStr">
        <is>
          <t>IDR</t>
        </is>
      </c>
      <c r="D13" s="1879" t="inlineStr">
        <is>
          <t>IDR</t>
        </is>
      </c>
      <c r="E13" s="1879" t="inlineStr">
        <is>
          <t>IDR</t>
        </is>
      </c>
      <c r="F13" s="1879" t="inlineStr">
        <is>
          <t>IDR</t>
        </is>
      </c>
    </row>
    <row r="14" outlineLevel="1" ht="15" customHeight="1">
      <c r="A14" s="1877" t="inlineStr">
        <is>
          <t>Statement Date</t>
        </is>
      </c>
      <c r="B14" s="1878" t="n">
        <v>44561</v>
      </c>
      <c r="C14" s="1878" t="n">
        <v>44926</v>
      </c>
      <c r="D14" s="1878" t="n">
        <v>45291</v>
      </c>
      <c r="E14" s="1878" t="n">
        <v>45657</v>
      </c>
      <c r="F14" s="1878" t="n">
        <v>46022</v>
      </c>
    </row>
    <row r="15" outlineLevel="1" ht="15" customHeight="1">
      <c r="A15" s="1877" t="inlineStr">
        <is>
          <t>Complete Statement</t>
        </is>
      </c>
      <c r="B15" s="1880" t="inlineStr">
        <is>
          <t>Complete</t>
        </is>
      </c>
      <c r="C15" s="1880" t="inlineStr">
        <is>
          <t>Complete</t>
        </is>
      </c>
      <c r="D15" s="1880" t="inlineStr">
        <is>
          <t>Complete</t>
        </is>
      </c>
      <c r="E15" s="1880" t="inlineStr">
        <is>
          <t>Complete</t>
        </is>
      </c>
      <c r="F15" s="1880" t="inlineStr">
        <is>
          <t>Complete</t>
        </is>
      </c>
    </row>
    <row r="16" outlineLevel="1" ht="15" customHeight="1">
      <c r="A16" s="1877" t="inlineStr">
        <is>
          <t>Consolidated</t>
        </is>
      </c>
      <c r="B16" s="1880" t="inlineStr">
        <is>
          <t>Consolidated</t>
        </is>
      </c>
      <c r="C16" s="1880" t="inlineStr">
        <is>
          <t>Consolidated</t>
        </is>
      </c>
      <c r="D16" s="1880" t="inlineStr">
        <is>
          <t>Consolidated</t>
        </is>
      </c>
      <c r="E16" s="1880" t="inlineStr">
        <is>
          <t>Consolidated</t>
        </is>
      </c>
      <c r="F16" s="1880" t="inlineStr">
        <is>
          <t>Consolidated</t>
        </is>
      </c>
    </row>
    <row r="17" outlineLevel="1" ht="15" customHeight="1">
      <c r="A17" s="1877" t="inlineStr">
        <is>
          <t>Accounting Standard</t>
        </is>
      </c>
      <c r="B17" s="1880" t="inlineStr">
        <is>
          <t>Indonesian</t>
        </is>
      </c>
      <c r="C17" s="1880" t="inlineStr">
        <is>
          <t>Indonesian</t>
        </is>
      </c>
      <c r="D17" s="1880" t="inlineStr">
        <is>
          <t>Indonesian</t>
        </is>
      </c>
      <c r="E17" s="1880" t="inlineStr">
        <is>
          <t>Indonesian</t>
        </is>
      </c>
      <c r="F17" s="1880" t="inlineStr">
        <is>
          <t>Indonesian</t>
        </is>
      </c>
    </row>
    <row r="18" ht="14.25" customHeight="1">
      <c r="A18" s="1881" t="inlineStr">
        <is>
          <t>Balance Sheet - Standardized (Currency: Indonesia Rupiah)</t>
        </is>
      </c>
      <c r="B18" s="1882" t="n"/>
      <c r="C18" s="1882" t="n"/>
      <c r="D18" s="1882" t="n"/>
      <c r="E18" s="1882" t="n"/>
      <c r="F18" s="1882" t="n"/>
    </row>
    <row r="19" ht="14.25" customHeight="1">
      <c r="A19" s="1881" t="inlineStr">
        <is>
          <t>Field Name</t>
        </is>
      </c>
      <c r="B19" s="1883" t="inlineStr">
        <is>
          <t>31-12-2021</t>
        </is>
      </c>
      <c r="C19" s="1883" t="inlineStr">
        <is>
          <t>31-12-2022</t>
        </is>
      </c>
      <c r="D19" s="1883" t="inlineStr">
        <is>
          <t>31-12-2023</t>
        </is>
      </c>
      <c r="E19" s="1883" t="inlineStr">
        <is>
          <t>31-12-2024</t>
        </is>
      </c>
      <c r="F19" s="1883" t="inlineStr">
        <is>
          <t>31-12-2025</t>
        </is>
      </c>
    </row>
    <row r="20" ht="15" customHeight="1">
      <c r="A20" s="1884" t="inlineStr">
        <is>
          <t>Current Assets</t>
        </is>
      </c>
      <c r="B20" s="734" t="n"/>
      <c r="C20" s="734" t="n"/>
      <c r="D20" s="734" t="n"/>
      <c r="E20" s="734" t="n"/>
      <c r="F20" s="734" t="n"/>
    </row>
    <row r="21" ht="15" customHeight="1">
      <c r="A21" s="1885" t="inlineStr">
        <is>
          <t>Cash &amp; Short-Term Investments</t>
        </is>
      </c>
      <c r="B21" s="1807" t="n">
        <v>10565474.16</v>
      </c>
      <c r="C21" s="1807" t="n">
        <v>20928775.24</v>
      </c>
      <c r="D21" s="1807" t="n">
        <v>40072539.13</v>
      </c>
      <c r="E21" s="1807" t="n">
        <v>18495026.17</v>
      </c>
      <c r="F21" s="1807" t="n">
        <v>6164698518.52</v>
      </c>
    </row>
    <row r="22" ht="15" customHeight="1">
      <c r="A22" s="1886" t="inlineStr">
        <is>
          <t>Cash &amp; Cash Equivalents</t>
        </is>
      </c>
      <c r="B22" s="1807" t="n">
        <v>10565474.16</v>
      </c>
      <c r="C22" s="1807" t="n">
        <v>20928775.24</v>
      </c>
      <c r="D22" s="1807" t="n">
        <v>40072539.13</v>
      </c>
      <c r="E22" s="1807" t="n">
        <v>18495026.17</v>
      </c>
      <c r="F22" s="1807" t="n">
        <v>6164698518.52</v>
      </c>
    </row>
    <row r="23" ht="15" customHeight="1">
      <c r="A23" s="1886" t="inlineStr">
        <is>
          <t>Short-Term Investments - Total</t>
        </is>
      </c>
      <c r="B23" s="731" t="n"/>
      <c r="C23" s="731" t="n"/>
      <c r="D23" s="731" t="n"/>
      <c r="E23" s="731" t="n"/>
      <c r="F23" s="731" t="n"/>
    </row>
    <row r="24" ht="15" customHeight="1">
      <c r="A24" s="1886" t="inlineStr">
        <is>
          <t>Financial Assets - Short-Term</t>
        </is>
      </c>
      <c r="B24" s="731" t="n"/>
      <c r="C24" s="731" t="n"/>
      <c r="D24" s="731" t="n"/>
      <c r="E24" s="731" t="n"/>
      <c r="F24" s="731" t="n"/>
    </row>
    <row r="25" ht="15" customHeight="1">
      <c r="A25" s="1885" t="inlineStr">
        <is>
          <t>Derivative Financial Instruments - Hedging - Short-Term</t>
        </is>
      </c>
      <c r="B25" s="731" t="n"/>
      <c r="C25" s="731" t="n"/>
      <c r="D25" s="731" t="n"/>
      <c r="E25" s="731" t="n"/>
      <c r="F25" s="731" t="n"/>
    </row>
    <row r="26" ht="15" customHeight="1">
      <c r="A26" s="1885" t="inlineStr">
        <is>
          <t>Loans &amp; Receivables - Net - Short-Term</t>
        </is>
      </c>
      <c r="B26" s="1807" t="n">
        <v>25830523.68</v>
      </c>
      <c r="C26" s="1807" t="n">
        <v>103324783.65</v>
      </c>
      <c r="D26" s="1807" t="n">
        <v>90952347.08</v>
      </c>
      <c r="E26" s="1807" t="n">
        <v>136493664.43</v>
      </c>
      <c r="F26" s="1807" t="n">
        <v>225435301.41</v>
      </c>
    </row>
    <row r="27" ht="15" customHeight="1">
      <c r="A27" s="1886" t="inlineStr">
        <is>
          <t>Trade Accounts &amp; Trade Notes Receivable - Net</t>
        </is>
      </c>
      <c r="B27" s="1807" t="n">
        <v>25830523.68</v>
      </c>
      <c r="C27" s="1807" t="n">
        <v>103324783.65</v>
      </c>
      <c r="D27" s="1807" t="n">
        <v>90952347.08</v>
      </c>
      <c r="E27" s="1807" t="n">
        <v>136493664.43</v>
      </c>
      <c r="F27" s="1807" t="n">
        <v>222926379.46</v>
      </c>
    </row>
    <row r="28" ht="15" customHeight="1">
      <c r="A28" s="1887" t="inlineStr">
        <is>
          <t>Trade Accounts &amp; Trade Notes Receivable - Gross</t>
        </is>
      </c>
      <c r="B28" s="731" t="n"/>
      <c r="C28" s="1807" t="n">
        <v>104406824.91</v>
      </c>
      <c r="D28" s="1807" t="n">
        <v>92060761.94</v>
      </c>
      <c r="E28" s="1807" t="n">
        <v>138689080.87</v>
      </c>
      <c r="F28" s="1807" t="n">
        <v>224534866.84</v>
      </c>
    </row>
    <row r="29" ht="15" customHeight="1">
      <c r="A29" s="1887" t="inlineStr">
        <is>
          <t>Provision - Trade Accounts &amp; Trade Notes Receivable</t>
        </is>
      </c>
      <c r="B29" s="731" t="n"/>
      <c r="C29" s="1807" t="n">
        <v>1082041.26</v>
      </c>
      <c r="D29" s="1807" t="n">
        <v>1108414.85</v>
      </c>
      <c r="E29" s="1807" t="n">
        <v>2195416.45</v>
      </c>
      <c r="F29" s="1807" t="n">
        <v>1608487.38</v>
      </c>
    </row>
    <row r="30" ht="15" customHeight="1">
      <c r="A30" s="1887" t="inlineStr">
        <is>
          <t>Unbilled Utility Revenue - Short-Term</t>
        </is>
      </c>
      <c r="B30" s="731" t="n"/>
      <c r="C30" s="731" t="n"/>
      <c r="D30" s="731" t="n"/>
      <c r="E30" s="731" t="n"/>
      <c r="F30" s="731" t="n"/>
    </row>
    <row r="31" ht="15" customHeight="1">
      <c r="A31" s="1886" t="inlineStr">
        <is>
          <t>Loans - Short-Term</t>
        </is>
      </c>
      <c r="B31" s="731" t="n"/>
      <c r="C31" s="731" t="n"/>
      <c r="D31" s="731" t="n"/>
      <c r="E31" s="731" t="n"/>
      <c r="F31" s="731" t="n"/>
    </row>
    <row r="32" ht="15" customHeight="1">
      <c r="A32" s="1886" t="inlineStr">
        <is>
          <t>Income Tax - Receivables - Short-Term</t>
        </is>
      </c>
      <c r="B32" s="731" t="n"/>
      <c r="C32" s="731" t="n"/>
      <c r="D32" s="731" t="n"/>
      <c r="E32" s="731" t="n"/>
      <c r="F32" s="731" t="n"/>
    </row>
    <row r="33" ht="15" customHeight="1">
      <c r="A33" s="1886" t="inlineStr">
        <is>
          <t>Receivables - Other - Total</t>
        </is>
      </c>
      <c r="B33" s="1807" t="n">
        <v>0</v>
      </c>
      <c r="C33" s="731" t="n"/>
      <c r="D33" s="731" t="n"/>
      <c r="E33" s="731" t="n"/>
      <c r="F33" s="1807" t="n">
        <v>2508921.95</v>
      </c>
    </row>
    <row r="34" ht="15" customHeight="1">
      <c r="A34" s="1886" t="inlineStr">
        <is>
          <t>Provision - Doubtful Accounts</t>
        </is>
      </c>
      <c r="B34" s="731" t="n"/>
      <c r="C34" s="731" t="n"/>
      <c r="D34" s="731" t="n"/>
      <c r="E34" s="731" t="n"/>
      <c r="F34" s="731" t="n"/>
    </row>
    <row r="35" ht="15" customHeight="1">
      <c r="A35" s="1886" t="inlineStr">
        <is>
          <t>Receivables Over One Year included within Short-Term Receivables</t>
        </is>
      </c>
      <c r="B35" s="731" t="n"/>
      <c r="C35" s="731" t="n"/>
      <c r="D35" s="731" t="n"/>
      <c r="E35" s="731" t="n"/>
      <c r="F35" s="731" t="n"/>
    </row>
    <row r="36" ht="15" customHeight="1">
      <c r="A36" s="1885" t="inlineStr">
        <is>
          <t>Inventories - Total</t>
        </is>
      </c>
      <c r="B36" s="1807" t="n">
        <v>3551534.26</v>
      </c>
      <c r="C36" s="1807" t="n">
        <v>0</v>
      </c>
      <c r="D36" s="731" t="n"/>
      <c r="E36" s="731" t="n"/>
      <c r="F36" s="1807" t="n">
        <v>965970457.9400001</v>
      </c>
    </row>
    <row r="37" ht="15" customHeight="1">
      <c r="A37" s="1886" t="inlineStr">
        <is>
          <t>Inventories - Raw Materials</t>
        </is>
      </c>
      <c r="B37" s="731" t="n"/>
      <c r="C37" s="731" t="n"/>
      <c r="D37" s="731" t="n"/>
      <c r="E37" s="731" t="n"/>
      <c r="F37" s="1807" t="n">
        <v>608334377.5700001</v>
      </c>
    </row>
    <row r="38" ht="15" customHeight="1">
      <c r="A38" s="1886" t="inlineStr">
        <is>
          <t>Inventories - Work in Progress</t>
        </is>
      </c>
      <c r="B38" s="731" t="n"/>
      <c r="C38" s="731" t="n"/>
      <c r="D38" s="731" t="n"/>
      <c r="E38" s="731" t="n"/>
      <c r="F38" s="731" t="n"/>
    </row>
    <row r="39" ht="15" customHeight="1">
      <c r="A39" s="1886" t="inlineStr">
        <is>
          <t>Inventories - Finished Goods</t>
        </is>
      </c>
      <c r="B39" s="1807" t="n">
        <v>704950.5699999999</v>
      </c>
      <c r="C39" s="1807" t="n">
        <v>0</v>
      </c>
      <c r="D39" s="731" t="n"/>
      <c r="E39" s="731" t="n"/>
      <c r="F39" s="731" t="n"/>
    </row>
    <row r="40" ht="15" customHeight="1">
      <c r="A40" s="1886" t="inlineStr">
        <is>
          <t>Inventories - Other - Total</t>
        </is>
      </c>
      <c r="B40" s="1807" t="n">
        <v>2846583.68</v>
      </c>
      <c r="C40" s="1807" t="n">
        <v>0</v>
      </c>
      <c r="D40" s="731" t="n"/>
      <c r="E40" s="731" t="n"/>
      <c r="F40" s="1807" t="n">
        <v>357636080.37</v>
      </c>
    </row>
    <row r="41" ht="15" customHeight="1">
      <c r="A41" s="1887" t="inlineStr">
        <is>
          <t>Inventories - Cost in excess of Billings</t>
        </is>
      </c>
      <c r="B41" s="731" t="n"/>
      <c r="C41" s="731" t="n"/>
      <c r="D41" s="731" t="n"/>
      <c r="E41" s="731" t="n"/>
      <c r="F41" s="731" t="n"/>
    </row>
    <row r="42" ht="15" customHeight="1">
      <c r="A42" s="1887" t="inlineStr">
        <is>
          <t>Inventories - Gas in Storage</t>
        </is>
      </c>
      <c r="B42" s="731" t="n"/>
      <c r="C42" s="731" t="n"/>
      <c r="D42" s="731" t="n"/>
      <c r="E42" s="731" t="n"/>
      <c r="F42" s="731" t="n"/>
    </row>
    <row r="43" ht="15" customHeight="1">
      <c r="A43" s="1887" t="inlineStr">
        <is>
          <t>Inventories - LIFO Reserve</t>
        </is>
      </c>
      <c r="B43" s="731" t="n"/>
      <c r="C43" s="731" t="n"/>
      <c r="D43" s="731" t="n"/>
      <c r="E43" s="731" t="n"/>
      <c r="F43" s="731" t="n"/>
    </row>
    <row r="44" ht="15" customHeight="1">
      <c r="A44" s="1887" t="inlineStr">
        <is>
          <t>Biological Assets - Short-Term</t>
        </is>
      </c>
      <c r="B44" s="731" t="n"/>
      <c r="C44" s="731" t="n"/>
      <c r="D44" s="731" t="n"/>
      <c r="E44" s="731" t="n"/>
      <c r="F44" s="731" t="n"/>
    </row>
    <row r="45" ht="15" customHeight="1">
      <c r="A45" s="1885" t="inlineStr">
        <is>
          <t>Prepaid Expenses - Short-Term</t>
        </is>
      </c>
      <c r="B45" s="1807" t="n">
        <v>56890685.33</v>
      </c>
      <c r="C45" s="1807" t="n">
        <v>94780513.34</v>
      </c>
      <c r="D45" s="1807" t="n">
        <v>131764199.19</v>
      </c>
      <c r="E45" s="1807" t="n">
        <v>431056413.52</v>
      </c>
      <c r="F45" s="1807" t="n">
        <v>1331453109.63</v>
      </c>
    </row>
    <row r="46" ht="15" customHeight="1">
      <c r="A46" s="1885" t="inlineStr">
        <is>
          <t>Assets Held for Sale/Discontinued Operations - Short-Term</t>
        </is>
      </c>
      <c r="B46" s="731" t="n"/>
      <c r="C46" s="731" t="n"/>
      <c r="D46" s="731" t="n"/>
      <c r="E46" s="731" t="n"/>
      <c r="F46" s="731" t="n"/>
    </row>
    <row r="47" ht="15" customHeight="1">
      <c r="A47" s="1885" t="inlineStr">
        <is>
          <t>Other Current Assets - Total</t>
        </is>
      </c>
      <c r="B47" s="1807" t="n">
        <v>10713.6</v>
      </c>
      <c r="C47" s="1807" t="n">
        <v>84610</v>
      </c>
      <c r="D47" s="1807" t="n">
        <v>43910</v>
      </c>
      <c r="E47" s="1807" t="n">
        <v>302096.54</v>
      </c>
      <c r="F47" s="1807" t="n">
        <v>302990.97</v>
      </c>
    </row>
    <row r="48" ht="15" customHeight="1">
      <c r="A48" s="1886" t="inlineStr">
        <is>
          <t>Deferred Tax - Asset - Short-Term</t>
        </is>
      </c>
      <c r="B48" s="731" t="n"/>
      <c r="C48" s="731" t="n"/>
      <c r="D48" s="731" t="n"/>
      <c r="E48" s="731" t="n"/>
      <c r="F48" s="731" t="n"/>
    </row>
    <row r="49" ht="15" customHeight="1">
      <c r="A49" s="1886" t="inlineStr">
        <is>
          <t>Deferred Costs - Short-Term</t>
        </is>
      </c>
      <c r="B49" s="731" t="n"/>
      <c r="C49" s="731" t="n"/>
      <c r="D49" s="731" t="n"/>
      <c r="E49" s="731" t="n"/>
      <c r="F49" s="731" t="n"/>
    </row>
    <row r="50" ht="15" customHeight="1">
      <c r="A50" s="1886" t="inlineStr">
        <is>
          <t>Restricted Accounts - Short-Term</t>
        </is>
      </c>
      <c r="B50" s="731" t="n"/>
      <c r="C50" s="731" t="n"/>
      <c r="D50" s="731" t="n"/>
      <c r="E50" s="731" t="n"/>
      <c r="F50" s="731" t="n"/>
    </row>
    <row r="51" ht="15" customHeight="1">
      <c r="A51" s="1886" t="inlineStr">
        <is>
          <t>Regulatory Assets - Short-Term</t>
        </is>
      </c>
      <c r="B51" s="731" t="n"/>
      <c r="C51" s="731" t="n"/>
      <c r="D51" s="731" t="n"/>
      <c r="E51" s="731" t="n"/>
      <c r="F51" s="731" t="n"/>
    </row>
    <row r="52" ht="15" customHeight="1">
      <c r="A52" s="1886" t="inlineStr">
        <is>
          <t>Other Current Assets</t>
        </is>
      </c>
      <c r="B52" s="1807" t="n">
        <v>10713.6</v>
      </c>
      <c r="C52" s="1807" t="n">
        <v>84610</v>
      </c>
      <c r="D52" s="1807" t="n">
        <v>43910</v>
      </c>
      <c r="E52" s="1807" t="n">
        <v>302096.54</v>
      </c>
      <c r="F52" s="1807" t="n">
        <v>302990.97</v>
      </c>
    </row>
    <row r="53" ht="15" customHeight="1">
      <c r="A53" s="1888" t="inlineStr">
        <is>
          <t>Total Current Assets</t>
        </is>
      </c>
      <c r="B53" s="1889" t="n">
        <v>96848931.03</v>
      </c>
      <c r="C53" s="1889" t="n">
        <v>219118682.23</v>
      </c>
      <c r="D53" s="1889" t="n">
        <v>262832995.4</v>
      </c>
      <c r="E53" s="1889" t="n">
        <v>586347200.65</v>
      </c>
      <c r="F53" s="1889" t="n">
        <v>8687860378.459999</v>
      </c>
    </row>
    <row r="54" ht="15" customHeight="1">
      <c r="A54" s="1884" t="inlineStr">
        <is>
          <t>Non-Current Assets</t>
        </is>
      </c>
      <c r="B54" s="734" t="n"/>
      <c r="C54" s="734" t="n"/>
      <c r="D54" s="734" t="n"/>
      <c r="E54" s="734" t="n"/>
      <c r="F54" s="734" t="n"/>
    </row>
    <row r="55" ht="15" customFormat="1" customHeight="1" s="811">
      <c r="A55" s="1931" t="inlineStr">
        <is>
          <t>Investments - Long-Term</t>
        </is>
      </c>
      <c r="B55" s="810" t="n"/>
      <c r="C55" s="810" t="n"/>
      <c r="D55" s="810" t="n"/>
      <c r="E55" s="810" t="n"/>
      <c r="F55" s="810" t="n"/>
    </row>
    <row r="56" ht="15" customHeight="1">
      <c r="A56" s="1886" t="inlineStr">
        <is>
          <t>Investment Property - Net</t>
        </is>
      </c>
      <c r="B56" s="731" t="n"/>
      <c r="C56" s="731" t="n"/>
      <c r="D56" s="731" t="n"/>
      <c r="E56" s="731" t="n"/>
      <c r="F56" s="731" t="n"/>
    </row>
    <row r="57" ht="15" customHeight="1">
      <c r="A57" s="1887" t="inlineStr">
        <is>
          <t>Investment Property - Accumulated Depreciation &amp; Impairment</t>
        </is>
      </c>
      <c r="B57" s="731" t="n"/>
      <c r="C57" s="731" t="n"/>
      <c r="D57" s="731" t="n"/>
      <c r="E57" s="731" t="n"/>
      <c r="F57" s="731" t="n"/>
    </row>
    <row r="58" ht="15" customHeight="1">
      <c r="A58" s="1887" t="inlineStr">
        <is>
          <t>Investment Property - Gross</t>
        </is>
      </c>
      <c r="B58" s="731" t="n"/>
      <c r="C58" s="731" t="n"/>
      <c r="D58" s="731" t="n"/>
      <c r="E58" s="731" t="n"/>
      <c r="F58" s="731" t="n"/>
    </row>
    <row r="59" ht="15" customHeight="1">
      <c r="A59" s="1886" t="inlineStr">
        <is>
          <t>Investments - Available for Sale/Held to Maturity - Long-Term</t>
        </is>
      </c>
      <c r="B59" s="731" t="n"/>
      <c r="C59" s="731" t="n"/>
      <c r="D59" s="731" t="n"/>
      <c r="E59" s="731" t="n"/>
      <c r="F59" s="731" t="n"/>
    </row>
    <row r="60" ht="15" customHeight="1">
      <c r="A60" s="1887" t="inlineStr">
        <is>
          <t>Marketable Securities - Long-Term</t>
        </is>
      </c>
      <c r="B60" s="731" t="n"/>
      <c r="C60" s="731" t="n"/>
      <c r="D60" s="731" t="n"/>
      <c r="E60" s="731" t="n"/>
      <c r="F60" s="731" t="n"/>
    </row>
    <row r="61" ht="15" customHeight="1">
      <c r="A61" s="1886" t="inlineStr">
        <is>
          <t>Financial Assets - Long-Term</t>
        </is>
      </c>
      <c r="B61" s="731" t="n"/>
      <c r="C61" s="731" t="n"/>
      <c r="D61" s="731" t="n"/>
      <c r="E61" s="731" t="n"/>
      <c r="F61" s="731" t="n"/>
    </row>
    <row r="62" ht="15" customFormat="1" customHeight="1" s="811">
      <c r="A62" s="1931" t="inlineStr">
        <is>
          <t>Investments in Associates, Joint Ventures and Unconsolidated Subsidiaries</t>
        </is>
      </c>
      <c r="B62" s="810" t="n"/>
      <c r="C62" s="810" t="n"/>
      <c r="D62" s="810" t="n"/>
      <c r="E62" s="810" t="n"/>
      <c r="F62" s="810" t="n"/>
    </row>
    <row r="63" ht="15" customFormat="1" customHeight="1" s="811">
      <c r="A63" s="1931" t="inlineStr">
        <is>
          <t>Receivables &amp; Loans - Long-Term</t>
        </is>
      </c>
      <c r="B63" s="810" t="n"/>
      <c r="C63" s="1932" t="n">
        <v>242314.34</v>
      </c>
      <c r="D63" s="1932" t="n">
        <v>242314.34</v>
      </c>
      <c r="E63" s="1932" t="n">
        <v>0</v>
      </c>
      <c r="F63" s="810" t="n"/>
    </row>
    <row r="64" ht="15" customHeight="1">
      <c r="A64" s="1886" t="inlineStr">
        <is>
          <t>Accounts &amp; Notes Receivable - Trade - Net - Long-Term</t>
        </is>
      </c>
      <c r="B64" s="731" t="n"/>
      <c r="C64" s="731" t="n"/>
      <c r="D64" s="731" t="n"/>
      <c r="E64" s="731" t="n"/>
      <c r="F64" s="731" t="n"/>
    </row>
    <row r="65" ht="15" customHeight="1">
      <c r="A65" s="1887" t="inlineStr">
        <is>
          <t>Accounts &amp; Notes Receivable - Trade - Gross - Long-Term</t>
        </is>
      </c>
      <c r="B65" s="731" t="n"/>
      <c r="C65" s="731" t="n"/>
      <c r="D65" s="731" t="n"/>
      <c r="E65" s="731" t="n"/>
      <c r="F65" s="731" t="n"/>
    </row>
    <row r="66" ht="15" customHeight="1">
      <c r="A66" s="1886" t="inlineStr">
        <is>
          <t>Loans - Long-Term</t>
        </is>
      </c>
      <c r="B66" s="731" t="n"/>
      <c r="C66" s="731" t="n"/>
      <c r="D66" s="731" t="n"/>
      <c r="E66" s="731" t="n"/>
      <c r="F66" s="731" t="n"/>
    </row>
    <row r="67" ht="15" customHeight="1">
      <c r="A67" s="1886" t="inlineStr">
        <is>
          <t>Finance Lease Receivables - Long-Term</t>
        </is>
      </c>
      <c r="B67" s="731" t="n"/>
      <c r="C67" s="731" t="n"/>
      <c r="D67" s="731" t="n"/>
      <c r="E67" s="731" t="n"/>
      <c r="F67" s="731" t="n"/>
    </row>
    <row r="68" ht="15" customHeight="1">
      <c r="A68" s="1886" t="inlineStr">
        <is>
          <t>Receivables - Other - Net - Long-Term</t>
        </is>
      </c>
      <c r="B68" s="731" t="n"/>
      <c r="C68" s="1807" t="n">
        <v>242314.34</v>
      </c>
      <c r="D68" s="1807" t="n">
        <v>242314.34</v>
      </c>
      <c r="E68" s="1807" t="n">
        <v>0</v>
      </c>
      <c r="F68" s="731" t="n"/>
    </row>
    <row r="69" ht="15" customHeight="1">
      <c r="A69" s="1886" t="inlineStr">
        <is>
          <t>Provision - Doubtful Accounts - Long-Term</t>
        </is>
      </c>
      <c r="B69" s="731" t="n"/>
      <c r="C69" s="731" t="n"/>
      <c r="D69" s="731" t="n"/>
      <c r="E69" s="731" t="n"/>
      <c r="F69" s="731" t="n"/>
    </row>
    <row r="70" ht="15" customFormat="1" customHeight="1" s="811">
      <c r="A70" s="1931" t="inlineStr">
        <is>
          <t>Derivative Financial Instruments - Hedging - Long-Term</t>
        </is>
      </c>
      <c r="B70" s="810" t="n"/>
      <c r="C70" s="810" t="n"/>
      <c r="D70" s="810" t="n"/>
      <c r="E70" s="810" t="n"/>
      <c r="F70" s="810" t="n"/>
    </row>
    <row r="71" ht="15" customFormat="1" customHeight="1" s="811">
      <c r="A71" s="1931" t="inlineStr">
        <is>
          <t>Property, Plant &amp; Equipment - Net - Total</t>
        </is>
      </c>
      <c r="B71" s="1932" t="n">
        <v>531753894.33</v>
      </c>
      <c r="C71" s="1932" t="n">
        <v>1047098918.82</v>
      </c>
      <c r="D71" s="1932" t="n">
        <v>1286392130.55</v>
      </c>
      <c r="E71" s="1932" t="n">
        <v>2299004659.72</v>
      </c>
      <c r="F71" s="1932" t="n">
        <v>5628462381.49</v>
      </c>
    </row>
    <row r="72" ht="15" customHeight="1">
      <c r="A72" s="1886" t="inlineStr">
        <is>
          <t>Assets Leased Out under Operating Lease - Net</t>
        </is>
      </c>
      <c r="B72" s="731" t="n"/>
      <c r="C72" s="731" t="n"/>
      <c r="D72" s="731" t="n"/>
      <c r="E72" s="731" t="n"/>
      <c r="F72" s="731" t="n"/>
    </row>
    <row r="73" ht="15" customHeight="1">
      <c r="A73" s="1886" t="inlineStr">
        <is>
          <t>Property, Plant &amp; Equipment - excluding Assets Leased Out - Net - Total</t>
        </is>
      </c>
      <c r="B73" s="1807" t="n">
        <v>531753894.33</v>
      </c>
      <c r="C73" s="1807" t="n">
        <v>1047098918.82</v>
      </c>
      <c r="D73" s="1807" t="n">
        <v>1286392130.55</v>
      </c>
      <c r="E73" s="1807" t="n">
        <v>2299004659.72</v>
      </c>
      <c r="F73" s="1807" t="n">
        <v>5628462381.49</v>
      </c>
    </row>
    <row r="74" ht="15" customHeight="1">
      <c r="A74" s="1887" t="inlineStr">
        <is>
          <t>Land &amp; Buildings - Net</t>
        </is>
      </c>
      <c r="B74" s="1807" t="n">
        <v>29165546</v>
      </c>
      <c r="C74" s="1807" t="n">
        <v>27686861.52</v>
      </c>
      <c r="D74" s="1807" t="n">
        <v>26208177.04</v>
      </c>
      <c r="E74" s="1807" t="n">
        <v>24729492.56</v>
      </c>
      <c r="F74" s="1807" t="n">
        <v>192947839.34</v>
      </c>
    </row>
    <row r="75" ht="15" customHeight="1">
      <c r="A75" s="1890" t="inlineStr">
        <is>
          <t>Land/Improvements - Net</t>
        </is>
      </c>
      <c r="B75" s="731" t="n"/>
      <c r="C75" s="731" t="n"/>
      <c r="D75" s="1807" t="n">
        <v>10589785</v>
      </c>
      <c r="E75" s="1807" t="n">
        <v>10589785</v>
      </c>
      <c r="F75" s="1807" t="n">
        <v>10589785</v>
      </c>
    </row>
    <row r="76" ht="15" customHeight="1">
      <c r="A76" s="1890" t="inlineStr">
        <is>
          <t>Buildings - Net</t>
        </is>
      </c>
      <c r="B76" s="1807" t="n">
        <v>29165546</v>
      </c>
      <c r="C76" s="1807" t="n">
        <v>27686861.52</v>
      </c>
      <c r="D76" s="1807" t="n">
        <v>15618392.04</v>
      </c>
      <c r="E76" s="1807" t="n">
        <v>14139707.56</v>
      </c>
      <c r="F76" s="1807" t="n">
        <v>182358054.34</v>
      </c>
    </row>
    <row r="77" ht="15" customHeight="1">
      <c r="A77" s="1890" t="inlineStr">
        <is>
          <t>Leasehold Improvements - Net</t>
        </is>
      </c>
      <c r="B77" s="731" t="n"/>
      <c r="C77" s="731" t="n"/>
      <c r="D77" s="731" t="n"/>
      <c r="E77" s="731" t="n"/>
      <c r="F77" s="731" t="n"/>
    </row>
    <row r="78" ht="15" customHeight="1">
      <c r="A78" s="1887" t="inlineStr">
        <is>
          <t>Plant, Machinery &amp; Equipment - Net</t>
        </is>
      </c>
      <c r="B78" s="1807" t="n">
        <v>2389879.69</v>
      </c>
      <c r="C78" s="1807" t="n">
        <v>2062903.6</v>
      </c>
      <c r="D78" s="1807" t="n">
        <v>1673431.67</v>
      </c>
      <c r="E78" s="1807" t="n">
        <v>2221375.53</v>
      </c>
      <c r="F78" s="1807" t="n">
        <v>5708928.61</v>
      </c>
    </row>
    <row r="79" ht="15" customHeight="1">
      <c r="A79" s="1890" t="inlineStr">
        <is>
          <t>Transportation Equipment - Net</t>
        </is>
      </c>
      <c r="B79" s="1807" t="n">
        <v>2389879.69</v>
      </c>
      <c r="C79" s="1807" t="n">
        <v>2062903.6</v>
      </c>
      <c r="D79" s="1807" t="n">
        <v>1673431.67</v>
      </c>
      <c r="E79" s="1807" t="n">
        <v>2221375.53</v>
      </c>
      <c r="F79" s="1807" t="n">
        <v>5586289.48</v>
      </c>
    </row>
    <row r="80" ht="15" customHeight="1">
      <c r="A80" s="1890" t="inlineStr">
        <is>
          <t>Computer Software &amp; Equipment - Net</t>
        </is>
      </c>
      <c r="B80" s="731" t="n"/>
      <c r="C80" s="731" t="n"/>
      <c r="D80" s="731" t="n"/>
      <c r="E80" s="731" t="n"/>
      <c r="F80" s="1807" t="n">
        <v>122639.14</v>
      </c>
    </row>
    <row r="81" ht="15" customHeight="1">
      <c r="A81" s="1887" t="inlineStr">
        <is>
          <t>Construction in Progress - Net</t>
        </is>
      </c>
      <c r="B81" s="1807" t="n">
        <v>256324252.62</v>
      </c>
      <c r="C81" s="1807" t="n">
        <v>60503465</v>
      </c>
      <c r="D81" s="1807" t="n">
        <v>171839281.23</v>
      </c>
      <c r="E81" s="1807" t="n">
        <v>934874153.01</v>
      </c>
      <c r="F81" s="1807" t="n">
        <v>3202589542.84</v>
      </c>
    </row>
    <row r="82" ht="15" customHeight="1">
      <c r="A82" s="1887" t="inlineStr">
        <is>
          <t>Property, Plant &amp; Equipment - Under Capital Lease - Net</t>
        </is>
      </c>
      <c r="B82" s="731" t="n"/>
      <c r="C82" s="731" t="n"/>
      <c r="D82" s="731" t="n"/>
      <c r="E82" s="731" t="n"/>
      <c r="F82" s="731" t="n"/>
    </row>
    <row r="83" ht="15" customHeight="1">
      <c r="A83" s="1887" t="inlineStr">
        <is>
          <t>Right of Use Tangible Assets - Total - Net</t>
        </is>
      </c>
      <c r="B83" s="1807" t="n">
        <v>180100607.49</v>
      </c>
      <c r="C83" s="1807" t="n">
        <v>239935707.74</v>
      </c>
      <c r="D83" s="1807" t="n">
        <v>231076514.34</v>
      </c>
      <c r="E83" s="1807" t="n">
        <v>198179197.61</v>
      </c>
      <c r="F83" s="1807" t="n">
        <v>172192783.45</v>
      </c>
    </row>
    <row r="84" ht="15" customHeight="1">
      <c r="A84" s="1890" t="inlineStr">
        <is>
          <t>Right of Use Tangible Assets - Operating Lease - Net</t>
        </is>
      </c>
      <c r="B84" s="731" t="n"/>
      <c r="C84" s="731" t="n"/>
      <c r="D84" s="731" t="n"/>
      <c r="E84" s="731" t="n"/>
      <c r="F84" s="731" t="n"/>
    </row>
    <row r="85" ht="15" customHeight="1">
      <c r="A85" s="1890" t="inlineStr">
        <is>
          <t>Right of Use Tangible Assets - Capital/Finance Lease - Net</t>
        </is>
      </c>
      <c r="B85" s="1807" t="n">
        <v>180100607.49</v>
      </c>
      <c r="C85" s="1807" t="n">
        <v>239935707.74</v>
      </c>
      <c r="D85" s="1807" t="n">
        <v>231076514.34</v>
      </c>
      <c r="E85" s="1807" t="n">
        <v>198179197.61</v>
      </c>
      <c r="F85" s="1807" t="n">
        <v>172192783.45</v>
      </c>
    </row>
    <row r="86" ht="15" customHeight="1">
      <c r="A86" s="1887" t="inlineStr">
        <is>
          <t>Property, Plant &amp; Equipment - Other - Net</t>
        </is>
      </c>
      <c r="B86" s="1807" t="n">
        <v>63773608.53</v>
      </c>
      <c r="C86" s="1807" t="n">
        <v>716909980.95</v>
      </c>
      <c r="D86" s="1807" t="n">
        <v>855594726.27</v>
      </c>
      <c r="E86" s="1807" t="n">
        <v>1139000441.01</v>
      </c>
      <c r="F86" s="1807" t="n">
        <v>2055023287.25</v>
      </c>
    </row>
    <row r="87" ht="15" customHeight="1">
      <c r="A87" s="1890" t="inlineStr">
        <is>
          <t>Natural Resources/Biological Assets - Net</t>
        </is>
      </c>
      <c r="B87" s="731" t="n"/>
      <c r="C87" s="731" t="n"/>
      <c r="D87" s="731" t="n"/>
      <c r="E87" s="731" t="n"/>
      <c r="F87" s="731" t="n"/>
    </row>
    <row r="88" ht="15" customHeight="1">
      <c r="A88" s="1890" t="inlineStr">
        <is>
          <t>Mining/Exploration Specific Assets - Net</t>
        </is>
      </c>
      <c r="B88" s="731" t="n"/>
      <c r="C88" s="731" t="n"/>
      <c r="D88" s="731" t="n"/>
      <c r="E88" s="731" t="n"/>
      <c r="F88" s="731" t="n"/>
    </row>
    <row r="89" ht="15" customHeight="1">
      <c r="A89" s="1890" t="inlineStr">
        <is>
          <t>Utility Plant - Net</t>
        </is>
      </c>
      <c r="B89" s="731" t="n"/>
      <c r="C89" s="731" t="n"/>
      <c r="D89" s="731" t="n"/>
      <c r="E89" s="731" t="n"/>
      <c r="F89" s="731" t="n"/>
    </row>
    <row r="90" ht="15" customHeight="1">
      <c r="A90" s="1886" t="inlineStr">
        <is>
          <t>Property, Plant &amp; Equipment - Gross - Total</t>
        </is>
      </c>
      <c r="B90" s="1807" t="n">
        <v>595845278.52</v>
      </c>
      <c r="C90" s="1807" t="n">
        <v>1147175731.98</v>
      </c>
      <c r="D90" s="1807" t="n">
        <v>1490373902.12</v>
      </c>
      <c r="E90" s="1807" t="n">
        <v>2611749297.37</v>
      </c>
      <c r="F90" s="1807" t="n">
        <v>6115615359.62</v>
      </c>
    </row>
    <row r="91" ht="15" customHeight="1">
      <c r="A91" s="1887" t="inlineStr">
        <is>
          <t>Assets Leased Out under Operating Lease - Gross</t>
        </is>
      </c>
      <c r="B91" s="731" t="n"/>
      <c r="C91" s="731" t="n"/>
      <c r="D91" s="731" t="n"/>
      <c r="E91" s="731" t="n"/>
      <c r="F91" s="731" t="n"/>
    </row>
    <row r="92" ht="15" customHeight="1">
      <c r="A92" s="1887" t="inlineStr">
        <is>
          <t>Property, Plant &amp; Equipment - excluding Assets Leased Out - Gross</t>
        </is>
      </c>
      <c r="B92" s="1807" t="n">
        <v>595845278.52</v>
      </c>
      <c r="C92" s="1807" t="n">
        <v>1147175731.98</v>
      </c>
      <c r="D92" s="1807" t="n">
        <v>1490373902.12</v>
      </c>
      <c r="E92" s="1807" t="n">
        <v>2611749297.37</v>
      </c>
      <c r="F92" s="1807" t="n">
        <v>6115615359.62</v>
      </c>
    </row>
    <row r="93" ht="15" customHeight="1">
      <c r="A93" s="1890" t="inlineStr">
        <is>
          <t>Land &amp; Buildings - Gross</t>
        </is>
      </c>
      <c r="B93" s="1807" t="n">
        <v>29626857.01</v>
      </c>
      <c r="C93" s="1807" t="n">
        <v>29626857.01</v>
      </c>
      <c r="D93" s="1807" t="n">
        <v>29626857.01</v>
      </c>
      <c r="E93" s="1807" t="n">
        <v>29626857.01</v>
      </c>
      <c r="F93" s="1807" t="n">
        <v>202864357.01</v>
      </c>
    </row>
    <row r="94" ht="15" customHeight="1">
      <c r="A94" s="1891" t="inlineStr">
        <is>
          <t>Land/Improvements - Gross</t>
        </is>
      </c>
      <c r="B94" s="731" t="n"/>
      <c r="C94" s="731" t="n"/>
      <c r="D94" s="1807" t="n">
        <v>10589785</v>
      </c>
      <c r="E94" s="1807" t="n">
        <v>10589785</v>
      </c>
      <c r="F94" s="1807" t="n">
        <v>10589785</v>
      </c>
    </row>
    <row r="95" ht="15" customHeight="1">
      <c r="A95" s="1891" t="inlineStr">
        <is>
          <t>Buildings - Gross</t>
        </is>
      </c>
      <c r="B95" s="1807" t="n">
        <v>29626857.01</v>
      </c>
      <c r="C95" s="1807" t="n">
        <v>29626857.01</v>
      </c>
      <c r="D95" s="1807" t="n">
        <v>19037072.01</v>
      </c>
      <c r="E95" s="1807" t="n">
        <v>19037072.01</v>
      </c>
      <c r="F95" s="1807" t="n">
        <v>192274572.01</v>
      </c>
    </row>
    <row r="96" ht="15" customHeight="1">
      <c r="A96" s="1891" t="inlineStr">
        <is>
          <t>Leasehold Improvements - Gross</t>
        </is>
      </c>
      <c r="B96" s="731" t="n"/>
      <c r="C96" s="731" t="n"/>
      <c r="D96" s="731" t="n"/>
      <c r="E96" s="731" t="n"/>
      <c r="F96" s="731" t="n"/>
    </row>
    <row r="97" ht="15" customHeight="1">
      <c r="A97" s="1890" t="inlineStr">
        <is>
          <t>Plant, Machinery &amp; Equipment - Gross</t>
        </is>
      </c>
      <c r="B97" s="1807" t="n">
        <v>2973178.7</v>
      </c>
      <c r="C97" s="1807" t="n">
        <v>3029778.7</v>
      </c>
      <c r="D97" s="1807" t="n">
        <v>3029778.7</v>
      </c>
      <c r="E97" s="1807" t="n">
        <v>3180395.92</v>
      </c>
      <c r="F97" s="1807" t="n">
        <v>7453721.38</v>
      </c>
    </row>
    <row r="98" ht="15" customHeight="1">
      <c r="A98" s="1891" t="inlineStr">
        <is>
          <t>Transportation Equipment - Gross</t>
        </is>
      </c>
      <c r="B98" s="1807" t="n">
        <v>2973178.7</v>
      </c>
      <c r="C98" s="1807" t="n">
        <v>3029778.7</v>
      </c>
      <c r="D98" s="1807" t="n">
        <v>3029778.7</v>
      </c>
      <c r="E98" s="1807" t="n">
        <v>3180395.92</v>
      </c>
      <c r="F98" s="1807" t="n">
        <v>7092606.76</v>
      </c>
    </row>
    <row r="99" ht="15" customHeight="1">
      <c r="A99" s="1891" t="inlineStr">
        <is>
          <t>Computer Software &amp; Equipment - Gross</t>
        </is>
      </c>
      <c r="B99" s="731" t="n"/>
      <c r="C99" s="731" t="n"/>
      <c r="D99" s="731" t="n"/>
      <c r="E99" s="731" t="n"/>
      <c r="F99" s="1807" t="n">
        <v>361114.62</v>
      </c>
    </row>
    <row r="100" ht="15" customHeight="1">
      <c r="A100" s="1890" t="inlineStr">
        <is>
          <t>Construction in Progress - Gross</t>
        </is>
      </c>
      <c r="B100" s="1807" t="n">
        <v>256324252.62</v>
      </c>
      <c r="C100" s="1807" t="n">
        <v>60503465</v>
      </c>
      <c r="D100" s="1807" t="n">
        <v>171839281.23</v>
      </c>
      <c r="E100" s="1807" t="n">
        <v>934874153.01</v>
      </c>
      <c r="F100" s="1807" t="n">
        <v>3202589542.84</v>
      </c>
    </row>
    <row r="101" ht="15" customHeight="1">
      <c r="A101" s="1890" t="inlineStr">
        <is>
          <t>Property, Plant &amp; Equipment - Under Capital Lease - Gross</t>
        </is>
      </c>
      <c r="B101" s="731" t="n"/>
      <c r="C101" s="731" t="n"/>
      <c r="D101" s="731" t="n"/>
      <c r="E101" s="731" t="n"/>
      <c r="F101" s="731" t="n"/>
    </row>
    <row r="102" ht="15" customHeight="1">
      <c r="A102" s="1890" t="inlineStr">
        <is>
          <t>Right of Use Tangible Assets - Total - Gross</t>
        </is>
      </c>
      <c r="B102" s="1807" t="n">
        <v>201922274.64</v>
      </c>
      <c r="C102" s="1807" t="n">
        <v>292964629.76</v>
      </c>
      <c r="D102" s="1807" t="n">
        <v>310964629.76</v>
      </c>
      <c r="E102" s="1807" t="n">
        <v>276941197.07</v>
      </c>
      <c r="F102" s="1807" t="n">
        <v>264880405.85</v>
      </c>
    </row>
    <row r="103" ht="15" customHeight="1">
      <c r="A103" s="1891" t="inlineStr">
        <is>
          <t>Right of Use Tangible Assets - Operating Lease - Gross</t>
        </is>
      </c>
      <c r="B103" s="731" t="n"/>
      <c r="C103" s="731" t="n"/>
      <c r="D103" s="731" t="n"/>
      <c r="E103" s="731" t="n"/>
      <c r="F103" s="731" t="n"/>
    </row>
    <row r="104" ht="15" customHeight="1">
      <c r="A104" s="1891" t="inlineStr">
        <is>
          <t>Right of Use Tangible Assets - Capital/Finance Lease - Gross</t>
        </is>
      </c>
      <c r="B104" s="1807" t="n">
        <v>201922274.64</v>
      </c>
      <c r="C104" s="1807" t="n">
        <v>292964629.76</v>
      </c>
      <c r="D104" s="1807" t="n">
        <v>310964629.76</v>
      </c>
      <c r="E104" s="1807" t="n">
        <v>276941197.07</v>
      </c>
      <c r="F104" s="1807" t="n">
        <v>264880405.85</v>
      </c>
    </row>
    <row r="105" ht="15" customHeight="1">
      <c r="A105" s="1890" t="inlineStr">
        <is>
          <t>Property, Plant &amp; Equipment - Other - Gross</t>
        </is>
      </c>
      <c r="B105" s="1807" t="n">
        <v>104998715.56</v>
      </c>
      <c r="C105" s="1807" t="n">
        <v>761051001.52</v>
      </c>
      <c r="D105" s="1807" t="n">
        <v>974913355.42</v>
      </c>
      <c r="E105" s="1807" t="n">
        <v>1367126694.37</v>
      </c>
      <c r="F105" s="1807" t="n">
        <v>2437827332.55</v>
      </c>
    </row>
    <row r="106" ht="15" customHeight="1">
      <c r="A106" s="1891" t="inlineStr">
        <is>
          <t>Natural Resources/Biological Assets - Gross</t>
        </is>
      </c>
      <c r="B106" s="731" t="n"/>
      <c r="C106" s="731" t="n"/>
      <c r="D106" s="731" t="n"/>
      <c r="E106" s="731" t="n"/>
      <c r="F106" s="731" t="n"/>
    </row>
    <row r="107" ht="15" customHeight="1">
      <c r="A107" s="1891" t="inlineStr">
        <is>
          <t>Mining/Exploration Specific Assets - Gross</t>
        </is>
      </c>
      <c r="B107" s="731" t="n"/>
      <c r="C107" s="731" t="n"/>
      <c r="D107" s="731" t="n"/>
      <c r="E107" s="731" t="n"/>
      <c r="F107" s="731" t="n"/>
    </row>
    <row r="108" ht="15" customHeight="1">
      <c r="A108" s="1891" t="inlineStr">
        <is>
          <t>Utility Plant - Gross</t>
        </is>
      </c>
      <c r="B108" s="731" t="n"/>
      <c r="C108" s="731" t="n"/>
      <c r="D108" s="731" t="n"/>
      <c r="E108" s="731" t="n"/>
      <c r="F108" s="731" t="n"/>
    </row>
    <row r="109" ht="15" customHeight="1">
      <c r="A109" s="1886" t="inlineStr">
        <is>
          <t>Property, Plant &amp; Equipment - Accumulated Depreciation &amp; Impairment - Total</t>
        </is>
      </c>
      <c r="B109" s="1807" t="n">
        <v>64091384.2</v>
      </c>
      <c r="C109" s="1807" t="n">
        <v>100076813.17</v>
      </c>
      <c r="D109" s="1807" t="n">
        <v>203981771.56</v>
      </c>
      <c r="E109" s="1807" t="n">
        <v>312744637.65</v>
      </c>
      <c r="F109" s="1807" t="n">
        <v>487152978.14</v>
      </c>
    </row>
    <row r="110" ht="15" customHeight="1">
      <c r="A110" s="1887" t="inlineStr">
        <is>
          <t>Assets Leased Out under Operating Lease - Accumulated Depreciation &amp; Impairment</t>
        </is>
      </c>
      <c r="B110" s="731" t="n"/>
      <c r="C110" s="731" t="n"/>
      <c r="D110" s="731" t="n"/>
      <c r="E110" s="731" t="n"/>
      <c r="F110" s="731" t="n"/>
    </row>
    <row r="111" ht="15" customHeight="1">
      <c r="A111" s="1887" t="inlineStr">
        <is>
          <t>Property, Plant &amp; Equipment - excluding Assets Leased Out - Accumulated Depreciation &amp; Impairment - Total</t>
        </is>
      </c>
      <c r="B111" s="1807" t="n">
        <v>64091384.2</v>
      </c>
      <c r="C111" s="1807" t="n">
        <v>100076813.17</v>
      </c>
      <c r="D111" s="1807" t="n">
        <v>203981771.56</v>
      </c>
      <c r="E111" s="1807" t="n">
        <v>312744637.65</v>
      </c>
      <c r="F111" s="1807" t="n">
        <v>487152978.14</v>
      </c>
    </row>
    <row r="112" ht="15" customHeight="1">
      <c r="A112" s="1890" t="inlineStr">
        <is>
          <t>Land &amp; Buildings - Accumulated Depreciation &amp; Impairment</t>
        </is>
      </c>
      <c r="B112" s="1807" t="n">
        <v>461311.01</v>
      </c>
      <c r="C112" s="1807" t="n">
        <v>1939995.49</v>
      </c>
      <c r="D112" s="1807" t="n">
        <v>3418679.97</v>
      </c>
      <c r="E112" s="1807" t="n">
        <v>4897364.44</v>
      </c>
      <c r="F112" s="1807" t="n">
        <v>9916517.67</v>
      </c>
    </row>
    <row r="113" ht="15" customHeight="1">
      <c r="A113" s="1891" t="inlineStr">
        <is>
          <t>Land/Improvements - Accumulated Depreciation &amp; Impairment</t>
        </is>
      </c>
      <c r="B113" s="731" t="n"/>
      <c r="C113" s="731" t="n"/>
      <c r="D113" s="731" t="n"/>
      <c r="E113" s="731" t="n"/>
      <c r="F113" s="731" t="n"/>
    </row>
    <row r="114" ht="15" customHeight="1">
      <c r="A114" s="1891" t="inlineStr">
        <is>
          <t>Buildings - Accumulated Depreciation &amp; Impairment</t>
        </is>
      </c>
      <c r="B114" s="1807" t="n">
        <v>461311.01</v>
      </c>
      <c r="C114" s="1807" t="n">
        <v>1939995.49</v>
      </c>
      <c r="D114" s="1807" t="n">
        <v>3418679.97</v>
      </c>
      <c r="E114" s="1807" t="n">
        <v>4897364.44</v>
      </c>
      <c r="F114" s="1807" t="n">
        <v>9916517.67</v>
      </c>
    </row>
    <row r="115" ht="15" customHeight="1">
      <c r="A115" s="1891" t="inlineStr">
        <is>
          <t>Leasehold Improvements - Accumulated Depreciation &amp; Impairment</t>
        </is>
      </c>
      <c r="B115" s="731" t="n"/>
      <c r="C115" s="731" t="n"/>
      <c r="D115" s="731" t="n"/>
      <c r="E115" s="731" t="n"/>
      <c r="F115" s="731" t="n"/>
    </row>
    <row r="116" ht="15" customHeight="1">
      <c r="A116" s="1890" t="inlineStr">
        <is>
          <t>Plant, Machinery &amp; Equipment - Accumulated Depreciation &amp; Impairment</t>
        </is>
      </c>
      <c r="B116" s="1807" t="n">
        <v>583299.01</v>
      </c>
      <c r="C116" s="1807" t="n">
        <v>966875.1</v>
      </c>
      <c r="D116" s="1807" t="n">
        <v>1356347.03</v>
      </c>
      <c r="E116" s="1807" t="n">
        <v>959020.39</v>
      </c>
      <c r="F116" s="1807" t="n">
        <v>1744792.77</v>
      </c>
    </row>
    <row r="117" ht="15" customHeight="1">
      <c r="A117" s="1891" t="inlineStr">
        <is>
          <t>Transportation Equipment - Accumulated Depreciation &amp; Impairment</t>
        </is>
      </c>
      <c r="B117" s="1807" t="n">
        <v>583299.01</v>
      </c>
      <c r="C117" s="1807" t="n">
        <v>966875.1</v>
      </c>
      <c r="D117" s="1807" t="n">
        <v>1356347.03</v>
      </c>
      <c r="E117" s="1807" t="n">
        <v>959020.39</v>
      </c>
      <c r="F117" s="1807" t="n">
        <v>1506317.29</v>
      </c>
    </row>
    <row r="118" ht="15" customHeight="1">
      <c r="A118" s="1891" t="inlineStr">
        <is>
          <t>Computer Software &amp; Equipment - Accumulated Depreciation &amp; Impairment</t>
        </is>
      </c>
      <c r="B118" s="731" t="n"/>
      <c r="C118" s="731" t="n"/>
      <c r="D118" s="731" t="n"/>
      <c r="E118" s="731" t="n"/>
      <c r="F118" s="1807" t="n">
        <v>238475.48</v>
      </c>
    </row>
    <row r="119" ht="15" customHeight="1">
      <c r="A119" s="1890" t="inlineStr">
        <is>
          <t>Construction in Progress - Accumulated Depreciation &amp; Impairment</t>
        </is>
      </c>
      <c r="B119" s="731" t="n"/>
      <c r="C119" s="731" t="n"/>
      <c r="D119" s="731" t="n"/>
      <c r="E119" s="731" t="n"/>
      <c r="F119" s="731" t="n"/>
    </row>
    <row r="120" ht="15" customHeight="1">
      <c r="A120" s="1890" t="inlineStr">
        <is>
          <t>Property, Plant &amp; Equipment - Under Capital Lease - Accumulated Depreciation &amp; Impairment</t>
        </is>
      </c>
      <c r="B120" s="731" t="n"/>
      <c r="C120" s="731" t="n"/>
      <c r="D120" s="731" t="n"/>
      <c r="E120" s="731" t="n"/>
      <c r="F120" s="731" t="n"/>
    </row>
    <row r="121" ht="15" customHeight="1">
      <c r="A121" s="1890" t="inlineStr">
        <is>
          <t>Right of Use Tangible Assets - Total/Unspecified - Accumulated Depreciation</t>
        </is>
      </c>
      <c r="B121" s="1807" t="n">
        <v>21821667.15</v>
      </c>
      <c r="C121" s="1807" t="n">
        <v>53028922.01</v>
      </c>
      <c r="D121" s="1807" t="n">
        <v>79888115.42</v>
      </c>
      <c r="E121" s="1807" t="n">
        <v>78761999.45999999</v>
      </c>
      <c r="F121" s="1807" t="n">
        <v>92687622.40000001</v>
      </c>
    </row>
    <row r="122" ht="15" customHeight="1">
      <c r="A122" s="1891" t="inlineStr">
        <is>
          <t>Right of Use Tangible Assets - Operating Lease - Accumulated Depreciation</t>
        </is>
      </c>
      <c r="B122" s="731" t="n"/>
      <c r="C122" s="731" t="n"/>
      <c r="D122" s="731" t="n"/>
      <c r="E122" s="731" t="n"/>
      <c r="F122" s="731" t="n"/>
    </row>
    <row r="123" ht="15" customHeight="1">
      <c r="A123" s="1891" t="inlineStr">
        <is>
          <t>Right of Use Tangible Assets - Capital/Finance Lease - Accumulated Depreciation</t>
        </is>
      </c>
      <c r="B123" s="1807" t="n">
        <v>21821667.15</v>
      </c>
      <c r="C123" s="1807" t="n">
        <v>53028922.01</v>
      </c>
      <c r="D123" s="1807" t="n">
        <v>79888115.42</v>
      </c>
      <c r="E123" s="1807" t="n">
        <v>78761999.45999999</v>
      </c>
      <c r="F123" s="1807" t="n">
        <v>92687622.40000001</v>
      </c>
    </row>
    <row r="124" ht="15" customHeight="1">
      <c r="A124" s="1890" t="inlineStr">
        <is>
          <t>Property, Plant &amp; Equipment - Other - Accumulated Depreciation &amp; Impairment</t>
        </is>
      </c>
      <c r="B124" s="1807" t="n">
        <v>41225107.03</v>
      </c>
      <c r="C124" s="1807" t="n">
        <v>44141020.57</v>
      </c>
      <c r="D124" s="1807" t="n">
        <v>119318629.16</v>
      </c>
      <c r="E124" s="1807" t="n">
        <v>228126253.36</v>
      </c>
      <c r="F124" s="1807" t="n">
        <v>382804045.3</v>
      </c>
    </row>
    <row r="125" ht="15" customHeight="1">
      <c r="A125" s="1891" t="inlineStr">
        <is>
          <t>Utility Plant - Accumulated Depreciation &amp; Impairment</t>
        </is>
      </c>
      <c r="B125" s="731" t="n"/>
      <c r="C125" s="731" t="n"/>
      <c r="D125" s="731" t="n"/>
      <c r="E125" s="731" t="n"/>
      <c r="F125" s="731" t="n"/>
    </row>
    <row r="126" ht="15" customHeight="1">
      <c r="A126" s="1891" t="inlineStr">
        <is>
          <t>Mining/Exploration Specific Assets - Accumulated Depreciation &amp; Impairment</t>
        </is>
      </c>
      <c r="B126" s="731" t="n"/>
      <c r="C126" s="731" t="n"/>
      <c r="D126" s="731" t="n"/>
      <c r="E126" s="731" t="n"/>
      <c r="F126" s="731" t="n"/>
    </row>
    <row r="127" ht="15" customHeight="1">
      <c r="A127" s="1891" t="inlineStr">
        <is>
          <t>Natural Resources/Biological Assets - Accumulated Depreciation &amp; Impairment</t>
        </is>
      </c>
      <c r="B127" s="731" t="n"/>
      <c r="C127" s="731" t="n"/>
      <c r="D127" s="731" t="n"/>
      <c r="E127" s="731" t="n"/>
      <c r="F127" s="731" t="n"/>
    </row>
    <row r="128" ht="15" customFormat="1" customHeight="1" s="811">
      <c r="A128" s="1931" t="inlineStr">
        <is>
          <t>Assets Held for Sale/Discontinued Operations - Long-Term</t>
        </is>
      </c>
      <c r="B128" s="810" t="n"/>
      <c r="C128" s="810" t="n"/>
      <c r="D128" s="810" t="n"/>
      <c r="E128" s="810" t="n"/>
      <c r="F128" s="810" t="n"/>
    </row>
    <row r="129" ht="15" customFormat="1" customHeight="1" s="811">
      <c r="A129" s="1931" t="inlineStr">
        <is>
          <t>Other Non-Current Assets - Total</t>
        </is>
      </c>
      <c r="B129" s="1932" t="n">
        <v>267706625.53</v>
      </c>
      <c r="C129" s="1932" t="n">
        <v>139607811.74</v>
      </c>
      <c r="D129" s="1932" t="n">
        <v>13345507.59</v>
      </c>
      <c r="E129" s="1932" t="n">
        <v>10971229.98</v>
      </c>
      <c r="F129" s="1932" t="n">
        <v>430026287.14</v>
      </c>
    </row>
    <row r="130" ht="15" customHeight="1">
      <c r="A130" s="1886" t="inlineStr">
        <is>
          <t>Restricted Accounts - Long-Term</t>
        </is>
      </c>
      <c r="B130" s="731" t="n"/>
      <c r="C130" s="731" t="n"/>
      <c r="D130" s="731" t="n"/>
      <c r="E130" s="731" t="n"/>
      <c r="F130" s="1807" t="n">
        <v>420000000</v>
      </c>
    </row>
    <row r="131" ht="15" customHeight="1">
      <c r="A131" s="1886" t="inlineStr">
        <is>
          <t>Deferred Tax - Asset - Long-Term</t>
        </is>
      </c>
      <c r="B131" s="1807" t="n">
        <v>1285367.54</v>
      </c>
      <c r="C131" s="1807" t="n">
        <v>6103478.47</v>
      </c>
      <c r="D131" s="1807" t="n">
        <v>1522094.35</v>
      </c>
      <c r="E131" s="1807" t="n">
        <v>1177123.78</v>
      </c>
      <c r="F131" s="1807" t="n">
        <v>1923931.95</v>
      </c>
    </row>
    <row r="132" ht="15" customHeight="1">
      <c r="A132" s="1886" t="inlineStr">
        <is>
          <t>Deferred Charges - Long-Term</t>
        </is>
      </c>
      <c r="B132" s="731" t="n"/>
      <c r="C132" s="731" t="n"/>
      <c r="D132" s="731" t="n"/>
      <c r="E132" s="731" t="n"/>
      <c r="F132" s="731" t="n"/>
    </row>
    <row r="133" ht="15" customHeight="1">
      <c r="A133" s="1886" t="inlineStr">
        <is>
          <t>Prepaid Expenses - Long-Term</t>
        </is>
      </c>
      <c r="B133" s="1807" t="n">
        <v>16079842.01</v>
      </c>
      <c r="C133" s="1807" t="n">
        <v>13242222.83</v>
      </c>
      <c r="D133" s="1807" t="n">
        <v>11823413.24</v>
      </c>
      <c r="E133" s="1807" t="n">
        <v>9794106.189999999</v>
      </c>
      <c r="F133" s="1807" t="n">
        <v>6531422.99</v>
      </c>
    </row>
    <row r="134" ht="15" customHeight="1">
      <c r="A134" s="1886" t="inlineStr">
        <is>
          <t>Inventories - Long-Term</t>
        </is>
      </c>
      <c r="B134" s="731" t="n"/>
      <c r="C134" s="731" t="n"/>
      <c r="D134" s="731" t="n"/>
      <c r="E134" s="731" t="n"/>
      <c r="F134" s="731" t="n"/>
    </row>
    <row r="135" ht="15" customHeight="1">
      <c r="A135" s="1886" t="inlineStr">
        <is>
          <t>Regulatory Assets - Long-Term</t>
        </is>
      </c>
      <c r="B135" s="731" t="n"/>
      <c r="C135" s="731" t="n"/>
      <c r="D135" s="731" t="n"/>
      <c r="E135" s="731" t="n"/>
      <c r="F135" s="731" t="n"/>
    </row>
    <row r="136" ht="15" customHeight="1">
      <c r="A136" s="1886" t="inlineStr">
        <is>
          <t>Pension Assets - Long-Term</t>
        </is>
      </c>
      <c r="B136" s="731" t="n"/>
      <c r="C136" s="731" t="n"/>
      <c r="D136" s="731" t="n"/>
      <c r="E136" s="731" t="n"/>
      <c r="F136" s="731" t="n"/>
    </row>
    <row r="137" ht="15" customHeight="1">
      <c r="A137" s="1886" t="inlineStr">
        <is>
          <t>Other Non-Current Assets</t>
        </is>
      </c>
      <c r="B137" s="1807" t="n">
        <v>250341415.97</v>
      </c>
      <c r="C137" s="1807" t="n">
        <v>120262110.43</v>
      </c>
      <c r="D137" s="1807" t="n">
        <v>0</v>
      </c>
      <c r="E137" s="731" t="n"/>
      <c r="F137" s="1807" t="n">
        <v>1570932.2</v>
      </c>
    </row>
    <row r="138" ht="15" customHeight="1">
      <c r="A138" s="1885" t="inlineStr">
        <is>
          <t>Intangible Assets - Total - Net</t>
        </is>
      </c>
      <c r="B138" s="731" t="n"/>
      <c r="C138" s="1807" t="n">
        <v>1666666.67</v>
      </c>
      <c r="D138" s="1807" t="n">
        <v>1416666.67</v>
      </c>
      <c r="E138" s="1807" t="n">
        <v>11092642.03</v>
      </c>
      <c r="F138" s="1807" t="n">
        <v>423313179.08</v>
      </c>
    </row>
    <row r="139" ht="15" customHeight="1">
      <c r="A139" s="1886" t="inlineStr">
        <is>
          <t>Goodwill/Cost in Excess of Assets Purchased - Net</t>
        </is>
      </c>
      <c r="B139" s="731" t="n"/>
      <c r="C139" s="731" t="n"/>
      <c r="D139" s="731" t="n"/>
      <c r="E139" s="731" t="n"/>
      <c r="F139" s="1807" t="n">
        <v>2612663.66</v>
      </c>
    </row>
    <row r="140" ht="15" customHeight="1">
      <c r="A140" s="1886" t="inlineStr">
        <is>
          <t>Intangible Assets - excluding Goodwill - Net - Total</t>
        </is>
      </c>
      <c r="B140" s="731" t="n"/>
      <c r="C140" s="1807" t="n">
        <v>1666666.67</v>
      </c>
      <c r="D140" s="1807" t="n">
        <v>1416666.67</v>
      </c>
      <c r="E140" s="1807" t="n">
        <v>11092642.03</v>
      </c>
      <c r="F140" s="1807" t="n">
        <v>420700515.42</v>
      </c>
    </row>
    <row r="141" ht="15" customHeight="1">
      <c r="A141" s="1887" t="inlineStr">
        <is>
          <t>Computer Software - Intangible Assets - Net</t>
        </is>
      </c>
      <c r="B141" s="731" t="n"/>
      <c r="C141" s="731" t="n"/>
      <c r="D141" s="1807" t="n">
        <v>1416666.67</v>
      </c>
      <c r="E141" s="1807" t="n">
        <v>11092642.03</v>
      </c>
      <c r="F141" s="1807" t="n">
        <v>420700515.42</v>
      </c>
    </row>
    <row r="142" ht="15" customHeight="1">
      <c r="A142" s="1887" t="inlineStr">
        <is>
          <t>Research &amp; Development Costs - Net</t>
        </is>
      </c>
      <c r="B142" s="731" t="n"/>
      <c r="C142" s="731" t="n"/>
      <c r="D142" s="731" t="n"/>
      <c r="E142" s="731" t="n"/>
      <c r="F142" s="731" t="n"/>
    </row>
    <row r="143" ht="15" customHeight="1">
      <c r="A143" s="1887" t="inlineStr">
        <is>
          <t>Brands, Patents, Trademarks, Marketing &amp; Artistic Intangibles - Net</t>
        </is>
      </c>
      <c r="B143" s="731" t="n"/>
      <c r="C143" s="731" t="n"/>
      <c r="D143" s="731" t="n"/>
      <c r="E143" s="731" t="n"/>
      <c r="F143" s="731" t="n"/>
    </row>
    <row r="144" ht="15" customHeight="1">
      <c r="A144" s="1887" t="inlineStr">
        <is>
          <t>Licenses, Franchises, Copyrights, Property Rights, Prototypes, Contract Based, Models &amp; Designs - Net</t>
        </is>
      </c>
      <c r="B144" s="731" t="n"/>
      <c r="C144" s="731" t="n"/>
      <c r="D144" s="731" t="n"/>
      <c r="E144" s="731" t="n"/>
      <c r="F144" s="731" t="n"/>
    </row>
    <row r="145" ht="15" customHeight="1">
      <c r="A145" s="1887" t="inlineStr">
        <is>
          <t>Right of Use Intangible Assets - Net</t>
        </is>
      </c>
      <c r="B145" s="731" t="n"/>
      <c r="C145" s="731" t="n"/>
      <c r="D145" s="731" t="n"/>
      <c r="E145" s="731" t="n"/>
      <c r="F145" s="731" t="n"/>
    </row>
    <row r="146" ht="15" customHeight="1">
      <c r="A146" s="1887" t="inlineStr">
        <is>
          <t>Intangible Assets - Other - Net</t>
        </is>
      </c>
      <c r="B146" s="731" t="n"/>
      <c r="C146" s="731" t="n"/>
      <c r="D146" s="731" t="n"/>
      <c r="E146" s="731" t="n"/>
      <c r="F146" s="731" t="n"/>
    </row>
    <row r="147" ht="15" customHeight="1">
      <c r="A147" s="1886" t="inlineStr">
        <is>
          <t>Intangible Assets - Gross - Total</t>
        </is>
      </c>
      <c r="B147" s="731" t="n"/>
      <c r="C147" s="731" t="n"/>
      <c r="D147" s="1807" t="n">
        <v>2000000</v>
      </c>
      <c r="E147" s="1807" t="n">
        <v>12952800.4</v>
      </c>
      <c r="F147" s="731" t="n"/>
    </row>
    <row r="148" ht="15" customHeight="1">
      <c r="A148" s="1887" t="inlineStr">
        <is>
          <t>Goodwill/Cost in Excess of Assets Purchased - Gross</t>
        </is>
      </c>
      <c r="B148" s="731" t="n"/>
      <c r="C148" s="731" t="n"/>
      <c r="D148" s="731" t="n"/>
      <c r="E148" s="731" t="n"/>
      <c r="F148" s="731" t="n"/>
    </row>
    <row r="149" ht="15" customHeight="1">
      <c r="A149" s="1887" t="inlineStr">
        <is>
          <t>Intangible Assets - excluding Goodwill - Gross</t>
        </is>
      </c>
      <c r="B149" s="731" t="n"/>
      <c r="C149" s="731" t="n"/>
      <c r="D149" s="1807" t="n">
        <v>2000000</v>
      </c>
      <c r="E149" s="1807" t="n">
        <v>12952800.4</v>
      </c>
      <c r="F149" s="1807" t="n">
        <v>426392768.92</v>
      </c>
    </row>
    <row r="150" ht="15" customHeight="1">
      <c r="A150" s="1890" t="inlineStr">
        <is>
          <t>Computer Software - Intangible Assets - Gross</t>
        </is>
      </c>
      <c r="B150" s="731" t="n"/>
      <c r="C150" s="731" t="n"/>
      <c r="D150" s="1807" t="n">
        <v>2000000</v>
      </c>
      <c r="E150" s="1807" t="n">
        <v>12952800.4</v>
      </c>
      <c r="F150" s="1807" t="n">
        <v>426392768.92</v>
      </c>
    </row>
    <row r="151" ht="15" customHeight="1">
      <c r="A151" s="1890" t="inlineStr">
        <is>
          <t>Research &amp; Development Costs - Gross</t>
        </is>
      </c>
      <c r="B151" s="731" t="n"/>
      <c r="C151" s="731" t="n"/>
      <c r="D151" s="731" t="n"/>
      <c r="E151" s="731" t="n"/>
      <c r="F151" s="731" t="n"/>
    </row>
    <row r="152" ht="15" customHeight="1">
      <c r="A152" s="1890" t="inlineStr">
        <is>
          <t>Brands, Patents, Trademarks, Marketing &amp; Artistic Intangibles - Gross</t>
        </is>
      </c>
      <c r="B152" s="731" t="n"/>
      <c r="C152" s="731" t="n"/>
      <c r="D152" s="731" t="n"/>
      <c r="E152" s="731" t="n"/>
      <c r="F152" s="731" t="n"/>
    </row>
    <row r="153" ht="15" customHeight="1">
      <c r="A153" s="1890" t="inlineStr">
        <is>
          <t>Licenses, Franchises, Copyrights, Property Rights, Prototypes, Contract Based, Models &amp; Designs - Gross</t>
        </is>
      </c>
      <c r="B153" s="731" t="n"/>
      <c r="C153" s="731" t="n"/>
      <c r="D153" s="731" t="n"/>
      <c r="E153" s="731" t="n"/>
      <c r="F153" s="731" t="n"/>
    </row>
    <row r="154" ht="15" customHeight="1">
      <c r="A154" s="1890" t="inlineStr">
        <is>
          <t>Right of Use Intangible Assets - Gross</t>
        </is>
      </c>
      <c r="B154" s="731" t="n"/>
      <c r="C154" s="731" t="n"/>
      <c r="D154" s="731" t="n"/>
      <c r="E154" s="731" t="n"/>
      <c r="F154" s="731" t="n"/>
    </row>
    <row r="155" ht="15" customHeight="1">
      <c r="A155" s="1890" t="inlineStr">
        <is>
          <t>Intangible Assets - Other - Gross - Total</t>
        </is>
      </c>
      <c r="B155" s="731" t="n"/>
      <c r="C155" s="731" t="n"/>
      <c r="D155" s="731" t="n"/>
      <c r="E155" s="731" t="n"/>
      <c r="F155" s="731" t="n"/>
    </row>
    <row r="156" ht="15" customHeight="1">
      <c r="A156" s="1886" t="inlineStr">
        <is>
          <t>Intangible Assets - Accumulated Amortization &amp; Impairment - Total</t>
        </is>
      </c>
      <c r="B156" s="731" t="n"/>
      <c r="C156" s="731" t="n"/>
      <c r="D156" s="1807" t="n">
        <v>583333.33</v>
      </c>
      <c r="E156" s="1807" t="n">
        <v>1860158.37</v>
      </c>
      <c r="F156" s="731" t="n"/>
    </row>
    <row r="157" ht="15" customHeight="1">
      <c r="A157" s="1887" t="inlineStr">
        <is>
          <t>Goodwill - Accumulated Amortization &amp; Impairment</t>
        </is>
      </c>
      <c r="B157" s="731" t="n"/>
      <c r="C157" s="731" t="n"/>
      <c r="D157" s="731" t="n"/>
      <c r="E157" s="731" t="n"/>
      <c r="F157" s="731" t="n"/>
    </row>
    <row r="158" ht="15" customHeight="1">
      <c r="A158" s="1887" t="inlineStr">
        <is>
          <t>Intangible Assets - excluding Goodwill - Accumulated Amortization &amp; Impairment - Total</t>
        </is>
      </c>
      <c r="B158" s="731" t="n"/>
      <c r="C158" s="731" t="n"/>
      <c r="D158" s="1807" t="n">
        <v>583333.33</v>
      </c>
      <c r="E158" s="1807" t="n">
        <v>1860158.37</v>
      </c>
      <c r="F158" s="1807" t="n">
        <v>5692253.5</v>
      </c>
    </row>
    <row r="159" ht="15" customHeight="1">
      <c r="A159" s="1890" t="inlineStr">
        <is>
          <t>Computer Software - Intangible Assets - Accumulated Amortization &amp; Impairment</t>
        </is>
      </c>
      <c r="B159" s="731" t="n"/>
      <c r="C159" s="731" t="n"/>
      <c r="D159" s="1807" t="n">
        <v>583333.33</v>
      </c>
      <c r="E159" s="1807" t="n">
        <v>1860158.37</v>
      </c>
      <c r="F159" s="1807" t="n">
        <v>5692253.5</v>
      </c>
    </row>
    <row r="160" ht="15" customHeight="1">
      <c r="A160" s="1890" t="inlineStr">
        <is>
          <t>Research &amp; Development Costs - Accumulated Amortization &amp; Impairment</t>
        </is>
      </c>
      <c r="B160" s="731" t="n"/>
      <c r="C160" s="731" t="n"/>
      <c r="D160" s="731" t="n"/>
      <c r="E160" s="731" t="n"/>
      <c r="F160" s="731" t="n"/>
    </row>
    <row r="161" ht="15" customHeight="1">
      <c r="A161" s="1890" t="inlineStr">
        <is>
          <t>Brands, Patents, Trademarks, Marketing &amp; Artistic Intangibles - Accumulated Amortization &amp; Impairment</t>
        </is>
      </c>
      <c r="B161" s="731" t="n"/>
      <c r="C161" s="731" t="n"/>
      <c r="D161" s="731" t="n"/>
      <c r="E161" s="731" t="n"/>
      <c r="F161" s="731" t="n"/>
    </row>
    <row r="162" ht="15" customHeight="1">
      <c r="A162" s="1890" t="inlineStr">
        <is>
          <t>Licenses, Franchises, Copy/Property Rights, Prototypes, Contract Based, Models &amp; Designs - Accumulated Amortization &amp; Impairment</t>
        </is>
      </c>
      <c r="B162" s="731" t="n"/>
      <c r="C162" s="731" t="n"/>
      <c r="D162" s="731" t="n"/>
      <c r="E162" s="731" t="n"/>
      <c r="F162" s="731" t="n"/>
    </row>
    <row r="163" ht="15" customHeight="1">
      <c r="A163" s="1890" t="inlineStr">
        <is>
          <t>Right of Use Intangible Assets - Accumulated Amortization</t>
        </is>
      </c>
      <c r="B163" s="731" t="n"/>
      <c r="C163" s="731" t="n"/>
      <c r="D163" s="731" t="n"/>
      <c r="E163" s="731" t="n"/>
      <c r="F163" s="731" t="n"/>
    </row>
    <row r="164" ht="15" customHeight="1">
      <c r="A164" s="1890" t="inlineStr">
        <is>
          <t>Intangible Assets - Other - Accumulated Amortization &amp; Impairment</t>
        </is>
      </c>
      <c r="B164" s="731" t="n"/>
      <c r="C164" s="731" t="n"/>
      <c r="D164" s="731" t="n"/>
      <c r="E164" s="731" t="n"/>
      <c r="F164" s="731" t="n"/>
    </row>
    <row r="165" ht="15" customHeight="1">
      <c r="A165" s="1888" t="inlineStr">
        <is>
          <t>Total Non-Current Assets</t>
        </is>
      </c>
      <c r="B165" s="1889" t="n">
        <v>799460519.85</v>
      </c>
      <c r="C165" s="1889" t="n">
        <v>1188615711.56</v>
      </c>
      <c r="D165" s="1889" t="n">
        <v>1301396619.15</v>
      </c>
      <c r="E165" s="1889" t="n">
        <v>2321068531.72</v>
      </c>
      <c r="F165" s="1889" t="n">
        <v>6481801847.71</v>
      </c>
    </row>
    <row r="166" ht="15" customHeight="1">
      <c r="A166" s="1884" t="inlineStr">
        <is>
          <t>Total Assets</t>
        </is>
      </c>
      <c r="B166" s="734" t="n"/>
      <c r="C166" s="734" t="n"/>
      <c r="D166" s="734" t="n"/>
      <c r="E166" s="734" t="n"/>
      <c r="F166" s="734" t="n"/>
    </row>
    <row r="167" ht="15" customHeight="1">
      <c r="A167" s="1888" t="inlineStr">
        <is>
          <t>Total Assets</t>
        </is>
      </c>
      <c r="B167" s="1889" t="n">
        <v>896309450.88</v>
      </c>
      <c r="C167" s="1889" t="n">
        <v>1407734393.79</v>
      </c>
      <c r="D167" s="1889" t="n">
        <v>1564229614.55</v>
      </c>
      <c r="E167" s="1889" t="n">
        <v>2907415732.37</v>
      </c>
      <c r="F167" s="1889" t="n">
        <v>15169662226.17</v>
      </c>
    </row>
    <row r="168" ht="15" customHeight="1">
      <c r="A168" s="1884" t="inlineStr">
        <is>
          <t>Current Liabilities</t>
        </is>
      </c>
      <c r="B168" s="734" t="n"/>
      <c r="C168" s="734" t="n"/>
      <c r="D168" s="734" t="n"/>
      <c r="E168" s="734" t="n"/>
      <c r="F168" s="734" t="n"/>
    </row>
    <row r="169" ht="15" customHeight="1">
      <c r="A169" s="1885" t="inlineStr">
        <is>
          <t>Trade Accounts Payable &amp; Accruals - Short-Term</t>
        </is>
      </c>
      <c r="B169" s="1807" t="n">
        <v>19876670.18</v>
      </c>
      <c r="C169" s="1807" t="n">
        <v>22833968.98</v>
      </c>
      <c r="D169" s="1807" t="n">
        <v>51404411.4</v>
      </c>
      <c r="E169" s="1807" t="n">
        <v>38111085.24</v>
      </c>
      <c r="F169" s="1807" t="n">
        <v>442095033.09</v>
      </c>
    </row>
    <row r="170" ht="15" customHeight="1">
      <c r="A170" s="1886" t="inlineStr">
        <is>
          <t>Trade Accounts &amp; Trade Notes Payable - Short-Term</t>
        </is>
      </c>
      <c r="B170" s="1807" t="n">
        <v>19247170.18</v>
      </c>
      <c r="C170" s="1807" t="n">
        <v>19941152.53</v>
      </c>
      <c r="D170" s="1807" t="n">
        <v>48646099.25</v>
      </c>
      <c r="E170" s="1807" t="n">
        <v>33001370.29</v>
      </c>
      <c r="F170" s="1807" t="n">
        <v>407279864.99</v>
      </c>
    </row>
    <row r="171" ht="15" customHeight="1">
      <c r="A171" s="1886" t="inlineStr">
        <is>
          <t>Accrued Expenses - Short-Term</t>
        </is>
      </c>
      <c r="B171" s="1807" t="n">
        <v>629500</v>
      </c>
      <c r="C171" s="1807" t="n">
        <v>2892816.45</v>
      </c>
      <c r="D171" s="1807" t="n">
        <v>2758312.15</v>
      </c>
      <c r="E171" s="1807" t="n">
        <v>5109714.95</v>
      </c>
      <c r="F171" s="1807" t="n">
        <v>34815168.1</v>
      </c>
    </row>
    <row r="172" ht="15" customHeight="1">
      <c r="A172" s="1885" t="inlineStr">
        <is>
          <t>Short-Term Debt &amp; Current Portion of Long-Term Debt</t>
        </is>
      </c>
      <c r="B172" s="1807" t="n">
        <v>60389232.55</v>
      </c>
      <c r="C172" s="1807" t="n">
        <v>86846719.62</v>
      </c>
      <c r="D172" s="1807" t="n">
        <v>109572836.94</v>
      </c>
      <c r="E172" s="1807" t="n">
        <v>414710456.67</v>
      </c>
      <c r="F172" s="1807" t="n">
        <v>3269712913.63</v>
      </c>
    </row>
    <row r="173" ht="15" customHeight="1">
      <c r="A173" s="1886" t="inlineStr">
        <is>
          <t>Short-Term Debt &amp; Notes Payable</t>
        </is>
      </c>
      <c r="B173" s="731" t="n"/>
      <c r="C173" s="731" t="n"/>
      <c r="D173" s="731" t="n"/>
      <c r="E173" s="731" t="n"/>
      <c r="F173" s="1807" t="n">
        <v>1351825000</v>
      </c>
    </row>
    <row r="174" ht="15" customHeight="1">
      <c r="A174" s="1887" t="inlineStr">
        <is>
          <t>Notes Payable - Short-Term</t>
        </is>
      </c>
      <c r="B174" s="731" t="n"/>
      <c r="C174" s="731" t="n"/>
      <c r="D174" s="731" t="n"/>
      <c r="E174" s="731" t="n"/>
      <c r="F174" s="731" t="n"/>
    </row>
    <row r="175" ht="15" customHeight="1">
      <c r="A175" s="1886" t="inlineStr">
        <is>
          <t>Current Portion of Long-Term Debt including Capitalized Leases</t>
        </is>
      </c>
      <c r="B175" s="1807" t="n">
        <v>60389232.55</v>
      </c>
      <c r="C175" s="1807" t="n">
        <v>86846719.62</v>
      </c>
      <c r="D175" s="1807" t="n">
        <v>109572836.94</v>
      </c>
      <c r="E175" s="1807" t="n">
        <v>414710456.67</v>
      </c>
      <c r="F175" s="1807" t="n">
        <v>1917887913.63</v>
      </c>
    </row>
    <row r="176" ht="15" customHeight="1">
      <c r="A176" s="1887" t="inlineStr">
        <is>
          <t>Current Portion of Long-Term Debt excluding Capitalized Leases</t>
        </is>
      </c>
      <c r="B176" s="1807" t="n">
        <v>37663822.02</v>
      </c>
      <c r="C176" s="1807" t="n">
        <v>55988317.56</v>
      </c>
      <c r="D176" s="1807" t="n">
        <v>89125747.98999999</v>
      </c>
      <c r="E176" s="1807" t="n">
        <v>388606422.73</v>
      </c>
      <c r="F176" s="1807" t="n">
        <v>1891309966.83</v>
      </c>
    </row>
    <row r="177" ht="15" customHeight="1">
      <c r="A177" s="1887" t="inlineStr">
        <is>
          <t>Capitalized Leases - Current Portion</t>
        </is>
      </c>
      <c r="B177" s="1807" t="n">
        <v>22725410.53</v>
      </c>
      <c r="C177" s="1807" t="n">
        <v>30858402.06</v>
      </c>
      <c r="D177" s="1807" t="n">
        <v>20447088.95</v>
      </c>
      <c r="E177" s="1807" t="n">
        <v>26104033.94</v>
      </c>
      <c r="F177" s="1807" t="n">
        <v>26577946.8</v>
      </c>
    </row>
    <row r="178" ht="15" customHeight="1">
      <c r="A178" s="1886" t="inlineStr">
        <is>
          <t>Hybrid Financial Instrument - Liability - Current Portion</t>
        </is>
      </c>
      <c r="B178" s="731" t="n"/>
      <c r="C178" s="731" t="n"/>
      <c r="D178" s="731" t="n"/>
      <c r="E178" s="731" t="n"/>
      <c r="F178" s="731" t="n"/>
    </row>
    <row r="179" ht="15" customHeight="1">
      <c r="A179" s="1885" t="inlineStr">
        <is>
          <t>Derivative Liabilities - Hedging - Short-Term</t>
        </is>
      </c>
      <c r="B179" s="731" t="n"/>
      <c r="C179" s="731" t="n"/>
      <c r="D179" s="731" t="n"/>
      <c r="E179" s="731" t="n"/>
      <c r="F179" s="731" t="n"/>
    </row>
    <row r="180" ht="15" customHeight="1">
      <c r="A180" s="1885" t="inlineStr">
        <is>
          <t>Liabilities Held for Sale/Discontinued Operations - Short-Term</t>
        </is>
      </c>
      <c r="B180" s="731" t="n"/>
      <c r="C180" s="731" t="n"/>
      <c r="D180" s="731" t="n"/>
      <c r="E180" s="731" t="n"/>
      <c r="F180" s="731" t="n"/>
    </row>
    <row r="181" ht="15" customHeight="1">
      <c r="A181" s="1885" t="inlineStr">
        <is>
          <t>Income Taxes - Payable - Short-Term</t>
        </is>
      </c>
      <c r="B181" s="1807" t="n">
        <v>6106357.81</v>
      </c>
      <c r="C181" s="1807" t="n">
        <v>10638891.8</v>
      </c>
      <c r="D181" s="1807" t="n">
        <v>24623870.45</v>
      </c>
      <c r="E181" s="1807" t="n">
        <v>112370069.34</v>
      </c>
      <c r="F181" s="1807" t="n">
        <v>192225819.87</v>
      </c>
    </row>
    <row r="182" ht="15" customHeight="1">
      <c r="A182" s="1885" t="inlineStr">
        <is>
          <t>Dividends/Distributions Payable</t>
        </is>
      </c>
      <c r="B182" s="731" t="n"/>
      <c r="C182" s="731" t="n"/>
      <c r="D182" s="731" t="n"/>
      <c r="E182" s="731" t="n"/>
      <c r="F182" s="731" t="n"/>
    </row>
    <row r="183" ht="15" customHeight="1">
      <c r="A183" s="1885" t="inlineStr">
        <is>
          <t>Operating Lease Liabilities - Current Portion/Short-Term</t>
        </is>
      </c>
      <c r="B183" s="731" t="n"/>
      <c r="C183" s="731" t="n"/>
      <c r="D183" s="731" t="n"/>
      <c r="E183" s="731" t="n"/>
      <c r="F183" s="731" t="n"/>
    </row>
    <row r="184" ht="15" customHeight="1">
      <c r="A184" s="1885" t="inlineStr">
        <is>
          <t>Other Current Liabilities - Total</t>
        </is>
      </c>
      <c r="B184" s="1807" t="n">
        <v>825772.25</v>
      </c>
      <c r="C184" s="1807" t="n">
        <v>10705334.82</v>
      </c>
      <c r="D184" s="1807" t="n">
        <v>37239977.32</v>
      </c>
      <c r="E184" s="1807" t="n">
        <v>18319993.97</v>
      </c>
      <c r="F184" s="1807" t="n">
        <v>76973136.63</v>
      </c>
    </row>
    <row r="185" ht="15" customHeight="1">
      <c r="A185" s="1886" t="inlineStr">
        <is>
          <t>Deferred Income - Short-Term</t>
        </is>
      </c>
      <c r="B185" s="1807" t="n">
        <v>171471.77</v>
      </c>
      <c r="C185" s="1807" t="n">
        <v>10402805.38</v>
      </c>
      <c r="D185" s="1807" t="n">
        <v>36531429.42</v>
      </c>
      <c r="E185" s="1807" t="n">
        <v>10290154.59</v>
      </c>
      <c r="F185" s="1807" t="n">
        <v>15950804.63</v>
      </c>
    </row>
    <row r="186" ht="15" customHeight="1">
      <c r="A186" s="1886" t="inlineStr">
        <is>
          <t>Security Deposits</t>
        </is>
      </c>
      <c r="B186" s="731" t="n"/>
      <c r="C186" s="731" t="n"/>
      <c r="D186" s="731" t="n"/>
      <c r="E186" s="731" t="n"/>
      <c r="F186" s="731" t="n"/>
    </row>
    <row r="187" ht="15" customHeight="1">
      <c r="A187" s="1886" t="inlineStr">
        <is>
          <t>Billings in Excess of Cost - Short-Term</t>
        </is>
      </c>
      <c r="B187" s="731" t="n"/>
      <c r="C187" s="731" t="n"/>
      <c r="D187" s="731" t="n"/>
      <c r="E187" s="731" t="n"/>
      <c r="F187" s="731" t="n"/>
    </row>
    <row r="188" ht="15" customHeight="1">
      <c r="A188" s="1886" t="inlineStr">
        <is>
          <t>Customer Advances - Short-Term</t>
        </is>
      </c>
      <c r="B188" s="731" t="n"/>
      <c r="C188" s="731" t="n"/>
      <c r="D188" s="731" t="n"/>
      <c r="E188" s="731" t="n"/>
      <c r="F188" s="731" t="n"/>
    </row>
    <row r="189" ht="15" customHeight="1">
      <c r="A189" s="1886" t="inlineStr">
        <is>
          <t>Deferred Tax - Liability - Short-Term</t>
        </is>
      </c>
      <c r="B189" s="731" t="n"/>
      <c r="C189" s="731" t="n"/>
      <c r="D189" s="731" t="n"/>
      <c r="E189" s="731" t="n"/>
      <c r="F189" s="731" t="n"/>
    </row>
    <row r="190" ht="15" customHeight="1">
      <c r="A190" s="1886" t="inlineStr">
        <is>
          <t>Provisions - Short-Term</t>
        </is>
      </c>
      <c r="B190" s="731" t="n"/>
      <c r="C190" s="731" t="n"/>
      <c r="D190" s="731" t="n"/>
      <c r="E190" s="731" t="n"/>
      <c r="F190" s="731" t="n"/>
    </row>
    <row r="191" ht="15" customHeight="1">
      <c r="A191" s="1886" t="inlineStr">
        <is>
          <t>Regulatory Liability - Short-Term</t>
        </is>
      </c>
      <c r="B191" s="731" t="n"/>
      <c r="C191" s="731" t="n"/>
      <c r="D191" s="731" t="n"/>
      <c r="E191" s="731" t="n"/>
      <c r="F191" s="731" t="n"/>
    </row>
    <row r="192" ht="15" customHeight="1">
      <c r="A192" s="1886" t="inlineStr">
        <is>
          <t>Other Current Liabilities</t>
        </is>
      </c>
      <c r="B192" s="1807" t="n">
        <v>654300.48</v>
      </c>
      <c r="C192" s="1807" t="n">
        <v>302529.45</v>
      </c>
      <c r="D192" s="1807" t="n">
        <v>708547.9</v>
      </c>
      <c r="E192" s="1807" t="n">
        <v>8029839.38</v>
      </c>
      <c r="F192" s="1807" t="n">
        <v>61022332</v>
      </c>
    </row>
    <row r="193" ht="15" customHeight="1">
      <c r="A193" s="1888" t="inlineStr">
        <is>
          <t>Total Current Liabilities</t>
        </is>
      </c>
      <c r="B193" s="1889" t="n">
        <v>87198032.79000001</v>
      </c>
      <c r="C193" s="1889" t="n">
        <v>131024915.22</v>
      </c>
      <c r="D193" s="1889" t="n">
        <v>222841096.11</v>
      </c>
      <c r="E193" s="1889" t="n">
        <v>583511605.22</v>
      </c>
      <c r="F193" s="1889" t="n">
        <v>3981006903.22</v>
      </c>
    </row>
    <row r="194" ht="15" customHeight="1">
      <c r="A194" s="1884" t="inlineStr">
        <is>
          <t>Non-Current Liabilities</t>
        </is>
      </c>
      <c r="B194" s="734" t="n"/>
      <c r="C194" s="734" t="n"/>
      <c r="D194" s="734" t="n"/>
      <c r="E194" s="734" t="n"/>
      <c r="F194" s="734" t="n"/>
    </row>
    <row r="195" ht="15" customHeight="1">
      <c r="A195" s="1885" t="inlineStr">
        <is>
          <t>Accounts Payable including Accrued Expenses - Long-Term</t>
        </is>
      </c>
      <c r="B195" s="731" t="n"/>
      <c r="C195" s="731" t="n"/>
      <c r="D195" s="731" t="n"/>
      <c r="E195" s="731" t="n"/>
      <c r="F195" s="731" t="n"/>
    </row>
    <row r="196" ht="15" customHeight="1">
      <c r="A196" s="1886" t="inlineStr">
        <is>
          <t>Trade Accounts Payable - Long-Term</t>
        </is>
      </c>
      <c r="B196" s="731" t="n"/>
      <c r="C196" s="731" t="n"/>
      <c r="D196" s="731" t="n"/>
      <c r="E196" s="731" t="n"/>
      <c r="F196" s="731" t="n"/>
    </row>
    <row r="197" ht="15" customHeight="1">
      <c r="A197" s="1886" t="inlineStr">
        <is>
          <t>Accrued Expenses - Long-Term</t>
        </is>
      </c>
      <c r="B197" s="731" t="n"/>
      <c r="C197" s="731" t="n"/>
      <c r="D197" s="731" t="n"/>
      <c r="E197" s="731" t="n"/>
      <c r="F197" s="731" t="n"/>
    </row>
    <row r="198" ht="15" customHeight="1">
      <c r="A198" s="1885" t="inlineStr">
        <is>
          <t>Debt - Long-Term - Total</t>
        </is>
      </c>
      <c r="B198" s="1807" t="n">
        <v>292117953.86</v>
      </c>
      <c r="C198" s="1807" t="n">
        <v>573422453.35</v>
      </c>
      <c r="D198" s="1807" t="n">
        <v>497637123.14</v>
      </c>
      <c r="E198" s="1807" t="n">
        <v>917544181.6799999</v>
      </c>
      <c r="F198" s="1807" t="n">
        <v>2329832507.73</v>
      </c>
    </row>
    <row r="199" ht="15" customHeight="1">
      <c r="A199" s="1886" t="inlineStr">
        <is>
          <t>Long-Term Debt excluding Capitalized Leases</t>
        </is>
      </c>
      <c r="B199" s="1807" t="n">
        <v>143865084.9</v>
      </c>
      <c r="C199" s="1807" t="n">
        <v>331367179.46</v>
      </c>
      <c r="D199" s="1807" t="n">
        <v>291901896.33</v>
      </c>
      <c r="E199" s="1807" t="n">
        <v>758284408.5599999</v>
      </c>
      <c r="F199" s="1807" t="n">
        <v>2191347199.78</v>
      </c>
    </row>
    <row r="200" ht="15" customHeight="1">
      <c r="A200" s="1887" t="inlineStr">
        <is>
          <t>Debt - Non-Convertible - Long-Term</t>
        </is>
      </c>
      <c r="B200" s="1807" t="n">
        <v>143865084.9</v>
      </c>
      <c r="C200" s="1807" t="n">
        <v>331367179.46</v>
      </c>
      <c r="D200" s="1807" t="n">
        <v>291901896.33</v>
      </c>
      <c r="E200" s="1807" t="n">
        <v>758284408.5599999</v>
      </c>
      <c r="F200" s="1807" t="n">
        <v>2191347199.78</v>
      </c>
    </row>
    <row r="201" ht="15" customHeight="1">
      <c r="A201" s="1890" t="inlineStr">
        <is>
          <t>Notes Payable - Long-Term</t>
        </is>
      </c>
      <c r="B201" s="731" t="n"/>
      <c r="C201" s="731" t="n"/>
      <c r="D201" s="731" t="n"/>
      <c r="E201" s="731" t="n"/>
      <c r="F201" s="731" t="n"/>
    </row>
    <row r="202" ht="15" customHeight="1">
      <c r="A202" s="1887" t="inlineStr">
        <is>
          <t>Convertible Debt - Long-Term</t>
        </is>
      </c>
      <c r="B202" s="731" t="n"/>
      <c r="C202" s="731" t="n"/>
      <c r="D202" s="731" t="n"/>
      <c r="E202" s="731" t="n"/>
      <c r="F202" s="731" t="n"/>
    </row>
    <row r="203" ht="15" customHeight="1">
      <c r="A203" s="1886" t="inlineStr">
        <is>
          <t>Hybrid Financial Instrument - Liability - Long-Term</t>
        </is>
      </c>
      <c r="B203" s="731" t="n"/>
      <c r="C203" s="731" t="n"/>
      <c r="D203" s="731" t="n"/>
      <c r="E203" s="731" t="n"/>
      <c r="F203" s="731" t="n"/>
    </row>
    <row r="204" ht="15" customHeight="1">
      <c r="A204" s="1887" t="inlineStr">
        <is>
          <t>Mandatorily Redeemable Trust Certificates - Long-Term</t>
        </is>
      </c>
      <c r="B204" s="731" t="n"/>
      <c r="C204" s="731" t="n"/>
      <c r="D204" s="731" t="n"/>
      <c r="E204" s="731" t="n"/>
      <c r="F204" s="731" t="n"/>
    </row>
    <row r="205" ht="15" customHeight="1">
      <c r="A205" s="1887" t="inlineStr">
        <is>
          <t>Other Mandatorily Redeemable Equity Instruments - Long-Term</t>
        </is>
      </c>
      <c r="B205" s="731" t="n"/>
      <c r="C205" s="731" t="n"/>
      <c r="D205" s="731" t="n"/>
      <c r="E205" s="731" t="n"/>
      <c r="F205" s="731" t="n"/>
    </row>
    <row r="206" ht="15" customHeight="1">
      <c r="A206" s="1887" t="inlineStr">
        <is>
          <t>Preferred Stock - Liability Portion - Long-Term</t>
        </is>
      </c>
      <c r="B206" s="731" t="n"/>
      <c r="C206" s="731" t="n"/>
      <c r="D206" s="731" t="n"/>
      <c r="E206" s="731" t="n"/>
      <c r="F206" s="731" t="n"/>
    </row>
    <row r="207" ht="15" customHeight="1">
      <c r="A207" s="1886" t="inlineStr">
        <is>
          <t>Capitalized Lease Obligations - Long-Term</t>
        </is>
      </c>
      <c r="B207" s="1807" t="n">
        <v>148252868.96</v>
      </c>
      <c r="C207" s="1807" t="n">
        <v>242055273.89</v>
      </c>
      <c r="D207" s="1807" t="n">
        <v>205735226.81</v>
      </c>
      <c r="E207" s="1807" t="n">
        <v>159259773.13</v>
      </c>
      <c r="F207" s="1807" t="n">
        <v>138485307.94</v>
      </c>
    </row>
    <row r="208" ht="15" customHeight="1">
      <c r="A208" s="1885" t="inlineStr">
        <is>
          <t>Derivative Liabilities - Hedging - Long-Term</t>
        </is>
      </c>
      <c r="B208" s="731" t="n"/>
      <c r="C208" s="731" t="n"/>
      <c r="D208" s="731" t="n"/>
      <c r="E208" s="731" t="n"/>
      <c r="F208" s="731" t="n"/>
    </row>
    <row r="209" ht="15" customHeight="1">
      <c r="A209" s="1885" t="inlineStr">
        <is>
          <t>Liabilities Held for Sale/Discontinued Operations - Long-Term</t>
        </is>
      </c>
      <c r="B209" s="731" t="n"/>
      <c r="C209" s="731" t="n"/>
      <c r="D209" s="731" t="n"/>
      <c r="E209" s="731" t="n"/>
      <c r="F209" s="731" t="n"/>
    </row>
    <row r="210" ht="15" customHeight="1">
      <c r="A210" s="1885" t="inlineStr">
        <is>
          <t>Deferred Tax &amp; Investment Tax Credits - Long-Term</t>
        </is>
      </c>
      <c r="B210" s="731" t="n"/>
      <c r="C210" s="731" t="n"/>
      <c r="D210" s="731" t="n"/>
      <c r="E210" s="1807" t="n">
        <v>4589056.79</v>
      </c>
      <c r="F210" s="1807" t="n">
        <v>3748341.69</v>
      </c>
    </row>
    <row r="211" ht="15" customHeight="1">
      <c r="A211" s="1886" t="inlineStr">
        <is>
          <t>Deferred Tax - Liability - Long-Term</t>
        </is>
      </c>
      <c r="B211" s="731" t="n"/>
      <c r="C211" s="731" t="n"/>
      <c r="D211" s="731" t="n"/>
      <c r="E211" s="1807" t="n">
        <v>4589056.79</v>
      </c>
      <c r="F211" s="1807" t="n">
        <v>3748341.69</v>
      </c>
    </row>
    <row r="212" ht="15" customHeight="1">
      <c r="A212" s="1887" t="inlineStr">
        <is>
          <t>Deferred Tax - Liability - in Untaxed Reserves</t>
        </is>
      </c>
      <c r="B212" s="731" t="n"/>
      <c r="C212" s="731" t="n"/>
      <c r="D212" s="731" t="n"/>
      <c r="E212" s="731" t="n"/>
      <c r="F212" s="731" t="n"/>
    </row>
    <row r="213" ht="15" customHeight="1">
      <c r="A213" s="1885" t="inlineStr">
        <is>
          <t>Operating Lease Liabilities - Long-Term</t>
        </is>
      </c>
      <c r="B213" s="731" t="n"/>
      <c r="C213" s="731" t="n"/>
      <c r="D213" s="731" t="n"/>
      <c r="E213" s="731" t="n"/>
      <c r="F213" s="731" t="n"/>
    </row>
    <row r="214" ht="15" customHeight="1">
      <c r="A214" s="1885" t="inlineStr">
        <is>
          <t>Other Non-Current Liabilities - Total</t>
        </is>
      </c>
      <c r="B214" s="1807" t="n">
        <v>1038065.32</v>
      </c>
      <c r="C214" s="1807" t="n">
        <v>90560027.14</v>
      </c>
      <c r="D214" s="1807" t="n">
        <v>101105421.05</v>
      </c>
      <c r="E214" s="1807" t="n">
        <v>431927559.49</v>
      </c>
      <c r="F214" s="1807" t="n">
        <v>337129620.52</v>
      </c>
    </row>
    <row r="215" ht="15" customHeight="1">
      <c r="A215" s="1886" t="inlineStr">
        <is>
          <t>Provisions - Long-Term</t>
        </is>
      </c>
      <c r="B215" s="1807" t="n">
        <v>1038065.32</v>
      </c>
      <c r="C215" s="1807" t="n">
        <v>1484396.88</v>
      </c>
      <c r="D215" s="1807" t="n">
        <v>2512157.75</v>
      </c>
      <c r="E215" s="1807" t="n">
        <v>3155146.21</v>
      </c>
      <c r="F215" s="1807" t="n">
        <v>7136657.84</v>
      </c>
    </row>
    <row r="216" ht="15" customHeight="1">
      <c r="A216" s="1887" t="inlineStr">
        <is>
          <t>Post Employment Benefits - Pension &amp; Other - Long-Term</t>
        </is>
      </c>
      <c r="B216" s="1807" t="n">
        <v>1038065.32</v>
      </c>
      <c r="C216" s="1807" t="n">
        <v>1484396.88</v>
      </c>
      <c r="D216" s="1807" t="n">
        <v>2512157.75</v>
      </c>
      <c r="E216" s="1807" t="n">
        <v>3155146.21</v>
      </c>
      <c r="F216" s="1807" t="n">
        <v>7136657.84</v>
      </c>
    </row>
    <row r="217" ht="15" customHeight="1">
      <c r="A217" s="1887" t="inlineStr">
        <is>
          <t>Asset Retirement Obligation - Long-Term</t>
        </is>
      </c>
      <c r="B217" s="731" t="n"/>
      <c r="C217" s="731" t="n"/>
      <c r="D217" s="731" t="n"/>
      <c r="E217" s="731" t="n"/>
      <c r="F217" s="731" t="n"/>
    </row>
    <row r="218" ht="15" customHeight="1">
      <c r="A218" s="1887" t="inlineStr">
        <is>
          <t>Provisions - Litigation - Long-Term</t>
        </is>
      </c>
      <c r="B218" s="731" t="n"/>
      <c r="C218" s="731" t="n"/>
      <c r="D218" s="731" t="n"/>
      <c r="E218" s="731" t="n"/>
      <c r="F218" s="731" t="n"/>
    </row>
    <row r="219" ht="15" customHeight="1">
      <c r="A219" s="1887" t="inlineStr">
        <is>
          <t>Provisions - Restructuring - Long-Term</t>
        </is>
      </c>
      <c r="B219" s="731" t="n"/>
      <c r="C219" s="731" t="n"/>
      <c r="D219" s="731" t="n"/>
      <c r="E219" s="731" t="n"/>
      <c r="F219" s="731" t="n"/>
    </row>
    <row r="220" ht="15" customHeight="1">
      <c r="A220" s="1887" t="inlineStr">
        <is>
          <t>Provisions - Environmental Obligations - Long-Term</t>
        </is>
      </c>
      <c r="B220" s="731" t="n"/>
      <c r="C220" s="731" t="n"/>
      <c r="D220" s="731" t="n"/>
      <c r="E220" s="731" t="n"/>
      <c r="F220" s="731" t="n"/>
    </row>
    <row r="221" ht="15" customHeight="1">
      <c r="A221" s="1887" t="inlineStr">
        <is>
          <t>Provisions - Other - Long-Term</t>
        </is>
      </c>
      <c r="B221" s="731" t="n"/>
      <c r="C221" s="731" t="n"/>
      <c r="D221" s="731" t="n"/>
      <c r="E221" s="731" t="n"/>
      <c r="F221" s="731" t="n"/>
    </row>
    <row r="222" ht="15" customHeight="1">
      <c r="A222" s="1886" t="inlineStr">
        <is>
          <t>Customer Advances - Long-Term</t>
        </is>
      </c>
      <c r="B222" s="731" t="n"/>
      <c r="C222" s="1807" t="n">
        <v>89075630.26000001</v>
      </c>
      <c r="D222" s="1807" t="n">
        <v>98593263.3</v>
      </c>
      <c r="E222" s="1807" t="n">
        <v>127559944.47</v>
      </c>
      <c r="F222" s="1807" t="n">
        <v>7891261.42</v>
      </c>
    </row>
    <row r="223" ht="15" customHeight="1">
      <c r="A223" s="1886" t="inlineStr">
        <is>
          <t>Deferred Revenue - Long-Term</t>
        </is>
      </c>
      <c r="B223" s="731" t="n"/>
      <c r="C223" s="731" t="n"/>
      <c r="D223" s="731" t="n"/>
      <c r="E223" s="731" t="n"/>
      <c r="F223" s="731" t="n"/>
    </row>
    <row r="224" ht="15" customHeight="1">
      <c r="A224" s="1886" t="inlineStr">
        <is>
          <t>Regulatory Liabilities - Long-Term</t>
        </is>
      </c>
      <c r="B224" s="731" t="n"/>
      <c r="C224" s="731" t="n"/>
      <c r="D224" s="731" t="n"/>
      <c r="E224" s="731" t="n"/>
      <c r="F224" s="731" t="n"/>
    </row>
    <row r="225" ht="15" customHeight="1">
      <c r="A225" s="1886" t="inlineStr">
        <is>
          <t>Other Non-Current Liabilities</t>
        </is>
      </c>
      <c r="B225" s="731" t="n"/>
      <c r="C225" s="731" t="n"/>
      <c r="D225" s="731" t="n"/>
      <c r="E225" s="1807" t="n">
        <v>301212468.81</v>
      </c>
      <c r="F225" s="1807" t="n">
        <v>322101701.25</v>
      </c>
    </row>
    <row r="226" ht="15" customHeight="1">
      <c r="A226" s="1885" t="inlineStr">
        <is>
          <t>Minority Interest - Non-Equity</t>
        </is>
      </c>
      <c r="B226" s="731" t="n"/>
      <c r="C226" s="731" t="n"/>
      <c r="D226" s="731" t="n"/>
      <c r="E226" s="731" t="n"/>
      <c r="F226" s="731" t="n"/>
    </row>
    <row r="227" ht="15" customHeight="1">
      <c r="A227" s="1885" t="inlineStr">
        <is>
          <t>Total Non-Current Liabilities</t>
        </is>
      </c>
      <c r="B227" s="1807" t="n">
        <v>293156019.18</v>
      </c>
      <c r="C227" s="1807" t="n">
        <v>663982480.49</v>
      </c>
      <c r="D227" s="1807" t="n">
        <v>598742544.1900001</v>
      </c>
      <c r="E227" s="1807" t="n">
        <v>1354060797.96</v>
      </c>
      <c r="F227" s="1807" t="n">
        <v>2670710469.94</v>
      </c>
    </row>
    <row r="228" ht="15" customHeight="1">
      <c r="A228" s="1884" t="inlineStr">
        <is>
          <t>Total Liabilities</t>
        </is>
      </c>
      <c r="B228" s="734" t="n"/>
      <c r="C228" s="734" t="n"/>
      <c r="D228" s="734" t="n"/>
      <c r="E228" s="734" t="n"/>
      <c r="F228" s="734" t="n"/>
    </row>
    <row r="229" ht="15" customHeight="1">
      <c r="A229" s="1888" t="inlineStr">
        <is>
          <t>Total Liabilities</t>
        </is>
      </c>
      <c r="B229" s="1889" t="n">
        <v>380354051.97</v>
      </c>
      <c r="C229" s="1889" t="n">
        <v>795007395.71</v>
      </c>
      <c r="D229" s="1889" t="n">
        <v>821583640.3</v>
      </c>
      <c r="E229" s="1889" t="n">
        <v>1937572403.18</v>
      </c>
      <c r="F229" s="1889" t="n">
        <v>6651717373.16</v>
      </c>
    </row>
    <row r="230" ht="15" customHeight="1">
      <c r="A230" s="1884" t="inlineStr">
        <is>
          <t>Shareholders' Equity</t>
        </is>
      </c>
      <c r="B230" s="734" t="n"/>
      <c r="C230" s="734" t="n"/>
      <c r="D230" s="734" t="n"/>
      <c r="E230" s="734" t="n"/>
      <c r="F230" s="734" t="n"/>
    </row>
    <row r="231" ht="15" customHeight="1">
      <c r="A231" s="1885" t="inlineStr">
        <is>
          <t>Shareholders' Equity - Attributable to Parent Shareholders - Total</t>
        </is>
      </c>
      <c r="B231" s="1807" t="n">
        <v>513639113.66</v>
      </c>
      <c r="C231" s="1807" t="n">
        <v>610315863.91</v>
      </c>
      <c r="D231" s="1807" t="n">
        <v>740562076.0599999</v>
      </c>
      <c r="E231" s="1807" t="n">
        <v>969661911.02</v>
      </c>
      <c r="F231" s="1807" t="n">
        <v>7299442709.11</v>
      </c>
    </row>
    <row r="232" ht="15" customHeight="1">
      <c r="A232" s="1886" t="inlineStr">
        <is>
          <t>Preferred Shareholders Equity</t>
        </is>
      </c>
      <c r="B232" s="731" t="n"/>
      <c r="C232" s="731" t="n"/>
      <c r="D232" s="731" t="n"/>
      <c r="E232" s="731" t="n"/>
      <c r="F232" s="731" t="n"/>
    </row>
    <row r="233" ht="15" customHeight="1">
      <c r="A233" s="1887" t="inlineStr">
        <is>
          <t>Preferred Stock - Redeemable - Total</t>
        </is>
      </c>
      <c r="B233" s="731" t="n"/>
      <c r="C233" s="731" t="n"/>
      <c r="D233" s="731" t="n"/>
      <c r="E233" s="731" t="n"/>
      <c r="F233" s="731" t="n"/>
    </row>
    <row r="234" ht="15" customHeight="1">
      <c r="A234" s="1890" t="inlineStr">
        <is>
          <t>Preferred Stock - Redeemable - Convertible</t>
        </is>
      </c>
      <c r="B234" s="731" t="n"/>
      <c r="C234" s="731" t="n"/>
      <c r="D234" s="731" t="n"/>
      <c r="E234" s="731" t="n"/>
      <c r="F234" s="731" t="n"/>
    </row>
    <row r="235" ht="15" customHeight="1">
      <c r="A235" s="1887" t="inlineStr">
        <is>
          <t>Preferred Stock - Non-Redeemable</t>
        </is>
      </c>
      <c r="B235" s="731" t="n"/>
      <c r="C235" s="731" t="n"/>
      <c r="D235" s="731" t="n"/>
      <c r="E235" s="731" t="n"/>
      <c r="F235" s="731" t="n"/>
    </row>
    <row r="236" ht="15" customHeight="1">
      <c r="A236" s="1890" t="inlineStr">
        <is>
          <t>Preferred Stock - Convertible - Non-Redeemable</t>
        </is>
      </c>
      <c r="B236" s="731" t="n"/>
      <c r="C236" s="731" t="n"/>
      <c r="D236" s="731" t="n"/>
      <c r="E236" s="731" t="n"/>
      <c r="F236" s="731" t="n"/>
    </row>
    <row r="237" ht="15" customHeight="1">
      <c r="A237" s="1887" t="inlineStr">
        <is>
          <t>Preferred Equity - Contributed</t>
        </is>
      </c>
      <c r="B237" s="731" t="n"/>
      <c r="C237" s="731" t="n"/>
      <c r="D237" s="731" t="n"/>
      <c r="E237" s="731" t="n"/>
      <c r="F237" s="731" t="n"/>
    </row>
    <row r="238" ht="15" customHeight="1">
      <c r="A238" s="1890" t="inlineStr">
        <is>
          <t>Preferred Stock - Issued for ESOP</t>
        </is>
      </c>
      <c r="B238" s="731" t="n"/>
      <c r="C238" s="731" t="n"/>
      <c r="D238" s="731" t="n"/>
      <c r="E238" s="731" t="n"/>
      <c r="F238" s="731" t="n"/>
    </row>
    <row r="239" ht="15" customHeight="1">
      <c r="A239" s="1887" t="inlineStr">
        <is>
          <t>Preferred Stock - Treasury/Repurchased</t>
        </is>
      </c>
      <c r="B239" s="731" t="n"/>
      <c r="C239" s="731" t="n"/>
      <c r="D239" s="731" t="n"/>
      <c r="E239" s="731" t="n"/>
      <c r="F239" s="731" t="n"/>
    </row>
    <row r="240" ht="15" customHeight="1">
      <c r="A240" s="1887" t="inlineStr">
        <is>
          <t>ESOP Guarantees - Preferred &amp; Deferred Compensation</t>
        </is>
      </c>
      <c r="B240" s="731" t="n"/>
      <c r="C240" s="731" t="n"/>
      <c r="D240" s="731" t="n"/>
      <c r="E240" s="731" t="n"/>
      <c r="F240" s="731" t="n"/>
    </row>
    <row r="241" ht="15" customHeight="1">
      <c r="A241" s="1887" t="inlineStr">
        <is>
          <t>Preferred Stock - Redeemable - Temporary Equity</t>
        </is>
      </c>
      <c r="B241" s="731" t="n"/>
      <c r="C241" s="731" t="n"/>
      <c r="D241" s="731" t="n"/>
      <c r="E241" s="731" t="n"/>
      <c r="F241" s="731" t="n"/>
    </row>
    <row r="242" ht="15" customHeight="1">
      <c r="A242" s="1886" t="inlineStr">
        <is>
          <t>Common Equity Attributable to Parent Shareholders</t>
        </is>
      </c>
      <c r="B242" s="1807" t="n">
        <v>513639113.66</v>
      </c>
      <c r="C242" s="1807" t="n">
        <v>610315863.91</v>
      </c>
      <c r="D242" s="1807" t="n">
        <v>740562076.0599999</v>
      </c>
      <c r="E242" s="1807" t="n">
        <v>969661911.02</v>
      </c>
      <c r="F242" s="1807" t="n">
        <v>7299442709.11</v>
      </c>
    </row>
    <row r="243" ht="15" customHeight="1">
      <c r="A243" s="1887" t="inlineStr">
        <is>
          <t>Common Stock - Treasury/Repurchased</t>
        </is>
      </c>
      <c r="B243" s="731" t="n"/>
      <c r="C243" s="731" t="n"/>
      <c r="D243" s="731" t="n"/>
      <c r="E243" s="731" t="n"/>
      <c r="F243" s="731" t="n"/>
    </row>
    <row r="244" ht="15" customHeight="1">
      <c r="A244" s="1887" t="inlineStr">
        <is>
          <t>Common Stock - Held in ESOP or Trust/Deferred Compensation</t>
        </is>
      </c>
      <c r="B244" s="731" t="n"/>
      <c r="C244" s="731" t="n"/>
      <c r="D244" s="731" t="n"/>
      <c r="E244" s="731" t="n"/>
      <c r="F244" s="731" t="n"/>
    </row>
    <row r="245" ht="15" customHeight="1">
      <c r="A245" s="1887" t="inlineStr">
        <is>
          <t>Common Equity - Contributed</t>
        </is>
      </c>
      <c r="B245" s="1807" t="n">
        <v>454537926.05</v>
      </c>
      <c r="C245" s="1807" t="n">
        <v>492673320.74</v>
      </c>
      <c r="D245" s="1807" t="n">
        <v>492673320.74</v>
      </c>
      <c r="E245" s="1807" t="n">
        <v>564456652.33</v>
      </c>
      <c r="F245" s="1807" t="n">
        <v>6490474144.77</v>
      </c>
    </row>
    <row r="246" ht="15" customHeight="1">
      <c r="A246" s="1890" t="inlineStr">
        <is>
          <t>Common Stock - Issued &amp; Paid</t>
        </is>
      </c>
      <c r="B246" s="1807" t="n">
        <v>205029228.6</v>
      </c>
      <c r="C246" s="1807" t="n">
        <v>225532128.7</v>
      </c>
      <c r="D246" s="1807" t="n">
        <v>225532128.7</v>
      </c>
      <c r="E246" s="1807" t="n">
        <v>235935511.8</v>
      </c>
      <c r="F246" s="1807" t="n">
        <v>530854901.5</v>
      </c>
    </row>
    <row r="247" ht="15" customHeight="1">
      <c r="A247" s="1891" t="inlineStr">
        <is>
          <t>Limited Partner</t>
        </is>
      </c>
      <c r="B247" s="731" t="n"/>
      <c r="C247" s="731" t="n"/>
      <c r="D247" s="731" t="n"/>
      <c r="E247" s="731" t="n"/>
      <c r="F247" s="731" t="n"/>
    </row>
    <row r="248" ht="15" customHeight="1">
      <c r="A248" s="1890" t="inlineStr">
        <is>
          <t>Common Stock - Additional Paid in Capital including Option Reserve</t>
        </is>
      </c>
      <c r="B248" s="1807" t="n">
        <v>249508697.45</v>
      </c>
      <c r="C248" s="1807" t="n">
        <v>267141192.04</v>
      </c>
      <c r="D248" s="1807" t="n">
        <v>267141192.04</v>
      </c>
      <c r="E248" s="1807" t="n">
        <v>328521140.53</v>
      </c>
      <c r="F248" s="1807" t="n">
        <v>5959619243.27</v>
      </c>
    </row>
    <row r="249" ht="15" customHeight="1">
      <c r="A249" s="1890" t="inlineStr">
        <is>
          <t>Common Share Capital including Additional Paid in Capital - Total</t>
        </is>
      </c>
      <c r="B249" s="731" t="n"/>
      <c r="C249" s="731" t="n"/>
      <c r="D249" s="731" t="n"/>
      <c r="E249" s="731" t="n"/>
      <c r="F249" s="731" t="n"/>
    </row>
    <row r="250" ht="15" customHeight="1">
      <c r="A250" s="1887" t="inlineStr">
        <is>
          <t>Equity - Non-Contributed - Reserves &amp; Retained Earnings</t>
        </is>
      </c>
      <c r="B250" s="1807" t="n">
        <v>59101187.6</v>
      </c>
      <c r="C250" s="1807" t="n">
        <v>117642543.17</v>
      </c>
      <c r="D250" s="1807" t="n">
        <v>247888755.32</v>
      </c>
      <c r="E250" s="1807" t="n">
        <v>405205258.69</v>
      </c>
      <c r="F250" s="1807" t="n">
        <v>808968564.35</v>
      </c>
    </row>
    <row r="251" ht="15" customHeight="1">
      <c r="A251" s="1890" t="inlineStr">
        <is>
          <t>Retained Earnings - Total</t>
        </is>
      </c>
      <c r="B251" s="1807" t="n">
        <v>56195548.23</v>
      </c>
      <c r="C251" s="1807" t="n">
        <v>114736903.79</v>
      </c>
      <c r="D251" s="1807" t="n">
        <v>173199784.35</v>
      </c>
      <c r="E251" s="1807" t="n">
        <v>402299619.31</v>
      </c>
      <c r="F251" s="1807" t="n">
        <v>808968564.35</v>
      </c>
    </row>
    <row r="252" ht="15" customHeight="1">
      <c r="A252" s="1890" t="inlineStr">
        <is>
          <t>Comprehensive Income - Accumulated - Total</t>
        </is>
      </c>
      <c r="B252" s="731" t="n"/>
      <c r="C252" s="731" t="n"/>
      <c r="D252" s="731" t="n"/>
      <c r="E252" s="731" t="n"/>
      <c r="F252" s="731" t="n"/>
    </row>
    <row r="253" ht="15" customHeight="1">
      <c r="A253" s="1891" t="inlineStr">
        <is>
          <t>Investments - Unrealized Gain/Loss</t>
        </is>
      </c>
      <c r="B253" s="731" t="n"/>
      <c r="C253" s="731" t="n"/>
      <c r="D253" s="731" t="n"/>
      <c r="E253" s="731" t="n"/>
      <c r="F253" s="731" t="n"/>
    </row>
    <row r="254" ht="15" customHeight="1">
      <c r="A254" s="1891" t="inlineStr">
        <is>
          <t>Hedging Reserves</t>
        </is>
      </c>
      <c r="B254" s="731" t="n"/>
      <c r="C254" s="731" t="n"/>
      <c r="D254" s="731" t="n"/>
      <c r="E254" s="731" t="n"/>
      <c r="F254" s="731" t="n"/>
    </row>
    <row r="255" ht="15" customHeight="1">
      <c r="A255" s="1891" t="inlineStr">
        <is>
          <t>Foreign Currency Translation Adjustment - Accumulated</t>
        </is>
      </c>
      <c r="B255" s="731" t="n"/>
      <c r="C255" s="731" t="n"/>
      <c r="D255" s="731" t="n"/>
      <c r="E255" s="731" t="n"/>
      <c r="F255" s="731" t="n"/>
    </row>
    <row r="256" ht="15" customHeight="1">
      <c r="A256" s="1891" t="inlineStr">
        <is>
          <t>Comprehensive Income - Pension Liabilities</t>
        </is>
      </c>
      <c r="B256" s="731" t="n"/>
      <c r="C256" s="731" t="n"/>
      <c r="D256" s="731" t="n"/>
      <c r="E256" s="731" t="n"/>
      <c r="F256" s="731" t="n"/>
    </row>
    <row r="257" ht="15" customHeight="1">
      <c r="A257" s="1891" t="inlineStr">
        <is>
          <t>Comprehensive Income - Unearned Compensation</t>
        </is>
      </c>
      <c r="B257" s="731" t="n"/>
      <c r="C257" s="731" t="n"/>
      <c r="D257" s="731" t="n"/>
      <c r="E257" s="731" t="n"/>
      <c r="F257" s="731" t="n"/>
    </row>
    <row r="258" ht="15" customHeight="1">
      <c r="A258" s="1891" t="inlineStr">
        <is>
          <t>Revaluation Reserves</t>
        </is>
      </c>
      <c r="B258" s="731" t="n"/>
      <c r="C258" s="731" t="n"/>
      <c r="D258" s="731" t="n"/>
      <c r="E258" s="731" t="n"/>
      <c r="F258" s="731" t="n"/>
    </row>
    <row r="259" ht="15" customHeight="1">
      <c r="A259" s="1891" t="inlineStr">
        <is>
          <t>Comprehensive Income - Other - Total</t>
        </is>
      </c>
      <c r="B259" s="731" t="n"/>
      <c r="C259" s="731" t="n"/>
      <c r="D259" s="731" t="n"/>
      <c r="E259" s="731" t="n"/>
      <c r="F259" s="731" t="n"/>
    </row>
    <row r="260" ht="15" customHeight="1">
      <c r="A260" s="1890" t="inlineStr">
        <is>
          <t>Other Reserves/Equity - Total</t>
        </is>
      </c>
      <c r="B260" s="1807" t="n">
        <v>2905639.38</v>
      </c>
      <c r="C260" s="1807" t="n">
        <v>2905639.38</v>
      </c>
      <c r="D260" s="1807" t="n">
        <v>74688970.97</v>
      </c>
      <c r="E260" s="1807" t="n">
        <v>2905639.38</v>
      </c>
      <c r="F260" s="731" t="n"/>
    </row>
    <row r="261" ht="15" customHeight="1">
      <c r="A261" s="1891" t="inlineStr">
        <is>
          <t>Goodwill - Cumulative Written Off</t>
        </is>
      </c>
      <c r="B261" s="731" t="n"/>
      <c r="C261" s="731" t="n"/>
      <c r="D261" s="731" t="n"/>
      <c r="E261" s="731" t="n"/>
      <c r="F261" s="731" t="n"/>
    </row>
    <row r="262" ht="15" customHeight="1">
      <c r="A262" s="1891" t="inlineStr">
        <is>
          <t>Untaxed/Special Reserves</t>
        </is>
      </c>
      <c r="B262" s="731" t="n"/>
      <c r="C262" s="731" t="n"/>
      <c r="D262" s="731" t="n"/>
      <c r="E262" s="731" t="n"/>
      <c r="F262" s="731" t="n"/>
    </row>
    <row r="263" ht="15" customHeight="1">
      <c r="A263" s="1891" t="inlineStr">
        <is>
          <t>Negative Consolidation Differences, Goodwill &amp; Cumulative Amount Written Off against Reserves</t>
        </is>
      </c>
      <c r="B263" s="731" t="n"/>
      <c r="C263" s="731" t="n"/>
      <c r="D263" s="731" t="n"/>
      <c r="E263" s="731" t="n"/>
      <c r="F263" s="731" t="n"/>
    </row>
    <row r="264" ht="15" customHeight="1">
      <c r="A264" s="1886" t="inlineStr">
        <is>
          <t>Equity - Other</t>
        </is>
      </c>
      <c r="B264" s="731" t="n"/>
      <c r="C264" s="731" t="n"/>
      <c r="D264" s="731" t="n"/>
      <c r="E264" s="731" t="n"/>
      <c r="F264" s="731" t="n"/>
    </row>
    <row r="265" ht="15" customHeight="1">
      <c r="A265" s="1887" t="inlineStr">
        <is>
          <t>General Partner</t>
        </is>
      </c>
      <c r="B265" s="731" t="n"/>
      <c r="C265" s="731" t="n"/>
      <c r="D265" s="731" t="n"/>
      <c r="E265" s="731" t="n"/>
      <c r="F265" s="731" t="n"/>
    </row>
    <row r="266" ht="15" customHeight="1">
      <c r="A266" s="1887" t="inlineStr">
        <is>
          <t>Deferred Shares</t>
        </is>
      </c>
      <c r="B266" s="731" t="n"/>
      <c r="C266" s="731" t="n"/>
      <c r="D266" s="731" t="n"/>
      <c r="E266" s="731" t="n"/>
      <c r="F266" s="731" t="n"/>
    </row>
    <row r="267" ht="15" customHeight="1">
      <c r="A267" s="1886" t="inlineStr">
        <is>
          <t>Common Equity - Total</t>
        </is>
      </c>
      <c r="B267" s="1807" t="n">
        <v>513639113.66</v>
      </c>
      <c r="C267" s="1807" t="n">
        <v>610315863.91</v>
      </c>
      <c r="D267" s="1807" t="n">
        <v>740562076.0599999</v>
      </c>
      <c r="E267" s="1807" t="n">
        <v>969661911.02</v>
      </c>
      <c r="F267" s="1807" t="n">
        <v>7299442709.11</v>
      </c>
    </row>
    <row r="268" ht="15" customHeight="1">
      <c r="A268" s="1885" t="inlineStr">
        <is>
          <t>Minority Interest - Equity</t>
        </is>
      </c>
      <c r="B268" s="1807" t="n">
        <v>2316285.25</v>
      </c>
      <c r="C268" s="1807" t="n">
        <v>2411134.16</v>
      </c>
      <c r="D268" s="1807" t="n">
        <v>2083898.19</v>
      </c>
      <c r="E268" s="1807" t="n">
        <v>181418.18</v>
      </c>
      <c r="F268" s="1807" t="n">
        <v>1218502143.91</v>
      </c>
    </row>
    <row r="269" ht="15" customHeight="1">
      <c r="A269" s="1885" t="inlineStr">
        <is>
          <t>Hybrid Financial Instrument - Equity Portion</t>
        </is>
      </c>
      <c r="B269" s="731" t="n"/>
      <c r="C269" s="731" t="n"/>
      <c r="D269" s="731" t="n"/>
      <c r="E269" s="731" t="n"/>
      <c r="F269" s="731" t="n"/>
    </row>
    <row r="270" ht="15" customHeight="1">
      <c r="A270" s="1884" t="inlineStr">
        <is>
          <t>Total Shareholders' Equity</t>
        </is>
      </c>
      <c r="B270" s="734" t="n"/>
      <c r="C270" s="734" t="n"/>
      <c r="D270" s="734" t="n"/>
      <c r="E270" s="734" t="n"/>
      <c r="F270" s="734" t="n"/>
    </row>
    <row r="271" ht="15" customHeight="1">
      <c r="A271" s="1888" t="inlineStr">
        <is>
          <t>Total Shareholders' Equity - including Minority Interest &amp; Hybrid Debt</t>
        </is>
      </c>
      <c r="B271" s="1889" t="n">
        <v>515955398.91</v>
      </c>
      <c r="C271" s="1889" t="n">
        <v>612726998.0700001</v>
      </c>
      <c r="D271" s="1889" t="n">
        <v>742645974.25</v>
      </c>
      <c r="E271" s="1889" t="n">
        <v>969843329.1900001</v>
      </c>
      <c r="F271" s="1889" t="n">
        <v>8517944853.02</v>
      </c>
    </row>
    <row r="272" ht="15" customHeight="1">
      <c r="A272" s="1884" t="inlineStr">
        <is>
          <t>Total Liabilities &amp; Shareholders' Equity</t>
        </is>
      </c>
      <c r="B272" s="734" t="n"/>
      <c r="C272" s="734" t="n"/>
      <c r="D272" s="734" t="n"/>
      <c r="E272" s="734" t="n"/>
      <c r="F272" s="734" t="n"/>
    </row>
    <row r="273" ht="15" customHeight="1">
      <c r="A273" s="1888" t="inlineStr">
        <is>
          <t>Total Liabilities &amp; Equity</t>
        </is>
      </c>
      <c r="B273" s="1889" t="n">
        <v>896309450.88</v>
      </c>
      <c r="C273" s="1889" t="n">
        <v>1407734393.79</v>
      </c>
      <c r="D273" s="1889" t="n">
        <v>1564229614.55</v>
      </c>
      <c r="E273" s="1889" t="n">
        <v>2907415732.37</v>
      </c>
      <c r="F273" s="1889" t="n">
        <v>15169662226.17</v>
      </c>
    </row>
    <row r="274" ht="15" customHeight="1">
      <c r="A274" s="1884" t="inlineStr">
        <is>
          <t>Share/Per Share - Common</t>
        </is>
      </c>
      <c r="B274" s="734" t="n"/>
      <c r="C274" s="734" t="n"/>
      <c r="D274" s="734" t="n"/>
      <c r="E274" s="734" t="n"/>
      <c r="F274" s="734" t="n"/>
    </row>
    <row r="275" ht="15" customHeight="1">
      <c r="A275" s="1885" t="inlineStr">
        <is>
          <t>Common Shares - Issued - Total</t>
        </is>
      </c>
      <c r="B275" s="1807" t="n">
        <v>2050292.29</v>
      </c>
      <c r="C275" s="1807" t="n">
        <v>2255321.29</v>
      </c>
      <c r="D275" s="1807" t="n">
        <v>2255321.29</v>
      </c>
      <c r="E275" s="1807" t="n">
        <v>2359355.12</v>
      </c>
      <c r="F275" s="1807" t="n">
        <v>5308549.01</v>
      </c>
    </row>
    <row r="276" ht="15" customHeight="1">
      <c r="A276" s="1886" t="inlineStr">
        <is>
          <t>Common Shares - Outstanding - Total</t>
        </is>
      </c>
      <c r="B276" s="1807" t="n">
        <v>2050292.29</v>
      </c>
      <c r="C276" s="1807" t="n">
        <v>2255321.29</v>
      </c>
      <c r="D276" s="1807" t="n">
        <v>2255321.29</v>
      </c>
      <c r="E276" s="1807" t="n">
        <v>2359355.12</v>
      </c>
      <c r="F276" s="1807" t="n">
        <v>5308549.01</v>
      </c>
    </row>
    <row r="277" ht="15" customHeight="1">
      <c r="A277" s="1886" t="inlineStr">
        <is>
          <t>Common Shares - Treasury - Total</t>
        </is>
      </c>
      <c r="B277" s="1807" t="n">
        <v>0</v>
      </c>
      <c r="C277" s="1807" t="n">
        <v>0</v>
      </c>
      <c r="D277" s="1807" t="n">
        <v>0</v>
      </c>
      <c r="E277" s="1807" t="n">
        <v>0</v>
      </c>
      <c r="F277" s="1807" t="n">
        <v>0</v>
      </c>
    </row>
    <row r="278" ht="15" customHeight="1">
      <c r="A278" s="1885" t="inlineStr">
        <is>
          <t>Common Shares - Authorized - Issue Specific</t>
        </is>
      </c>
      <c r="B278" s="1807" t="n">
        <v>6030000</v>
      </c>
      <c r="C278" s="1807" t="n">
        <v>6030000</v>
      </c>
      <c r="D278" s="1807" t="n">
        <v>6030000</v>
      </c>
      <c r="E278" s="1807" t="n">
        <v>6030000</v>
      </c>
      <c r="F278" s="1807" t="n">
        <v>6030000</v>
      </c>
    </row>
    <row r="279" ht="15" customHeight="1">
      <c r="A279" s="1885" t="inlineStr">
        <is>
          <t>Common Shares - Issued - Issue Specific</t>
        </is>
      </c>
      <c r="B279" s="1807" t="n">
        <v>2050292.29</v>
      </c>
      <c r="C279" s="1807" t="n">
        <v>2255321.29</v>
      </c>
      <c r="D279" s="1807" t="n">
        <v>2255321.29</v>
      </c>
      <c r="E279" s="1807" t="n">
        <v>2359355.12</v>
      </c>
      <c r="F279" s="1807" t="n">
        <v>5308549.01</v>
      </c>
    </row>
    <row r="280" ht="15" customHeight="1">
      <c r="A280" s="1886" t="inlineStr">
        <is>
          <t>Common Shares - Outstanding - Issue Specific</t>
        </is>
      </c>
      <c r="B280" s="1807" t="n">
        <v>2050292.29</v>
      </c>
      <c r="C280" s="1807" t="n">
        <v>2255321.29</v>
      </c>
      <c r="D280" s="1807" t="n">
        <v>2255321.29</v>
      </c>
      <c r="E280" s="1807" t="n">
        <v>2359355.12</v>
      </c>
      <c r="F280" s="1807" t="n">
        <v>5308549.01</v>
      </c>
    </row>
    <row r="281" ht="15" customHeight="1">
      <c r="A281" s="1886" t="inlineStr">
        <is>
          <t>Common Shares - Treasury - Issue Specific</t>
        </is>
      </c>
      <c r="B281" s="1807" t="n">
        <v>0</v>
      </c>
      <c r="C281" s="1807" t="n">
        <v>0</v>
      </c>
      <c r="D281" s="1807" t="n">
        <v>0</v>
      </c>
      <c r="E281" s="1807" t="n">
        <v>0</v>
      </c>
      <c r="F281" s="1807" t="n">
        <v>0</v>
      </c>
    </row>
    <row r="282" ht="15" customHeight="1">
      <c r="A282" s="1885" t="inlineStr">
        <is>
          <t>Common Shares - Issued - Issue Specific - Current</t>
        </is>
      </c>
      <c r="B282" s="731" t="n"/>
      <c r="C282" s="731" t="n"/>
      <c r="D282" s="731" t="n"/>
      <c r="E282" s="731" t="n"/>
      <c r="F282" s="731" t="n"/>
    </row>
    <row r="283" ht="15" customHeight="1">
      <c r="A283" s="1886" t="inlineStr">
        <is>
          <t>Common Shares - Outstanding - Issue Specific - Current</t>
        </is>
      </c>
      <c r="B283" s="731" t="n"/>
      <c r="C283" s="731" t="n"/>
      <c r="D283" s="731" t="n"/>
      <c r="E283" s="731" t="n"/>
      <c r="F283" s="731" t="n"/>
    </row>
    <row r="284" ht="15" customHeight="1">
      <c r="A284" s="1886" t="inlineStr">
        <is>
          <t>Common Shares - Treasury - Issue Specific - Current</t>
        </is>
      </c>
      <c r="B284" s="731" t="n"/>
      <c r="C284" s="731" t="n"/>
      <c r="D284" s="731" t="n"/>
      <c r="E284" s="731" t="n"/>
      <c r="F284" s="731" t="n"/>
    </row>
    <row r="285" ht="15" customHeight="1">
      <c r="A285" s="1885" t="inlineStr">
        <is>
          <t>Common Shares - Issued - Issue Specific - DR</t>
        </is>
      </c>
      <c r="B285" s="731" t="n"/>
      <c r="C285" s="731" t="n"/>
      <c r="D285" s="731" t="n"/>
      <c r="E285" s="731" t="n"/>
      <c r="F285" s="731" t="n"/>
    </row>
    <row r="286" ht="15" customHeight="1">
      <c r="A286" s="1886" t="inlineStr">
        <is>
          <t>Common Shares - Outstanding - Issue Specific - DR</t>
        </is>
      </c>
      <c r="B286" s="731" t="n"/>
      <c r="C286" s="731" t="n"/>
      <c r="D286" s="731" t="n"/>
      <c r="E286" s="731" t="n"/>
      <c r="F286" s="731" t="n"/>
    </row>
    <row r="287" ht="15" customHeight="1">
      <c r="A287" s="1886" t="inlineStr">
        <is>
          <t>Common Shares - Treasury - Issue Specific - DR</t>
        </is>
      </c>
      <c r="B287" s="731" t="n"/>
      <c r="C287" s="731" t="n"/>
      <c r="D287" s="731" t="n"/>
      <c r="E287" s="731" t="n"/>
      <c r="F287" s="731" t="n"/>
    </row>
    <row r="288" ht="15" customHeight="1">
      <c r="A288" s="1885" t="inlineStr">
        <is>
          <t>Common Shares - Issued - Issue Specific - CPO</t>
        </is>
      </c>
      <c r="B288" s="731" t="n"/>
      <c r="C288" s="731" t="n"/>
      <c r="D288" s="731" t="n"/>
      <c r="E288" s="731" t="n"/>
      <c r="F288" s="731" t="n"/>
    </row>
    <row r="289" ht="15" customHeight="1">
      <c r="A289" s="1886" t="inlineStr">
        <is>
          <t>Common Shares - Outstanding - Issue Specific - CPO</t>
        </is>
      </c>
      <c r="B289" s="731" t="n"/>
      <c r="C289" s="731" t="n"/>
      <c r="D289" s="731" t="n"/>
      <c r="E289" s="731" t="n"/>
      <c r="F289" s="731" t="n"/>
    </row>
    <row r="290" ht="15" customHeight="1">
      <c r="A290" s="1886" t="inlineStr">
        <is>
          <t>Common Shares - Treasury - Issue Specific - CPO</t>
        </is>
      </c>
      <c r="B290" s="731" t="n"/>
      <c r="C290" s="731" t="n"/>
      <c r="D290" s="731" t="n"/>
      <c r="E290" s="731" t="n"/>
      <c r="F290" s="731" t="n"/>
    </row>
    <row r="291" ht="15" customHeight="1">
      <c r="A291" s="1884" t="inlineStr">
        <is>
          <t>Share/Per Share - Preferred</t>
        </is>
      </c>
      <c r="B291" s="734" t="n"/>
      <c r="C291" s="734" t="n"/>
      <c r="D291" s="734" t="n"/>
      <c r="E291" s="734" t="n"/>
      <c r="F291" s="734" t="n"/>
    </row>
    <row r="292" ht="15" customHeight="1">
      <c r="A292" s="1885" t="inlineStr">
        <is>
          <t>Preferred Shares - Authorized - Issue Specific</t>
        </is>
      </c>
      <c r="B292" s="731" t="n"/>
      <c r="C292" s="731" t="n"/>
      <c r="D292" s="731" t="n"/>
      <c r="E292" s="731" t="n"/>
      <c r="F292" s="731" t="n"/>
    </row>
    <row r="293" ht="15" customHeight="1">
      <c r="A293" s="1885" t="inlineStr">
        <is>
          <t>Preferred Shares - Issued - Issue Specific</t>
        </is>
      </c>
      <c r="B293" s="731" t="n"/>
      <c r="C293" s="731" t="n"/>
      <c r="D293" s="731" t="n"/>
      <c r="E293" s="731" t="n"/>
      <c r="F293" s="731" t="n"/>
    </row>
    <row r="294" ht="15" customHeight="1">
      <c r="A294" s="1886" t="inlineStr">
        <is>
          <t>Preferred Shares - Outstanding - Issue Specific</t>
        </is>
      </c>
      <c r="B294" s="731" t="n"/>
      <c r="C294" s="731" t="n"/>
      <c r="D294" s="731" t="n"/>
      <c r="E294" s="731" t="n"/>
      <c r="F294" s="731" t="n"/>
    </row>
    <row r="295" ht="15" customHeight="1">
      <c r="A295" s="1886" t="inlineStr">
        <is>
          <t>Preferred Shares - Treasury - Issue Specific</t>
        </is>
      </c>
      <c r="B295" s="731" t="n"/>
      <c r="C295" s="731" t="n"/>
      <c r="D295" s="731" t="n"/>
      <c r="E295" s="731" t="n"/>
      <c r="F295" s="731" t="n"/>
    </row>
    <row r="296" ht="15" customHeight="1">
      <c r="A296" s="1885" t="inlineStr">
        <is>
          <t>Preferred Shares - Issued - Issue Specific - Current</t>
        </is>
      </c>
      <c r="B296" s="731" t="n"/>
      <c r="C296" s="731" t="n"/>
      <c r="D296" s="731" t="n"/>
      <c r="E296" s="731" t="n"/>
      <c r="F296" s="731" t="n"/>
    </row>
    <row r="297" ht="15" customHeight="1">
      <c r="A297" s="1886" t="inlineStr">
        <is>
          <t>Preferred Shares - Outstanding - Issue Specific - Current</t>
        </is>
      </c>
      <c r="B297" s="731" t="n"/>
      <c r="C297" s="731" t="n"/>
      <c r="D297" s="731" t="n"/>
      <c r="E297" s="731" t="n"/>
      <c r="F297" s="731" t="n"/>
    </row>
    <row r="298" ht="15" customHeight="1">
      <c r="A298" s="1886" t="inlineStr">
        <is>
          <t>Preferred Shares - Treasury - Issue Specific - Current</t>
        </is>
      </c>
      <c r="B298" s="731" t="n"/>
      <c r="C298" s="731" t="n"/>
      <c r="D298" s="731" t="n"/>
      <c r="E298" s="731" t="n"/>
      <c r="F298" s="731" t="n"/>
    </row>
    <row r="299" ht="15" customHeight="1">
      <c r="A299" s="1884" t="inlineStr">
        <is>
          <t>Share/Per Share - Other</t>
        </is>
      </c>
      <c r="B299" s="734" t="n"/>
      <c r="C299" s="734" t="n"/>
      <c r="D299" s="734" t="n"/>
      <c r="E299" s="734" t="n"/>
      <c r="F299" s="734" t="n"/>
    </row>
    <row r="300" ht="15" customHeight="1">
      <c r="A300" s="1885" t="inlineStr">
        <is>
          <t>Asset Allocation Factor - Issue Specific</t>
        </is>
      </c>
      <c r="B300" s="1892" t="n">
        <v>1</v>
      </c>
      <c r="C300" s="1892" t="n">
        <v>1</v>
      </c>
      <c r="D300" s="1892" t="n">
        <v>1</v>
      </c>
      <c r="E300" s="1892" t="n">
        <v>1</v>
      </c>
      <c r="F300" s="1892" t="n">
        <v>1</v>
      </c>
    </row>
    <row r="301" ht="15" customHeight="1">
      <c r="A301" s="1885" t="inlineStr">
        <is>
          <t>Asset Participation Factor - Issue Specific</t>
        </is>
      </c>
      <c r="B301" s="731" t="n"/>
      <c r="C301" s="731" t="n"/>
      <c r="D301" s="731" t="n"/>
      <c r="E301" s="731" t="n"/>
      <c r="F301" s="731" t="n"/>
    </row>
    <row r="302" ht="15" customHeight="1">
      <c r="A302" s="1884" t="inlineStr">
        <is>
          <t>Right of Use Tangible Assets</t>
        </is>
      </c>
      <c r="B302" s="734" t="n"/>
      <c r="C302" s="734" t="n"/>
      <c r="D302" s="734" t="n"/>
      <c r="E302" s="734" t="n"/>
      <c r="F302" s="734" t="n"/>
    </row>
    <row r="303" ht="15" customHeight="1">
      <c r="A303" s="1885" t="inlineStr">
        <is>
          <t>Right of Use Tangible Assets - Total - Net - Supplemental</t>
        </is>
      </c>
      <c r="B303" s="1807" t="n">
        <v>180100607.49</v>
      </c>
      <c r="C303" s="1807" t="n">
        <v>239935707.74</v>
      </c>
      <c r="D303" s="1807" t="n">
        <v>231076514.34</v>
      </c>
      <c r="E303" s="1807" t="n">
        <v>198179197.61</v>
      </c>
      <c r="F303" s="1807" t="n">
        <v>172192783.45</v>
      </c>
    </row>
    <row r="304" ht="15" customHeight="1">
      <c r="A304" s="1886" t="inlineStr">
        <is>
          <t>Right of Use Tangible Assets - Operating Lease - Net - Supplemental</t>
        </is>
      </c>
      <c r="B304" s="731" t="n"/>
      <c r="C304" s="731" t="n"/>
      <c r="D304" s="731" t="n"/>
      <c r="E304" s="731" t="n"/>
      <c r="F304" s="731" t="n"/>
    </row>
    <row r="305" ht="15" customHeight="1">
      <c r="A305" s="1886" t="inlineStr">
        <is>
          <t>Right of Use Tangible Assets - Capital/Finance Lease - Net - Supplemental</t>
        </is>
      </c>
      <c r="B305" s="1807" t="n">
        <v>180100607.49</v>
      </c>
      <c r="C305" s="1807" t="n">
        <v>239935707.74</v>
      </c>
      <c r="D305" s="1807" t="n">
        <v>231076514.34</v>
      </c>
      <c r="E305" s="1807" t="n">
        <v>198179197.61</v>
      </c>
      <c r="F305" s="1807" t="n">
        <v>172192783.45</v>
      </c>
    </row>
    <row r="306" ht="15" customHeight="1">
      <c r="A306" s="1886" t="inlineStr">
        <is>
          <t>Right of Use Tangible Assets - Total - Gross - Supplemental</t>
        </is>
      </c>
      <c r="B306" s="1807" t="n">
        <v>201922274.64</v>
      </c>
      <c r="C306" s="1807" t="n">
        <v>292964629.76</v>
      </c>
      <c r="D306" s="1807" t="n">
        <v>310964629.76</v>
      </c>
      <c r="E306" s="1807" t="n">
        <v>276941197.07</v>
      </c>
      <c r="F306" s="1807" t="n">
        <v>264880405.85</v>
      </c>
    </row>
    <row r="307" ht="15" customHeight="1">
      <c r="A307" s="1887" t="inlineStr">
        <is>
          <t>Right of Use Tangible Assets - Operating Lease - Gross - Supplemental</t>
        </is>
      </c>
      <c r="B307" s="731" t="n"/>
      <c r="C307" s="731" t="n"/>
      <c r="D307" s="731" t="n"/>
      <c r="E307" s="731" t="n"/>
      <c r="F307" s="731" t="n"/>
    </row>
    <row r="308" ht="15" customHeight="1">
      <c r="A308" s="1887" t="inlineStr">
        <is>
          <t>Right of Use Tangible Assets - Capital/Finance Lease - Gross - Supplemental</t>
        </is>
      </c>
      <c r="B308" s="1807" t="n">
        <v>201922274.64</v>
      </c>
      <c r="C308" s="1807" t="n">
        <v>292964629.76</v>
      </c>
      <c r="D308" s="1807" t="n">
        <v>310964629.76</v>
      </c>
      <c r="E308" s="1807" t="n">
        <v>276941197.07</v>
      </c>
      <c r="F308" s="1807" t="n">
        <v>264880405.85</v>
      </c>
    </row>
    <row r="309" ht="15" customHeight="1">
      <c r="A309" s="1886" t="inlineStr">
        <is>
          <t>Right of Use Tangible Assets - Total - Accumulated Depreciation - Supplemental</t>
        </is>
      </c>
      <c r="B309" s="1807" t="n">
        <v>21821667.15</v>
      </c>
      <c r="C309" s="1807" t="n">
        <v>53028922.01</v>
      </c>
      <c r="D309" s="1807" t="n">
        <v>79888115.42</v>
      </c>
      <c r="E309" s="1807" t="n">
        <v>78761999.45999999</v>
      </c>
      <c r="F309" s="1807" t="n">
        <v>92687622.40000001</v>
      </c>
    </row>
    <row r="310" ht="15" customHeight="1">
      <c r="A310" s="1887" t="inlineStr">
        <is>
          <t>Right of Use Tangible Assets - Operating Lease - Accumulated Depreciation - Supplemental</t>
        </is>
      </c>
      <c r="B310" s="731" t="n"/>
      <c r="C310" s="731" t="n"/>
      <c r="D310" s="731" t="n"/>
      <c r="E310" s="731" t="n"/>
      <c r="F310" s="731" t="n"/>
    </row>
    <row r="311" ht="15" customHeight="1">
      <c r="A311" s="1887" t="inlineStr">
        <is>
          <t>Right of Use Tangible Assets - Capital/Finance Lease - Accumulated Depreciation - Supplemental</t>
        </is>
      </c>
      <c r="B311" s="1807" t="n">
        <v>21821667.15</v>
      </c>
      <c r="C311" s="1807" t="n">
        <v>53028922.01</v>
      </c>
      <c r="D311" s="1807" t="n">
        <v>79888115.42</v>
      </c>
      <c r="E311" s="1807" t="n">
        <v>78761999.45999999</v>
      </c>
      <c r="F311" s="1807" t="n">
        <v>92687622.40000001</v>
      </c>
    </row>
    <row r="312" ht="15" customHeight="1">
      <c r="A312" s="1885" t="inlineStr">
        <is>
          <t>Property, Plant &amp; Equipment - excluding Right of Use Tangible Assets &amp; Capital Leases - Net</t>
        </is>
      </c>
      <c r="B312" s="1807" t="n">
        <v>351653286.84</v>
      </c>
      <c r="C312" s="1807" t="n">
        <v>807163211.0700001</v>
      </c>
      <c r="D312" s="1807" t="n">
        <v>1055315616.21</v>
      </c>
      <c r="E312" s="1807" t="n">
        <v>2100825462.12</v>
      </c>
      <c r="F312" s="1807" t="n">
        <v>5456269598.04</v>
      </c>
    </row>
    <row r="313" ht="15" customHeight="1">
      <c r="A313" s="1886" t="inlineStr">
        <is>
          <t>Property, Plant &amp; Equipment - excluding Right of Use Tangible Assets &amp; Capital Leases - Gross</t>
        </is>
      </c>
      <c r="B313" s="1807" t="n">
        <v>393923003.89</v>
      </c>
      <c r="C313" s="1807" t="n">
        <v>854211102.23</v>
      </c>
      <c r="D313" s="1807" t="n">
        <v>1179409272.36</v>
      </c>
      <c r="E313" s="1807" t="n">
        <v>2334808100.31</v>
      </c>
      <c r="F313" s="1807" t="n">
        <v>5850734953.78</v>
      </c>
    </row>
    <row r="314" ht="15" customHeight="1">
      <c r="A314" s="1886" t="inlineStr">
        <is>
          <t>Property, Plant &amp; Equipment - excluding Right of Use Tangible Assets &amp; Capital Leases - Accumulated Depreciation</t>
        </is>
      </c>
      <c r="B314" s="1807" t="n">
        <v>42269717.05</v>
      </c>
      <c r="C314" s="1807" t="n">
        <v>47047891.16</v>
      </c>
      <c r="D314" s="1807" t="n">
        <v>124093656.15</v>
      </c>
      <c r="E314" s="1807" t="n">
        <v>233982638.19</v>
      </c>
      <c r="F314" s="1807" t="n">
        <v>394465355.74</v>
      </c>
    </row>
    <row r="315" ht="15" customHeight="1">
      <c r="A315" s="1884" t="inlineStr">
        <is>
          <t>Right of Use Intangible Assets</t>
        </is>
      </c>
      <c r="B315" s="734" t="n"/>
      <c r="C315" s="734" t="n"/>
      <c r="D315" s="734" t="n"/>
      <c r="E315" s="734" t="n"/>
      <c r="F315" s="734" t="n"/>
    </row>
    <row r="316" ht="15" customHeight="1">
      <c r="A316" s="1885" t="inlineStr">
        <is>
          <t>Right of Use Intangible Assets - Net - Supplemental</t>
        </is>
      </c>
      <c r="B316" s="731" t="n"/>
      <c r="C316" s="731" t="n"/>
      <c r="D316" s="731" t="n"/>
      <c r="E316" s="731" t="n"/>
      <c r="F316" s="731" t="n"/>
    </row>
    <row r="317" ht="15" customHeight="1">
      <c r="A317" s="1886" t="inlineStr">
        <is>
          <t>Right of Use Intangible Assets - Gross - Supplemental</t>
        </is>
      </c>
      <c r="B317" s="731" t="n"/>
      <c r="C317" s="731" t="n"/>
      <c r="D317" s="731" t="n"/>
      <c r="E317" s="731" t="n"/>
      <c r="F317" s="731" t="n"/>
    </row>
    <row r="318" ht="15" customHeight="1">
      <c r="A318" s="1886" t="inlineStr">
        <is>
          <t>Right of Use Intangible Assets - Accumulated Amortization - Supplemental</t>
        </is>
      </c>
      <c r="B318" s="731" t="n"/>
      <c r="C318" s="731" t="n"/>
      <c r="D318" s="731" t="n"/>
      <c r="E318" s="731" t="n"/>
      <c r="F318" s="731" t="n"/>
    </row>
    <row r="319" ht="15" customHeight="1">
      <c r="A319" s="1884" t="inlineStr">
        <is>
          <t>Right of Use Liabilities</t>
        </is>
      </c>
      <c r="B319" s="734" t="n"/>
      <c r="C319" s="734" t="n"/>
      <c r="D319" s="734" t="n"/>
      <c r="E319" s="734" t="n"/>
      <c r="F319" s="734" t="n"/>
    </row>
    <row r="320" ht="15" customHeight="1">
      <c r="A320" s="1885" t="inlineStr">
        <is>
          <t>Total Operating Lease Liabilities</t>
        </is>
      </c>
      <c r="B320" s="731" t="n"/>
      <c r="C320" s="731" t="n"/>
      <c r="D320" s="731" t="n"/>
      <c r="E320" s="731" t="n"/>
      <c r="F320" s="731" t="n"/>
    </row>
    <row r="321" ht="15" customHeight="1">
      <c r="A321" s="1886" t="inlineStr">
        <is>
          <t>Operating Lease Liabilities - Long-Term &amp; Short-Term - Supplemental</t>
        </is>
      </c>
      <c r="B321" s="731" t="n"/>
      <c r="C321" s="731" t="n"/>
      <c r="D321" s="731" t="n"/>
      <c r="E321" s="731" t="n"/>
      <c r="F321" s="731" t="n"/>
    </row>
    <row r="322" ht="15" customHeight="1">
      <c r="A322" s="1886" t="inlineStr">
        <is>
          <t>Operating Lease Liabilities - Current Portion/Short-Term - Supplemental</t>
        </is>
      </c>
      <c r="B322" s="731" t="n"/>
      <c r="C322" s="731" t="n"/>
      <c r="D322" s="731" t="n"/>
      <c r="E322" s="731" t="n"/>
      <c r="F322" s="731" t="n"/>
    </row>
    <row r="323" ht="15" customHeight="1">
      <c r="A323" s="1886" t="inlineStr">
        <is>
          <t>Operating Lease Liabilities - Long-Term - Supplemental</t>
        </is>
      </c>
      <c r="B323" s="731" t="n"/>
      <c r="C323" s="731" t="n"/>
      <c r="D323" s="731" t="n"/>
      <c r="E323" s="731" t="n"/>
      <c r="F323" s="731" t="n"/>
    </row>
    <row r="324" ht="15" customHeight="1">
      <c r="A324" s="1885" t="inlineStr">
        <is>
          <t>Finance and Operating Lease Liabilities - Total</t>
        </is>
      </c>
      <c r="B324" s="1807" t="n">
        <v>170978279.49</v>
      </c>
      <c r="C324" s="1807" t="n">
        <v>272913675.96</v>
      </c>
      <c r="D324" s="1807" t="n">
        <v>226182315.76</v>
      </c>
      <c r="E324" s="1807" t="n">
        <v>185363807.07</v>
      </c>
      <c r="F324" s="1807" t="n">
        <v>165063254.74</v>
      </c>
    </row>
    <row r="325" ht="15" customHeight="1">
      <c r="A325" s="1885" t="inlineStr">
        <is>
          <t>Debt including Finance and Operating Lease Liabilities</t>
        </is>
      </c>
      <c r="B325" s="1807" t="n">
        <v>352507186.41</v>
      </c>
      <c r="C325" s="1807" t="n">
        <v>660269172.98</v>
      </c>
      <c r="D325" s="1807" t="n">
        <v>607209960.08</v>
      </c>
      <c r="E325" s="1807" t="n">
        <v>1332254638.35</v>
      </c>
      <c r="F325" s="1807" t="n">
        <v>5599545421.35</v>
      </c>
    </row>
    <row r="326" ht="15" customHeight="1">
      <c r="A326" s="1884" t="inlineStr">
        <is>
          <t>Long-Term &amp; Short-Term</t>
        </is>
      </c>
      <c r="B326" s="734" t="n"/>
      <c r="C326" s="734" t="n"/>
      <c r="D326" s="734" t="n"/>
      <c r="E326" s="734" t="n"/>
      <c r="F326" s="734" t="n"/>
    </row>
    <row r="327" ht="15" customHeight="1">
      <c r="A327" s="1885" t="inlineStr">
        <is>
          <t>Derivative Financial Instruments - Hedging - Total</t>
        </is>
      </c>
      <c r="B327" s="731" t="n"/>
      <c r="C327" s="731" t="n"/>
      <c r="D327" s="731" t="n"/>
      <c r="E327" s="731" t="n"/>
      <c r="F327" s="731" t="n"/>
    </row>
    <row r="328" ht="15" customHeight="1">
      <c r="A328" s="1885" t="inlineStr">
        <is>
          <t>Investments - Total</t>
        </is>
      </c>
      <c r="B328" s="731" t="n"/>
      <c r="C328" s="731" t="n"/>
      <c r="D328" s="731" t="n"/>
      <c r="E328" s="731" t="n"/>
      <c r="F328" s="731" t="n"/>
    </row>
    <row r="329" ht="15" customHeight="1">
      <c r="A329" s="1885" t="inlineStr">
        <is>
          <t>Loans &amp; Receivables - Total</t>
        </is>
      </c>
      <c r="B329" s="1807" t="n">
        <v>25830523.68</v>
      </c>
      <c r="C329" s="1807" t="n">
        <v>103567097.98</v>
      </c>
      <c r="D329" s="1807" t="n">
        <v>91194661.42</v>
      </c>
      <c r="E329" s="1807" t="n">
        <v>136493664.43</v>
      </c>
      <c r="F329" s="1807" t="n">
        <v>225435301.41</v>
      </c>
    </row>
    <row r="330" ht="15" customHeight="1">
      <c r="A330" s="1886" t="inlineStr">
        <is>
          <t>Accounts &amp; Notes Receivable - Trade - Gross - Total</t>
        </is>
      </c>
      <c r="B330" s="731" t="n"/>
      <c r="C330" s="1807" t="n">
        <v>104406824.91</v>
      </c>
      <c r="D330" s="1807" t="n">
        <v>92060761.94</v>
      </c>
      <c r="E330" s="1807" t="n">
        <v>138689080.87</v>
      </c>
      <c r="F330" s="1807" t="n">
        <v>224534866.84</v>
      </c>
    </row>
    <row r="331" ht="15" customHeight="1">
      <c r="A331" s="1886" t="inlineStr">
        <is>
          <t>Provision - Doubtful Trade Accounts &amp; Trade Notes Payable - Total</t>
        </is>
      </c>
      <c r="B331" s="731" t="n"/>
      <c r="C331" s="731" t="n"/>
      <c r="D331" s="731" t="n"/>
      <c r="E331" s="731" t="n"/>
      <c r="F331" s="731" t="n"/>
    </row>
    <row r="332" ht="15" customHeight="1">
      <c r="A332" s="1886" t="inlineStr">
        <is>
          <t>Provision - Doubtful Accounts - Total</t>
        </is>
      </c>
      <c r="B332" s="731" t="n"/>
      <c r="C332" s="731" t="n"/>
      <c r="D332" s="731" t="n"/>
      <c r="E332" s="731" t="n"/>
      <c r="F332" s="731" t="n"/>
    </row>
    <row r="333" ht="15" customHeight="1">
      <c r="A333" s="1885" t="inlineStr">
        <is>
          <t>Assets Held for Sale/Discontinued Operations - Long-Term &amp; Short-Term</t>
        </is>
      </c>
      <c r="B333" s="731" t="n"/>
      <c r="C333" s="731" t="n"/>
      <c r="D333" s="731" t="n"/>
      <c r="E333" s="731" t="n"/>
      <c r="F333" s="731" t="n"/>
    </row>
    <row r="334" ht="15" customHeight="1">
      <c r="A334" s="1885" t="inlineStr">
        <is>
          <t>Other Assets - Total</t>
        </is>
      </c>
      <c r="B334" s="1807" t="n">
        <v>267717339.13</v>
      </c>
      <c r="C334" s="1807" t="n">
        <v>139692421.74</v>
      </c>
      <c r="D334" s="1807" t="n">
        <v>13389417.59</v>
      </c>
      <c r="E334" s="1807" t="n">
        <v>11273326.52</v>
      </c>
      <c r="F334" s="1807" t="n">
        <v>430329278.11</v>
      </c>
    </row>
    <row r="335" ht="15" customHeight="1">
      <c r="A335" s="1885" t="inlineStr">
        <is>
          <t>Income Taxes - Payable - Long-Term &amp; Short-Term</t>
        </is>
      </c>
      <c r="B335" s="1807" t="n">
        <v>6106357.81</v>
      </c>
      <c r="C335" s="1807" t="n">
        <v>10638891.8</v>
      </c>
      <c r="D335" s="1807" t="n">
        <v>24623870.45</v>
      </c>
      <c r="E335" s="1807" t="n">
        <v>112370069.34</v>
      </c>
      <c r="F335" s="1807" t="n">
        <v>192225819.87</v>
      </c>
    </row>
    <row r="336" ht="15" customHeight="1">
      <c r="A336" s="1885" t="inlineStr">
        <is>
          <t>Dividends Payable</t>
        </is>
      </c>
      <c r="B336" s="731" t="n"/>
      <c r="C336" s="731" t="n"/>
      <c r="D336" s="731" t="n"/>
      <c r="E336" s="731" t="n"/>
      <c r="F336" s="731" t="n"/>
    </row>
    <row r="337" ht="15" customHeight="1">
      <c r="A337" s="1885" t="inlineStr">
        <is>
          <t>Payables &amp; Accrued Expenses</t>
        </is>
      </c>
      <c r="B337" s="1807" t="n">
        <v>19876670.18</v>
      </c>
      <c r="C337" s="1807" t="n">
        <v>22833968.98</v>
      </c>
      <c r="D337" s="1807" t="n">
        <v>51404411.4</v>
      </c>
      <c r="E337" s="1807" t="n">
        <v>38111085.24</v>
      </c>
      <c r="F337" s="1807" t="n">
        <v>442095033.09</v>
      </c>
    </row>
    <row r="338" ht="15" customHeight="1">
      <c r="A338" s="1886" t="inlineStr">
        <is>
          <t>Trade Account Payables - Total</t>
        </is>
      </c>
      <c r="B338" s="1807" t="n">
        <v>19247170.18</v>
      </c>
      <c r="C338" s="1807" t="n">
        <v>19941152.53</v>
      </c>
      <c r="D338" s="1807" t="n">
        <v>48646099.25</v>
      </c>
      <c r="E338" s="1807" t="n">
        <v>33001370.29</v>
      </c>
      <c r="F338" s="1807" t="n">
        <v>407279864.99</v>
      </c>
    </row>
    <row r="339" ht="15" customHeight="1">
      <c r="A339" s="1886" t="inlineStr">
        <is>
          <t>Accrued Expenses</t>
        </is>
      </c>
      <c r="B339" s="1807" t="n">
        <v>629500</v>
      </c>
      <c r="C339" s="1807" t="n">
        <v>2892816.45</v>
      </c>
      <c r="D339" s="1807" t="n">
        <v>2758312.15</v>
      </c>
      <c r="E339" s="1807" t="n">
        <v>5109714.95</v>
      </c>
      <c r="F339" s="1807" t="n">
        <v>34815168.1</v>
      </c>
    </row>
    <row r="340" ht="15" customHeight="1">
      <c r="A340" s="1885" t="inlineStr">
        <is>
          <t>Derivative Liabilities - Hedging</t>
        </is>
      </c>
      <c r="B340" s="731" t="n"/>
      <c r="C340" s="731" t="n"/>
      <c r="D340" s="731" t="n"/>
      <c r="E340" s="731" t="n"/>
      <c r="F340" s="731" t="n"/>
    </row>
    <row r="341" ht="15" customHeight="1">
      <c r="A341" s="1885" t="inlineStr">
        <is>
          <t>Billings in Excess of Costs - Total</t>
        </is>
      </c>
      <c r="B341" s="731" t="n"/>
      <c r="C341" s="731" t="n"/>
      <c r="D341" s="731" t="n"/>
      <c r="E341" s="731" t="n"/>
      <c r="F341" s="731" t="n"/>
    </row>
    <row r="342" ht="15" customHeight="1">
      <c r="A342" s="1885" t="inlineStr">
        <is>
          <t>Liabilities Held for Sale/Discontinued Operations - Long-term &amp; Short-Term</t>
        </is>
      </c>
      <c r="B342" s="731" t="n"/>
      <c r="C342" s="731" t="n"/>
      <c r="D342" s="731" t="n"/>
      <c r="E342" s="731" t="n"/>
      <c r="F342" s="731" t="n"/>
    </row>
    <row r="343" ht="15" customHeight="1">
      <c r="A343" s="1885" t="inlineStr">
        <is>
          <t>Contract Assets - Short-Term - Unbilled Revenue in Excess of Advance Consideration &amp; Progress Billings</t>
        </is>
      </c>
      <c r="B343" s="731" t="n"/>
      <c r="C343" s="731" t="n"/>
      <c r="D343" s="731" t="n"/>
      <c r="E343" s="731" t="n"/>
      <c r="F343" s="731" t="n"/>
    </row>
    <row r="344" ht="15" customHeight="1">
      <c r="A344" s="1885" t="inlineStr">
        <is>
          <t>Contract Assets - Long-Term - Unbilled Revenue in Excess of Advance Consideration &amp; Progress Billings</t>
        </is>
      </c>
      <c r="B344" s="731" t="n"/>
      <c r="C344" s="731" t="n"/>
      <c r="D344" s="731" t="n"/>
      <c r="E344" s="731" t="n"/>
      <c r="F344" s="731" t="n"/>
    </row>
    <row r="345" ht="15" customHeight="1">
      <c r="A345" s="1885" t="inlineStr">
        <is>
          <t>Investment Property - Fair Value</t>
        </is>
      </c>
      <c r="B345" s="731" t="n"/>
      <c r="C345" s="731" t="n"/>
      <c r="D345" s="731" t="n"/>
      <c r="E345" s="731" t="n"/>
      <c r="F345" s="731" t="n"/>
    </row>
    <row r="346" ht="15" customHeight="1">
      <c r="A346" s="1884" t="inlineStr">
        <is>
          <t>Debt Related</t>
        </is>
      </c>
      <c r="B346" s="734" t="n"/>
      <c r="C346" s="734" t="n"/>
      <c r="D346" s="734" t="n"/>
      <c r="E346" s="734" t="n"/>
      <c r="F346" s="734" t="n"/>
    </row>
    <row r="347" ht="15" customHeight="1">
      <c r="A347" s="1885" t="inlineStr">
        <is>
          <t>Net Debt</t>
        </is>
      </c>
      <c r="B347" s="1807" t="n">
        <v>341941712.25</v>
      </c>
      <c r="C347" s="1807" t="n">
        <v>639340397.74</v>
      </c>
      <c r="D347" s="1807" t="n">
        <v>567137420.95</v>
      </c>
      <c r="E347" s="1807" t="n">
        <v>1313759612.19</v>
      </c>
      <c r="F347" s="1807" t="n">
        <v>-565153097.16</v>
      </c>
    </row>
    <row r="348" ht="15" customHeight="1">
      <c r="A348" s="1885" t="inlineStr">
        <is>
          <t>Debt - Total</t>
        </is>
      </c>
      <c r="B348" s="1807" t="n">
        <v>352507186.41</v>
      </c>
      <c r="C348" s="1807" t="n">
        <v>660269172.98</v>
      </c>
      <c r="D348" s="1807" t="n">
        <v>607209960.08</v>
      </c>
      <c r="E348" s="1807" t="n">
        <v>1332254638.35</v>
      </c>
      <c r="F348" s="1807" t="n">
        <v>5599545421.35</v>
      </c>
    </row>
    <row r="349" ht="15" customHeight="1">
      <c r="A349" s="1885" t="inlineStr">
        <is>
          <t>Weighted Cost of Debt - %</t>
        </is>
      </c>
      <c r="B349" s="731" t="n"/>
      <c r="C349" s="731" t="n"/>
      <c r="D349" s="731" t="n"/>
      <c r="E349" s="731" t="n"/>
      <c r="F349" s="731" t="n"/>
    </row>
    <row r="350" ht="15" customHeight="1">
      <c r="A350" s="1885" t="inlineStr">
        <is>
          <t>Revolving Line of Credit - Outstanding - Supplemental</t>
        </is>
      </c>
      <c r="B350" s="731" t="n"/>
      <c r="C350" s="731" t="n"/>
      <c r="D350" s="731" t="n"/>
      <c r="E350" s="731" t="n"/>
      <c r="F350" s="731" t="n"/>
    </row>
    <row r="351" ht="15" customHeight="1">
      <c r="A351" s="1885" t="inlineStr">
        <is>
          <t>Revolving Line of Credit - Unutilized/Unused Amount</t>
        </is>
      </c>
      <c r="B351" s="731" t="n"/>
      <c r="C351" s="731" t="n"/>
      <c r="D351" s="731" t="n"/>
      <c r="E351" s="731" t="n"/>
      <c r="F351" s="731" t="n"/>
    </row>
    <row r="352" ht="15" customHeight="1">
      <c r="A352" s="1885" t="inlineStr">
        <is>
          <t>Revolving Line of Credit - Total Principal Amount</t>
        </is>
      </c>
      <c r="B352" s="731" t="n"/>
      <c r="C352" s="731" t="n"/>
      <c r="D352" s="731" t="n"/>
      <c r="E352" s="731" t="n"/>
      <c r="F352" s="731" t="n"/>
    </row>
    <row r="353" ht="15" customHeight="1">
      <c r="A353" s="1885" t="inlineStr">
        <is>
          <t>Debt - Financial Sector - Total</t>
        </is>
      </c>
      <c r="B353" s="731" t="n"/>
      <c r="C353" s="731" t="n"/>
      <c r="D353" s="731" t="n"/>
      <c r="E353" s="731" t="n"/>
      <c r="F353" s="731" t="n"/>
    </row>
    <row r="354" ht="15" customHeight="1">
      <c r="A354" s="1885" t="inlineStr">
        <is>
          <t>Short-Term Debt - Financial Sector - Total</t>
        </is>
      </c>
      <c r="B354" s="731" t="n"/>
      <c r="C354" s="731" t="n"/>
      <c r="D354" s="731" t="n"/>
      <c r="E354" s="731" t="n"/>
      <c r="F354" s="731" t="n"/>
    </row>
    <row r="355" ht="15" customHeight="1">
      <c r="A355" s="1885" t="inlineStr">
        <is>
          <t>Debt - Long-Term - Financial Sector - Total</t>
        </is>
      </c>
      <c r="B355" s="731" t="n"/>
      <c r="C355" s="731" t="n"/>
      <c r="D355" s="731" t="n"/>
      <c r="E355" s="731" t="n"/>
      <c r="F355" s="731" t="n"/>
    </row>
    <row r="356" ht="15" customHeight="1">
      <c r="A356" s="1884" t="inlineStr">
        <is>
          <t>Islamic</t>
        </is>
      </c>
      <c r="B356" s="734" t="n"/>
      <c r="C356" s="734" t="n"/>
      <c r="D356" s="734" t="n"/>
      <c r="E356" s="734" t="n"/>
      <c r="F356" s="734" t="n"/>
    </row>
    <row r="357" ht="15" customHeight="1">
      <c r="A357" s="1885" t="inlineStr">
        <is>
          <t>Islamic Investments &amp; Deposits</t>
        </is>
      </c>
      <c r="B357" s="731" t="n"/>
      <c r="C357" s="731" t="n"/>
      <c r="D357" s="731" t="n"/>
      <c r="E357" s="731" t="n"/>
      <c r="F357" s="731" t="n"/>
    </row>
    <row r="358" ht="15" customHeight="1">
      <c r="A358" s="1885" t="inlineStr">
        <is>
          <t>Islamic Receivables - Short-Term</t>
        </is>
      </c>
      <c r="B358" s="731" t="n"/>
      <c r="C358" s="731" t="n"/>
      <c r="D358" s="731" t="n"/>
      <c r="E358" s="731" t="n"/>
      <c r="F358" s="731" t="n"/>
    </row>
    <row r="359" ht="15" customHeight="1">
      <c r="A359" s="1885" t="inlineStr">
        <is>
          <t>Islamic Receivables - Long-Term</t>
        </is>
      </c>
      <c r="B359" s="731" t="n"/>
      <c r="C359" s="731" t="n"/>
      <c r="D359" s="731" t="n"/>
      <c r="E359" s="731" t="n"/>
      <c r="F359" s="731" t="n"/>
    </row>
    <row r="360" ht="15" customHeight="1">
      <c r="A360" s="1885" t="inlineStr">
        <is>
          <t>Islamic Debt - Long-Term &amp; Short-Term</t>
        </is>
      </c>
      <c r="B360" s="731" t="n"/>
      <c r="C360" s="731" t="n"/>
      <c r="D360" s="731" t="n"/>
      <c r="E360" s="731" t="n"/>
      <c r="F360" s="1807" t="n">
        <v>1242005895.14</v>
      </c>
    </row>
    <row r="361" ht="15" customHeight="1">
      <c r="A361" s="1884" t="inlineStr">
        <is>
          <t>Debt Maturity</t>
        </is>
      </c>
      <c r="B361" s="734" t="n"/>
      <c r="C361" s="734" t="n"/>
      <c r="D361" s="734" t="n"/>
      <c r="E361" s="734" t="n"/>
      <c r="F361" s="734" t="n"/>
    </row>
    <row r="362" ht="15" customHeight="1">
      <c r="A362" s="1885" t="inlineStr">
        <is>
          <t>Debt - Long-Term - Maturities - Total</t>
        </is>
      </c>
      <c r="B362" s="731" t="n"/>
      <c r="C362" s="731" t="n"/>
      <c r="D362" s="731" t="n"/>
      <c r="E362" s="731" t="n"/>
      <c r="F362" s="731" t="n"/>
    </row>
    <row r="363" ht="15" customHeight="1">
      <c r="A363" s="1886" t="inlineStr">
        <is>
          <t>Debt - Long-Term - Maturities - within 1 Year</t>
        </is>
      </c>
      <c r="B363" s="731" t="n"/>
      <c r="C363" s="731" t="n"/>
      <c r="D363" s="731" t="n"/>
      <c r="E363" s="731" t="n"/>
      <c r="F363" s="731" t="n"/>
    </row>
    <row r="364" ht="15" customHeight="1">
      <c r="A364" s="1886" t="inlineStr">
        <is>
          <t>Debt - Long-Term - Maturities - Year 2</t>
        </is>
      </c>
      <c r="B364" s="731" t="n"/>
      <c r="C364" s="731" t="n"/>
      <c r="D364" s="731" t="n"/>
      <c r="E364" s="731" t="n"/>
      <c r="F364" s="731" t="n"/>
    </row>
    <row r="365" ht="15" customHeight="1">
      <c r="A365" s="1886" t="inlineStr">
        <is>
          <t>Debt - Long-Term - Maturities - Year 3</t>
        </is>
      </c>
      <c r="B365" s="731" t="n"/>
      <c r="C365" s="731" t="n"/>
      <c r="D365" s="731" t="n"/>
      <c r="E365" s="731" t="n"/>
      <c r="F365" s="731" t="n"/>
    </row>
    <row r="366" ht="15" customHeight="1">
      <c r="A366" s="1886" t="inlineStr">
        <is>
          <t>Debt - Long-Term - Maturities - Year 4</t>
        </is>
      </c>
      <c r="B366" s="731" t="n"/>
      <c r="C366" s="731" t="n"/>
      <c r="D366" s="731" t="n"/>
      <c r="E366" s="731" t="n"/>
      <c r="F366" s="731" t="n"/>
    </row>
    <row r="367" ht="15" customHeight="1">
      <c r="A367" s="1886" t="inlineStr">
        <is>
          <t>Debt - Long-Term - Maturities - Year 5</t>
        </is>
      </c>
      <c r="B367" s="731" t="n"/>
      <c r="C367" s="731" t="n"/>
      <c r="D367" s="731" t="n"/>
      <c r="E367" s="731" t="n"/>
      <c r="F367" s="731" t="n"/>
    </row>
    <row r="368" ht="15" customHeight="1">
      <c r="A368" s="1886" t="inlineStr">
        <is>
          <t>Debt - Long-Term - Maturities - Year 6</t>
        </is>
      </c>
      <c r="B368" s="731" t="n"/>
      <c r="C368" s="731" t="n"/>
      <c r="D368" s="731" t="n"/>
      <c r="E368" s="731" t="n"/>
      <c r="F368" s="731" t="n"/>
    </row>
    <row r="369" ht="15" customHeight="1">
      <c r="A369" s="1886" t="inlineStr">
        <is>
          <t>Debt - Long-Term - Maturities - Year 7</t>
        </is>
      </c>
      <c r="B369" s="731" t="n"/>
      <c r="C369" s="731" t="n"/>
      <c r="D369" s="731" t="n"/>
      <c r="E369" s="731" t="n"/>
      <c r="F369" s="731" t="n"/>
    </row>
    <row r="370" ht="15" customHeight="1">
      <c r="A370" s="1886" t="inlineStr">
        <is>
          <t>Debt - Long-Term - Maturities - Year 8</t>
        </is>
      </c>
      <c r="B370" s="731" t="n"/>
      <c r="C370" s="731" t="n"/>
      <c r="D370" s="731" t="n"/>
      <c r="E370" s="731" t="n"/>
      <c r="F370" s="731" t="n"/>
    </row>
    <row r="371" ht="15" customHeight="1">
      <c r="A371" s="1886" t="inlineStr">
        <is>
          <t>Debt - Long-Term - Maturities - Year 9</t>
        </is>
      </c>
      <c r="B371" s="731" t="n"/>
      <c r="C371" s="731" t="n"/>
      <c r="D371" s="731" t="n"/>
      <c r="E371" s="731" t="n"/>
      <c r="F371" s="731" t="n"/>
    </row>
    <row r="372" ht="15" customHeight="1">
      <c r="A372" s="1886" t="inlineStr">
        <is>
          <t>Debt - Long-Term - Maturities - Year 10</t>
        </is>
      </c>
      <c r="B372" s="731" t="n"/>
      <c r="C372" s="731" t="n"/>
      <c r="D372" s="731" t="n"/>
      <c r="E372" s="731" t="n"/>
      <c r="F372" s="731" t="n"/>
    </row>
    <row r="373" ht="15" customHeight="1">
      <c r="A373" s="1886" t="inlineStr">
        <is>
          <t>Debt - Long-Term - Maturities - Remaining</t>
        </is>
      </c>
      <c r="B373" s="731" t="n"/>
      <c r="C373" s="731" t="n"/>
      <c r="D373" s="731" t="n"/>
      <c r="E373" s="731" t="n"/>
      <c r="F373" s="731" t="n"/>
    </row>
    <row r="374" ht="15" customHeight="1">
      <c r="A374" s="1885" t="inlineStr">
        <is>
          <t>Debt - Long-Term - Maturities - 2-3 Years</t>
        </is>
      </c>
      <c r="B374" s="731" t="n"/>
      <c r="C374" s="731" t="n"/>
      <c r="D374" s="731" t="n"/>
      <c r="E374" s="731" t="n"/>
      <c r="F374" s="731" t="n"/>
    </row>
    <row r="375" ht="15" customHeight="1">
      <c r="A375" s="1885" t="inlineStr">
        <is>
          <t>Debt - Long-Term - Maturities - 4-5 Years</t>
        </is>
      </c>
      <c r="B375" s="731" t="n"/>
      <c r="C375" s="731" t="n"/>
      <c r="D375" s="731" t="n"/>
      <c r="E375" s="731" t="n"/>
      <c r="F375" s="731" t="n"/>
    </row>
    <row r="376" ht="15" customHeight="1">
      <c r="A376" s="1885" t="inlineStr">
        <is>
          <t>Debt - Long-Term - Maturities - Year 6 &amp; Beyond</t>
        </is>
      </c>
      <c r="B376" s="731" t="n"/>
      <c r="C376" s="731" t="n"/>
      <c r="D376" s="731" t="n"/>
      <c r="E376" s="731" t="n"/>
      <c r="F376" s="731" t="n"/>
    </row>
    <row r="377" ht="15" customHeight="1">
      <c r="A377" s="1884" t="inlineStr">
        <is>
          <t>Capital Lease Maturity</t>
        </is>
      </c>
      <c r="B377" s="734" t="n"/>
      <c r="C377" s="734" t="n"/>
      <c r="D377" s="734" t="n"/>
      <c r="E377" s="734" t="n"/>
      <c r="F377" s="734" t="n"/>
    </row>
    <row r="378" ht="15" customHeight="1">
      <c r="A378" s="1885" t="inlineStr">
        <is>
          <t>Capital Lease Maturities - Total</t>
        </is>
      </c>
      <c r="B378" s="731" t="n"/>
      <c r="C378" s="731" t="n"/>
      <c r="D378" s="731" t="n"/>
      <c r="E378" s="731" t="n"/>
      <c r="F378" s="731" t="n"/>
    </row>
    <row r="379" ht="15" customHeight="1">
      <c r="A379" s="1886" t="inlineStr">
        <is>
          <t>Capital Lease Maturities - Due within 1 Year</t>
        </is>
      </c>
      <c r="B379" s="731" t="n"/>
      <c r="C379" s="731" t="n"/>
      <c r="D379" s="731" t="n"/>
      <c r="E379" s="731" t="n"/>
      <c r="F379" s="731" t="n"/>
    </row>
    <row r="380" ht="15" customHeight="1">
      <c r="A380" s="1886" t="inlineStr">
        <is>
          <t>Capital Lease Maturities - Due in Year 2</t>
        </is>
      </c>
      <c r="B380" s="731" t="n"/>
      <c r="C380" s="731" t="n"/>
      <c r="D380" s="731" t="n"/>
      <c r="E380" s="731" t="n"/>
      <c r="F380" s="731" t="n"/>
    </row>
    <row r="381" ht="15" customHeight="1">
      <c r="A381" s="1886" t="inlineStr">
        <is>
          <t>Capital Lease Maturities - Due in Year 3</t>
        </is>
      </c>
      <c r="B381" s="731" t="n"/>
      <c r="C381" s="731" t="n"/>
      <c r="D381" s="731" t="n"/>
      <c r="E381" s="731" t="n"/>
      <c r="F381" s="731" t="n"/>
    </row>
    <row r="382" ht="15" customHeight="1">
      <c r="A382" s="1886" t="inlineStr">
        <is>
          <t>Capital Lease Maturities - Due in Year 4</t>
        </is>
      </c>
      <c r="B382" s="731" t="n"/>
      <c r="C382" s="731" t="n"/>
      <c r="D382" s="731" t="n"/>
      <c r="E382" s="731" t="n"/>
      <c r="F382" s="731" t="n"/>
    </row>
    <row r="383" ht="15" customHeight="1">
      <c r="A383" s="1886" t="inlineStr">
        <is>
          <t>Capital Lease Maturities - Due in Year 5</t>
        </is>
      </c>
      <c r="B383" s="731" t="n"/>
      <c r="C383" s="731" t="n"/>
      <c r="D383" s="731" t="n"/>
      <c r="E383" s="731" t="n"/>
      <c r="F383" s="731" t="n"/>
    </row>
    <row r="384" ht="15" customHeight="1">
      <c r="A384" s="1886" t="inlineStr">
        <is>
          <t>Capital Lease Maturities - Due in Year 6</t>
        </is>
      </c>
      <c r="B384" s="731" t="n"/>
      <c r="C384" s="731" t="n"/>
      <c r="D384" s="731" t="n"/>
      <c r="E384" s="731" t="n"/>
      <c r="F384" s="731" t="n"/>
    </row>
    <row r="385" ht="15" customHeight="1">
      <c r="A385" s="1886" t="inlineStr">
        <is>
          <t>Capital Lease Maturities - Due in Year 7</t>
        </is>
      </c>
      <c r="B385" s="731" t="n"/>
      <c r="C385" s="731" t="n"/>
      <c r="D385" s="731" t="n"/>
      <c r="E385" s="731" t="n"/>
      <c r="F385" s="731" t="n"/>
    </row>
    <row r="386" ht="15" customHeight="1">
      <c r="A386" s="1886" t="inlineStr">
        <is>
          <t>Capital Lease Maturities - Due in Year 8</t>
        </is>
      </c>
      <c r="B386" s="731" t="n"/>
      <c r="C386" s="731" t="n"/>
      <c r="D386" s="731" t="n"/>
      <c r="E386" s="731" t="n"/>
      <c r="F386" s="731" t="n"/>
    </row>
    <row r="387" ht="15" customHeight="1">
      <c r="A387" s="1886" t="inlineStr">
        <is>
          <t>Capital Lease Maturities - Due in Year 9</t>
        </is>
      </c>
      <c r="B387" s="731" t="n"/>
      <c r="C387" s="731" t="n"/>
      <c r="D387" s="731" t="n"/>
      <c r="E387" s="731" t="n"/>
      <c r="F387" s="731" t="n"/>
    </row>
    <row r="388" ht="15" customHeight="1">
      <c r="A388" s="1886" t="inlineStr">
        <is>
          <t>Capital Lease Maturities - Due in Year 10</t>
        </is>
      </c>
      <c r="B388" s="731" t="n"/>
      <c r="C388" s="731" t="n"/>
      <c r="D388" s="731" t="n"/>
      <c r="E388" s="731" t="n"/>
      <c r="F388" s="731" t="n"/>
    </row>
    <row r="389" ht="15" customHeight="1">
      <c r="A389" s="1886" t="inlineStr">
        <is>
          <t>Capital Lease Maturities - Remaining Maturities</t>
        </is>
      </c>
      <c r="B389" s="731" t="n"/>
      <c r="C389" s="731" t="n"/>
      <c r="D389" s="731" t="n"/>
      <c r="E389" s="731" t="n"/>
      <c r="F389" s="731" t="n"/>
    </row>
    <row r="390" ht="15" customHeight="1">
      <c r="A390" s="1886" t="inlineStr">
        <is>
          <t>Capital Lease Maturities - Interest Costs</t>
        </is>
      </c>
      <c r="B390" s="731" t="n"/>
      <c r="C390" s="731" t="n"/>
      <c r="D390" s="731" t="n"/>
      <c r="E390" s="731" t="n"/>
      <c r="F390" s="731" t="n"/>
    </row>
    <row r="391" ht="15" customHeight="1">
      <c r="A391" s="1886" t="inlineStr">
        <is>
          <t>Capital Lease Maturities - Executory Costs</t>
        </is>
      </c>
      <c r="B391" s="731" t="n"/>
      <c r="C391" s="731" t="n"/>
      <c r="D391" s="731" t="n"/>
      <c r="E391" s="731" t="n"/>
      <c r="F391" s="731" t="n"/>
    </row>
    <row r="392" ht="15" customHeight="1">
      <c r="A392" s="1885" t="inlineStr">
        <is>
          <t>Capital Lease Maturities - Due in 2-3 Years</t>
        </is>
      </c>
      <c r="B392" s="731" t="n"/>
      <c r="C392" s="731" t="n"/>
      <c r="D392" s="731" t="n"/>
      <c r="E392" s="731" t="n"/>
      <c r="F392" s="731" t="n"/>
    </row>
    <row r="393" ht="15" customHeight="1">
      <c r="A393" s="1885" t="inlineStr">
        <is>
          <t>Capital Lease Maturities - Due in 4-5 Years</t>
        </is>
      </c>
      <c r="B393" s="731" t="n"/>
      <c r="C393" s="731" t="n"/>
      <c r="D393" s="731" t="n"/>
      <c r="E393" s="731" t="n"/>
      <c r="F393" s="731" t="n"/>
    </row>
    <row r="394" ht="15" customHeight="1">
      <c r="A394" s="1885" t="inlineStr">
        <is>
          <t>Capital Lease Maturities - Due in Year 6 &amp; Beyond</t>
        </is>
      </c>
      <c r="B394" s="731" t="n"/>
      <c r="C394" s="731" t="n"/>
      <c r="D394" s="731" t="n"/>
      <c r="E394" s="731" t="n"/>
      <c r="F394" s="731" t="n"/>
    </row>
    <row r="395" ht="15" customHeight="1">
      <c r="A395" s="1884" t="inlineStr">
        <is>
          <t>Weighted Average Leases</t>
        </is>
      </c>
      <c r="B395" s="734" t="n"/>
      <c r="C395" s="734" t="n"/>
      <c r="D395" s="734" t="n"/>
      <c r="E395" s="734" t="n"/>
      <c r="F395" s="734" t="n"/>
    </row>
    <row r="396" ht="15" customHeight="1">
      <c r="A396" s="1885" t="inlineStr">
        <is>
          <t>Wgt Avg Remaining Lease Term (Years)-Operating Lease-US GAAP</t>
        </is>
      </c>
      <c r="B396" s="731" t="n"/>
      <c r="C396" s="731" t="n"/>
      <c r="D396" s="731" t="n"/>
      <c r="E396" s="731" t="n"/>
      <c r="F396" s="731" t="n"/>
    </row>
    <row r="397" ht="15" customHeight="1">
      <c r="A397" s="1885" t="inlineStr">
        <is>
          <t>Wgt Avg Remaining Lease Term (Years) - Finance Lease</t>
        </is>
      </c>
      <c r="B397" s="731" t="n"/>
      <c r="C397" s="731" t="n"/>
      <c r="D397" s="731" t="n"/>
      <c r="E397" s="731" t="n"/>
      <c r="F397" s="731" t="n"/>
    </row>
    <row r="398" ht="15" customHeight="1">
      <c r="A398" s="1885" t="inlineStr">
        <is>
          <t>Weighted Average Discount Rate - Operating Lease - US GAAP</t>
        </is>
      </c>
      <c r="B398" s="731" t="n"/>
      <c r="C398" s="731" t="n"/>
      <c r="D398" s="731" t="n"/>
      <c r="E398" s="731" t="n"/>
      <c r="F398" s="731" t="n"/>
    </row>
    <row r="399" ht="15" customHeight="1">
      <c r="A399" s="1885" t="inlineStr">
        <is>
          <t>Weighted Average Discount Rate - Finance Lease</t>
        </is>
      </c>
      <c r="B399" s="731" t="n"/>
      <c r="C399" s="731" t="n"/>
      <c r="D399" s="731" t="n"/>
      <c r="E399" s="731" t="n"/>
      <c r="F399" s="731" t="n"/>
    </row>
    <row r="400" ht="15" customHeight="1">
      <c r="A400" s="1884" t="inlineStr">
        <is>
          <t>Other</t>
        </is>
      </c>
      <c r="B400" s="734" t="n"/>
      <c r="C400" s="734" t="n"/>
      <c r="D400" s="734" t="n"/>
      <c r="E400" s="734" t="n"/>
      <c r="F400" s="734" t="n"/>
    </row>
    <row r="401" ht="15" customHeight="1">
      <c r="A401" s="1885" t="inlineStr">
        <is>
          <t>Contract Liabilities - Short-Term - Advance Consideration &amp; Progress Billings in Excess of Unbilled Revenue</t>
        </is>
      </c>
      <c r="B401" s="731" t="n"/>
      <c r="C401" s="731" t="n"/>
      <c r="D401" s="731" t="n"/>
      <c r="E401" s="731" t="n"/>
      <c r="F401" s="731" t="n"/>
    </row>
    <row r="402" ht="15" customHeight="1">
      <c r="A402" s="1885" t="inlineStr">
        <is>
          <t>Contract Liabilities - Long-Term - Advance Consideration &amp; Progress Billings in Excess of Unbilled Revenue</t>
        </is>
      </c>
      <c r="B402" s="731" t="n"/>
      <c r="C402" s="731" t="n"/>
      <c r="D402" s="731" t="n"/>
      <c r="E402" s="731" t="n"/>
      <c r="F402" s="731" t="n"/>
    </row>
    <row r="403" ht="15" customHeight="1">
      <c r="A403" s="1885" t="inlineStr">
        <is>
          <t>Minority Interest - Total</t>
        </is>
      </c>
      <c r="B403" s="1807" t="n">
        <v>2316285.25</v>
      </c>
      <c r="C403" s="1807" t="n">
        <v>2411134.16</v>
      </c>
      <c r="D403" s="1807" t="n">
        <v>2083898.19</v>
      </c>
      <c r="E403" s="1807" t="n">
        <v>181418.18</v>
      </c>
      <c r="F403" s="1807" t="n">
        <v>1218502143.91</v>
      </c>
    </row>
    <row r="404" ht="15" customHeight="1">
      <c r="A404" s="1885" t="inlineStr">
        <is>
          <t>Accruals - Short-Term</t>
        </is>
      </c>
      <c r="B404" s="1807" t="n">
        <v>-914575.92</v>
      </c>
      <c r="C404" s="1807" t="n">
        <v>67164991.77</v>
      </c>
      <c r="D404" s="1807" t="n">
        <v>-80639.84</v>
      </c>
      <c r="E404" s="1807" t="n">
        <v>-15659430.74</v>
      </c>
      <c r="F404" s="1807" t="n">
        <v>-1457845043.27</v>
      </c>
    </row>
    <row r="405" ht="15" customHeight="1">
      <c r="A405" s="1885" t="inlineStr">
        <is>
          <t>Asset Accruals</t>
        </is>
      </c>
      <c r="B405" s="1807" t="n">
        <v>885743976.72</v>
      </c>
      <c r="C405" s="1807" t="n">
        <v>1386563304.21</v>
      </c>
      <c r="D405" s="1807" t="n">
        <v>1523914761.08</v>
      </c>
      <c r="E405" s="1807" t="n">
        <v>2888920706.21</v>
      </c>
      <c r="F405" s="1807" t="n">
        <v>9002351044</v>
      </c>
    </row>
    <row r="406" ht="15" customHeight="1">
      <c r="A406" s="1885" t="inlineStr">
        <is>
          <t>Cash &amp; Cash Equivalents - Total</t>
        </is>
      </c>
      <c r="B406" s="1807" t="n">
        <v>10565474.16</v>
      </c>
      <c r="C406" s="1807" t="n">
        <v>20928775.24</v>
      </c>
      <c r="D406" s="1807" t="n">
        <v>40072539.13</v>
      </c>
      <c r="E406" s="1807" t="n">
        <v>18495026.17</v>
      </c>
      <c r="F406" s="1807" t="n">
        <v>6164698518.52</v>
      </c>
    </row>
    <row r="407" ht="15" customHeight="1">
      <c r="A407" s="1885" t="inlineStr">
        <is>
          <t>Cash &amp; Short Term Investments - Total</t>
        </is>
      </c>
      <c r="B407" s="1807" t="n">
        <v>10565474.16</v>
      </c>
      <c r="C407" s="1807" t="n">
        <v>20928775.24</v>
      </c>
      <c r="D407" s="1807" t="n">
        <v>40072539.13</v>
      </c>
      <c r="E407" s="1807" t="n">
        <v>18495026.17</v>
      </c>
      <c r="F407" s="1807" t="n">
        <v>6164698518.52</v>
      </c>
    </row>
    <row r="408" ht="15" customHeight="1">
      <c r="A408" s="1885" t="inlineStr">
        <is>
          <t>Debt - including Preferred Equity &amp; Minority Interest - Total</t>
        </is>
      </c>
      <c r="B408" s="1807" t="n">
        <v>354823471.66</v>
      </c>
      <c r="C408" s="1807" t="n">
        <v>662680307.14</v>
      </c>
      <c r="D408" s="1807" t="n">
        <v>609293858.27</v>
      </c>
      <c r="E408" s="1807" t="n">
        <v>1332436056.53</v>
      </c>
      <c r="F408" s="1807" t="n">
        <v>6818047565.26</v>
      </c>
    </row>
    <row r="409" ht="15" customHeight="1">
      <c r="A409" s="1885" t="inlineStr">
        <is>
          <t>Investments - Permanent</t>
        </is>
      </c>
      <c r="B409" s="731" t="n"/>
      <c r="C409" s="731" t="n"/>
      <c r="D409" s="731" t="n"/>
      <c r="E409" s="731" t="n"/>
      <c r="F409" s="731" t="n"/>
    </row>
    <row r="410" ht="15" customHeight="1">
      <c r="A410" s="1885" t="inlineStr">
        <is>
          <t>Net Book Capital</t>
        </is>
      </c>
      <c r="B410" s="1807" t="n">
        <v>857897111.16</v>
      </c>
      <c r="C410" s="1807" t="n">
        <v>1252067395.81</v>
      </c>
      <c r="D410" s="1807" t="n">
        <v>1309783395.2</v>
      </c>
      <c r="E410" s="1807" t="n">
        <v>2283602941.38</v>
      </c>
      <c r="F410" s="1807" t="n">
        <v>7952791755.85</v>
      </c>
    </row>
    <row r="411" ht="15" customHeight="1">
      <c r="A411" s="1885" t="inlineStr">
        <is>
          <t>Net Operating Assets</t>
        </is>
      </c>
      <c r="B411" s="1807" t="n">
        <v>857897111.16</v>
      </c>
      <c r="C411" s="1807" t="n">
        <v>1252067395.81</v>
      </c>
      <c r="D411" s="1807" t="n">
        <v>1309783395.2</v>
      </c>
      <c r="E411" s="1807" t="n">
        <v>2283602941.38</v>
      </c>
      <c r="F411" s="1807" t="n">
        <v>7952791755.85</v>
      </c>
    </row>
    <row r="412" ht="15" customHeight="1">
      <c r="A412" s="1885" t="inlineStr">
        <is>
          <t>Provisions - Total</t>
        </is>
      </c>
      <c r="B412" s="1807" t="n">
        <v>1038065.32</v>
      </c>
      <c r="C412" s="1807" t="n">
        <v>1484396.88</v>
      </c>
      <c r="D412" s="1807" t="n">
        <v>2512157.75</v>
      </c>
      <c r="E412" s="1807" t="n">
        <v>7744203</v>
      </c>
      <c r="F412" s="1807" t="n">
        <v>10884999.54</v>
      </c>
    </row>
    <row r="413" ht="15" customHeight="1">
      <c r="A413" s="1885" t="inlineStr">
        <is>
          <t>Shareholders Equity - Common</t>
        </is>
      </c>
      <c r="B413" s="1807" t="n">
        <v>513639113.66</v>
      </c>
      <c r="C413" s="1807" t="n">
        <v>610315863.91</v>
      </c>
      <c r="D413" s="1807" t="n">
        <v>740562076.0599999</v>
      </c>
      <c r="E413" s="1807" t="n">
        <v>969661911.02</v>
      </c>
      <c r="F413" s="1807" t="n">
        <v>7299442709.11</v>
      </c>
    </row>
    <row r="414" ht="15" customHeight="1">
      <c r="A414" s="1885" t="inlineStr">
        <is>
          <t>Tangible Total Equity</t>
        </is>
      </c>
      <c r="B414" s="1807" t="n">
        <v>515955398.91</v>
      </c>
      <c r="C414" s="1807" t="n">
        <v>611060331.41</v>
      </c>
      <c r="D414" s="1807" t="n">
        <v>741229307.58</v>
      </c>
      <c r="E414" s="1807" t="n">
        <v>958750687.17</v>
      </c>
      <c r="F414" s="1807" t="n">
        <v>8094631673.94</v>
      </c>
    </row>
    <row r="415" ht="15" customHeight="1">
      <c r="A415" s="1885" t="inlineStr">
        <is>
          <t>Tangible Book Value</t>
        </is>
      </c>
      <c r="B415" s="1807" t="n">
        <v>513639113.66</v>
      </c>
      <c r="C415" s="1807" t="n">
        <v>608649197.25</v>
      </c>
      <c r="D415" s="1807" t="n">
        <v>739145409.39</v>
      </c>
      <c r="E415" s="1807" t="n">
        <v>958569268.99</v>
      </c>
      <c r="F415" s="1807" t="n">
        <v>6876129530.03</v>
      </c>
    </row>
    <row r="416" ht="15" customHeight="1">
      <c r="A416" s="1885" t="inlineStr">
        <is>
          <t>Total Book Capital</t>
        </is>
      </c>
      <c r="B416" s="1807" t="n">
        <v>866146300.0599999</v>
      </c>
      <c r="C416" s="1807" t="n">
        <v>1270585036.89</v>
      </c>
      <c r="D416" s="1807" t="n">
        <v>1347772036.14</v>
      </c>
      <c r="E416" s="1807" t="n">
        <v>2301916549.37</v>
      </c>
      <c r="F416" s="1807" t="n">
        <v>12898988130.46</v>
      </c>
    </row>
    <row r="417" ht="15" customHeight="1">
      <c r="A417" s="1885" t="inlineStr">
        <is>
          <t>Total Capital</t>
        </is>
      </c>
      <c r="B417" s="1807" t="n">
        <v>868462585.3200001</v>
      </c>
      <c r="C417" s="1807" t="n">
        <v>1272996171.05</v>
      </c>
      <c r="D417" s="1807" t="n">
        <v>1349855934.33</v>
      </c>
      <c r="E417" s="1807" t="n">
        <v>2302097967.54</v>
      </c>
      <c r="F417" s="1807" t="n">
        <v>14117490274.37</v>
      </c>
    </row>
    <row r="418" ht="15" customHeight="1">
      <c r="A418" s="1885" t="inlineStr">
        <is>
          <t>Total Long Term Capital</t>
        </is>
      </c>
      <c r="B418" s="1807" t="n">
        <v>809111418.09</v>
      </c>
      <c r="C418" s="1807" t="n">
        <v>1276709478.57</v>
      </c>
      <c r="D418" s="1807" t="n">
        <v>1341388518.44</v>
      </c>
      <c r="E418" s="1807" t="n">
        <v>2323904127.15</v>
      </c>
      <c r="F418" s="1807" t="n">
        <v>11188655322.95</v>
      </c>
    </row>
    <row r="419" ht="15" customHeight="1">
      <c r="A419" s="1885" t="inlineStr">
        <is>
          <t>Total Fixed Assets - Net</t>
        </is>
      </c>
      <c r="B419" s="1807" t="n">
        <v>799460519.85</v>
      </c>
      <c r="C419" s="1807" t="n">
        <v>1188373397.22</v>
      </c>
      <c r="D419" s="1807" t="n">
        <v>1301154304.81</v>
      </c>
      <c r="E419" s="1807" t="n">
        <v>2321068531.72</v>
      </c>
      <c r="F419" s="1807" t="n">
        <v>6479189184.05</v>
      </c>
    </row>
    <row r="420" ht="15" customHeight="1">
      <c r="A420" s="1885" t="inlineStr">
        <is>
          <t>Unearned Revenue - Total</t>
        </is>
      </c>
      <c r="B420" s="1807" t="n">
        <v>171471.77</v>
      </c>
      <c r="C420" s="1807" t="n">
        <v>99478435.63</v>
      </c>
      <c r="D420" s="1807" t="n">
        <v>135124692.73</v>
      </c>
      <c r="E420" s="1807" t="n">
        <v>137850099.06</v>
      </c>
      <c r="F420" s="1807" t="n">
        <v>23842066.05</v>
      </c>
    </row>
    <row r="421" ht="15" customHeight="1">
      <c r="A421" s="1885" t="inlineStr">
        <is>
          <t>Working Capital</t>
        </is>
      </c>
      <c r="B421" s="1807" t="n">
        <v>9650898.24</v>
      </c>
      <c r="C421" s="1807" t="n">
        <v>88093767.01000001</v>
      </c>
      <c r="D421" s="1807" t="n">
        <v>39991899.29</v>
      </c>
      <c r="E421" s="1807" t="n">
        <v>2835595.43</v>
      </c>
      <c r="F421" s="1807" t="n">
        <v>4706853475.25</v>
      </c>
    </row>
    <row r="422" ht="15" customHeight="1">
      <c r="A422" s="1885" t="inlineStr">
        <is>
          <t>Working Capital - Non-Cash</t>
        </is>
      </c>
      <c r="B422" s="1807" t="n">
        <v>-914575.92</v>
      </c>
      <c r="C422" s="1807" t="n">
        <v>67164991.77</v>
      </c>
      <c r="D422" s="1807" t="n">
        <v>-80639.84</v>
      </c>
      <c r="E422" s="1807" t="n">
        <v>-15659430.74</v>
      </c>
      <c r="F422" s="1807" t="n">
        <v>-1457845043.27</v>
      </c>
    </row>
    <row r="423" ht="15" customHeight="1">
      <c r="A423" s="1885" t="inlineStr">
        <is>
          <t>Working Capital excluding Other Current Assets &amp; Liabilities</t>
        </is>
      </c>
      <c r="B423" s="1807" t="n">
        <v>10465956.89</v>
      </c>
      <c r="C423" s="1807" t="n">
        <v>98714491.83</v>
      </c>
      <c r="D423" s="1807" t="n">
        <v>77187966.62</v>
      </c>
      <c r="E423" s="1807" t="n">
        <v>20853492.86</v>
      </c>
      <c r="F423" s="1807" t="n">
        <v>4783523620.91</v>
      </c>
    </row>
    <row r="424" ht="15" customHeight="1">
      <c r="A424" s="1885" t="inlineStr">
        <is>
          <t>Book Value excluding Other Equity</t>
        </is>
      </c>
      <c r="B424" s="1807" t="n">
        <v>510733474.28</v>
      </c>
      <c r="C424" s="1807" t="n">
        <v>607410224.54</v>
      </c>
      <c r="D424" s="1807" t="n">
        <v>665873105.09</v>
      </c>
      <c r="E424" s="1807" t="n">
        <v>966756271.64</v>
      </c>
      <c r="F424" s="1807" t="n">
        <v>7299442709.11</v>
      </c>
    </row>
    <row r="425" ht="15" customHeight="1">
      <c r="A425" s="1885" t="inlineStr">
        <is>
          <t>Total Indefinite-lived Intangible Assets - Net (excl Goodwill) - Supplemental</t>
        </is>
      </c>
      <c r="B425" s="731" t="n"/>
      <c r="C425" s="731" t="n"/>
      <c r="D425" s="731" t="n"/>
      <c r="E425" s="731" t="n"/>
      <c r="F425" s="731" t="n"/>
    </row>
    <row r="426" ht="15" customHeight="1">
      <c r="A426" s="1885" t="inlineStr">
        <is>
          <t>Tangible Common Equity Ratio - Total</t>
        </is>
      </c>
      <c r="B426" s="731" t="n"/>
      <c r="C426" s="731" t="n"/>
      <c r="D426" s="731" t="n"/>
      <c r="E426" s="731" t="n"/>
      <c r="F426" s="731" t="n"/>
    </row>
    <row r="427" ht="15" customHeight="1">
      <c r="A427" s="1885" t="inlineStr">
        <is>
          <t>Order Backlog</t>
        </is>
      </c>
      <c r="B427" s="731" t="n"/>
      <c r="C427" s="731" t="n"/>
      <c r="D427" s="731" t="n"/>
      <c r="E427" s="731" t="n"/>
      <c r="F427" s="731" t="n"/>
    </row>
    <row r="428" ht="15" customHeight="1">
      <c r="A428" s="1885" t="inlineStr">
        <is>
          <t>Customer Liabilities on Acceptances - Assets</t>
        </is>
      </c>
      <c r="B428" s="731" t="n"/>
      <c r="C428" s="731" t="n"/>
      <c r="D428" s="731" t="n"/>
      <c r="E428" s="731" t="n"/>
      <c r="F428" s="731" t="n"/>
    </row>
    <row r="429" ht="15" customHeight="1">
      <c r="A429" s="1885" t="inlineStr">
        <is>
          <t>Customer Liabilities on Acceptances - Liabilities</t>
        </is>
      </c>
      <c r="B429" s="731" t="n"/>
      <c r="C429" s="731" t="n"/>
      <c r="D429" s="731" t="n"/>
      <c r="E429" s="731" t="n"/>
      <c r="F429" s="731" t="n"/>
    </row>
    <row r="430" ht="15" customHeight="1">
      <c r="A430" s="1885" t="inlineStr">
        <is>
          <t>Average Assets Under Management</t>
        </is>
      </c>
      <c r="B430" s="731" t="n"/>
      <c r="C430" s="731" t="n"/>
      <c r="D430" s="731" t="n"/>
      <c r="E430" s="731" t="n"/>
      <c r="F430" s="731" t="n"/>
    </row>
    <row r="431" ht="15" customHeight="1">
      <c r="A431" s="1885" t="inlineStr">
        <is>
          <t>Total High Quality Liquid Assets (HQLA)</t>
        </is>
      </c>
      <c r="B431" s="731" t="n"/>
      <c r="C431" s="731" t="n"/>
      <c r="D431" s="731" t="n"/>
      <c r="E431" s="731" t="n"/>
      <c r="F431" s="731" t="n"/>
    </row>
    <row r="432" ht="15" customHeight="1">
      <c r="A432" s="1885" t="inlineStr">
        <is>
          <t>Total Net Cash Outflows (NCO)</t>
        </is>
      </c>
      <c r="B432" s="731" t="n"/>
      <c r="C432" s="731" t="n"/>
      <c r="D432" s="731" t="n"/>
      <c r="E432" s="731" t="n"/>
      <c r="F432" s="731" t="n"/>
    </row>
    <row r="433" ht="15" customHeight="1">
      <c r="A433" s="1885" t="inlineStr">
        <is>
          <t>Number of Branches - Domestic</t>
        </is>
      </c>
      <c r="B433" s="731" t="n"/>
      <c r="C433" s="731" t="n"/>
      <c r="D433" s="731" t="n"/>
      <c r="E433" s="731" t="n"/>
      <c r="F433" s="731" t="n"/>
    </row>
    <row r="434" ht="15" customHeight="1">
      <c r="A434" s="1885" t="inlineStr">
        <is>
          <t>Number of Branches - Total</t>
        </is>
      </c>
      <c r="B434" s="731" t="n"/>
      <c r="C434" s="731" t="n"/>
      <c r="D434" s="731" t="n"/>
      <c r="E434" s="731" t="n"/>
      <c r="F434" s="731" t="n"/>
    </row>
    <row r="435" ht="15" customHeight="1">
      <c r="A435" s="1885" t="inlineStr">
        <is>
          <t>Number of Branches - Foreign</t>
        </is>
      </c>
      <c r="B435" s="731" t="n"/>
      <c r="C435" s="731" t="n"/>
      <c r="D435" s="731" t="n"/>
      <c r="E435" s="731" t="n"/>
      <c r="F435" s="731" t="n"/>
    </row>
    <row r="436" ht="15" customHeight="1">
      <c r="A436" s="733" t="n"/>
      <c r="B436" s="734" t="n"/>
      <c r="C436" s="734" t="n"/>
      <c r="D436" s="734" t="n"/>
      <c r="E436" s="734" t="n"/>
      <c r="F436" s="734" t="n"/>
    </row>
    <row r="437" ht="15" customHeight="1">
      <c r="A437" s="1885" t="inlineStr">
        <is>
          <t>Tangible Common Equity Ratio - Total</t>
        </is>
      </c>
      <c r="B437" s="731" t="n"/>
      <c r="C437" s="731" t="n"/>
      <c r="D437" s="731" t="n"/>
      <c r="E437" s="731" t="n"/>
      <c r="F437" s="731" t="n"/>
    </row>
    <row r="438" ht="15" customHeight="1">
      <c r="A438" s="1884" t="inlineStr">
        <is>
          <t>Shareholders</t>
        </is>
      </c>
      <c r="B438" s="734" t="n"/>
      <c r="C438" s="734" t="n"/>
      <c r="D438" s="734" t="n"/>
      <c r="E438" s="734" t="n"/>
      <c r="F438" s="734" t="n"/>
    </row>
    <row r="439" ht="15" customHeight="1">
      <c r="A439" s="1885" t="inlineStr">
        <is>
          <t>Common Shareholders - Number</t>
        </is>
      </c>
      <c r="B439" s="731" t="n"/>
      <c r="C439" s="731" t="n"/>
      <c r="D439" s="731" t="n"/>
      <c r="E439" s="1807" t="n">
        <v>10620</v>
      </c>
      <c r="F439" s="1807" t="n">
        <v>68031</v>
      </c>
    </row>
    <row r="440" ht="15" customHeight="1">
      <c r="A440" s="1884" t="inlineStr">
        <is>
          <t>Operating Lease Maturity</t>
        </is>
      </c>
      <c r="B440" s="734" t="n"/>
      <c r="C440" s="734" t="n"/>
      <c r="D440" s="734" t="n"/>
      <c r="E440" s="734" t="n"/>
      <c r="F440" s="734" t="n"/>
    </row>
    <row r="441" ht="15" customHeight="1">
      <c r="A441" s="1885" t="inlineStr">
        <is>
          <t>Operating Lease Payments - Total</t>
        </is>
      </c>
      <c r="B441" s="731" t="n"/>
      <c r="C441" s="731" t="n"/>
      <c r="D441" s="731" t="n"/>
      <c r="E441" s="731" t="n"/>
      <c r="F441" s="731" t="n"/>
    </row>
    <row r="442" ht="15" customHeight="1">
      <c r="A442" s="1886" t="inlineStr">
        <is>
          <t>Operating Lease Payments - Due in Year 1</t>
        </is>
      </c>
      <c r="B442" s="731" t="n"/>
      <c r="C442" s="731" t="n"/>
      <c r="D442" s="731" t="n"/>
      <c r="E442" s="731" t="n"/>
      <c r="F442" s="731" t="n"/>
    </row>
    <row r="443" ht="15" customHeight="1">
      <c r="A443" s="1886" t="inlineStr">
        <is>
          <t>Operating Lease Payments - Due in Year 2</t>
        </is>
      </c>
      <c r="B443" s="731" t="n"/>
      <c r="C443" s="731" t="n"/>
      <c r="D443" s="731" t="n"/>
      <c r="E443" s="731" t="n"/>
      <c r="F443" s="731" t="n"/>
    </row>
    <row r="444" ht="15" customHeight="1">
      <c r="A444" s="1886" t="inlineStr">
        <is>
          <t>Operating Lease Payments - Due in Year 3</t>
        </is>
      </c>
      <c r="B444" s="731" t="n"/>
      <c r="C444" s="731" t="n"/>
      <c r="D444" s="731" t="n"/>
      <c r="E444" s="731" t="n"/>
      <c r="F444" s="731" t="n"/>
    </row>
    <row r="445" ht="15" customHeight="1">
      <c r="A445" s="1886" t="inlineStr">
        <is>
          <t>Operating Lease Payments - Due in Year 4</t>
        </is>
      </c>
      <c r="B445" s="731" t="n"/>
      <c r="C445" s="731" t="n"/>
      <c r="D445" s="731" t="n"/>
      <c r="E445" s="731" t="n"/>
      <c r="F445" s="731" t="n"/>
    </row>
    <row r="446" ht="15" customHeight="1">
      <c r="A446" s="1886" t="inlineStr">
        <is>
          <t>Operating Lease Payments - Due in Year 5</t>
        </is>
      </c>
      <c r="B446" s="731" t="n"/>
      <c r="C446" s="731" t="n"/>
      <c r="D446" s="731" t="n"/>
      <c r="E446" s="731" t="n"/>
      <c r="F446" s="731" t="n"/>
    </row>
    <row r="447" ht="15" customHeight="1">
      <c r="A447" s="1886" t="inlineStr">
        <is>
          <t>Operating Lease Payments - Due in Year 6</t>
        </is>
      </c>
      <c r="B447" s="731" t="n"/>
      <c r="C447" s="731" t="n"/>
      <c r="D447" s="731" t="n"/>
      <c r="E447" s="731" t="n"/>
      <c r="F447" s="731" t="n"/>
    </row>
    <row r="448" ht="15" customHeight="1">
      <c r="A448" s="1886" t="inlineStr">
        <is>
          <t>Operating Lease Payments - Due in Year 7</t>
        </is>
      </c>
      <c r="B448" s="731" t="n"/>
      <c r="C448" s="731" t="n"/>
      <c r="D448" s="731" t="n"/>
      <c r="E448" s="731" t="n"/>
      <c r="F448" s="731" t="n"/>
    </row>
    <row r="449" ht="15" customHeight="1">
      <c r="A449" s="1886" t="inlineStr">
        <is>
          <t>Operating Lease Payments - Due in Year 8</t>
        </is>
      </c>
      <c r="B449" s="731" t="n"/>
      <c r="C449" s="731" t="n"/>
      <c r="D449" s="731" t="n"/>
      <c r="E449" s="731" t="n"/>
      <c r="F449" s="731" t="n"/>
    </row>
    <row r="450" ht="15" customHeight="1">
      <c r="A450" s="1886" t="inlineStr">
        <is>
          <t>Operating Lease Payments - Due in Year 9</t>
        </is>
      </c>
      <c r="B450" s="731" t="n"/>
      <c r="C450" s="731" t="n"/>
      <c r="D450" s="731" t="n"/>
      <c r="E450" s="731" t="n"/>
      <c r="F450" s="731" t="n"/>
    </row>
    <row r="451" ht="15" customHeight="1">
      <c r="A451" s="1886" t="inlineStr">
        <is>
          <t>Operating Lease Payments - Due in Year 10</t>
        </is>
      </c>
      <c r="B451" s="731" t="n"/>
      <c r="C451" s="731" t="n"/>
      <c r="D451" s="731" t="n"/>
      <c r="E451" s="731" t="n"/>
      <c r="F451" s="731" t="n"/>
    </row>
    <row r="452" ht="15" customHeight="1">
      <c r="A452" s="1886" t="inlineStr">
        <is>
          <t>Operating Lease Payments - Remaining Maturities</t>
        </is>
      </c>
      <c r="B452" s="731" t="n"/>
      <c r="C452" s="731" t="n"/>
      <c r="D452" s="731" t="n"/>
      <c r="E452" s="731" t="n"/>
      <c r="F452" s="731" t="n"/>
    </row>
    <row r="453" ht="15" customHeight="1">
      <c r="A453" s="1886" t="inlineStr">
        <is>
          <t>Operating Lease Payments - Interest Cost/Imputed Interest</t>
        </is>
      </c>
      <c r="B453" s="731" t="n"/>
      <c r="C453" s="731" t="n"/>
      <c r="D453" s="731" t="n"/>
      <c r="E453" s="731" t="n"/>
      <c r="F453" s="731" t="n"/>
    </row>
    <row r="454" ht="15" customHeight="1">
      <c r="A454" s="1885" t="inlineStr">
        <is>
          <t>Operating Lease Payments - Due in 2-3 Years</t>
        </is>
      </c>
      <c r="B454" s="731" t="n"/>
      <c r="C454" s="731" t="n"/>
      <c r="D454" s="731" t="n"/>
      <c r="E454" s="731" t="n"/>
      <c r="F454" s="731" t="n"/>
    </row>
    <row r="455" ht="15" customHeight="1">
      <c r="A455" s="1885" t="inlineStr">
        <is>
          <t>Operating Lease Payments - Due in 4-5 Years</t>
        </is>
      </c>
      <c r="B455" s="731" t="n"/>
      <c r="C455" s="731" t="n"/>
      <c r="D455" s="731" t="n"/>
      <c r="E455" s="731" t="n"/>
      <c r="F455" s="731" t="n"/>
    </row>
    <row r="456" ht="15" customHeight="1">
      <c r="A456" s="1885" t="inlineStr">
        <is>
          <t>Operating Lease Payments - Due in Year 6 &amp; Beyond</t>
        </is>
      </c>
      <c r="B456" s="731" t="n"/>
      <c r="C456" s="731" t="n"/>
      <c r="D456" s="731" t="n"/>
      <c r="E456" s="731" t="n"/>
      <c r="F456" s="731" t="n"/>
    </row>
    <row r="457" ht="15" customHeight="1">
      <c r="A457" s="1884" t="inlineStr">
        <is>
          <t>Risk Related</t>
        </is>
      </c>
      <c r="B457" s="734" t="n"/>
      <c r="C457" s="734" t="n"/>
      <c r="D457" s="734" t="n"/>
      <c r="E457" s="734" t="n"/>
      <c r="F457" s="734" t="n"/>
    </row>
    <row r="458" ht="15" customHeight="1">
      <c r="A458" s="1885" t="inlineStr">
        <is>
          <t>Level 1 Assets - Fair Value</t>
        </is>
      </c>
      <c r="B458" s="731" t="n"/>
      <c r="C458" s="731" t="n"/>
      <c r="D458" s="731" t="n"/>
      <c r="E458" s="731" t="n"/>
      <c r="F458" s="731" t="n"/>
    </row>
    <row r="459" ht="15" customHeight="1">
      <c r="A459" s="1885" t="inlineStr">
        <is>
          <t>Level 2 Assets - Fair Value</t>
        </is>
      </c>
      <c r="B459" s="731" t="n"/>
      <c r="C459" s="731" t="n"/>
      <c r="D459" s="731" t="n"/>
      <c r="E459" s="731" t="n"/>
      <c r="F459" s="731" t="n"/>
    </row>
    <row r="460" ht="15" customHeight="1">
      <c r="A460" s="1885" t="inlineStr">
        <is>
          <t>Level 3 Assets - Fair Value</t>
        </is>
      </c>
      <c r="B460" s="731" t="n"/>
      <c r="C460" s="731" t="n"/>
      <c r="D460" s="731" t="n"/>
      <c r="E460" s="731" t="n"/>
      <c r="F460" s="731" t="n"/>
    </row>
    <row r="461" ht="15" customHeight="1">
      <c r="A461" s="1885" t="inlineStr">
        <is>
          <t>Level 1 Liabilities - Fair Value</t>
        </is>
      </c>
      <c r="B461" s="731" t="n"/>
      <c r="C461" s="731" t="n"/>
      <c r="D461" s="731" t="n"/>
      <c r="E461" s="731" t="n"/>
      <c r="F461" s="731" t="n"/>
    </row>
    <row r="462" ht="15" customHeight="1">
      <c r="A462" s="1885" t="inlineStr">
        <is>
          <t>Level 2 Liabilities - Fair Value</t>
        </is>
      </c>
      <c r="B462" s="731" t="n"/>
      <c r="C462" s="731" t="n"/>
      <c r="D462" s="731" t="n"/>
      <c r="E462" s="731" t="n"/>
      <c r="F462" s="731" t="n"/>
    </row>
    <row r="463" ht="15" customHeight="1">
      <c r="A463" s="1885" t="inlineStr">
        <is>
          <t>Level 3 Liabilities - Fair Value</t>
        </is>
      </c>
      <c r="B463" s="731" t="n"/>
      <c r="C463" s="731" t="n"/>
      <c r="D463" s="731" t="n"/>
      <c r="E463" s="731" t="n"/>
      <c r="F463" s="731" t="n"/>
    </row>
    <row r="464" ht="15" customHeight="1">
      <c r="A464" s="1885" t="inlineStr">
        <is>
          <t>Credit Exposure</t>
        </is>
      </c>
      <c r="B464" s="731" t="n"/>
      <c r="C464" s="731" t="n"/>
      <c r="D464" s="731" t="n"/>
      <c r="E464" s="731" t="n"/>
      <c r="F464" s="731" t="n"/>
    </row>
    <row r="465" ht="15" customHeight="1">
      <c r="A465" s="1885" t="inlineStr">
        <is>
          <t>Assets Under Management (AUM)</t>
        </is>
      </c>
      <c r="B465" s="731" t="n"/>
      <c r="C465" s="731" t="n"/>
      <c r="D465" s="731" t="n"/>
      <c r="E465" s="731" t="n"/>
      <c r="F465" s="731" t="n"/>
    </row>
    <row r="466" ht="15" customHeight="1">
      <c r="A466" s="1884" t="inlineStr">
        <is>
          <t>Capital Adequacy</t>
        </is>
      </c>
      <c r="B466" s="734" t="n"/>
      <c r="C466" s="734" t="n"/>
      <c r="D466" s="734" t="n"/>
      <c r="E466" s="734" t="n"/>
      <c r="F466" s="734" t="n"/>
    </row>
    <row r="467" ht="15" customHeight="1">
      <c r="A467" s="1885" t="inlineStr">
        <is>
          <t>Capital Adequacy - Total (Value)</t>
        </is>
      </c>
      <c r="B467" s="731" t="n"/>
      <c r="C467" s="731" t="n"/>
      <c r="D467" s="731" t="n"/>
      <c r="E467" s="731" t="n"/>
      <c r="F467" s="731" t="n"/>
    </row>
    <row r="468" ht="15" customHeight="1">
      <c r="A468" s="1886" t="inlineStr">
        <is>
          <t>Capital Adequacy - Tier 1 (Value)</t>
        </is>
      </c>
      <c r="B468" s="731" t="n"/>
      <c r="C468" s="731" t="n"/>
      <c r="D468" s="731" t="n"/>
      <c r="E468" s="731" t="n"/>
      <c r="F468" s="731" t="n"/>
    </row>
    <row r="469" ht="15" customHeight="1">
      <c r="A469" s="1887" t="inlineStr">
        <is>
          <t>Capital Adequacy - Core Tier 1 (Value)</t>
        </is>
      </c>
      <c r="B469" s="731" t="n"/>
      <c r="C469" s="731" t="n"/>
      <c r="D469" s="731" t="n"/>
      <c r="E469" s="731" t="n"/>
      <c r="F469" s="731" t="n"/>
    </row>
    <row r="470" ht="15" customHeight="1">
      <c r="A470" s="1887" t="inlineStr">
        <is>
          <t>Capital Adequacy - Hybrid Tier 1 (included in Tier 1 Capital - Value)</t>
        </is>
      </c>
      <c r="B470" s="731" t="n"/>
      <c r="C470" s="731" t="n"/>
      <c r="D470" s="731" t="n"/>
      <c r="E470" s="731" t="n"/>
      <c r="F470" s="731" t="n"/>
    </row>
    <row r="471" ht="15" customHeight="1">
      <c r="A471" s="1886" t="inlineStr">
        <is>
          <t>Capital Adequacy - Tier 2 (Value)</t>
        </is>
      </c>
      <c r="B471" s="731" t="n"/>
      <c r="C471" s="731" t="n"/>
      <c r="D471" s="731" t="n"/>
      <c r="E471" s="731" t="n"/>
      <c r="F471" s="731" t="n"/>
    </row>
    <row r="472" ht="15" customHeight="1">
      <c r="A472" s="1886" t="inlineStr">
        <is>
          <t>Capital Adequacy - Tier 3 (Value)</t>
        </is>
      </c>
      <c r="B472" s="731" t="n"/>
      <c r="C472" s="731" t="n"/>
      <c r="D472" s="731" t="n"/>
      <c r="E472" s="731" t="n"/>
      <c r="F472" s="731" t="n"/>
    </row>
    <row r="473" ht="15" customHeight="1">
      <c r="A473" s="1885" t="inlineStr">
        <is>
          <t>Capital Adequacy - Total (%)</t>
        </is>
      </c>
      <c r="B473" s="731" t="n"/>
      <c r="C473" s="731" t="n"/>
      <c r="D473" s="731" t="n"/>
      <c r="E473" s="731" t="n"/>
      <c r="F473" s="731" t="n"/>
    </row>
    <row r="474" ht="15" customHeight="1">
      <c r="A474" s="1886" t="inlineStr">
        <is>
          <t>Capital Adequacy - Tier 1 (%)</t>
        </is>
      </c>
      <c r="B474" s="731" t="n"/>
      <c r="C474" s="731" t="n"/>
      <c r="D474" s="731" t="n"/>
      <c r="E474" s="731" t="n"/>
      <c r="F474" s="731" t="n"/>
    </row>
    <row r="475" ht="15" customHeight="1">
      <c r="A475" s="1887" t="inlineStr">
        <is>
          <t>Capital Adequacy - Core Tier 1 (%)</t>
        </is>
      </c>
      <c r="B475" s="731" t="n"/>
      <c r="C475" s="731" t="n"/>
      <c r="D475" s="731" t="n"/>
      <c r="E475" s="731" t="n"/>
      <c r="F475" s="731" t="n"/>
    </row>
    <row r="476" ht="15" customHeight="1">
      <c r="A476" s="1886" t="inlineStr">
        <is>
          <t>Capital Adequacy - Tier 2 (%)</t>
        </is>
      </c>
      <c r="B476" s="731" t="n"/>
      <c r="C476" s="731" t="n"/>
      <c r="D476" s="731" t="n"/>
      <c r="E476" s="731" t="n"/>
      <c r="F476" s="731" t="n"/>
    </row>
    <row r="477" ht="15" customHeight="1">
      <c r="A477" s="1886" t="inlineStr">
        <is>
          <t>Capital Adequacy - Tier 3 (%)</t>
        </is>
      </c>
      <c r="B477" s="731" t="n"/>
      <c r="C477" s="731" t="n"/>
      <c r="D477" s="731" t="n"/>
      <c r="E477" s="731" t="n"/>
      <c r="F477" s="731" t="n"/>
    </row>
    <row r="478" ht="15" customHeight="1">
      <c r="A478" s="1885" t="inlineStr">
        <is>
          <t>Risk Weighted Assets</t>
        </is>
      </c>
      <c r="B478" s="731" t="n"/>
      <c r="C478" s="731" t="n"/>
      <c r="D478" s="731" t="n"/>
      <c r="E478" s="731" t="n"/>
      <c r="F478" s="731" t="n"/>
    </row>
    <row r="479" ht="15" customHeight="1">
      <c r="A479" s="1885" t="inlineStr">
        <is>
          <t>Liquidity Coverage Ratio - Basel 3 - %</t>
        </is>
      </c>
      <c r="B479" s="731" t="n"/>
      <c r="C479" s="731" t="n"/>
      <c r="D479" s="731" t="n"/>
      <c r="E479" s="731" t="n"/>
      <c r="F479" s="731" t="n"/>
    </row>
    <row r="480" ht="15" customHeight="1">
      <c r="A480" s="1885" t="inlineStr">
        <is>
          <t>Solvency Margin Ratio – Insurance</t>
        </is>
      </c>
      <c r="B480" s="731" t="n"/>
      <c r="C480" s="731" t="n"/>
      <c r="D480" s="731" t="n"/>
      <c r="E480" s="731" t="n"/>
      <c r="F480" s="731" t="n"/>
    </row>
    <row r="481" ht="15" customHeight="1">
      <c r="A481" s="1885" t="inlineStr">
        <is>
          <t>Leverage Ratio - Basel 3 - %</t>
        </is>
      </c>
      <c r="B481" s="731" t="n"/>
      <c r="C481" s="731" t="n"/>
      <c r="D481" s="731" t="n"/>
      <c r="E481" s="731" t="n"/>
      <c r="F481" s="731" t="n"/>
    </row>
    <row r="482" ht="15" customHeight="1">
      <c r="A482" s="1885" t="inlineStr">
        <is>
          <t>Net Stable Funding Ratio - Basel 3 - %</t>
        </is>
      </c>
      <c r="B482" s="731" t="n"/>
      <c r="C482" s="731" t="n"/>
      <c r="D482" s="731" t="n"/>
      <c r="E482" s="731" t="n"/>
      <c r="F482" s="731" t="n"/>
    </row>
    <row r="483" ht="15" customHeight="1">
      <c r="A483" s="1885" t="inlineStr">
        <is>
          <t>Solvency Ratio – Insurance</t>
        </is>
      </c>
      <c r="B483" s="731" t="n"/>
      <c r="C483" s="731" t="n"/>
      <c r="D483" s="731" t="n"/>
      <c r="E483" s="731" t="n"/>
      <c r="F483" s="731" t="n"/>
    </row>
    <row r="484" ht="15" customHeight="1">
      <c r="A484" s="1884" t="inlineStr">
        <is>
          <t>Nonperforming Loans/Assets</t>
        </is>
      </c>
      <c r="B484" s="734" t="n"/>
      <c r="C484" s="734" t="n"/>
      <c r="D484" s="734" t="n"/>
      <c r="E484" s="734" t="n"/>
      <c r="F484" s="734" t="n"/>
    </row>
    <row r="485" ht="15" customHeight="1">
      <c r="A485" s="1885" t="inlineStr">
        <is>
          <t>Non-Performing Assets - Loans &amp; Other</t>
        </is>
      </c>
      <c r="B485" s="731" t="n"/>
      <c r="C485" s="731" t="n"/>
      <c r="D485" s="731" t="n"/>
      <c r="E485" s="731" t="n"/>
      <c r="F485" s="731" t="n"/>
    </row>
    <row r="486" ht="15" customHeight="1">
      <c r="A486" s="1886" t="inlineStr">
        <is>
          <t>Non-Performing Assets - Other than Loans</t>
        </is>
      </c>
      <c r="B486" s="731" t="n"/>
      <c r="C486" s="731" t="n"/>
      <c r="D486" s="731" t="n"/>
      <c r="E486" s="731" t="n"/>
      <c r="F486" s="731" t="n"/>
    </row>
    <row r="487" ht="15" customHeight="1">
      <c r="A487" s="1886" t="inlineStr">
        <is>
          <t>Loans - Non-Performing &amp; Impaired</t>
        </is>
      </c>
      <c r="B487" s="731" t="n"/>
      <c r="C487" s="731" t="n"/>
      <c r="D487" s="731" t="n"/>
      <c r="E487" s="731" t="n"/>
      <c r="F487" s="731" t="n"/>
    </row>
    <row r="488" ht="15" customHeight="1">
      <c r="A488" s="1887" t="inlineStr">
        <is>
          <t>Loans - Impaired -Total</t>
        </is>
      </c>
      <c r="B488" s="731" t="n"/>
      <c r="C488" s="731" t="n"/>
      <c r="D488" s="731" t="n"/>
      <c r="E488" s="731" t="n"/>
      <c r="F488" s="731" t="n"/>
    </row>
    <row r="489" ht="15" customHeight="1">
      <c r="A489" s="1890" t="inlineStr">
        <is>
          <t>Loans - Impaired - Non-Performing</t>
        </is>
      </c>
      <c r="B489" s="731" t="n"/>
      <c r="C489" s="731" t="n"/>
      <c r="D489" s="731" t="n"/>
      <c r="E489" s="731" t="n"/>
      <c r="F489" s="731" t="n"/>
    </row>
    <row r="490" ht="15" customHeight="1">
      <c r="A490" s="1890" t="inlineStr">
        <is>
          <t>Loans - Impaired - Sub-Performing &amp; Performing but Impaired</t>
        </is>
      </c>
      <c r="B490" s="731" t="n"/>
      <c r="C490" s="731" t="n"/>
      <c r="D490" s="731" t="n"/>
      <c r="E490" s="731" t="n"/>
      <c r="F490" s="731" t="n"/>
    </row>
    <row r="491" ht="15" customHeight="1">
      <c r="A491" s="1887" t="inlineStr">
        <is>
          <t>Loans - Performing and Non-Performing - Not Impaired</t>
        </is>
      </c>
      <c r="B491" s="731" t="n"/>
      <c r="C491" s="731" t="n"/>
      <c r="D491" s="731" t="n"/>
      <c r="E491" s="731" t="n"/>
      <c r="F491" s="731" t="n"/>
    </row>
    <row r="492" ht="15" customHeight="1">
      <c r="A492" s="1887" t="inlineStr">
        <is>
          <t>Loans - Non Performing - Not Impaired but Past Due</t>
        </is>
      </c>
      <c r="B492" s="731" t="n"/>
      <c r="C492" s="731" t="n"/>
      <c r="D492" s="731" t="n"/>
      <c r="E492" s="731" t="n"/>
      <c r="F492" s="731" t="n"/>
    </row>
    <row r="493" ht="15" customHeight="1">
      <c r="A493" s="1890" t="inlineStr">
        <is>
          <t>Loans - Non-Performing - Not Impaired but Past Due - 0 to 90 Days</t>
        </is>
      </c>
      <c r="B493" s="731" t="n"/>
      <c r="C493" s="731" t="n"/>
      <c r="D493" s="731" t="n"/>
      <c r="E493" s="731" t="n"/>
      <c r="F493" s="731" t="n"/>
    </row>
    <row r="494" ht="15" customHeight="1">
      <c r="A494" s="1890" t="inlineStr">
        <is>
          <t>Loans - Non-Performing - Not Impaired but Past Due - over 90 Days</t>
        </is>
      </c>
      <c r="B494" s="731" t="n"/>
      <c r="C494" s="731" t="n"/>
      <c r="D494" s="731" t="n"/>
      <c r="E494" s="731" t="n"/>
      <c r="F494" s="731" t="n"/>
    </row>
    <row r="495" ht="15" customHeight="1">
      <c r="A495" s="1887" t="inlineStr">
        <is>
          <t>Loans - Performing - Not Impaired &amp; Not Past Due</t>
        </is>
      </c>
      <c r="B495" s="731" t="n"/>
      <c r="C495" s="731" t="n"/>
      <c r="D495" s="731" t="n"/>
      <c r="E495" s="731" t="n"/>
      <c r="F495" s="731" t="n"/>
    </row>
    <row r="496" ht="15" customHeight="1">
      <c r="A496" s="1886" t="inlineStr">
        <is>
          <t>Impaired Assets - Total</t>
        </is>
      </c>
      <c r="B496" s="731" t="n"/>
      <c r="C496" s="731" t="n"/>
      <c r="D496" s="731" t="n"/>
      <c r="E496" s="731" t="n"/>
      <c r="F496" s="731" t="n"/>
    </row>
    <row r="497" ht="15" customHeight="1">
      <c r="A497" s="1887" t="inlineStr">
        <is>
          <t>Impaired Assets - Impaired Loans and Other</t>
        </is>
      </c>
      <c r="B497" s="731" t="n"/>
      <c r="C497" s="731" t="n"/>
      <c r="D497" s="731" t="n"/>
      <c r="E497" s="731" t="n"/>
      <c r="F497" s="731" t="n"/>
    </row>
    <row r="498" ht="15" customHeight="1">
      <c r="A498" s="1887" t="inlineStr">
        <is>
          <t>Impaired Assets - excluding Impaired Loans</t>
        </is>
      </c>
      <c r="B498" s="731" t="n"/>
      <c r="C498" s="731" t="n"/>
      <c r="D498" s="731" t="n"/>
      <c r="E498" s="731" t="n"/>
      <c r="F498" s="731" t="n"/>
    </row>
    <row r="499" ht="15" customHeight="1">
      <c r="A499" s="1885" t="inlineStr">
        <is>
          <t>Loans - Stage 1 - Gross, Total</t>
        </is>
      </c>
      <c r="B499" s="731" t="n"/>
      <c r="C499" s="731" t="n"/>
      <c r="D499" s="731" t="n"/>
      <c r="E499" s="731" t="n"/>
      <c r="F499" s="731" t="n"/>
    </row>
    <row r="500" ht="15" customHeight="1">
      <c r="A500" s="1885" t="inlineStr">
        <is>
          <t>Loans - Stage 2 - Gross, Total</t>
        </is>
      </c>
      <c r="B500" s="731" t="n"/>
      <c r="C500" s="731" t="n"/>
      <c r="D500" s="731" t="n"/>
      <c r="E500" s="731" t="n"/>
      <c r="F500" s="731" t="n"/>
    </row>
    <row r="501" ht="15" customHeight="1">
      <c r="A501" s="1885" t="inlineStr">
        <is>
          <t>Loans - Stage 3 - Gross, Total</t>
        </is>
      </c>
      <c r="B501" s="731" t="n"/>
      <c r="C501" s="731" t="n"/>
      <c r="D501" s="731" t="n"/>
      <c r="E501" s="731" t="n"/>
      <c r="F501" s="731" t="n"/>
    </row>
    <row r="502" ht="15" customHeight="1">
      <c r="A502" s="1885" t="inlineStr">
        <is>
          <t>Loans - Not Past Due</t>
        </is>
      </c>
      <c r="B502" s="731" t="n"/>
      <c r="C502" s="731" t="n"/>
      <c r="D502" s="731" t="n"/>
      <c r="E502" s="731" t="n"/>
      <c r="F502" s="731" t="n"/>
    </row>
    <row r="503" ht="15" customHeight="1">
      <c r="A503" s="1885" t="inlineStr">
        <is>
          <t>Loans - Total Past Due</t>
        </is>
      </c>
      <c r="B503" s="731" t="n"/>
      <c r="C503" s="731" t="n"/>
      <c r="D503" s="731" t="n"/>
      <c r="E503" s="731" t="n"/>
      <c r="F503" s="731" t="n"/>
    </row>
    <row r="504" ht="15" customHeight="1">
      <c r="A504" s="1886" t="inlineStr">
        <is>
          <t>Loans - Past Due &lt; 90 days</t>
        </is>
      </c>
      <c r="B504" s="731" t="n"/>
      <c r="C504" s="731" t="n"/>
      <c r="D504" s="731" t="n"/>
      <c r="E504" s="731" t="n"/>
      <c r="F504" s="731" t="n"/>
    </row>
    <row r="505" ht="15" customHeight="1">
      <c r="A505" s="1886" t="inlineStr">
        <is>
          <t>Loans - Past Due - Remaining Portion</t>
        </is>
      </c>
      <c r="B505" s="731" t="n"/>
      <c r="C505" s="731" t="n"/>
      <c r="D505" s="731" t="n"/>
      <c r="E505" s="731" t="n"/>
      <c r="F505" s="731" t="n"/>
    </row>
    <row r="506" ht="15" customHeight="1">
      <c r="A506" s="1885" t="inlineStr">
        <is>
          <t>Loans Purchased or Originated Credit-Impaired (POCI) - Gross, Total</t>
        </is>
      </c>
      <c r="B506" s="731" t="n"/>
      <c r="C506" s="731" t="n"/>
      <c r="D506" s="731" t="n"/>
      <c r="E506" s="731" t="n"/>
      <c r="F506" s="731" t="n"/>
    </row>
    <row r="507" ht="15" customHeight="1">
      <c r="A507" s="1885" t="inlineStr">
        <is>
          <t>Other Assets - Stage 1, Gross</t>
        </is>
      </c>
      <c r="B507" s="731" t="n"/>
      <c r="C507" s="731" t="n"/>
      <c r="D507" s="731" t="n"/>
      <c r="E507" s="731" t="n"/>
      <c r="F507" s="731" t="n"/>
    </row>
    <row r="508" ht="15" customHeight="1">
      <c r="A508" s="1885" t="inlineStr">
        <is>
          <t>Other Assets - Stage 2, Gross</t>
        </is>
      </c>
      <c r="B508" s="731" t="n"/>
      <c r="C508" s="731" t="n"/>
      <c r="D508" s="731" t="n"/>
      <c r="E508" s="731" t="n"/>
      <c r="F508" s="731" t="n"/>
    </row>
    <row r="509" ht="15" customHeight="1">
      <c r="A509" s="1885" t="inlineStr">
        <is>
          <t>Other Assets - Stage 3, Gross</t>
        </is>
      </c>
      <c r="B509" s="731" t="n"/>
      <c r="C509" s="731" t="n"/>
      <c r="D509" s="731" t="n"/>
      <c r="E509" s="731" t="n"/>
      <c r="F509" s="731" t="n"/>
    </row>
    <row r="510" ht="15" customHeight="1">
      <c r="A510" s="1885" t="inlineStr">
        <is>
          <t>Loans - Net Non-Performing - Company Reported</t>
        </is>
      </c>
      <c r="B510" s="731" t="n"/>
      <c r="C510" s="731" t="n"/>
      <c r="D510" s="731" t="n"/>
      <c r="E510" s="731" t="n"/>
      <c r="F510" s="731" t="n"/>
    </row>
    <row r="511" ht="15" customHeight="1">
      <c r="A511" s="1885" t="inlineStr">
        <is>
          <t>Loans - Net Non-Performing - %</t>
        </is>
      </c>
      <c r="B511" s="731" t="n"/>
      <c r="C511" s="731" t="n"/>
      <c r="D511" s="731" t="n"/>
      <c r="E511" s="731" t="n"/>
      <c r="F511" s="731" t="n"/>
    </row>
    <row r="512" ht="15" customHeight="1">
      <c r="A512" s="1885" t="inlineStr">
        <is>
          <t>Loans - Gross Non-Performing - As Reported</t>
        </is>
      </c>
      <c r="B512" s="731" t="n"/>
      <c r="C512" s="731" t="n"/>
      <c r="D512" s="731" t="n"/>
      <c r="E512" s="731" t="n"/>
      <c r="F512" s="731" t="n"/>
    </row>
    <row r="513" ht="15" customHeight="1">
      <c r="A513" s="1885" t="inlineStr">
        <is>
          <t>Loans - Gross Non-Performing - As Reported - %</t>
        </is>
      </c>
      <c r="B513" s="731" t="n"/>
      <c r="C513" s="731" t="n"/>
      <c r="D513" s="731" t="n"/>
      <c r="E513" s="731" t="n"/>
      <c r="F513" s="731" t="n"/>
    </row>
    <row r="514" ht="15" customHeight="1">
      <c r="A514" s="1885" t="inlineStr">
        <is>
          <t>Non-Performing Assets - Other than Loans - As Reported</t>
        </is>
      </c>
      <c r="B514" s="731" t="n"/>
      <c r="C514" s="731" t="n"/>
      <c r="D514" s="731" t="n"/>
      <c r="E514" s="731" t="n"/>
      <c r="F514" s="731" t="n"/>
    </row>
    <row r="515" ht="15" customHeight="1">
      <c r="A515" s="1885" t="inlineStr">
        <is>
          <t>Non-Performing Assets - Loans &amp; Other - As Reported</t>
        </is>
      </c>
      <c r="B515" s="731" t="n"/>
      <c r="C515" s="731" t="n"/>
      <c r="D515" s="731" t="n"/>
      <c r="E515" s="731" t="n"/>
      <c r="F515" s="731" t="n"/>
    </row>
    <row r="516" ht="15" customHeight="1">
      <c r="A516" s="1885" t="inlineStr">
        <is>
          <t>Interest Earning Assets - Average</t>
        </is>
      </c>
      <c r="B516" s="731" t="n"/>
      <c r="C516" s="731" t="n"/>
      <c r="D516" s="731" t="n"/>
      <c r="E516" s="731" t="n"/>
      <c r="F516" s="731" t="n"/>
    </row>
    <row r="517" ht="15" customHeight="1">
      <c r="A517" s="1885" t="inlineStr">
        <is>
          <t>Interest Bearing Liabilities - Average</t>
        </is>
      </c>
      <c r="B517" s="731" t="n"/>
      <c r="C517" s="731" t="n"/>
      <c r="D517" s="731" t="n"/>
      <c r="E517" s="731" t="n"/>
      <c r="F517" s="731" t="n"/>
    </row>
    <row r="518" ht="15" customHeight="1">
      <c r="A518" s="1885" t="inlineStr">
        <is>
          <t>Short-Term - Lending</t>
        </is>
      </c>
      <c r="B518" s="731" t="n"/>
      <c r="C518" s="731" t="n"/>
      <c r="D518" s="731" t="n"/>
      <c r="E518" s="731" t="n"/>
      <c r="F518" s="731" t="n"/>
    </row>
    <row r="519" ht="15" customHeight="1">
      <c r="A519" s="1885" t="inlineStr">
        <is>
          <t>Short-Term - Lending to Total Lending - %</t>
        </is>
      </c>
      <c r="B519" s="731" t="n"/>
      <c r="C519" s="731" t="n"/>
      <c r="D519" s="731" t="n"/>
      <c r="E519" s="731" t="n"/>
      <c r="F519" s="731" t="n"/>
    </row>
    <row r="520" ht="15" customHeight="1">
      <c r="A520" s="1885" t="inlineStr">
        <is>
          <t>Long-Term - Lending</t>
        </is>
      </c>
      <c r="B520" s="731" t="n"/>
      <c r="C520" s="731" t="n"/>
      <c r="D520" s="731" t="n"/>
      <c r="E520" s="731" t="n"/>
      <c r="F520" s="731" t="n"/>
    </row>
    <row r="521" ht="15" customHeight="1">
      <c r="A521" s="1885" t="inlineStr">
        <is>
          <t>Long-Term - Lending to Total Lending - %</t>
        </is>
      </c>
      <c r="B521" s="731" t="n"/>
      <c r="C521" s="731" t="n"/>
      <c r="D521" s="731" t="n"/>
      <c r="E521" s="731" t="n"/>
      <c r="F521" s="731" t="n"/>
    </row>
    <row r="522" ht="15" customHeight="1">
      <c r="A522" s="1885" t="inlineStr">
        <is>
          <t>Provision Coverage Ratio - %</t>
        </is>
      </c>
      <c r="B522" s="731" t="n"/>
      <c r="C522" s="731" t="n"/>
      <c r="D522" s="731" t="n"/>
      <c r="E522" s="731" t="n"/>
      <c r="F522" s="731" t="n"/>
    </row>
    <row r="523" ht="15" customHeight="1">
      <c r="A523" s="1885" t="inlineStr">
        <is>
          <t>CASA Ratio - %</t>
        </is>
      </c>
      <c r="B523" s="731" t="n"/>
      <c r="C523" s="731" t="n"/>
      <c r="D523" s="731" t="n"/>
      <c r="E523" s="731" t="n"/>
      <c r="F523" s="731" t="n"/>
    </row>
    <row r="524" ht="15" customHeight="1">
      <c r="A524" s="1885" t="inlineStr">
        <is>
          <t>Collection Efficiency Ratio - %</t>
        </is>
      </c>
      <c r="B524" s="731" t="n"/>
      <c r="C524" s="731" t="n"/>
      <c r="D524" s="731" t="n"/>
      <c r="E524" s="731" t="n"/>
      <c r="F524" s="731" t="n"/>
    </row>
    <row r="525" ht="15" customHeight="1">
      <c r="A525" s="1884" t="inlineStr">
        <is>
          <t>Employees</t>
        </is>
      </c>
      <c r="B525" s="734" t="n"/>
      <c r="C525" s="734" t="n"/>
      <c r="D525" s="734" t="n"/>
      <c r="E525" s="734" t="n"/>
      <c r="F525" s="734" t="n"/>
    </row>
    <row r="526" ht="15" customHeight="1">
      <c r="A526" s="1885" t="inlineStr">
        <is>
          <t>Employees - Full-Time/Full-Time Equivalents - Period End</t>
        </is>
      </c>
      <c r="B526" s="1892" t="n">
        <v>20</v>
      </c>
      <c r="C526" s="1892" t="n">
        <v>23</v>
      </c>
      <c r="D526" s="1892" t="n">
        <v>18</v>
      </c>
      <c r="E526" s="1892" t="n">
        <v>23</v>
      </c>
      <c r="F526" s="1892" t="n">
        <v>35</v>
      </c>
    </row>
    <row r="527" ht="15" customHeight="1">
      <c r="A527" s="1885" t="inlineStr">
        <is>
          <t>Employees - Full-Time/Full-Time Equivalents - Current Date</t>
        </is>
      </c>
      <c r="B527" s="1892" t="n">
        <v>20</v>
      </c>
      <c r="C527" s="1892" t="n">
        <v>23</v>
      </c>
      <c r="D527" s="1892" t="n">
        <v>18</v>
      </c>
      <c r="E527" s="1892" t="n">
        <v>23</v>
      </c>
      <c r="F527" s="1892" t="n">
        <v>35</v>
      </c>
    </row>
    <row r="528" ht="15" customHeight="1">
      <c r="A528" s="1885" t="inlineStr">
        <is>
          <t>Employees - Part-Time - Period End</t>
        </is>
      </c>
      <c r="B528" s="731" t="n"/>
      <c r="C528" s="731" t="n"/>
      <c r="D528" s="731" t="n"/>
      <c r="E528" s="731" t="n"/>
      <c r="F528" s="731" t="n"/>
    </row>
    <row r="529" ht="15" customHeight="1">
      <c r="A529" s="1885" t="inlineStr">
        <is>
          <t>Employees - Full-Time/Full-Time Equiv -Period End-Range High</t>
        </is>
      </c>
      <c r="B529" s="731" t="n"/>
      <c r="C529" s="731" t="n"/>
      <c r="D529" s="731" t="n"/>
      <c r="E529" s="731" t="n"/>
      <c r="F529" s="731" t="n"/>
    </row>
    <row r="530" ht="15" customHeight="1">
      <c r="A530" s="1885" t="inlineStr">
        <is>
          <t>Employees - Full-Time/Full-Time Equiv - Period End-Range Low</t>
        </is>
      </c>
      <c r="B530" s="731" t="n"/>
      <c r="C530" s="731" t="n"/>
      <c r="D530" s="731" t="n"/>
      <c r="E530" s="731" t="n"/>
      <c r="F530" s="731" t="n"/>
    </row>
    <row r="531" ht="15" customHeight="1">
      <c r="A531" s="1884" t="inlineStr">
        <is>
          <t>Japan Specific</t>
        </is>
      </c>
      <c r="B531" s="734" t="n"/>
      <c r="C531" s="734" t="n"/>
      <c r="D531" s="734" t="n"/>
      <c r="E531" s="734" t="n"/>
      <c r="F531" s="734" t="n"/>
    </row>
    <row r="532" ht="15" customHeight="1">
      <c r="A532" s="1885" t="inlineStr">
        <is>
          <t>Reported - Total Assets</t>
        </is>
      </c>
      <c r="B532" s="731" t="n"/>
      <c r="C532" s="731" t="n"/>
      <c r="D532" s="731" t="n"/>
      <c r="E532" s="731" t="n"/>
      <c r="F532" s="731" t="n"/>
    </row>
    <row r="533" ht="15" customHeight="1">
      <c r="A533" s="1885" t="inlineStr">
        <is>
          <t>Reported - Total Liabilities</t>
        </is>
      </c>
      <c r="B533" s="731" t="n"/>
      <c r="C533" s="731" t="n"/>
      <c r="D533" s="731" t="n"/>
      <c r="E533" s="731" t="n"/>
      <c r="F533" s="731" t="n"/>
    </row>
    <row r="534" ht="15" customHeight="1">
      <c r="A534" s="1885" t="inlineStr">
        <is>
          <t>Reported - Shareholders' Equity excluding New Stock Subscription</t>
        </is>
      </c>
      <c r="B534" s="731" t="n"/>
      <c r="C534" s="731" t="n"/>
      <c r="D534" s="731" t="n"/>
      <c r="E534" s="731" t="n"/>
      <c r="F534" s="731" t="n"/>
    </row>
    <row r="535" ht="15" customHeight="1">
      <c r="A535" s="1885" t="inlineStr">
        <is>
          <t>Reported – Shareholders’ Equity</t>
        </is>
      </c>
      <c r="B535" s="731" t="n"/>
      <c r="C535" s="731" t="n"/>
      <c r="D535" s="731" t="n"/>
      <c r="E535" s="731" t="n"/>
      <c r="F535" s="731" t="n"/>
    </row>
    <row r="536" ht="15" customHeight="1">
      <c r="A536" s="1885" t="inlineStr">
        <is>
          <t>Reported - Net Assets</t>
        </is>
      </c>
      <c r="B536" s="731" t="n"/>
      <c r="C536" s="731" t="n"/>
      <c r="D536" s="731" t="n"/>
      <c r="E536" s="731" t="n"/>
      <c r="F536" s="731" t="n"/>
    </row>
    <row r="537" ht="15" customHeight="1">
      <c r="A537" s="1885" t="inlineStr">
        <is>
          <t>Reported - Net Assets to Total Assets</t>
        </is>
      </c>
      <c r="B537" s="731" t="n"/>
      <c r="C537" s="731" t="n"/>
      <c r="D537" s="731" t="n"/>
      <c r="E537" s="731" t="n"/>
      <c r="F537" s="731" t="n"/>
    </row>
    <row r="538" ht="15" customHeight="1">
      <c r="A538" s="1885" t="inlineStr">
        <is>
          <t>Reported - Return on Assets</t>
        </is>
      </c>
      <c r="B538" s="731" t="n"/>
      <c r="C538" s="731" t="n"/>
      <c r="D538" s="731" t="n"/>
      <c r="E538" s="731" t="n"/>
      <c r="F538" s="731" t="n"/>
    </row>
    <row r="539" ht="15" customHeight="1">
      <c r="A539" s="1885" t="inlineStr">
        <is>
          <t>Reported - Return on Equity</t>
        </is>
      </c>
      <c r="B539" s="731" t="n"/>
      <c r="C539" s="731" t="n"/>
      <c r="D539" s="731" t="n"/>
      <c r="E539" s="731" t="n"/>
      <c r="F539" s="731" t="n"/>
    </row>
  </sheetData>
  <pageMargins left="0.5" right="0.5" top="1" bottom="1" header="0.511811023622047" footer="0.511811023622047"/>
  <pageSetup orientation="portrait" fitToHeight="0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374"/>
  <sheetViews>
    <sheetView zoomScaleNormal="100" workbookViewId="0">
      <selection activeCell="A1" sqref="A1"/>
    </sheetView>
  </sheetViews>
  <sheetFormatPr baseColWidth="8" defaultColWidth="8.5703125" defaultRowHeight="14.25" outlineLevelRow="1"/>
  <cols>
    <col width="85.5703125" customWidth="1" min="1" max="1"/>
    <col width="15.5703125" customWidth="1" min="2" max="6"/>
  </cols>
  <sheetData>
    <row r="1" ht="15" customHeight="1">
      <c r="A1" s="1872" t="inlineStr">
        <is>
          <t>Company Fundamentals - Income Statement</t>
        </is>
      </c>
      <c r="B1" s="1873" t="n"/>
      <c r="C1" s="1873" t="n"/>
      <c r="D1" s="1873" t="n"/>
      <c r="E1" s="1873" t="n"/>
      <c r="F1" s="1873" t="n"/>
    </row>
    <row r="2" ht="15" customHeight="1">
      <c r="A2" s="934" t="inlineStr">
        <is>
          <t>Company Name</t>
        </is>
      </c>
      <c r="B2" s="931" t="inlineStr">
        <is>
          <t>Solusi Sinergi Digital Tbk PT (WIFI.JK)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46253.39143454861</v>
      </c>
    </row>
    <row r="11" ht="14.25" customHeight="1">
      <c r="A11" s="1875" t="inlineStr">
        <is>
          <t>Statement Data</t>
        </is>
      </c>
      <c r="B11" s="1876" t="inlineStr">
        <is>
          <t>2021</t>
        </is>
      </c>
      <c r="C11" s="1876" t="inlineStr">
        <is>
          <t>2022</t>
        </is>
      </c>
      <c r="D11" s="1876" t="inlineStr">
        <is>
          <t>2023</t>
        </is>
      </c>
      <c r="E11" s="1876" t="inlineStr">
        <is>
          <t>2024</t>
        </is>
      </c>
      <c r="F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B12" s="1878" t="n">
        <v>44561</v>
      </c>
      <c r="C12" s="1878" t="n">
        <v>44926</v>
      </c>
      <c r="D12" s="1878" t="n">
        <v>45291</v>
      </c>
      <c r="E12" s="1878" t="n">
        <v>45657</v>
      </c>
      <c r="F12" s="1878" t="n">
        <v>46022</v>
      </c>
    </row>
    <row r="13" outlineLevel="1" ht="15" customHeight="1">
      <c r="A13" s="1877" t="inlineStr">
        <is>
          <t>Standardized Currency</t>
        </is>
      </c>
      <c r="B13" s="1879" t="inlineStr">
        <is>
          <t>IDR</t>
        </is>
      </c>
      <c r="C13" s="1879" t="inlineStr">
        <is>
          <t>IDR</t>
        </is>
      </c>
      <c r="D13" s="1879" t="inlineStr">
        <is>
          <t>IDR</t>
        </is>
      </c>
      <c r="E13" s="1879" t="inlineStr">
        <is>
          <t>IDR</t>
        </is>
      </c>
      <c r="F13" s="1879" t="inlineStr">
        <is>
          <t>IDR</t>
        </is>
      </c>
    </row>
    <row r="14" outlineLevel="1" ht="15" customHeight="1">
      <c r="A14" s="1877" t="inlineStr">
        <is>
          <t>Statement Date</t>
        </is>
      </c>
      <c r="B14" s="1878" t="n">
        <v>44561</v>
      </c>
      <c r="C14" s="1878" t="n">
        <v>44926</v>
      </c>
      <c r="D14" s="1878" t="n">
        <v>45291</v>
      </c>
      <c r="E14" s="1878" t="n">
        <v>45657</v>
      </c>
      <c r="F14" s="1878" t="n">
        <v>46022</v>
      </c>
    </row>
    <row r="15" outlineLevel="1" ht="15" customHeight="1">
      <c r="A15" s="1877" t="inlineStr">
        <is>
          <t>Complete Statement</t>
        </is>
      </c>
      <c r="B15" s="1880" t="inlineStr">
        <is>
          <t>Complete</t>
        </is>
      </c>
      <c r="C15" s="1880" t="inlineStr">
        <is>
          <t>Complete</t>
        </is>
      </c>
      <c r="D15" s="1880" t="inlineStr">
        <is>
          <t>Complete</t>
        </is>
      </c>
      <c r="E15" s="1880" t="inlineStr">
        <is>
          <t>Complete</t>
        </is>
      </c>
      <c r="F15" s="1880" t="inlineStr">
        <is>
          <t>Complete</t>
        </is>
      </c>
    </row>
    <row r="16" outlineLevel="1" ht="15" customHeight="1">
      <c r="A16" s="1877" t="inlineStr">
        <is>
          <t>Consolidated</t>
        </is>
      </c>
      <c r="B16" s="1880" t="inlineStr">
        <is>
          <t>Consolidated</t>
        </is>
      </c>
      <c r="C16" s="1880" t="inlineStr">
        <is>
          <t>Consolidated</t>
        </is>
      </c>
      <c r="D16" s="1880" t="inlineStr">
        <is>
          <t>Consolidated</t>
        </is>
      </c>
      <c r="E16" s="1880" t="inlineStr">
        <is>
          <t>Consolidated</t>
        </is>
      </c>
      <c r="F16" s="1880" t="inlineStr">
        <is>
          <t>Consolidated</t>
        </is>
      </c>
    </row>
    <row r="17" outlineLevel="1" ht="15" customHeight="1">
      <c r="A17" s="1877" t="inlineStr">
        <is>
          <t>Accounting Standard</t>
        </is>
      </c>
      <c r="B17" s="1880" t="inlineStr">
        <is>
          <t>Indonesian</t>
        </is>
      </c>
      <c r="C17" s="1880" t="inlineStr">
        <is>
          <t>Indonesian</t>
        </is>
      </c>
      <c r="D17" s="1880" t="inlineStr">
        <is>
          <t>Indonesian</t>
        </is>
      </c>
      <c r="E17" s="1880" t="inlineStr">
        <is>
          <t>Indonesian</t>
        </is>
      </c>
      <c r="F17" s="1880" t="inlineStr">
        <is>
          <t>Indonesian</t>
        </is>
      </c>
    </row>
    <row r="18" ht="14.25" customHeight="1">
      <c r="A18" s="1881" t="inlineStr">
        <is>
          <t>Income Statement - Standardized (Currency: Indonesia Rupiah)</t>
        </is>
      </c>
      <c r="B18" s="1882" t="n"/>
      <c r="C18" s="1882" t="n"/>
      <c r="D18" s="1882" t="n"/>
      <c r="E18" s="1882" t="n"/>
      <c r="F18" s="1882" t="n"/>
    </row>
    <row r="19" ht="14.25" customHeight="1">
      <c r="A19" s="1881" t="inlineStr">
        <is>
          <t>Field Name</t>
        </is>
      </c>
      <c r="B19" s="1883" t="inlineStr">
        <is>
          <t>31-12-2021</t>
        </is>
      </c>
      <c r="C19" s="1883" t="inlineStr">
        <is>
          <t>31-12-2022</t>
        </is>
      </c>
      <c r="D19" s="1883" t="inlineStr">
        <is>
          <t>31-12-2023</t>
        </is>
      </c>
      <c r="E19" s="1883" t="inlineStr">
        <is>
          <t>31-12-2024</t>
        </is>
      </c>
      <c r="F19" s="1883" t="inlineStr">
        <is>
          <t>31-12-2025</t>
        </is>
      </c>
    </row>
    <row r="20" ht="15" customHeight="1">
      <c r="A20" s="1884" t="inlineStr">
        <is>
          <t>Revenues</t>
        </is>
      </c>
      <c r="B20" s="734" t="n"/>
      <c r="C20" s="734" t="n"/>
      <c r="D20" s="734" t="n"/>
      <c r="E20" s="734" t="n"/>
      <c r="F20" s="734" t="n"/>
    </row>
    <row r="21" ht="15" customHeight="1">
      <c r="A21" s="1885" t="inlineStr">
        <is>
          <t>Revenue from Goods &amp; Services</t>
        </is>
      </c>
      <c r="B21" s="1807" t="n">
        <v>390957116.89</v>
      </c>
      <c r="C21" s="1807" t="n">
        <v>461252677.98</v>
      </c>
      <c r="D21" s="1807" t="n">
        <v>439326367.24</v>
      </c>
      <c r="E21" s="1807" t="n">
        <v>671854001.27</v>
      </c>
      <c r="F21" s="1807" t="n">
        <v>1659396069.86</v>
      </c>
    </row>
    <row r="22" ht="15" customHeight="1">
      <c r="A22" s="1886" t="inlineStr">
        <is>
          <t>Sales of Goods &amp; Services - Net - Unclassified</t>
        </is>
      </c>
      <c r="B22" s="1807" t="n">
        <v>390957116.89</v>
      </c>
      <c r="C22" s="1807" t="n">
        <v>461252677.98</v>
      </c>
      <c r="D22" s="1807" t="n">
        <v>439326367.24</v>
      </c>
      <c r="E22" s="1807" t="n">
        <v>671854001.27</v>
      </c>
      <c r="F22" s="1807" t="n">
        <v>1659396069.86</v>
      </c>
    </row>
    <row r="23" ht="15" customHeight="1">
      <c r="A23" s="1886" t="inlineStr">
        <is>
          <t>Hotel Revenue</t>
        </is>
      </c>
      <c r="B23" s="731" t="n"/>
      <c r="C23" s="731" t="n"/>
      <c r="D23" s="731" t="n"/>
      <c r="E23" s="731" t="n"/>
      <c r="F23" s="731" t="n"/>
    </row>
    <row r="24" ht="15" customHeight="1">
      <c r="A24" s="1887" t="inlineStr">
        <is>
          <t>Hotel Revenue - Rooms</t>
        </is>
      </c>
      <c r="B24" s="731" t="n"/>
      <c r="C24" s="731" t="n"/>
      <c r="D24" s="731" t="n"/>
      <c r="E24" s="731" t="n"/>
      <c r="F24" s="731" t="n"/>
    </row>
    <row r="25" ht="15" customHeight="1">
      <c r="A25" s="1887" t="inlineStr">
        <is>
          <t>Hotel Revenue - Hotel Lease Income</t>
        </is>
      </c>
      <c r="B25" s="731" t="n"/>
      <c r="C25" s="731" t="n"/>
      <c r="D25" s="731" t="n"/>
      <c r="E25" s="731" t="n"/>
      <c r="F25" s="731" t="n"/>
    </row>
    <row r="26" ht="15" customHeight="1">
      <c r="A26" s="1887" t="inlineStr">
        <is>
          <t>Hotel Revenue - Food &amp; Beverages</t>
        </is>
      </c>
      <c r="B26" s="731" t="n"/>
      <c r="C26" s="731" t="n"/>
      <c r="D26" s="731" t="n"/>
      <c r="E26" s="731" t="n"/>
      <c r="F26" s="731" t="n"/>
    </row>
    <row r="27" ht="15" customHeight="1">
      <c r="A27" s="1887" t="inlineStr">
        <is>
          <t>Hotel Revenue - Other</t>
        </is>
      </c>
      <c r="B27" s="731" t="n"/>
      <c r="C27" s="731" t="n"/>
      <c r="D27" s="731" t="n"/>
      <c r="E27" s="731" t="n"/>
      <c r="F27" s="731" t="n"/>
    </row>
    <row r="28" ht="15" customHeight="1">
      <c r="A28" s="1886" t="inlineStr">
        <is>
          <t>Utility Revenue - Total</t>
        </is>
      </c>
      <c r="B28" s="731" t="n"/>
      <c r="C28" s="731" t="n"/>
      <c r="D28" s="731" t="n"/>
      <c r="E28" s="731" t="n"/>
      <c r="F28" s="731" t="n"/>
    </row>
    <row r="29" ht="15" customHeight="1">
      <c r="A29" s="1887" t="inlineStr">
        <is>
          <t>Utility Revenue - Other Utility Operations</t>
        </is>
      </c>
      <c r="B29" s="731" t="n"/>
      <c r="C29" s="731" t="n"/>
      <c r="D29" s="731" t="n"/>
      <c r="E29" s="731" t="n"/>
      <c r="F29" s="731" t="n"/>
    </row>
    <row r="30" ht="15" customHeight="1">
      <c r="A30" s="1887" t="inlineStr">
        <is>
          <t>Utility Revenue - Steam Operations</t>
        </is>
      </c>
      <c r="B30" s="731" t="n"/>
      <c r="C30" s="731" t="n"/>
      <c r="D30" s="731" t="n"/>
      <c r="E30" s="731" t="n"/>
      <c r="F30" s="731" t="n"/>
    </row>
    <row r="31" ht="15" customHeight="1">
      <c r="A31" s="1887" t="inlineStr">
        <is>
          <t>Utility Revenue - Water Operations</t>
        </is>
      </c>
      <c r="B31" s="731" t="n"/>
      <c r="C31" s="731" t="n"/>
      <c r="D31" s="731" t="n"/>
      <c r="E31" s="731" t="n"/>
      <c r="F31" s="731" t="n"/>
    </row>
    <row r="32" ht="15" customHeight="1">
      <c r="A32" s="1887" t="inlineStr">
        <is>
          <t>Utility Revenue - Gas Operations</t>
        </is>
      </c>
      <c r="B32" s="731" t="n"/>
      <c r="C32" s="731" t="n"/>
      <c r="D32" s="731" t="n"/>
      <c r="E32" s="731" t="n"/>
      <c r="F32" s="731" t="n"/>
    </row>
    <row r="33" ht="15" customHeight="1">
      <c r="A33" s="1887" t="inlineStr">
        <is>
          <t>Utility Revenue - Electric Operations</t>
        </is>
      </c>
      <c r="B33" s="731" t="n"/>
      <c r="C33" s="731" t="n"/>
      <c r="D33" s="731" t="n"/>
      <c r="E33" s="731" t="n"/>
      <c r="F33" s="731" t="n"/>
    </row>
    <row r="34" ht="15" customHeight="1">
      <c r="A34" s="1887" t="inlineStr">
        <is>
          <t>Utility Revenue - Non-Utility Operations</t>
        </is>
      </c>
      <c r="B34" s="731" t="n"/>
      <c r="C34" s="731" t="n"/>
      <c r="D34" s="731" t="n"/>
      <c r="E34" s="731" t="n"/>
      <c r="F34" s="731" t="n"/>
    </row>
    <row r="35" ht="15" customHeight="1">
      <c r="A35" s="1886" t="inlineStr">
        <is>
          <t>Sales Returns, Allowances &amp; Other Revenue Adjustments</t>
        </is>
      </c>
      <c r="B35" s="731" t="n"/>
      <c r="C35" s="731" t="n"/>
      <c r="D35" s="731" t="n"/>
      <c r="E35" s="731" t="n"/>
      <c r="F35" s="731" t="n"/>
    </row>
    <row r="36" ht="15" customHeight="1">
      <c r="A36" s="1886" t="inlineStr">
        <is>
          <t>Revenue Taxes</t>
        </is>
      </c>
      <c r="B36" s="731" t="n"/>
      <c r="C36" s="731" t="n"/>
      <c r="D36" s="731" t="n"/>
      <c r="E36" s="731" t="n"/>
      <c r="F36" s="731" t="n"/>
    </row>
    <row r="37" ht="15" customHeight="1">
      <c r="A37" s="1886" t="inlineStr">
        <is>
          <t>Gross Revenue from Business Activities - Total</t>
        </is>
      </c>
      <c r="B37" s="731" t="n"/>
      <c r="C37" s="731" t="n"/>
      <c r="D37" s="731" t="n"/>
      <c r="E37" s="731" t="n"/>
      <c r="F37" s="731" t="n"/>
    </row>
    <row r="38" ht="15" customHeight="1">
      <c r="A38" s="1886" t="inlineStr">
        <is>
          <t>Rental &amp; Property-Related Operating Revenue</t>
        </is>
      </c>
      <c r="B38" s="731" t="n"/>
      <c r="C38" s="731" t="n"/>
      <c r="D38" s="731" t="n"/>
      <c r="E38" s="731" t="n"/>
      <c r="F38" s="731" t="n"/>
    </row>
    <row r="39" ht="15" customHeight="1">
      <c r="A39" s="1885" t="inlineStr">
        <is>
          <t>Revenue from Financing-Related Operations</t>
        </is>
      </c>
      <c r="B39" s="731" t="n"/>
      <c r="C39" s="731" t="n"/>
      <c r="D39" s="731" t="n"/>
      <c r="E39" s="731" t="n"/>
      <c r="F39" s="731" t="n"/>
    </row>
    <row r="40" ht="15" customHeight="1">
      <c r="A40" s="1886" t="inlineStr">
        <is>
          <t>Business-Related Financing Revenue - Other</t>
        </is>
      </c>
      <c r="B40" s="731" t="n"/>
      <c r="C40" s="731" t="n"/>
      <c r="D40" s="731" t="n"/>
      <c r="E40" s="731" t="n"/>
      <c r="F40" s="731" t="n"/>
    </row>
    <row r="41" ht="15" customHeight="1">
      <c r="A41" s="1885" t="inlineStr">
        <is>
          <t>Revenue from Business-Related Activities - Other - Total</t>
        </is>
      </c>
      <c r="B41" s="731" t="n"/>
      <c r="C41" s="731" t="n"/>
      <c r="D41" s="731" t="n"/>
      <c r="E41" s="731" t="n"/>
      <c r="F41" s="731" t="n"/>
    </row>
    <row r="42" ht="15" customHeight="1">
      <c r="A42" s="1886" t="inlineStr">
        <is>
          <t>Royalty Income - Business</t>
        </is>
      </c>
      <c r="B42" s="731" t="n"/>
      <c r="C42" s="731" t="n"/>
      <c r="D42" s="731" t="n"/>
      <c r="E42" s="731" t="n"/>
      <c r="F42" s="731" t="n"/>
    </row>
    <row r="43" ht="15" customHeight="1">
      <c r="A43" s="1888" t="inlineStr">
        <is>
          <t>Revenue from Business Activities - Total</t>
        </is>
      </c>
      <c r="B43" s="1889" t="n">
        <v>390957116.89</v>
      </c>
      <c r="C43" s="1889" t="n">
        <v>461252677.98</v>
      </c>
      <c r="D43" s="1889" t="n">
        <v>439326367.24</v>
      </c>
      <c r="E43" s="1889" t="n">
        <v>671854001.27</v>
      </c>
      <c r="F43" s="1889" t="n">
        <v>1659396069.86</v>
      </c>
    </row>
    <row r="44" ht="15" customHeight="1">
      <c r="A44" s="1884" t="inlineStr">
        <is>
          <t>Operating Expenses</t>
        </is>
      </c>
      <c r="B44" s="734" t="n"/>
      <c r="C44" s="734" t="n"/>
      <c r="D44" s="734" t="n"/>
      <c r="E44" s="734" t="n"/>
      <c r="F44" s="734" t="n"/>
    </row>
    <row r="45" ht="15" customHeight="1">
      <c r="A45" s="1885" t="inlineStr">
        <is>
          <t>Cost of Operating Revenue</t>
        </is>
      </c>
      <c r="B45" s="1807" t="n">
        <v>339277882.39</v>
      </c>
      <c r="C45" s="1807" t="n">
        <v>352488820.13</v>
      </c>
      <c r="D45" s="1807" t="n">
        <v>267350511.06</v>
      </c>
      <c r="E45" s="1807" t="n">
        <v>257080687.38</v>
      </c>
      <c r="F45" s="1807" t="n">
        <v>532761105.11</v>
      </c>
    </row>
    <row r="46" ht="15" customHeight="1">
      <c r="A46" s="1886" t="inlineStr">
        <is>
          <t>Cost of Financing-Related Operations</t>
        </is>
      </c>
      <c r="B46" s="731" t="n"/>
      <c r="C46" s="731" t="n"/>
      <c r="D46" s="731" t="n"/>
      <c r="E46" s="731" t="n"/>
      <c r="F46" s="731" t="n"/>
    </row>
    <row r="47" ht="15" customHeight="1">
      <c r="A47" s="1886" t="inlineStr">
        <is>
          <t>Cost of Revenues - Total</t>
        </is>
      </c>
      <c r="B47" s="1807" t="n">
        <v>339277882.39</v>
      </c>
      <c r="C47" s="1807" t="n">
        <v>352488820.13</v>
      </c>
      <c r="D47" s="1807" t="n">
        <v>267350511.06</v>
      </c>
      <c r="E47" s="1807" t="n">
        <v>257080687.38</v>
      </c>
      <c r="F47" s="1807" t="n">
        <v>532761105.11</v>
      </c>
    </row>
    <row r="48" ht="15" customHeight="1">
      <c r="A48" s="1887" t="inlineStr">
        <is>
          <t>Cost of Revenues - Unclassified</t>
        </is>
      </c>
      <c r="B48" s="1807" t="n">
        <v>315116080.56</v>
      </c>
      <c r="C48" s="1807" t="n">
        <v>302948150.01</v>
      </c>
      <c r="D48" s="1807" t="n">
        <v>173172504.97</v>
      </c>
      <c r="E48" s="1807" t="n">
        <v>128634629.14</v>
      </c>
      <c r="F48" s="1807" t="n">
        <v>349470384.7</v>
      </c>
    </row>
    <row r="49" ht="15" customHeight="1">
      <c r="A49" s="1887" t="inlineStr">
        <is>
          <t>Production Taxes &amp; Royalty Expenses</t>
        </is>
      </c>
      <c r="B49" s="731" t="n"/>
      <c r="C49" s="731" t="n"/>
      <c r="D49" s="731" t="n"/>
      <c r="E49" s="731" t="n"/>
      <c r="F49" s="731" t="n"/>
    </row>
    <row r="50" ht="15" customHeight="1">
      <c r="A50" s="1887" t="inlineStr">
        <is>
          <t>Amortization in Cost of Revenues</t>
        </is>
      </c>
      <c r="B50" s="731" t="n"/>
      <c r="C50" s="731" t="n"/>
      <c r="D50" s="731" t="n"/>
      <c r="E50" s="1807" t="n">
        <v>1276825.04</v>
      </c>
      <c r="F50" s="1807" t="n">
        <v>3832095.13</v>
      </c>
    </row>
    <row r="51" ht="15" customHeight="1">
      <c r="A51" s="1887" t="inlineStr">
        <is>
          <t>Depreciation in Cost of Revenues</t>
        </is>
      </c>
      <c r="B51" s="1807" t="n">
        <v>24161801.83</v>
      </c>
      <c r="C51" s="1807" t="n">
        <v>49540670.12</v>
      </c>
      <c r="D51" s="1807" t="n">
        <v>94178006.09</v>
      </c>
      <c r="E51" s="1807" t="n">
        <v>127169233.21</v>
      </c>
      <c r="F51" s="1807" t="n">
        <v>179458625.28</v>
      </c>
    </row>
    <row r="52" ht="15" customHeight="1">
      <c r="A52" s="1887" t="inlineStr">
        <is>
          <t>Labor &amp; Related Expenses including Stock-Based Compensation in Cost of Revenues</t>
        </is>
      </c>
      <c r="B52" s="731" t="n"/>
      <c r="C52" s="731" t="n"/>
      <c r="D52" s="731" t="n"/>
      <c r="E52" s="731" t="n"/>
      <c r="F52" s="731" t="n"/>
    </row>
    <row r="53" ht="15" customHeight="1">
      <c r="A53" s="1887" t="inlineStr">
        <is>
          <t>Material Expenses</t>
        </is>
      </c>
      <c r="B53" s="731" t="n"/>
      <c r="C53" s="731" t="n"/>
      <c r="D53" s="731" t="n"/>
      <c r="E53" s="731" t="n"/>
      <c r="F53" s="731" t="n"/>
    </row>
    <row r="54" ht="15" customHeight="1">
      <c r="A54" s="1890" t="inlineStr">
        <is>
          <t>Material Expenses - Materials, Inventory, Own Work &amp; Utility - Unclassified</t>
        </is>
      </c>
      <c r="B54" s="731" t="n"/>
      <c r="C54" s="731" t="n"/>
      <c r="D54" s="731" t="n"/>
      <c r="E54" s="731" t="n"/>
      <c r="F54" s="731" t="n"/>
    </row>
    <row r="55" ht="15" customHeight="1">
      <c r="A55" s="1890" t="inlineStr">
        <is>
          <t>Utility Cost of Revenue - Fuel Expense</t>
        </is>
      </c>
      <c r="B55" s="731" t="n"/>
      <c r="C55" s="731" t="n"/>
      <c r="D55" s="731" t="n"/>
      <c r="E55" s="731" t="n"/>
      <c r="F55" s="731" t="n"/>
    </row>
    <row r="56" ht="15" customHeight="1">
      <c r="A56" s="1890" t="inlineStr">
        <is>
          <t>Utility Cost of Revenue - Fuel Purchased for Resale</t>
        </is>
      </c>
      <c r="B56" s="731" t="n"/>
      <c r="C56" s="731" t="n"/>
      <c r="D56" s="731" t="n"/>
      <c r="E56" s="731" t="n"/>
      <c r="F56" s="731" t="n"/>
    </row>
    <row r="57" ht="15" customHeight="1">
      <c r="A57" s="1890" t="inlineStr">
        <is>
          <t>Utility Cost of Revenue - Purchased Power</t>
        </is>
      </c>
      <c r="B57" s="731" t="n"/>
      <c r="C57" s="731" t="n"/>
      <c r="D57" s="731" t="n"/>
      <c r="E57" s="731" t="n"/>
      <c r="F57" s="731" t="n"/>
    </row>
    <row r="58" ht="15" customHeight="1">
      <c r="A58" s="1890" t="inlineStr">
        <is>
          <t>Own Work Capitalized</t>
        </is>
      </c>
      <c r="B58" s="731" t="n"/>
      <c r="C58" s="731" t="n"/>
      <c r="D58" s="731" t="n"/>
      <c r="E58" s="731" t="n"/>
      <c r="F58" s="731" t="n"/>
    </row>
    <row r="59" ht="15" customHeight="1">
      <c r="A59" s="1890" t="inlineStr">
        <is>
          <t>Changes in Inventory</t>
        </is>
      </c>
      <c r="B59" s="731" t="n"/>
      <c r="C59" s="731" t="n"/>
      <c r="D59" s="731" t="n"/>
      <c r="E59" s="731" t="n"/>
      <c r="F59" s="731" t="n"/>
    </row>
    <row r="60" ht="15" customHeight="1">
      <c r="A60" s="1890" t="inlineStr">
        <is>
          <t>Materials Purchased</t>
        </is>
      </c>
      <c r="B60" s="731" t="n"/>
      <c r="C60" s="731" t="n"/>
      <c r="D60" s="731" t="n"/>
      <c r="E60" s="731" t="n"/>
      <c r="F60" s="731" t="n"/>
    </row>
    <row r="61" ht="15" customHeight="1">
      <c r="A61" s="1890" t="inlineStr">
        <is>
          <t>Ground leases/Rental Expenses in Cost of Revenues</t>
        </is>
      </c>
      <c r="B61" s="731" t="n"/>
      <c r="C61" s="731" t="n"/>
      <c r="D61" s="731" t="n"/>
      <c r="E61" s="731" t="n"/>
      <c r="F61" s="731" t="n"/>
    </row>
    <row r="62" ht="15" customHeight="1">
      <c r="A62" s="1887" t="inlineStr">
        <is>
          <t>Property Operating Expenses - Hotel</t>
        </is>
      </c>
      <c r="B62" s="731" t="n"/>
      <c r="C62" s="731" t="n"/>
      <c r="D62" s="731" t="n"/>
      <c r="E62" s="731" t="n"/>
      <c r="F62" s="731" t="n"/>
    </row>
    <row r="63" ht="15" customHeight="1">
      <c r="A63" s="1887" t="inlineStr">
        <is>
          <t>Cost of Revenues - Other - Total</t>
        </is>
      </c>
      <c r="B63" s="731" t="n"/>
      <c r="C63" s="731" t="n"/>
      <c r="D63" s="731" t="n"/>
      <c r="E63" s="731" t="n"/>
      <c r="F63" s="731" t="n"/>
    </row>
    <row r="64" ht="15" customHeight="1">
      <c r="A64" s="1888" t="inlineStr">
        <is>
          <t>Gross Profit - Industrials/Property - Total</t>
        </is>
      </c>
      <c r="B64" s="1889" t="n">
        <v>51679234.5</v>
      </c>
      <c r="C64" s="1889" t="n">
        <v>108763857.85</v>
      </c>
      <c r="D64" s="1889" t="n">
        <v>171975856.18</v>
      </c>
      <c r="E64" s="1889" t="n">
        <v>414773313.89</v>
      </c>
      <c r="F64" s="1889" t="n">
        <v>1126634964.75</v>
      </c>
    </row>
    <row r="65" ht="15" customHeight="1">
      <c r="A65" s="1885" t="inlineStr">
        <is>
          <t>Selling, General &amp; Administrative Expenses - Total</t>
        </is>
      </c>
      <c r="B65" s="1807" t="n">
        <v>32902071.44</v>
      </c>
      <c r="C65" s="1807" t="n">
        <v>50030030.9</v>
      </c>
      <c r="D65" s="1807" t="n">
        <v>49010542</v>
      </c>
      <c r="E65" s="1807" t="n">
        <v>69761527.76000001</v>
      </c>
      <c r="F65" s="1807" t="n">
        <v>211937417.3</v>
      </c>
    </row>
    <row r="66" ht="15" customHeight="1">
      <c r="A66" s="1886" t="inlineStr">
        <is>
          <t>Selling, General &amp; Administrative Expenses - Unclassified</t>
        </is>
      </c>
      <c r="B66" s="1807" t="n">
        <v>4807928.3</v>
      </c>
      <c r="C66" s="1807" t="n">
        <v>14643989.61</v>
      </c>
      <c r="D66" s="1807" t="n">
        <v>13446127.84</v>
      </c>
      <c r="E66" s="1807" t="n">
        <v>24460501</v>
      </c>
      <c r="F66" s="1807" t="n">
        <v>55684482.87</v>
      </c>
    </row>
    <row r="67" ht="15" customHeight="1">
      <c r="A67" s="1886" t="inlineStr">
        <is>
          <t>Labor &amp; Related Expenses including Stock-Based Compensation in Selling, General &amp; Administrative Expenses</t>
        </is>
      </c>
      <c r="B67" s="1807" t="n">
        <v>14879734.91</v>
      </c>
      <c r="C67" s="1807" t="n">
        <v>21875369.43</v>
      </c>
      <c r="D67" s="1807" t="n">
        <v>19148593.25</v>
      </c>
      <c r="E67" s="1807" t="n">
        <v>21417934.52</v>
      </c>
      <c r="F67" s="1807" t="n">
        <v>87128963.83</v>
      </c>
    </row>
    <row r="68" ht="15" customHeight="1">
      <c r="A68" s="1886" t="inlineStr">
        <is>
          <t>Research &amp; Development Expense</t>
        </is>
      </c>
      <c r="B68" s="731" t="n"/>
      <c r="C68" s="731" t="n"/>
      <c r="D68" s="731" t="n"/>
      <c r="E68" s="731" t="n"/>
      <c r="F68" s="731" t="n"/>
    </row>
    <row r="69" ht="15" customHeight="1">
      <c r="A69" s="1886" t="inlineStr">
        <is>
          <t>Exploration/Dry Hole Expenses (including Write-Off)</t>
        </is>
      </c>
      <c r="B69" s="731" t="n"/>
      <c r="C69" s="731" t="n"/>
      <c r="D69" s="731" t="n"/>
      <c r="E69" s="731" t="n"/>
      <c r="F69" s="731" t="n"/>
    </row>
    <row r="70" ht="15" customHeight="1">
      <c r="A70" s="1886" t="inlineStr">
        <is>
          <t>Depreciation in Selling, General &amp; Administrative Expenses</t>
        </is>
      </c>
      <c r="B70" s="1807" t="n">
        <v>9315803.609999999</v>
      </c>
      <c r="C70" s="1807" t="n">
        <v>9994274.369999999</v>
      </c>
      <c r="D70" s="1807" t="n">
        <v>9726952.300000001</v>
      </c>
      <c r="E70" s="1807" t="n">
        <v>18460627.79</v>
      </c>
      <c r="F70" s="1807" t="n">
        <v>12798054.57</v>
      </c>
    </row>
    <row r="71" ht="15" customHeight="1">
      <c r="A71" s="1886" t="inlineStr">
        <is>
          <t>Amortization of Intangibles in Selling, General &amp; Administrative Expenses</t>
        </is>
      </c>
      <c r="B71" s="731" t="n"/>
      <c r="C71" s="731" t="n"/>
      <c r="D71" s="731" t="n"/>
      <c r="E71" s="731" t="n"/>
      <c r="F71" s="731" t="n"/>
    </row>
    <row r="72" ht="15" customHeight="1">
      <c r="A72" s="1886" t="inlineStr">
        <is>
          <t>Operations &amp; Maintenance (Utility)</t>
        </is>
      </c>
      <c r="B72" s="731" t="n"/>
      <c r="C72" s="731" t="n"/>
      <c r="D72" s="731" t="n"/>
      <c r="E72" s="731" t="n"/>
      <c r="F72" s="731" t="n"/>
    </row>
    <row r="73" ht="15" customHeight="1">
      <c r="A73" s="1886" t="inlineStr">
        <is>
          <t>Selling, General &amp; Administrative Expenses - Other - Total</t>
        </is>
      </c>
      <c r="B73" s="1807" t="n">
        <v>3898604.63</v>
      </c>
      <c r="C73" s="1807" t="n">
        <v>3516397.49</v>
      </c>
      <c r="D73" s="1807" t="n">
        <v>6688868.61</v>
      </c>
      <c r="E73" s="1807" t="n">
        <v>5422464.45</v>
      </c>
      <c r="F73" s="1807" t="n">
        <v>56325916.03</v>
      </c>
    </row>
    <row r="74" ht="15" customHeight="1">
      <c r="A74" s="1887" t="inlineStr">
        <is>
          <t>Advertising Expense</t>
        </is>
      </c>
      <c r="B74" s="1807" t="n">
        <v>384329.31</v>
      </c>
      <c r="C74" s="1807" t="n">
        <v>271866.11</v>
      </c>
      <c r="D74" s="1807" t="n">
        <v>354841.17</v>
      </c>
      <c r="E74" s="1807" t="n">
        <v>1390829.4</v>
      </c>
      <c r="F74" s="1807" t="n">
        <v>22386857.62</v>
      </c>
    </row>
    <row r="75" ht="15" customHeight="1">
      <c r="A75" s="1887" t="inlineStr">
        <is>
          <t>Property &amp; Other Taxes</t>
        </is>
      </c>
      <c r="B75" s="1807" t="n">
        <v>3316189.4</v>
      </c>
      <c r="C75" s="1807" t="n">
        <v>2441494.51</v>
      </c>
      <c r="D75" s="1807" t="n">
        <v>767637.84</v>
      </c>
      <c r="E75" s="1807" t="n">
        <v>170866.85</v>
      </c>
      <c r="F75" s="1807" t="n">
        <v>21961696.25</v>
      </c>
    </row>
    <row r="76" ht="15" customHeight="1">
      <c r="A76" s="1887" t="inlineStr">
        <is>
          <t>Rental Expense</t>
        </is>
      </c>
      <c r="B76" s="1807" t="n">
        <v>18276</v>
      </c>
      <c r="C76" s="1807" t="n">
        <v>197758.59</v>
      </c>
      <c r="D76" s="1807" t="n">
        <v>4317860.98</v>
      </c>
      <c r="E76" s="1807" t="n">
        <v>1642856.86</v>
      </c>
      <c r="F76" s="1807" t="n">
        <v>816470.9300000001</v>
      </c>
    </row>
    <row r="77" ht="15" customHeight="1">
      <c r="A77" s="1887" t="inlineStr">
        <is>
          <t>Occupancy Expense - Other</t>
        </is>
      </c>
      <c r="B77" s="731" t="n"/>
      <c r="C77" s="731" t="n"/>
      <c r="D77" s="731" t="n"/>
      <c r="E77" s="731" t="n"/>
      <c r="F77" s="731" t="n"/>
    </row>
    <row r="78" ht="15" customHeight="1">
      <c r="A78" s="1887" t="inlineStr">
        <is>
          <t>Pre-Opening Expenses</t>
        </is>
      </c>
      <c r="B78" s="731" t="n"/>
      <c r="C78" s="731" t="n"/>
      <c r="D78" s="731" t="n"/>
      <c r="E78" s="731" t="n"/>
      <c r="F78" s="731" t="n"/>
    </row>
    <row r="79" ht="15" customHeight="1">
      <c r="A79" s="1887" t="inlineStr">
        <is>
          <t>Provision for Doubtful Accounts &amp; Write-off</t>
        </is>
      </c>
      <c r="B79" s="1807" t="n">
        <v>0</v>
      </c>
      <c r="C79" s="1807" t="n">
        <v>149817.7</v>
      </c>
      <c r="D79" s="1807" t="n">
        <v>787112.48</v>
      </c>
      <c r="E79" s="1807" t="n">
        <v>1087001.6</v>
      </c>
      <c r="F79" s="1807" t="n">
        <v>1538265.69</v>
      </c>
    </row>
    <row r="80" ht="15" customHeight="1">
      <c r="A80" s="1887" t="inlineStr">
        <is>
          <t>Equipment/Occupancy Expense - Bank/Financial - Other</t>
        </is>
      </c>
      <c r="B80" s="731" t="n"/>
      <c r="C80" s="731" t="n"/>
      <c r="D80" s="731" t="n"/>
      <c r="E80" s="731" t="n"/>
      <c r="F80" s="731" t="n"/>
    </row>
    <row r="81" ht="15" customHeight="1">
      <c r="A81" s="1885" t="inlineStr">
        <is>
          <t>Other Operating Expense/(Income) - Net</t>
        </is>
      </c>
      <c r="B81" s="1807" t="n">
        <v>-2269471.9</v>
      </c>
      <c r="C81" s="1807" t="n">
        <v>-2267034.4</v>
      </c>
      <c r="D81" s="1807" t="n">
        <v>-1892797.66</v>
      </c>
      <c r="E81" s="1807" t="n">
        <v>341620.71</v>
      </c>
      <c r="F81" s="1807" t="n">
        <v>4553355.86</v>
      </c>
    </row>
    <row r="82" ht="15" customHeight="1">
      <c r="A82" s="1886" t="inlineStr">
        <is>
          <t>Other Operating Income - Total</t>
        </is>
      </c>
      <c r="B82" s="731" t="n"/>
      <c r="C82" s="731" t="n"/>
      <c r="D82" s="731" t="n"/>
      <c r="E82" s="731" t="n"/>
      <c r="F82" s="731" t="n"/>
    </row>
    <row r="83" ht="15" customHeight="1">
      <c r="A83" s="1886" t="inlineStr">
        <is>
          <t>Other Operating Expense</t>
        </is>
      </c>
      <c r="B83" s="731" t="n"/>
      <c r="C83" s="731" t="n"/>
      <c r="D83" s="731" t="n"/>
      <c r="E83" s="731" t="n"/>
      <c r="F83" s="731" t="n"/>
    </row>
    <row r="84" ht="15" customHeight="1">
      <c r="A84" s="1886" t="inlineStr">
        <is>
          <t>Provision for Decommissioning Fund &amp; Environmental Obligations</t>
        </is>
      </c>
      <c r="B84" s="731" t="n"/>
      <c r="C84" s="731" t="n"/>
      <c r="D84" s="731" t="n"/>
      <c r="E84" s="731" t="n"/>
      <c r="F84" s="731" t="n"/>
    </row>
    <row r="85" ht="15" customHeight="1">
      <c r="A85" s="1886" t="inlineStr">
        <is>
          <t>Operating Provisions - Increase/(Decrease)</t>
        </is>
      </c>
      <c r="B85" s="731" t="n"/>
      <c r="C85" s="731" t="n"/>
      <c r="D85" s="731" t="n"/>
      <c r="F85" s="731" t="n"/>
    </row>
    <row r="86" ht="15" customHeight="1">
      <c r="A86" s="1886" t="inlineStr">
        <is>
          <t>Non-Recurring Adjustments - Operating - Decrease/(Increase)</t>
        </is>
      </c>
      <c r="B86" s="731" t="n"/>
      <c r="C86" s="731" t="n"/>
      <c r="D86" s="731" t="n"/>
      <c r="E86" s="731" t="n"/>
      <c r="F86" s="731" t="n"/>
    </row>
    <row r="87" ht="15" customHeight="1">
      <c r="A87" s="1886" t="inlineStr">
        <is>
          <t>Supplementary Adjustments - Operating - Decrease/(Increase)</t>
        </is>
      </c>
      <c r="B87" s="731" t="n"/>
      <c r="C87" s="731" t="n"/>
      <c r="D87" s="731" t="n"/>
      <c r="E87" s="731" t="n"/>
      <c r="F87" s="731" t="n"/>
    </row>
    <row r="88" ht="15" customHeight="1">
      <c r="A88" s="1885" t="inlineStr">
        <is>
          <t>Operating Expenses - Total</t>
        </is>
      </c>
      <c r="B88" s="1807" t="n">
        <v>369910481.93</v>
      </c>
      <c r="C88" s="1807" t="n">
        <v>400251816.63</v>
      </c>
      <c r="D88" s="1807" t="n">
        <v>314468255.4</v>
      </c>
      <c r="E88" s="1807" t="n">
        <v>327183835.85</v>
      </c>
      <c r="F88" s="1807" t="n">
        <v>749251878.26</v>
      </c>
    </row>
    <row r="89" ht="15" customHeight="1">
      <c r="A89" s="1884" t="inlineStr">
        <is>
          <t>Operating Profit</t>
        </is>
      </c>
      <c r="B89" s="734" t="n"/>
      <c r="C89" s="734" t="n"/>
      <c r="D89" s="734" t="n"/>
      <c r="E89" s="734" t="n"/>
      <c r="F89" s="734" t="n"/>
    </row>
    <row r="90" ht="15" customHeight="1">
      <c r="A90" s="1888" t="inlineStr">
        <is>
          <t>Operating Profit before Non-Recurring Income/Expense</t>
        </is>
      </c>
      <c r="B90" s="1889" t="n">
        <v>21046634.95</v>
      </c>
      <c r="C90" s="1889" t="n">
        <v>61000861.36</v>
      </c>
      <c r="D90" s="1889" t="n">
        <v>124858111.85</v>
      </c>
      <c r="E90" s="1889" t="n">
        <v>344670165.42</v>
      </c>
      <c r="F90" s="1889" t="n">
        <v>910144191.6</v>
      </c>
    </row>
    <row r="91" ht="15" customHeight="1">
      <c r="A91" s="1884" t="inlineStr">
        <is>
          <t>Non-Operating Expenses</t>
        </is>
      </c>
      <c r="B91" s="734" t="n"/>
      <c r="C91" s="734" t="n"/>
      <c r="D91" s="734" t="n"/>
      <c r="E91" s="734" t="n"/>
      <c r="F91" s="734" t="n"/>
    </row>
    <row r="92" ht="15" customHeight="1">
      <c r="A92" s="1885" t="inlineStr">
        <is>
          <t>Financing Income/(Expense) - Net - Total</t>
        </is>
      </c>
      <c r="B92" s="1807" t="n">
        <v>3457996.89</v>
      </c>
      <c r="C92" s="1807" t="n">
        <v>-38575647.41</v>
      </c>
      <c r="D92" s="1807" t="n">
        <v>-57726052.93</v>
      </c>
      <c r="E92" s="1807" t="n">
        <v>-72510568.09999999</v>
      </c>
      <c r="F92" s="1807" t="n">
        <v>-260104379.68</v>
      </c>
    </row>
    <row r="93" ht="15" customHeight="1">
      <c r="A93" s="1886" t="inlineStr">
        <is>
          <t>Interest Expense - Net of (Interest Income)</t>
        </is>
      </c>
      <c r="B93" s="1807" t="n">
        <v>-4409765.87</v>
      </c>
      <c r="C93" s="1807" t="n">
        <v>36028355.72</v>
      </c>
      <c r="D93" s="1807" t="n">
        <v>55508710.9</v>
      </c>
      <c r="E93" s="1807" t="n">
        <v>120170503.14</v>
      </c>
      <c r="F93" s="1807" t="n">
        <v>231827565.81</v>
      </c>
    </row>
    <row r="94" ht="15" customHeight="1">
      <c r="A94" s="1887" t="inlineStr">
        <is>
          <t>Interest Income - Non-Bank</t>
        </is>
      </c>
      <c r="B94" s="1807" t="n">
        <v>20826542.44</v>
      </c>
      <c r="C94" s="1807" t="n">
        <v>6469297.61</v>
      </c>
      <c r="D94" s="1807" t="n">
        <v>186400.18</v>
      </c>
      <c r="E94" s="1807" t="n">
        <v>538954.78</v>
      </c>
      <c r="F94" s="1807" t="n">
        <v>52541075.27</v>
      </c>
    </row>
    <row r="95" ht="15" customHeight="1">
      <c r="A95" s="1887" t="inlineStr">
        <is>
          <t>Interest Expense - Net of Capitalized Interest</t>
        </is>
      </c>
      <c r="B95" s="1807" t="n">
        <v>16416776.58</v>
      </c>
      <c r="C95" s="1807" t="n">
        <v>42497653.33</v>
      </c>
      <c r="D95" s="1807" t="n">
        <v>55695111.08</v>
      </c>
      <c r="E95" s="1807" t="n">
        <v>120709457.92</v>
      </c>
      <c r="F95" s="1807" t="n">
        <v>284368641.09</v>
      </c>
    </row>
    <row r="96" ht="15" customHeight="1">
      <c r="A96" s="1890" t="inlineStr">
        <is>
          <t>Interest Expense on Capital Financing - Gross</t>
        </is>
      </c>
      <c r="B96" s="731" t="n"/>
      <c r="C96" s="731" t="n"/>
      <c r="D96" s="731" t="n"/>
      <c r="E96" s="731" t="n"/>
      <c r="F96" s="731" t="n"/>
    </row>
    <row r="97" ht="15" customHeight="1">
      <c r="A97" s="1891" t="inlineStr">
        <is>
          <t>Dividends on Hybrid Financial Instruments - Liability Portion</t>
        </is>
      </c>
      <c r="B97" s="731" t="n"/>
      <c r="C97" s="731" t="n"/>
      <c r="D97" s="731" t="n"/>
      <c r="E97" s="731" t="n"/>
      <c r="F97" s="731" t="n"/>
    </row>
    <row r="98" ht="15" customHeight="1">
      <c r="A98" s="1890" t="inlineStr">
        <is>
          <t>Interest Capitalized</t>
        </is>
      </c>
      <c r="B98" s="731" t="n"/>
      <c r="C98" s="731" t="n"/>
      <c r="D98" s="731" t="n"/>
      <c r="E98" s="731" t="n"/>
      <c r="F98" s="731" t="n"/>
    </row>
    <row r="99" ht="15" customHeight="1">
      <c r="A99" s="1891" t="inlineStr">
        <is>
          <t>Allowance for Funds Used during Construction - Debt Portion (AFUDC)</t>
        </is>
      </c>
      <c r="B99" s="731" t="n"/>
      <c r="C99" s="731" t="n"/>
      <c r="D99" s="731" t="n"/>
      <c r="E99" s="731" t="n"/>
      <c r="F99" s="731" t="n"/>
    </row>
    <row r="100" ht="15" customHeight="1">
      <c r="A100" s="1886" t="inlineStr">
        <is>
          <t>Non-Interest Financial Income/(Expense) - Total</t>
        </is>
      </c>
      <c r="B100" s="1807" t="n">
        <v>-951768.98</v>
      </c>
      <c r="C100" s="1807" t="n">
        <v>-2547291.69</v>
      </c>
      <c r="D100" s="1807" t="n">
        <v>-2217342.03</v>
      </c>
      <c r="E100" s="1807" t="n">
        <v>47659935.04</v>
      </c>
      <c r="F100" s="1807" t="n">
        <v>-28276813.87</v>
      </c>
    </row>
    <row r="101" ht="15" customHeight="1">
      <c r="A101" s="1887" t="inlineStr">
        <is>
          <t>Dividend &amp; Investment Income</t>
        </is>
      </c>
      <c r="B101" s="731" t="n"/>
      <c r="C101" s="731" t="n"/>
      <c r="D101" s="731" t="n"/>
      <c r="E101" s="731" t="n"/>
      <c r="F101" s="731" t="n"/>
    </row>
    <row r="102" ht="15" customHeight="1">
      <c r="A102" s="1887" t="inlineStr">
        <is>
          <t>Foreign Exchange Gain/(Loss) - Non-Business</t>
        </is>
      </c>
      <c r="B102" s="731" t="n"/>
      <c r="C102" s="731" t="n"/>
      <c r="D102" s="731" t="n"/>
      <c r="E102" s="731" t="n"/>
      <c r="F102" s="1893" t="n">
        <v>461.5</v>
      </c>
    </row>
    <row r="103" ht="15" customHeight="1">
      <c r="A103" s="1887" t="inlineStr">
        <is>
          <t>Amortization of Deferred Financing Charges</t>
        </is>
      </c>
      <c r="B103" s="1807" t="n">
        <v>906674.4399999999</v>
      </c>
      <c r="C103" s="1807" t="n">
        <v>2327227.59</v>
      </c>
      <c r="D103" s="1807" t="n">
        <v>1922558.15</v>
      </c>
      <c r="E103" s="731" t="n"/>
      <c r="F103" s="1807" t="n">
        <v>11910102.81</v>
      </c>
    </row>
    <row r="104" ht="15" customHeight="1">
      <c r="A104" s="1887" t="inlineStr">
        <is>
          <t>Sale of Investments Held for Sale, Maturity &amp; Trading - Gain/(Loss)</t>
        </is>
      </c>
      <c r="B104" s="731" t="n"/>
      <c r="C104" s="731" t="n"/>
      <c r="D104" s="731" t="n"/>
      <c r="E104" s="731" t="n"/>
      <c r="F104" s="731" t="n"/>
    </row>
    <row r="105" ht="15" customHeight="1">
      <c r="A105" s="1887" t="inlineStr">
        <is>
          <t>Accretion - Site Closure &amp; Reclamation Expenses</t>
        </is>
      </c>
      <c r="B105" s="731" t="n"/>
      <c r="C105" s="731" t="n"/>
      <c r="D105" s="731" t="n"/>
      <c r="E105" s="731" t="n"/>
      <c r="F105" s="731" t="n"/>
    </row>
    <row r="106" ht="15" customHeight="1">
      <c r="A106" s="1887" t="inlineStr">
        <is>
          <t>Non-Interest Financial Income/(Expense) - Other - Net</t>
        </is>
      </c>
      <c r="B106" s="1807" t="n">
        <v>-45094.53</v>
      </c>
      <c r="C106" s="1807" t="n">
        <v>-220064.1</v>
      </c>
      <c r="D106" s="1807" t="n">
        <v>-294783.88</v>
      </c>
      <c r="E106" s="1807" t="n">
        <v>47659935.04</v>
      </c>
      <c r="F106" s="1807" t="n">
        <v>-16367172.55</v>
      </c>
    </row>
    <row r="107" ht="15" customHeight="1">
      <c r="A107" s="1885" t="inlineStr">
        <is>
          <t>Sale of Tangible &amp; Intangible Fixed Assets - Gain/(Loss)</t>
        </is>
      </c>
      <c r="B107" s="731" t="n"/>
      <c r="C107" s="1807" t="n">
        <v>31907906.89</v>
      </c>
      <c r="D107" s="1807" t="n">
        <v>0</v>
      </c>
      <c r="E107" s="1807" t="n">
        <v>221090.63</v>
      </c>
      <c r="F107" s="1807" t="n">
        <v>100177.65</v>
      </c>
    </row>
    <row r="108" ht="15" customHeight="1">
      <c r="A108" s="1886" t="inlineStr">
        <is>
          <t>Sale of Leased Fixed Assets - Gain/(Loss)</t>
        </is>
      </c>
      <c r="B108" s="731" t="n"/>
      <c r="C108" s="731" t="n"/>
      <c r="D108" s="731" t="n"/>
      <c r="E108" s="731" t="n"/>
      <c r="F108" s="731" t="n"/>
    </row>
    <row r="109" ht="15" customHeight="1">
      <c r="A109" s="1885" t="inlineStr">
        <is>
          <t>Equity Earnings/(Loss) - before Taxes including Non-Recurring</t>
        </is>
      </c>
      <c r="B109" s="731" t="n"/>
      <c r="C109" s="731" t="n"/>
      <c r="D109" s="731" t="n"/>
      <c r="E109" s="731" t="n"/>
      <c r="F109" s="731" t="n"/>
    </row>
    <row r="110" ht="15" customHeight="1">
      <c r="A110" s="1886" t="inlineStr">
        <is>
          <t>Non-Recurring Portion of Equity Earnings before Taxes</t>
        </is>
      </c>
      <c r="B110" s="731" t="n"/>
      <c r="C110" s="731" t="n"/>
      <c r="D110" s="731" t="n"/>
      <c r="E110" s="731" t="n"/>
      <c r="F110" s="731" t="n"/>
    </row>
    <row r="111" ht="15" customHeight="1">
      <c r="A111" s="1885" t="inlineStr">
        <is>
          <t>Other Non-Operating Income/(Expense) - Total</t>
        </is>
      </c>
      <c r="B111" s="731" t="n"/>
      <c r="C111" s="731" t="n"/>
      <c r="D111" s="731" t="n"/>
      <c r="E111" s="731" t="n"/>
      <c r="F111" s="731" t="n"/>
    </row>
    <row r="112" ht="15" customHeight="1">
      <c r="A112" s="1886" t="inlineStr">
        <is>
          <t>Non-Operating Rental Income</t>
        </is>
      </c>
      <c r="B112" s="731" t="n"/>
      <c r="C112" s="731" t="n"/>
      <c r="D112" s="731" t="n"/>
      <c r="E112" s="731" t="n"/>
      <c r="F112" s="731" t="n"/>
    </row>
    <row r="113" ht="15" customHeight="1">
      <c r="A113" s="1886" t="inlineStr">
        <is>
          <t>Transfer from/(to) Untaxed Reserves</t>
        </is>
      </c>
      <c r="B113" s="731" t="n"/>
      <c r="C113" s="731" t="n"/>
      <c r="D113" s="731" t="n"/>
      <c r="E113" s="731" t="n"/>
      <c r="F113" s="731" t="n"/>
    </row>
    <row r="114" ht="15" customHeight="1">
      <c r="A114" s="1886" t="inlineStr">
        <is>
          <t>Trading Derivatives - Gain/(Loss)</t>
        </is>
      </c>
      <c r="B114" s="731" t="n"/>
      <c r="C114" s="731" t="n"/>
      <c r="D114" s="731" t="n"/>
      <c r="E114" s="731" t="n"/>
      <c r="F114" s="731" t="n"/>
    </row>
    <row r="115" ht="15" customHeight="1">
      <c r="A115" s="1886" t="inlineStr">
        <is>
          <t>Derivatives - Hedging - Effective Gain/(Loss)</t>
        </is>
      </c>
      <c r="B115" s="731" t="n"/>
      <c r="C115" s="731" t="n"/>
      <c r="D115" s="731" t="n"/>
      <c r="E115" s="731" t="n"/>
      <c r="F115" s="731" t="n"/>
    </row>
    <row r="116" ht="15" customHeight="1">
      <c r="A116" s="1886" t="inlineStr">
        <is>
          <t>Derivatives - Hedging - Realized Gain/(Loss)</t>
        </is>
      </c>
      <c r="B116" s="731" t="n"/>
      <c r="C116" s="731" t="n"/>
      <c r="D116" s="731" t="n"/>
      <c r="E116" s="731" t="n"/>
      <c r="F116" s="731" t="n"/>
    </row>
    <row r="117" ht="15" customHeight="1">
      <c r="A117" s="1886" t="inlineStr">
        <is>
          <t>Non-Recurring Adjustments - Non-Operating- Decrease/(Increase)</t>
        </is>
      </c>
      <c r="B117" s="731" t="n"/>
      <c r="C117" s="731" t="n"/>
      <c r="D117" s="731" t="n"/>
      <c r="E117" s="731" t="n"/>
      <c r="F117" s="731" t="n"/>
    </row>
    <row r="118" ht="15" customHeight="1">
      <c r="A118" s="1886" t="inlineStr">
        <is>
          <t>Supplementary Adjustments - Non-Operating- Decrease/(Increase)</t>
        </is>
      </c>
      <c r="B118" s="731" t="n"/>
      <c r="C118" s="731" t="n"/>
      <c r="D118" s="731" t="n"/>
      <c r="E118" s="731" t="n"/>
      <c r="F118" s="731" t="n"/>
    </row>
    <row r="119" ht="15" customHeight="1">
      <c r="A119" s="1885" t="inlineStr">
        <is>
          <t>Normalized Pre-tax Profit</t>
        </is>
      </c>
      <c r="B119" s="1807" t="n">
        <v>24504631.84</v>
      </c>
      <c r="C119" s="1807" t="n">
        <v>54333120.84</v>
      </c>
      <c r="D119" s="1807" t="n">
        <v>67132058.92</v>
      </c>
      <c r="E119" s="1807" t="n">
        <v>272380687.95</v>
      </c>
      <c r="F119" s="1807" t="n">
        <v>650139989.5599999</v>
      </c>
    </row>
    <row r="120" ht="15" customHeight="1">
      <c r="A120" s="1884" t="inlineStr">
        <is>
          <t>Non-Recurring Income/Expense</t>
        </is>
      </c>
      <c r="B120" s="734" t="n"/>
      <c r="C120" s="734" t="n"/>
      <c r="D120" s="734" t="n"/>
      <c r="E120" s="734" t="n"/>
      <c r="F120" s="734" t="n"/>
    </row>
    <row r="121" ht="15" customHeight="1">
      <c r="A121" s="1885" t="inlineStr">
        <is>
          <t>Non-Recurring Income/(Expense) - Total</t>
        </is>
      </c>
      <c r="B121" s="731" t="n"/>
      <c r="C121" s="1807" t="n">
        <v>-150705.24</v>
      </c>
      <c r="D121" s="1807" t="n">
        <v>445566.41</v>
      </c>
      <c r="E121" s="1807" t="n">
        <v>0</v>
      </c>
      <c r="F121" s="1807" t="n">
        <v>53919688.7</v>
      </c>
    </row>
    <row r="122" ht="15" customHeight="1">
      <c r="A122" s="1886" t="inlineStr">
        <is>
          <t>Impairment - Deferred Costs</t>
        </is>
      </c>
      <c r="B122" s="731" t="n"/>
      <c r="C122" s="731" t="n"/>
      <c r="D122" s="731" t="n"/>
      <c r="E122" s="731" t="n"/>
      <c r="F122" s="731" t="n"/>
    </row>
    <row r="123" ht="15" customHeight="1">
      <c r="A123" s="1886" t="inlineStr">
        <is>
          <t>Impairment - Tangible &amp; Intangible Fixed Assets</t>
        </is>
      </c>
      <c r="B123" s="731" t="n"/>
      <c r="C123" s="731" t="n"/>
      <c r="D123" s="731" t="n"/>
      <c r="E123" s="731" t="n"/>
      <c r="F123" s="731" t="n"/>
    </row>
    <row r="124" ht="15" customHeight="1">
      <c r="A124" s="1887" t="inlineStr">
        <is>
          <t>Impairment - Fixed Assets</t>
        </is>
      </c>
      <c r="B124" s="731" t="n"/>
      <c r="C124" s="731" t="n"/>
      <c r="D124" s="731" t="n"/>
      <c r="E124" s="731" t="n"/>
      <c r="F124" s="731" t="n"/>
    </row>
    <row r="125" ht="15" customHeight="1">
      <c r="A125" s="1887" t="inlineStr">
        <is>
          <t>Impairment - Goodwill</t>
        </is>
      </c>
      <c r="B125" s="731" t="n"/>
      <c r="C125" s="731" t="n"/>
      <c r="D125" s="731" t="n"/>
      <c r="E125" s="731" t="n"/>
      <c r="F125" s="731" t="n"/>
    </row>
    <row r="126" ht="15" customHeight="1">
      <c r="A126" s="1887" t="inlineStr">
        <is>
          <t>Impairment - Intangibles excluding Goodwill</t>
        </is>
      </c>
      <c r="B126" s="731" t="n"/>
      <c r="C126" s="731" t="n"/>
      <c r="D126" s="731" t="n"/>
      <c r="E126" s="731" t="n"/>
      <c r="F126" s="731" t="n"/>
    </row>
    <row r="127" ht="15" customHeight="1">
      <c r="A127" s="1887" t="inlineStr">
        <is>
          <t>Impairment - Oil &amp; Gas Assets</t>
        </is>
      </c>
      <c r="B127" s="731" t="n"/>
      <c r="C127" s="731" t="n"/>
      <c r="D127" s="731" t="n"/>
      <c r="E127" s="731" t="n"/>
      <c r="F127" s="731" t="n"/>
    </row>
    <row r="128" ht="15" customHeight="1">
      <c r="A128" s="1886" t="inlineStr">
        <is>
          <t>Impairment - Investment Property</t>
        </is>
      </c>
      <c r="B128" s="731" t="n"/>
      <c r="C128" s="731" t="n"/>
      <c r="D128" s="731" t="n"/>
      <c r="E128" s="731" t="n"/>
      <c r="F128" s="731" t="n"/>
    </row>
    <row r="129" ht="15" customHeight="1">
      <c r="A129" s="1886" t="inlineStr">
        <is>
          <t>Impairment - Financial Investments</t>
        </is>
      </c>
      <c r="B129" s="731" t="n"/>
      <c r="C129" s="731" t="n"/>
      <c r="D129" s="731" t="n"/>
      <c r="E129" s="731" t="n"/>
      <c r="F129" s="731" t="n"/>
    </row>
    <row r="130" ht="15" customHeight="1">
      <c r="A130" s="1886" t="inlineStr">
        <is>
          <t>Other than Temporary Impairment Losses on Investments</t>
        </is>
      </c>
      <c r="B130" s="731" t="n"/>
      <c r="C130" s="731" t="n"/>
      <c r="D130" s="731" t="n"/>
      <c r="E130" s="731" t="n"/>
      <c r="F130" s="731" t="n"/>
    </row>
    <row r="131" ht="15" customHeight="1">
      <c r="A131" s="1886" t="inlineStr">
        <is>
          <t>Restructuring Charges</t>
        </is>
      </c>
      <c r="B131" s="731" t="n"/>
      <c r="C131" s="731" t="n"/>
      <c r="D131" s="731" t="n"/>
      <c r="E131" s="731" t="n"/>
      <c r="F131" s="731" t="n"/>
    </row>
    <row r="132" ht="15" customHeight="1">
      <c r="A132" s="1886" t="inlineStr">
        <is>
          <t>Research &amp; Development - in Process</t>
        </is>
      </c>
      <c r="B132" s="731" t="n"/>
      <c r="C132" s="731" t="n"/>
      <c r="D132" s="731" t="n"/>
      <c r="E132" s="731" t="n"/>
      <c r="F132" s="731" t="n"/>
    </row>
    <row r="133" ht="15" customHeight="1">
      <c r="A133" s="1886" t="inlineStr">
        <is>
          <t>Litigation Expenses/Settlements</t>
        </is>
      </c>
      <c r="B133" s="731" t="n"/>
      <c r="C133" s="731" t="n"/>
      <c r="D133" s="731" t="n"/>
      <c r="E133" s="731" t="n"/>
      <c r="F133" s="731" t="n"/>
    </row>
    <row r="134" ht="15" customHeight="1">
      <c r="A134" s="1886" t="inlineStr">
        <is>
          <t>Costs Associated with IPOs &amp; Mergers</t>
        </is>
      </c>
      <c r="B134" s="731" t="n"/>
      <c r="C134" s="731" t="n"/>
      <c r="D134" s="731" t="n"/>
      <c r="E134" s="731" t="n"/>
      <c r="F134" s="731" t="n"/>
    </row>
    <row r="135" ht="15" customHeight="1">
      <c r="A135" s="1886" t="inlineStr">
        <is>
          <t>Derivatives - Hedging - Gain/(Loss)</t>
        </is>
      </c>
      <c r="B135" s="731" t="n"/>
      <c r="C135" s="731" t="n"/>
      <c r="D135" s="731" t="n"/>
      <c r="E135" s="731" t="n"/>
      <c r="F135" s="731" t="n"/>
    </row>
    <row r="136" ht="15" customHeight="1">
      <c r="A136" s="1886" t="inlineStr">
        <is>
          <t>Early Termination of Derivatives - Hedging - Gain/(Loss)</t>
        </is>
      </c>
      <c r="B136" s="731" t="n"/>
      <c r="C136" s="731" t="n"/>
      <c r="D136" s="731" t="n"/>
      <c r="E136" s="731" t="n"/>
      <c r="F136" s="731" t="n"/>
    </row>
    <row r="137" ht="15" customHeight="1">
      <c r="A137" s="1886" t="inlineStr">
        <is>
          <t>Derivatives - Hedging - Ineffective Gain/(Loss)</t>
        </is>
      </c>
      <c r="B137" s="731" t="n"/>
      <c r="C137" s="731" t="n"/>
      <c r="D137" s="731" t="n"/>
      <c r="E137" s="731" t="n"/>
      <c r="F137" s="731" t="n"/>
    </row>
    <row r="138" ht="15" customHeight="1">
      <c r="A138" s="1886" t="inlineStr">
        <is>
          <t>Unrealized Adjustments on Derivatives for Hedging</t>
        </is>
      </c>
      <c r="B138" s="731" t="n"/>
      <c r="C138" s="731" t="n"/>
      <c r="D138" s="731" t="n"/>
      <c r="E138" s="731" t="n"/>
      <c r="F138" s="731" t="n"/>
    </row>
    <row r="139" ht="15" customHeight="1">
      <c r="A139" s="1886" t="inlineStr">
        <is>
          <t>Early Extinguishment of Lease Related Debts - Gain/(Loss)</t>
        </is>
      </c>
      <c r="B139" s="731" t="n"/>
      <c r="C139" s="731" t="n"/>
      <c r="D139" s="731" t="n"/>
      <c r="E139" s="731" t="n"/>
      <c r="F139" s="731" t="n"/>
    </row>
    <row r="140" ht="15" customHeight="1">
      <c r="A140" s="1886" t="inlineStr">
        <is>
          <t>Recognition of Negative Goodwill</t>
        </is>
      </c>
      <c r="B140" s="731" t="n"/>
      <c r="C140" s="731" t="n"/>
      <c r="D140" s="731" t="n"/>
      <c r="E140" s="731" t="n"/>
      <c r="F140" s="1807" t="n">
        <v>8737777.6</v>
      </c>
    </row>
    <row r="141" ht="15" customHeight="1">
      <c r="A141" s="1886" t="inlineStr">
        <is>
          <t>Fair Value Adjustments - Investment Property</t>
        </is>
      </c>
      <c r="B141" s="731" t="n"/>
      <c r="C141" s="731" t="n"/>
      <c r="D141" s="731" t="n"/>
      <c r="E141" s="731" t="n"/>
      <c r="F141" s="731" t="n"/>
    </row>
    <row r="142" ht="15" customHeight="1">
      <c r="A142" s="1886" t="inlineStr">
        <is>
          <t>Fair Value Adjustments - Biological Assets</t>
        </is>
      </c>
      <c r="B142" s="731" t="n"/>
      <c r="C142" s="731" t="n"/>
      <c r="D142" s="731" t="n"/>
      <c r="E142" s="731" t="n"/>
      <c r="F142" s="731" t="n"/>
    </row>
    <row r="143" ht="15" customHeight="1">
      <c r="A143" s="1886" t="inlineStr">
        <is>
          <t>Fair Value Adjustments - Financial Investments</t>
        </is>
      </c>
      <c r="B143" s="731" t="n"/>
      <c r="C143" s="731" t="n"/>
      <c r="D143" s="731" t="n"/>
      <c r="E143" s="731" t="n"/>
      <c r="F143" s="731" t="n"/>
    </row>
    <row r="144" ht="15" customHeight="1">
      <c r="A144" s="1886" t="inlineStr">
        <is>
          <t>Fair Value Adjustments - Other Assets</t>
        </is>
      </c>
      <c r="B144" s="731" t="n"/>
      <c r="C144" s="731" t="n"/>
      <c r="D144" s="731" t="n"/>
      <c r="E144" s="731" t="n"/>
      <c r="F144" s="731" t="n"/>
    </row>
    <row r="145" ht="15" customHeight="1">
      <c r="A145" s="1886" t="inlineStr">
        <is>
          <t>Compensation for Disaster - Pre-Tax</t>
        </is>
      </c>
      <c r="B145" s="731" t="n"/>
      <c r="C145" s="731" t="n"/>
      <c r="D145" s="731" t="n"/>
      <c r="E145" s="731" t="n"/>
      <c r="F145" s="731" t="n"/>
    </row>
    <row r="146" ht="15" customHeight="1">
      <c r="A146" s="1886" t="inlineStr">
        <is>
          <t>Debt Restructuring - Gain/(Loss)</t>
        </is>
      </c>
      <c r="B146" s="731" t="n"/>
      <c r="C146" s="731" t="n"/>
      <c r="D146" s="731" t="n"/>
      <c r="E146" s="731" t="n"/>
      <c r="F146" s="731" t="n"/>
    </row>
    <row r="147" ht="15" customHeight="1">
      <c r="A147" s="1886" t="inlineStr">
        <is>
          <t>Sale &amp; Acquisition of Group Companies - Gain/(Loss)</t>
        </is>
      </c>
      <c r="B147" s="731" t="n"/>
      <c r="C147" s="1807" t="n">
        <v>-150705.24</v>
      </c>
      <c r="D147" s="1807" t="n">
        <v>445566.41</v>
      </c>
      <c r="E147" s="1807" t="n">
        <v>0</v>
      </c>
      <c r="F147" s="1807" t="n">
        <v>45181911.1</v>
      </c>
    </row>
    <row r="148" ht="15" customHeight="1">
      <c r="A148" s="1886" t="inlineStr">
        <is>
          <t>Valuation of Inventory - Gain/(Loss)</t>
        </is>
      </c>
      <c r="B148" s="731" t="n"/>
      <c r="C148" s="731" t="n"/>
      <c r="D148" s="731" t="n"/>
      <c r="E148" s="731" t="n"/>
      <c r="F148" s="731" t="n"/>
    </row>
    <row r="149" ht="15" customHeight="1">
      <c r="A149" s="1886" t="inlineStr">
        <is>
          <t>COVID-19 Non-Recurring Income/(Expense) - Total</t>
        </is>
      </c>
      <c r="B149" s="731" t="n"/>
      <c r="C149" s="731" t="n"/>
      <c r="D149" s="731" t="n"/>
      <c r="E149" s="731" t="n"/>
      <c r="F149" s="731" t="n"/>
    </row>
    <row r="150" ht="15" customHeight="1">
      <c r="A150" s="1887" t="inlineStr">
        <is>
          <t>COVID-19 Non-Recurring Income/(Expense) - Other</t>
        </is>
      </c>
      <c r="B150" s="731" t="n"/>
      <c r="C150" s="731" t="n"/>
      <c r="D150" s="731" t="n"/>
      <c r="E150" s="731" t="n"/>
      <c r="F150" s="731" t="n"/>
    </row>
    <row r="151" ht="15" customHeight="1">
      <c r="A151" s="1887" t="inlineStr">
        <is>
          <t>COVID-19 One-time Provisions</t>
        </is>
      </c>
      <c r="B151" s="731" t="n"/>
      <c r="C151" s="731" t="n"/>
      <c r="D151" s="731" t="n"/>
      <c r="E151" s="731" t="n"/>
      <c r="F151" s="731" t="n"/>
    </row>
    <row r="152" ht="15" customHeight="1">
      <c r="A152" s="1887" t="inlineStr">
        <is>
          <t>COVID-19 Restructuring Charges &amp; Provisions</t>
        </is>
      </c>
      <c r="B152" s="731" t="n"/>
      <c r="C152" s="731" t="n"/>
      <c r="D152" s="731" t="n"/>
      <c r="E152" s="731" t="n"/>
      <c r="F152" s="731" t="n"/>
    </row>
    <row r="153" ht="15" customHeight="1">
      <c r="A153" s="1887" t="inlineStr">
        <is>
          <t>COVID-19 Impairment of Long-Term Assets</t>
        </is>
      </c>
      <c r="B153" s="731" t="n"/>
      <c r="C153" s="731" t="n"/>
      <c r="D153" s="731" t="n"/>
      <c r="E153" s="731" t="n"/>
      <c r="F153" s="731" t="n"/>
    </row>
    <row r="154" ht="15" customHeight="1">
      <c r="A154" s="1887" t="inlineStr">
        <is>
          <t>COVID-19 One-time Government Grants Received</t>
        </is>
      </c>
      <c r="B154" s="731" t="n"/>
      <c r="C154" s="731" t="n"/>
      <c r="D154" s="731" t="n"/>
      <c r="E154" s="731" t="n"/>
      <c r="F154" s="731" t="n"/>
    </row>
    <row r="155" ht="15" customHeight="1">
      <c r="A155" s="1886" t="inlineStr">
        <is>
          <t>Non-Recurring Income/(Expense) - Other - Total</t>
        </is>
      </c>
      <c r="B155" s="731" t="n"/>
      <c r="C155" s="731" t="n"/>
      <c r="D155" s="731" t="n"/>
      <c r="E155" s="731" t="n"/>
      <c r="F155" s="731" t="n"/>
    </row>
    <row r="156" ht="15" customHeight="1">
      <c r="A156" s="1884" t="inlineStr">
        <is>
          <t>Pre-Tax Income</t>
        </is>
      </c>
      <c r="B156" s="734" t="n"/>
      <c r="C156" s="734" t="n"/>
      <c r="D156" s="734" t="n"/>
      <c r="E156" s="734" t="n"/>
      <c r="F156" s="734" t="n"/>
    </row>
    <row r="157" ht="15" customHeight="1">
      <c r="A157" s="1888" t="inlineStr">
        <is>
          <t>Income before Taxes</t>
        </is>
      </c>
      <c r="B157" s="1889" t="n">
        <v>24504631.84</v>
      </c>
      <c r="C157" s="1889" t="n">
        <v>54182415.6</v>
      </c>
      <c r="D157" s="1889" t="n">
        <v>67577625.33</v>
      </c>
      <c r="E157" s="1889" t="n">
        <v>272380687.95</v>
      </c>
      <c r="F157" s="1889" t="n">
        <v>704059678.26</v>
      </c>
    </row>
    <row r="158" ht="15" customHeight="1">
      <c r="A158" s="1884" t="inlineStr">
        <is>
          <t>Taxes</t>
        </is>
      </c>
      <c r="B158" s="734" t="n"/>
      <c r="C158" s="734" t="n"/>
      <c r="D158" s="734" t="n"/>
      <c r="E158" s="734" t="n"/>
      <c r="F158" s="734" t="n"/>
    </row>
    <row r="159" ht="15" customHeight="1">
      <c r="A159" s="1885" t="inlineStr">
        <is>
          <t>Income Taxes</t>
        </is>
      </c>
      <c r="B159" s="1807" t="n">
        <v>-304354.48</v>
      </c>
      <c r="C159" s="1807" t="n">
        <v>-4263810.65</v>
      </c>
      <c r="D159" s="1807" t="n">
        <v>9320904.220000001</v>
      </c>
      <c r="E159" s="1807" t="n">
        <v>43102216.45</v>
      </c>
      <c r="F159" s="1807" t="n">
        <v>71156782.19</v>
      </c>
    </row>
    <row r="160" ht="15" customHeight="1">
      <c r="A160" s="1886" t="inlineStr">
        <is>
          <t>Provision for Income Tax Expense- Unclassified</t>
        </is>
      </c>
      <c r="B160" s="1807" t="n">
        <v>-314869.51</v>
      </c>
      <c r="C160" s="1807" t="n">
        <v>-4268160.59</v>
      </c>
      <c r="D160" s="1807" t="n">
        <v>9318897.300000001</v>
      </c>
      <c r="E160" s="1807" t="n">
        <v>43102216.45</v>
      </c>
      <c r="F160" s="1807" t="n">
        <v>71156782.19</v>
      </c>
    </row>
    <row r="161" ht="15" customHeight="1">
      <c r="A161" s="1886" t="inlineStr">
        <is>
          <t>Provision for Income Tax by Region - Total</t>
        </is>
      </c>
      <c r="B161" s="731" t="n"/>
      <c r="C161" s="731" t="n"/>
      <c r="D161" s="731" t="n"/>
      <c r="E161" s="731" t="n"/>
      <c r="F161" s="731" t="n"/>
    </row>
    <row r="162" ht="15" customHeight="1">
      <c r="A162" s="1887" t="inlineStr">
        <is>
          <t>Income Taxes - Domestic</t>
        </is>
      </c>
      <c r="B162" s="731" t="n"/>
      <c r="C162" s="731" t="n"/>
      <c r="D162" s="731" t="n"/>
      <c r="E162" s="731" t="n"/>
      <c r="F162" s="731" t="n"/>
    </row>
    <row r="163" ht="15" customHeight="1">
      <c r="A163" s="1887" t="inlineStr">
        <is>
          <t>Income Taxes - Foreign</t>
        </is>
      </c>
      <c r="B163" s="731" t="n"/>
      <c r="C163" s="731" t="n"/>
      <c r="D163" s="731" t="n"/>
      <c r="E163" s="731" t="n"/>
      <c r="F163" s="731" t="n"/>
    </row>
    <row r="164" ht="15" customHeight="1">
      <c r="A164" s="1887" t="inlineStr">
        <is>
          <t>Income Taxes - Other (by Region)</t>
        </is>
      </c>
      <c r="B164" s="731" t="n"/>
      <c r="C164" s="731" t="n"/>
      <c r="D164" s="731" t="n"/>
      <c r="E164" s="731" t="n"/>
      <c r="F164" s="731" t="n"/>
    </row>
    <row r="165" ht="15" customHeight="1">
      <c r="A165" s="1886" t="inlineStr">
        <is>
          <t>Income Taxes for the Year - Current</t>
        </is>
      </c>
      <c r="B165" s="1807" t="n">
        <v>10515.02</v>
      </c>
      <c r="C165" s="1893" t="n">
        <v>4349.94</v>
      </c>
      <c r="D165" s="1893" t="n">
        <v>2006.93</v>
      </c>
      <c r="E165" s="731" t="n"/>
      <c r="F165" s="731" t="n"/>
    </row>
    <row r="166" ht="15" customHeight="1">
      <c r="A166" s="1887" t="inlineStr">
        <is>
          <t>Income Taxes - Domestic - Current</t>
        </is>
      </c>
      <c r="B166" s="731" t="n"/>
      <c r="C166" s="731" t="n"/>
      <c r="D166" s="731" t="n"/>
      <c r="E166" s="731" t="n"/>
      <c r="F166" s="731" t="n"/>
    </row>
    <row r="167" ht="15" customHeight="1">
      <c r="A167" s="1887" t="inlineStr">
        <is>
          <t>Income Taxes - Foreign - Current</t>
        </is>
      </c>
      <c r="B167" s="731" t="n"/>
      <c r="C167" s="731" t="n"/>
      <c r="D167" s="731" t="n"/>
      <c r="E167" s="731" t="n"/>
      <c r="F167" s="731" t="n"/>
    </row>
    <row r="168" ht="15" customHeight="1">
      <c r="A168" s="1887" t="inlineStr">
        <is>
          <t>Income Taxes - Other (KFAS/NLST) - Current</t>
        </is>
      </c>
      <c r="B168" s="1807" t="n">
        <v>10515.02</v>
      </c>
      <c r="C168" s="1893" t="n">
        <v>4349.94</v>
      </c>
      <c r="D168" s="1893" t="n">
        <v>2006.93</v>
      </c>
      <c r="E168" s="731" t="n"/>
      <c r="F168" s="731" t="n"/>
    </row>
    <row r="169" ht="15" customHeight="1">
      <c r="A169" s="1886" t="inlineStr">
        <is>
          <t>Income Taxes - Deferred</t>
        </is>
      </c>
      <c r="B169" s="731" t="n"/>
      <c r="C169" s="731" t="n"/>
      <c r="D169" s="731" t="n"/>
      <c r="E169" s="731" t="n"/>
      <c r="F169" s="731" t="n"/>
    </row>
    <row r="170" ht="15" customHeight="1">
      <c r="A170" s="1887" t="inlineStr">
        <is>
          <t>Income Taxes - Domestic - Deferred</t>
        </is>
      </c>
      <c r="B170" s="731" t="n"/>
      <c r="C170" s="731" t="n"/>
      <c r="D170" s="731" t="n"/>
      <c r="E170" s="731" t="n"/>
      <c r="F170" s="731" t="n"/>
    </row>
    <row r="171" ht="15" customHeight="1">
      <c r="A171" s="1887" t="inlineStr">
        <is>
          <t>Income Taxes - Foreign - Deferred</t>
        </is>
      </c>
      <c r="B171" s="731" t="n"/>
      <c r="C171" s="731" t="n"/>
      <c r="D171" s="731" t="n"/>
      <c r="E171" s="731" t="n"/>
      <c r="F171" s="731" t="n"/>
    </row>
    <row r="172" ht="15" customHeight="1">
      <c r="A172" s="1887" t="inlineStr">
        <is>
          <t>Income Taxes - Other - Deferred</t>
        </is>
      </c>
      <c r="B172" s="731" t="n"/>
      <c r="C172" s="731" t="n"/>
      <c r="D172" s="731" t="n"/>
      <c r="E172" s="731" t="n"/>
      <c r="F172" s="731" t="n"/>
    </row>
    <row r="173" ht="15" customHeight="1">
      <c r="A173" s="1886" t="inlineStr">
        <is>
          <t>Income Taxes - Other (by Type)</t>
        </is>
      </c>
      <c r="B173" s="731" t="n"/>
      <c r="C173" s="731" t="n"/>
      <c r="D173" s="731" t="n"/>
      <c r="E173" s="731" t="n"/>
      <c r="F173" s="731" t="n"/>
    </row>
    <row r="174" ht="15" customHeight="1">
      <c r="A174" s="1884" t="inlineStr">
        <is>
          <t>Net Income After Tax</t>
        </is>
      </c>
      <c r="B174" s="734" t="n"/>
      <c r="C174" s="734" t="n"/>
      <c r="D174" s="734" t="n"/>
      <c r="E174" s="734" t="n"/>
      <c r="F174" s="734" t="n"/>
    </row>
    <row r="175" ht="15" customHeight="1">
      <c r="A175" s="1885" t="inlineStr">
        <is>
          <t>Net Income after Tax</t>
        </is>
      </c>
      <c r="B175" s="1807" t="n">
        <v>24808986.33</v>
      </c>
      <c r="C175" s="1807" t="n">
        <v>58446226.24</v>
      </c>
      <c r="D175" s="1807" t="n">
        <v>58256721.11</v>
      </c>
      <c r="E175" s="1807" t="n">
        <v>229278471.5</v>
      </c>
      <c r="F175" s="1807" t="n">
        <v>632902896.0700001</v>
      </c>
    </row>
    <row r="176" ht="15" customHeight="1">
      <c r="A176" s="1884" t="inlineStr">
        <is>
          <t>After Tax Income/Expense</t>
        </is>
      </c>
      <c r="B176" s="734" t="n"/>
      <c r="C176" s="734" t="n"/>
      <c r="D176" s="734" t="n"/>
      <c r="E176" s="734" t="n"/>
      <c r="F176" s="734" t="n"/>
    </row>
    <row r="177" ht="15" customHeight="1">
      <c r="A177" s="1885" t="inlineStr">
        <is>
          <t>Equity in Earnings/(Loss) of Affiliates (after Taxes)</t>
        </is>
      </c>
      <c r="B177" s="731" t="n"/>
      <c r="C177" s="731" t="n"/>
      <c r="D177" s="731" t="n"/>
      <c r="E177" s="731" t="n"/>
      <c r="F177" s="731" t="n"/>
    </row>
    <row r="178" ht="15" customHeight="1">
      <c r="A178" s="1886" t="inlineStr">
        <is>
          <t>Non-Recurring Portion of Equity Earnings</t>
        </is>
      </c>
      <c r="B178" s="731" t="n"/>
      <c r="C178" s="731" t="n"/>
      <c r="D178" s="731" t="n"/>
      <c r="E178" s="731" t="n"/>
      <c r="F178" s="731" t="n"/>
    </row>
    <row r="179" ht="15" customHeight="1">
      <c r="A179" s="1885" t="inlineStr">
        <is>
          <t>After-Tax Adjustments - Other - Income/(Expense) - Total</t>
        </is>
      </c>
      <c r="B179" s="731" t="n"/>
      <c r="C179" s="731" t="n"/>
      <c r="D179" s="731" t="n"/>
      <c r="E179" s="731" t="n"/>
      <c r="F179" s="731" t="n"/>
    </row>
    <row r="180" ht="15" customHeight="1">
      <c r="A180" s="1886" t="inlineStr">
        <is>
          <t>Estimated Tax Impact on Pre-tax Discontinued Operations</t>
        </is>
      </c>
      <c r="B180" s="731" t="n"/>
      <c r="C180" s="731" t="n"/>
      <c r="D180" s="731" t="n"/>
      <c r="E180" s="731" t="n"/>
      <c r="F180" s="731" t="n"/>
    </row>
    <row r="181" ht="15" customHeight="1">
      <c r="A181" s="1886" t="inlineStr">
        <is>
          <t>Zakat</t>
        </is>
      </c>
      <c r="B181" s="731" t="n"/>
      <c r="C181" s="731" t="n"/>
      <c r="D181" s="731" t="n"/>
      <c r="E181" s="731" t="n"/>
      <c r="F181" s="731" t="n"/>
    </row>
    <row r="182" ht="15" customHeight="1">
      <c r="A182" s="1886" t="inlineStr">
        <is>
          <t>After-Tax Adjustments - Special Reserves</t>
        </is>
      </c>
      <c r="B182" s="731" t="n"/>
      <c r="C182" s="731" t="n"/>
      <c r="D182" s="731" t="n"/>
      <c r="E182" s="731" t="n"/>
      <c r="F182" s="731" t="n"/>
    </row>
    <row r="183" ht="15" customHeight="1">
      <c r="A183" s="1888" t="inlineStr">
        <is>
          <t>Income before Discontinued Operations &amp; Extraordinary Items</t>
        </is>
      </c>
      <c r="B183" s="1889" t="n">
        <v>24808986.33</v>
      </c>
      <c r="C183" s="1889" t="n">
        <v>58446226.24</v>
      </c>
      <c r="D183" s="1889" t="n">
        <v>58256721.11</v>
      </c>
      <c r="E183" s="1889" t="n">
        <v>229278471.5</v>
      </c>
      <c r="F183" s="1889" t="n">
        <v>632902896.0700001</v>
      </c>
    </row>
    <row r="184" ht="15" customHeight="1">
      <c r="A184" s="1885" t="inlineStr">
        <is>
          <t>Extraordinary Activities - after Tax - Gain/(Loss)</t>
        </is>
      </c>
      <c r="B184" s="731" t="n"/>
      <c r="C184" s="731" t="n"/>
      <c r="D184" s="731" t="n"/>
      <c r="E184" s="731" t="n"/>
      <c r="F184" s="731" t="n"/>
    </row>
    <row r="185" ht="15" customHeight="1">
      <c r="A185" s="1886" t="inlineStr">
        <is>
          <t>Discontinued Operations - Net of Taxes - Total - Income/(Expense)</t>
        </is>
      </c>
      <c r="B185" s="731" t="n"/>
      <c r="C185" s="731" t="n"/>
      <c r="D185" s="731" t="n"/>
      <c r="E185" s="731" t="n"/>
      <c r="F185" s="731" t="n"/>
    </row>
    <row r="186" ht="15" customHeight="1">
      <c r="A186" s="1887" t="inlineStr">
        <is>
          <t>Discontinued Operations - Net - Income/(Expense)</t>
        </is>
      </c>
      <c r="B186" s="731" t="n"/>
      <c r="C186" s="731" t="n"/>
      <c r="D186" s="731" t="n"/>
      <c r="E186" s="731" t="n"/>
      <c r="F186" s="731" t="n"/>
    </row>
    <row r="187" ht="15" customHeight="1">
      <c r="A187" s="1887" t="inlineStr">
        <is>
          <t>Sale of Discontinued Operations - Net - Gain/(Loss)</t>
        </is>
      </c>
      <c r="B187" s="731" t="n"/>
      <c r="C187" s="731" t="n"/>
      <c r="D187" s="731" t="n"/>
      <c r="E187" s="731" t="n"/>
      <c r="F187" s="731" t="n"/>
    </row>
    <row r="188" ht="15" customHeight="1">
      <c r="A188" s="1887" t="inlineStr">
        <is>
          <t>Discontinued Operations before Tax - Total - Income/(Expense)</t>
        </is>
      </c>
      <c r="B188" s="731" t="n"/>
      <c r="C188" s="731" t="n"/>
      <c r="D188" s="731" t="n"/>
      <c r="E188" s="731" t="n"/>
      <c r="F188" s="731" t="n"/>
    </row>
    <row r="189" ht="15" customHeight="1">
      <c r="A189" s="1890" t="inlineStr">
        <is>
          <t>Discontinued Operations before Tax - Income/(Expense)</t>
        </is>
      </c>
      <c r="B189" s="731" t="n"/>
      <c r="C189" s="731" t="n"/>
      <c r="D189" s="731" t="n"/>
      <c r="E189" s="731" t="n"/>
      <c r="F189" s="731" t="n"/>
    </row>
    <row r="190" ht="15" customHeight="1">
      <c r="A190" s="1890" t="inlineStr">
        <is>
          <t>Sale of Discontinued Operations before Tax - Gain/(Loss)</t>
        </is>
      </c>
      <c r="B190" s="731" t="n"/>
      <c r="C190" s="731" t="n"/>
      <c r="D190" s="731" t="n"/>
      <c r="E190" s="731" t="n"/>
      <c r="F190" s="731" t="n"/>
    </row>
    <row r="191" ht="15" customHeight="1">
      <c r="A191" s="1887" t="inlineStr">
        <is>
          <t>Discontinued Operations - Tax Impacts</t>
        </is>
      </c>
      <c r="B191" s="731" t="n"/>
      <c r="C191" s="731" t="n"/>
      <c r="D191" s="731" t="n"/>
      <c r="E191" s="731" t="n"/>
      <c r="F191" s="731" t="n"/>
    </row>
    <row r="192" ht="15" customHeight="1">
      <c r="A192" s="1886" t="inlineStr">
        <is>
          <t>Impacts from Changes in Accounting Standards</t>
        </is>
      </c>
      <c r="B192" s="731" t="n"/>
      <c r="C192" s="731" t="n"/>
      <c r="D192" s="731" t="n"/>
      <c r="E192" s="731" t="n"/>
      <c r="F192" s="731" t="n"/>
    </row>
    <row r="193" ht="15" customHeight="1">
      <c r="A193" s="1886" t="inlineStr">
        <is>
          <t>Extraordinary Items</t>
        </is>
      </c>
      <c r="B193" s="731" t="n"/>
      <c r="C193" s="731" t="n"/>
      <c r="D193" s="731" t="n"/>
      <c r="E193" s="731" t="n"/>
      <c r="F193" s="731" t="n"/>
    </row>
    <row r="194" ht="15" customHeight="1">
      <c r="A194" s="1887" t="inlineStr">
        <is>
          <t>COVID-19 Income Taxes - Non-Recurring Charge/(Credit)</t>
        </is>
      </c>
      <c r="B194" s="731" t="n"/>
      <c r="C194" s="731" t="n"/>
      <c r="D194" s="731" t="n"/>
      <c r="E194" s="731" t="n"/>
      <c r="F194" s="731" t="n"/>
    </row>
    <row r="195" ht="15" customHeight="1">
      <c r="A195" s="1886" t="inlineStr">
        <is>
          <t>Extraordinary Items - Tax Impact</t>
        </is>
      </c>
      <c r="B195" s="731" t="n"/>
      <c r="C195" s="731" t="n"/>
      <c r="D195" s="731" t="n"/>
      <c r="E195" s="731" t="n"/>
      <c r="F195" s="731" t="n"/>
    </row>
    <row r="196" ht="15" customHeight="1">
      <c r="A196" s="1885" t="inlineStr">
        <is>
          <t>Net Income before Minority Interest</t>
        </is>
      </c>
      <c r="B196" s="1807" t="n">
        <v>24808986.33</v>
      </c>
      <c r="C196" s="1807" t="n">
        <v>58446226.24</v>
      </c>
      <c r="D196" s="1807" t="n">
        <v>58256721.11</v>
      </c>
      <c r="E196" s="1807" t="n">
        <v>229278471.5</v>
      </c>
      <c r="F196" s="1807" t="n">
        <v>632902896.0700001</v>
      </c>
    </row>
    <row r="197" ht="15" customHeight="1">
      <c r="A197" s="1885" t="inlineStr">
        <is>
          <t>Minority Interest</t>
        </is>
      </c>
      <c r="B197" s="1807" t="n">
        <v>-1010311.99</v>
      </c>
      <c r="C197" s="1807" t="n">
        <v>-43608.21</v>
      </c>
      <c r="D197" s="1807" t="n">
        <v>-286608.49</v>
      </c>
      <c r="E197" s="1807" t="n">
        <v>-1908308.51</v>
      </c>
      <c r="F197" s="1807" t="n">
        <v>224351664.31</v>
      </c>
    </row>
    <row r="198" ht="15" customHeight="1">
      <c r="A198" s="1885" t="inlineStr">
        <is>
          <t>Net Income after Minority Interest</t>
        </is>
      </c>
      <c r="B198" s="1807" t="n">
        <v>25819298.32</v>
      </c>
      <c r="C198" s="1807" t="n">
        <v>58489834.45</v>
      </c>
      <c r="D198" s="1807" t="n">
        <v>58543329.6</v>
      </c>
      <c r="E198" s="1807" t="n">
        <v>231186780.01</v>
      </c>
      <c r="F198" s="1807" t="n">
        <v>408551231.77</v>
      </c>
    </row>
    <row r="199" ht="15" customHeight="1">
      <c r="A199" s="1884" t="inlineStr">
        <is>
          <t>Net Income</t>
        </is>
      </c>
      <c r="B199" s="734" t="n"/>
      <c r="C199" s="734" t="n"/>
      <c r="D199" s="734" t="n"/>
      <c r="E199" s="734" t="n"/>
      <c r="F199" s="734" t="n"/>
    </row>
    <row r="200" ht="15" customHeight="1">
      <c r="A200" s="1885" t="inlineStr">
        <is>
          <t>Interest Expense - Hybrid Debt Instruments - Equity</t>
        </is>
      </c>
      <c r="B200" s="731" t="n"/>
      <c r="C200" s="731" t="n"/>
      <c r="D200" s="731" t="n"/>
      <c r="E200" s="731" t="n"/>
      <c r="F200" s="731" t="n"/>
    </row>
    <row r="201" ht="15" customHeight="1">
      <c r="A201" s="1885" t="inlineStr">
        <is>
          <t>Distribution for General Partners</t>
        </is>
      </c>
      <c r="B201" s="731" t="n"/>
      <c r="C201" s="731" t="n"/>
      <c r="D201" s="731" t="n"/>
      <c r="E201" s="731" t="n"/>
      <c r="F201" s="731" t="n"/>
    </row>
    <row r="202" ht="15" customHeight="1">
      <c r="A202" s="1885" t="inlineStr">
        <is>
          <t>Distribution for Preferred Shares</t>
        </is>
      </c>
      <c r="B202" s="731" t="n"/>
      <c r="C202" s="731" t="n"/>
      <c r="D202" s="731" t="n"/>
      <c r="E202" s="731" t="n"/>
      <c r="F202" s="731" t="n"/>
    </row>
    <row r="203" ht="15" customHeight="1">
      <c r="A203" s="1885" t="inlineStr">
        <is>
          <t>Earnings Adjustments to Net Income - Other Expense/(Income)</t>
        </is>
      </c>
      <c r="B203" s="731" t="n"/>
      <c r="C203" s="731" t="n"/>
      <c r="D203" s="731" t="n"/>
      <c r="E203" s="731" t="n"/>
      <c r="F203" s="731" t="n"/>
    </row>
    <row r="204" ht="15" customHeight="1">
      <c r="A204" s="1888" t="inlineStr">
        <is>
          <t>Income Available to Common Shares</t>
        </is>
      </c>
      <c r="B204" s="1889" t="n">
        <v>25819298.32</v>
      </c>
      <c r="C204" s="1889" t="n">
        <v>58489834.45</v>
      </c>
      <c r="D204" s="1889" t="n">
        <v>58543329.6</v>
      </c>
      <c r="E204" s="1889" t="n">
        <v>231186780.01</v>
      </c>
      <c r="F204" s="1889" t="n">
        <v>408551231.77</v>
      </c>
    </row>
    <row r="205" ht="15" customHeight="1">
      <c r="A205" s="1884" t="inlineStr">
        <is>
          <t>Other Comprehensive Income</t>
        </is>
      </c>
      <c r="B205" s="734" t="n"/>
      <c r="C205" s="734" t="n"/>
      <c r="D205" s="734" t="n"/>
      <c r="E205" s="734" t="n"/>
      <c r="F205" s="734" t="n"/>
    </row>
    <row r="206" ht="15" customHeight="1">
      <c r="A206" s="1885" t="inlineStr">
        <is>
          <t>Other Comprehensive Income - Starting Line</t>
        </is>
      </c>
      <c r="B206" s="1807" t="n">
        <v>24808986.33</v>
      </c>
      <c r="C206" s="1807" t="n">
        <v>58446226.24</v>
      </c>
      <c r="D206" s="1807" t="n">
        <v>58256721.11</v>
      </c>
      <c r="E206" s="1807" t="n">
        <v>229278471.5</v>
      </c>
      <c r="F206" s="1807" t="n">
        <v>632902896.0700001</v>
      </c>
    </row>
    <row r="207" ht="15" customHeight="1">
      <c r="A207" s="1885" t="inlineStr">
        <is>
          <t>Other Comprehensive Income - Foreign Currency</t>
        </is>
      </c>
      <c r="B207" s="731" t="n"/>
      <c r="C207" s="731" t="n"/>
      <c r="D207" s="731" t="n"/>
      <c r="E207" s="731" t="n"/>
      <c r="F207" s="1893" t="n">
        <v>-3882.23</v>
      </c>
    </row>
    <row r="208" ht="15" customHeight="1">
      <c r="A208" s="1885" t="inlineStr">
        <is>
          <t>Other Comprehensive Income - Unrealized Investment Gain/(Loss)</t>
        </is>
      </c>
      <c r="B208" s="731" t="n"/>
      <c r="C208" s="731" t="n"/>
      <c r="D208" s="731" t="n"/>
      <c r="E208" s="731" t="n"/>
      <c r="F208" s="731" t="n"/>
    </row>
    <row r="209" ht="15" customHeight="1">
      <c r="A209" s="1885" t="inlineStr">
        <is>
          <t>Other Comprehensive Income - Hedging Gain/(Loss)</t>
        </is>
      </c>
      <c r="B209" s="731" t="n"/>
      <c r="C209" s="731" t="n"/>
      <c r="D209" s="731" t="n"/>
      <c r="E209" s="731" t="n"/>
      <c r="F209" s="731" t="n"/>
    </row>
    <row r="210" ht="15" customHeight="1">
      <c r="A210" s="1885" t="inlineStr">
        <is>
          <t>Other Comprehensive Income - Revaluation of Tangible &amp; Intangible Assets</t>
        </is>
      </c>
      <c r="B210" s="731" t="n"/>
      <c r="C210" s="731" t="n"/>
      <c r="D210" s="731" t="n"/>
      <c r="E210" s="731" t="n"/>
      <c r="F210" s="731" t="n"/>
    </row>
    <row r="211" ht="15" customHeight="1">
      <c r="A211" s="1885" t="inlineStr">
        <is>
          <t>Other Comprehensive Income - Other</t>
        </is>
      </c>
      <c r="B211" s="731" t="n"/>
      <c r="C211" s="731" t="n"/>
      <c r="D211" s="731" t="n"/>
      <c r="E211" s="731" t="n"/>
      <c r="F211" s="731" t="n"/>
    </row>
    <row r="212" ht="15" customHeight="1">
      <c r="A212" s="1885" t="inlineStr">
        <is>
          <t>Other Comprehensive Income - Unearned Income</t>
        </is>
      </c>
      <c r="B212" s="731" t="n"/>
      <c r="C212" s="731" t="n"/>
      <c r="D212" s="731" t="n"/>
      <c r="E212" s="731" t="n"/>
      <c r="F212" s="731" t="n"/>
    </row>
    <row r="213" ht="15" customHeight="1">
      <c r="A213" s="1885" t="inlineStr">
        <is>
          <t>Other Comprehensive Income - Discontinued Operations</t>
        </is>
      </c>
      <c r="B213" s="731" t="n"/>
      <c r="C213" s="731" t="n"/>
      <c r="D213" s="731" t="n"/>
      <c r="E213" s="731" t="n"/>
      <c r="F213" s="731" t="n"/>
    </row>
    <row r="214" ht="15" customHeight="1">
      <c r="A214" s="1885" t="inlineStr">
        <is>
          <t>Other Comprehensive Income - Associated Companies</t>
        </is>
      </c>
      <c r="B214" s="731" t="n"/>
      <c r="C214" s="731" t="n"/>
      <c r="D214" s="731" t="n"/>
      <c r="E214" s="731" t="n"/>
      <c r="F214" s="731" t="n"/>
    </row>
    <row r="215" ht="15" customHeight="1">
      <c r="A215" s="1885" t="inlineStr">
        <is>
          <t>Other Comprehensive Income - Pension Related</t>
        </is>
      </c>
      <c r="B215" s="1807" t="n">
        <v>131257.05</v>
      </c>
      <c r="C215" s="1807" t="n">
        <v>66052.71000000001</v>
      </c>
      <c r="D215" s="1807" t="n">
        <v>-103139.79</v>
      </c>
      <c r="E215" s="1807" t="n">
        <v>538204.96</v>
      </c>
      <c r="F215" s="1807" t="n">
        <v>-340007.44</v>
      </c>
    </row>
    <row r="216" ht="15" customHeight="1">
      <c r="A216" s="1885" t="inlineStr">
        <is>
          <t>Other Comprehensive Income - Income Tax</t>
        </is>
      </c>
      <c r="B216" s="1807" t="n">
        <v>-28876.55</v>
      </c>
      <c r="C216" s="1807" t="n">
        <v>-14531.6</v>
      </c>
      <c r="D216" s="1807" t="n">
        <v>22690.76</v>
      </c>
      <c r="E216" s="1807" t="n">
        <v>-118405.09</v>
      </c>
      <c r="F216" s="1807" t="n">
        <v>74801.64</v>
      </c>
    </row>
    <row r="217" ht="15" customHeight="1">
      <c r="A217" s="1885" t="inlineStr">
        <is>
          <t>Other Comprehensive Income - Net of Tax - Total</t>
        </is>
      </c>
      <c r="B217" s="1807" t="n">
        <v>102380.5</v>
      </c>
      <c r="C217" s="1807" t="n">
        <v>51521.12</v>
      </c>
      <c r="D217" s="1807" t="n">
        <v>-80449.03999999999</v>
      </c>
      <c r="E217" s="1807" t="n">
        <v>419799.87</v>
      </c>
      <c r="F217" s="1807" t="n">
        <v>-269088.03</v>
      </c>
    </row>
    <row r="218" ht="15" customHeight="1">
      <c r="A218" s="1888" t="inlineStr">
        <is>
          <t>Comprehensive Income before Minority Interest - Total</t>
        </is>
      </c>
      <c r="B218" s="1889" t="n">
        <v>24911366.82</v>
      </c>
      <c r="C218" s="1889" t="n">
        <v>58497747.36</v>
      </c>
      <c r="D218" s="1889" t="n">
        <v>58176272.07</v>
      </c>
      <c r="E218" s="1889" t="n">
        <v>229698271.37</v>
      </c>
      <c r="F218" s="1889" t="n">
        <v>632633808.04</v>
      </c>
    </row>
    <row r="219" ht="15" customHeight="1">
      <c r="A219" s="1885" t="inlineStr">
        <is>
          <t>Comprehensive Income - Attributable to Minority Interest - Total</t>
        </is>
      </c>
      <c r="B219" s="1807" t="n">
        <v>-1010311.99</v>
      </c>
      <c r="C219" s="1807" t="n">
        <v>-43608.21</v>
      </c>
      <c r="D219" s="1807" t="n">
        <v>-286608.49</v>
      </c>
      <c r="E219" s="1807" t="n">
        <v>-1902480.01</v>
      </c>
      <c r="F219" s="1807" t="n">
        <v>223839064.01</v>
      </c>
    </row>
    <row r="220" ht="15" customHeight="1">
      <c r="A220" s="1885" t="inlineStr">
        <is>
          <t>Comprehensive Income - Dividend on Preferred Stock</t>
        </is>
      </c>
      <c r="B220" s="731" t="n"/>
      <c r="C220" s="731" t="n"/>
      <c r="D220" s="731" t="n"/>
      <c r="E220" s="731" t="n"/>
      <c r="F220" s="731" t="n"/>
    </row>
    <row r="221" ht="15" customHeight="1">
      <c r="A221" s="1885" t="inlineStr">
        <is>
          <t>Comprehensive Income - Attributable to Parent Company Equity Holders - Total</t>
        </is>
      </c>
      <c r="B221" s="1807" t="n">
        <v>25921678.82</v>
      </c>
      <c r="C221" s="1807" t="n">
        <v>58541355.57</v>
      </c>
      <c r="D221" s="1807" t="n">
        <v>58462880.56</v>
      </c>
      <c r="E221" s="1807" t="n">
        <v>231600751.38</v>
      </c>
      <c r="F221" s="1807" t="n">
        <v>408794744.03</v>
      </c>
    </row>
    <row r="222" ht="15" customHeight="1">
      <c r="A222" s="1884" t="inlineStr">
        <is>
          <t>Share/Per Share - Basic</t>
        </is>
      </c>
      <c r="B222" s="734" t="n"/>
      <c r="C222" s="734" t="n"/>
      <c r="D222" s="734" t="n"/>
      <c r="E222" s="734" t="n"/>
      <c r="F222" s="734" t="n"/>
    </row>
    <row r="223" ht="15" customHeight="1">
      <c r="A223" s="1885" t="inlineStr">
        <is>
          <t>Net Income - Basic - including Extraordinary Items Applicable to Common - Total</t>
        </is>
      </c>
      <c r="B223" s="1807" t="n">
        <v>25819298.32</v>
      </c>
      <c r="C223" s="1807" t="n">
        <v>58489834.45</v>
      </c>
      <c r="D223" s="1807" t="n">
        <v>58543329.6</v>
      </c>
      <c r="E223" s="1807" t="n">
        <v>231186780.01</v>
      </c>
      <c r="F223" s="1807" t="n">
        <v>408551231.77</v>
      </c>
    </row>
    <row r="224" ht="15" customHeight="1">
      <c r="A224" s="1886" t="inlineStr">
        <is>
          <t>Income available to Common excluding Extraordinary Items</t>
        </is>
      </c>
      <c r="B224" s="1807" t="n">
        <v>25819298.32</v>
      </c>
      <c r="C224" s="1807" t="n">
        <v>58489834.45</v>
      </c>
      <c r="D224" s="1807" t="n">
        <v>58543329.6</v>
      </c>
      <c r="E224" s="1807" t="n">
        <v>231186780.01</v>
      </c>
      <c r="F224" s="1807" t="n">
        <v>408551231.77</v>
      </c>
    </row>
    <row r="225" ht="15" customHeight="1">
      <c r="A225" s="1886" t="inlineStr">
        <is>
          <t>Shares used to calculate Basic EPS - Total</t>
        </is>
      </c>
      <c r="B225" s="1807" t="n">
        <v>2050292.29</v>
      </c>
      <c r="C225" s="1807" t="n">
        <v>2067378.04</v>
      </c>
      <c r="D225" s="1807" t="n">
        <v>2255321.29</v>
      </c>
      <c r="E225" s="1807" t="n">
        <v>2321628.56</v>
      </c>
      <c r="F225" s="1807" t="n">
        <v>3676392.39</v>
      </c>
    </row>
    <row r="226" ht="15" customHeight="1">
      <c r="A226" s="1887" t="inlineStr">
        <is>
          <t>EPS - Basic - including Extraordinary Items Applicable to Common - Total</t>
        </is>
      </c>
      <c r="B226" s="1892" t="n">
        <v>12.59</v>
      </c>
      <c r="C226" s="1892" t="n">
        <v>28.29</v>
      </c>
      <c r="D226" s="1892" t="n">
        <v>25.96</v>
      </c>
      <c r="E226" s="1892" t="n">
        <v>99.58</v>
      </c>
      <c r="F226" s="1893" t="n">
        <v>111.13</v>
      </c>
    </row>
    <row r="227" ht="15" customHeight="1">
      <c r="A227" s="1887" t="inlineStr">
        <is>
          <t>EPS - Basic - excluding Extraordinary Items Applicable to Common - Total</t>
        </is>
      </c>
      <c r="B227" s="1892" t="n">
        <v>12.59</v>
      </c>
      <c r="C227" s="1892" t="n">
        <v>28.29</v>
      </c>
      <c r="D227" s="1892" t="n">
        <v>25.96</v>
      </c>
      <c r="E227" s="1892" t="n">
        <v>99.58</v>
      </c>
      <c r="F227" s="1893" t="n">
        <v>111.13</v>
      </c>
    </row>
    <row r="228" ht="15" customHeight="1">
      <c r="A228" s="1887" t="inlineStr">
        <is>
          <t>EPS - Basic - excluding Extraordinary Items - Normalized - Total</t>
        </is>
      </c>
      <c r="B228" s="1892" t="n">
        <v>12.59</v>
      </c>
      <c r="C228" s="1892" t="n">
        <v>28.36</v>
      </c>
      <c r="D228" s="1892" t="n">
        <v>25.76</v>
      </c>
      <c r="E228" s="1892" t="n">
        <v>99.58</v>
      </c>
      <c r="F228" s="1892" t="n">
        <v>96.45999999999999</v>
      </c>
    </row>
    <row r="229" ht="15" customHeight="1">
      <c r="A229" s="1887" t="inlineStr">
        <is>
          <t>EPS - Basic - Non-GAAP - Total</t>
        </is>
      </c>
      <c r="B229" s="731" t="n"/>
      <c r="C229" s="731" t="n"/>
      <c r="D229" s="731" t="n"/>
      <c r="E229" s="731" t="n"/>
      <c r="F229" s="731" t="n"/>
    </row>
    <row r="230" ht="15" customHeight="1">
      <c r="A230" s="1885" t="inlineStr">
        <is>
          <t>Allocated Net Income including Extraordinary Items Applicable to Common - Issue Specific</t>
        </is>
      </c>
      <c r="B230" s="1807" t="n">
        <v>25819298.32</v>
      </c>
      <c r="C230" s="1807" t="n">
        <v>58489834.45</v>
      </c>
      <c r="D230" s="1807" t="n">
        <v>58543329.6</v>
      </c>
      <c r="E230" s="1807" t="n">
        <v>231186780.01</v>
      </c>
      <c r="F230" s="1807" t="n">
        <v>408763182.01</v>
      </c>
    </row>
    <row r="231" ht="15" customHeight="1">
      <c r="A231" s="1885" t="inlineStr">
        <is>
          <t>Earnings Allocation Factor - Basic - Issue Specific</t>
        </is>
      </c>
      <c r="B231" s="1892" t="n">
        <v>1</v>
      </c>
      <c r="C231" s="1892" t="n">
        <v>1</v>
      </c>
      <c r="D231" s="1892" t="n">
        <v>1</v>
      </c>
      <c r="E231" s="1892" t="n">
        <v>1</v>
      </c>
      <c r="F231" s="1892" t="n">
        <v>1</v>
      </c>
    </row>
    <row r="232" ht="15" customHeight="1">
      <c r="A232" s="1886" t="inlineStr">
        <is>
          <t>Shares used to calculate Basic EPS - Issue Specific</t>
        </is>
      </c>
      <c r="B232" s="1807" t="n">
        <v>2050292.29</v>
      </c>
      <c r="C232" s="1807" t="n">
        <v>2067378.04</v>
      </c>
      <c r="D232" s="1807" t="n">
        <v>2255321.29</v>
      </c>
      <c r="E232" s="1807" t="n">
        <v>2321628.56</v>
      </c>
      <c r="F232" s="1807" t="n">
        <v>3676392.39</v>
      </c>
    </row>
    <row r="233" ht="15" customHeight="1">
      <c r="A233" s="1887" t="inlineStr">
        <is>
          <t>EPS - Basic - including Extraordinary Items Applicable to Common - Issue Specific</t>
        </is>
      </c>
      <c r="B233" s="1892" t="n">
        <v>12.59</v>
      </c>
      <c r="C233" s="1892" t="n">
        <v>28.29</v>
      </c>
      <c r="D233" s="1892" t="n">
        <v>25.96</v>
      </c>
      <c r="E233" s="1892" t="n">
        <v>99.58</v>
      </c>
      <c r="F233" s="1893" t="n">
        <v>111.19</v>
      </c>
    </row>
    <row r="234" ht="15" customHeight="1">
      <c r="A234" s="1887" t="inlineStr">
        <is>
          <t>EPS - Basic - excluding Extraordinary Items Applicable to Common - Issue Specific</t>
        </is>
      </c>
      <c r="B234" s="1892" t="n">
        <v>12.59</v>
      </c>
      <c r="C234" s="1892" t="n">
        <v>28.29</v>
      </c>
      <c r="D234" s="1892" t="n">
        <v>25.96</v>
      </c>
      <c r="E234" s="1892" t="n">
        <v>99.58</v>
      </c>
      <c r="F234" s="1893" t="n">
        <v>111.19</v>
      </c>
    </row>
    <row r="235" ht="15" customHeight="1">
      <c r="A235" s="1887" t="inlineStr">
        <is>
          <t>EPS - Basic - excluding Extraordinary Items - Normalized - Issue Specific</t>
        </is>
      </c>
      <c r="B235" s="1892" t="n">
        <v>12.59</v>
      </c>
      <c r="C235" s="1892" t="n">
        <v>28.36</v>
      </c>
      <c r="D235" s="1892" t="n">
        <v>25.76</v>
      </c>
      <c r="E235" s="1892" t="n">
        <v>99.58</v>
      </c>
      <c r="F235" s="1892" t="n">
        <v>96.45999999999999</v>
      </c>
    </row>
    <row r="236" ht="15" customHeight="1">
      <c r="A236" s="1885" t="inlineStr">
        <is>
          <t>EPS - Basic from Discontinued Operations &amp; Extraordinary Items</t>
        </is>
      </c>
      <c r="B236" s="1807" t="n">
        <v>0</v>
      </c>
      <c r="C236" s="1807" t="n">
        <v>0</v>
      </c>
      <c r="D236" s="1807" t="n">
        <v>0</v>
      </c>
      <c r="E236" s="1807" t="n">
        <v>0</v>
      </c>
      <c r="F236" s="1807" t="n">
        <v>0</v>
      </c>
    </row>
    <row r="237" ht="15" customHeight="1">
      <c r="A237" s="1885" t="inlineStr">
        <is>
          <t>Participation Weighted Primary Shares for EPS Calculation - Issue Specific</t>
        </is>
      </c>
      <c r="B237" s="731" t="n"/>
      <c r="C237" s="731" t="n"/>
      <c r="D237" s="731" t="n"/>
      <c r="E237" s="731" t="n"/>
      <c r="F237" s="731" t="n"/>
    </row>
    <row r="238" ht="15" customHeight="1">
      <c r="A238" s="1885" t="inlineStr">
        <is>
          <t>Earnings Participation Factor - Issue Specific</t>
        </is>
      </c>
      <c r="B238" s="731" t="n"/>
      <c r="C238" s="731" t="n"/>
      <c r="D238" s="731" t="n"/>
      <c r="E238" s="731" t="n"/>
      <c r="F238" s="731" t="n"/>
    </row>
    <row r="239" ht="15" customHeight="1">
      <c r="A239" s="1885" t="inlineStr">
        <is>
          <t>Priority Dividends - Issue Specific</t>
        </is>
      </c>
      <c r="B239" s="731" t="n"/>
      <c r="C239" s="731" t="n"/>
      <c r="D239" s="731" t="n"/>
      <c r="E239" s="731" t="n"/>
      <c r="F239" s="731" t="n"/>
    </row>
    <row r="240" ht="15" customHeight="1">
      <c r="A240" s="1885" t="inlineStr">
        <is>
          <t>Comprehensive Earnings Per Share - Basic - Issue Specific</t>
        </is>
      </c>
      <c r="B240" s="1892" t="n">
        <v>12.64</v>
      </c>
      <c r="C240" s="1892" t="n">
        <v>28.32</v>
      </c>
      <c r="D240" s="1892" t="n">
        <v>25.92</v>
      </c>
      <c r="E240" s="1892" t="n">
        <v>99.76000000000001</v>
      </c>
      <c r="F240" s="1893" t="n">
        <v>111.19</v>
      </c>
    </row>
    <row r="241" ht="15" customHeight="1">
      <c r="A241" s="1885" t="inlineStr">
        <is>
          <t>Comprehensive Earnings Per Share - Basic - Issue Specific - DR</t>
        </is>
      </c>
      <c r="B241" s="731" t="n"/>
      <c r="C241" s="731" t="n"/>
      <c r="D241" s="731" t="n"/>
      <c r="E241" s="731" t="n"/>
      <c r="F241" s="731" t="n"/>
    </row>
    <row r="242" ht="15" customHeight="1">
      <c r="A242" s="1885" t="inlineStr">
        <is>
          <t>Comprehensive Earnings Per Share - Basic - Issue Specific - CPO</t>
        </is>
      </c>
      <c r="B242" s="731" t="n"/>
      <c r="C242" s="731" t="n"/>
      <c r="D242" s="731" t="n"/>
      <c r="E242" s="731" t="n"/>
      <c r="F242" s="731" t="n"/>
    </row>
    <row r="243" ht="15" customHeight="1">
      <c r="A243" s="1884" t="inlineStr">
        <is>
          <t>Share/Per Share - Diluted</t>
        </is>
      </c>
      <c r="B243" s="734" t="n"/>
      <c r="C243" s="734" t="n"/>
      <c r="D243" s="734" t="n"/>
      <c r="E243" s="734" t="n"/>
      <c r="F243" s="734" t="n"/>
    </row>
    <row r="244" ht="15" customHeight="1">
      <c r="A244" s="1885" t="inlineStr">
        <is>
          <t>Dilution Adjustment</t>
        </is>
      </c>
      <c r="B244" s="731" t="n"/>
      <c r="C244" s="731" t="n"/>
      <c r="D244" s="731" t="n"/>
      <c r="E244" s="731" t="n"/>
      <c r="F244" s="1807" t="n">
        <v>211950.24</v>
      </c>
    </row>
    <row r="245" ht="15" customHeight="1">
      <c r="A245" s="1885" t="inlineStr">
        <is>
          <t>Net Income - Diluted - including Extraordinary Items Applicable to Common - Total</t>
        </is>
      </c>
      <c r="B245" s="1807" t="n">
        <v>25819298.32</v>
      </c>
      <c r="C245" s="1807" t="n">
        <v>58489834.45</v>
      </c>
      <c r="D245" s="1807" t="n">
        <v>58543329.6</v>
      </c>
      <c r="E245" s="1807" t="n">
        <v>231186780.01</v>
      </c>
      <c r="F245" s="1807" t="n">
        <v>408763182.01</v>
      </c>
    </row>
    <row r="246" ht="15" customHeight="1">
      <c r="A246" s="1886" t="inlineStr">
        <is>
          <t>Diluted Income available to Common excluding Extraordinary Items</t>
        </is>
      </c>
      <c r="B246" s="1807" t="n">
        <v>25819298.32</v>
      </c>
      <c r="C246" s="1807" t="n">
        <v>58489834.45</v>
      </c>
      <c r="D246" s="1807" t="n">
        <v>58543329.6</v>
      </c>
      <c r="E246" s="1807" t="n">
        <v>231186780.01</v>
      </c>
      <c r="F246" s="1807" t="n">
        <v>408763182.01</v>
      </c>
    </row>
    <row r="247" ht="15" customHeight="1">
      <c r="A247" s="1886" t="inlineStr">
        <is>
          <t>Shares used to calculate Diluted EPS - Total</t>
        </is>
      </c>
      <c r="B247" s="1807" t="n">
        <v>2050292.29</v>
      </c>
      <c r="C247" s="1807" t="n">
        <v>2067378.04</v>
      </c>
      <c r="D247" s="1807" t="n">
        <v>2255321.29</v>
      </c>
      <c r="E247" s="1807" t="n">
        <v>2321628.56</v>
      </c>
      <c r="F247" s="1807" t="n">
        <v>3676392.39</v>
      </c>
    </row>
    <row r="248" ht="15" customHeight="1">
      <c r="A248" s="1887" t="inlineStr">
        <is>
          <t>EPS - Diluted - including Extraordinary Items Applicable to Common - Total</t>
        </is>
      </c>
      <c r="B248" s="1892" t="n">
        <v>12.59</v>
      </c>
      <c r="C248" s="1892" t="n">
        <v>28.29</v>
      </c>
      <c r="D248" s="1892" t="n">
        <v>25.96</v>
      </c>
      <c r="E248" s="1892" t="n">
        <v>99.58</v>
      </c>
      <c r="F248" s="1893" t="n">
        <v>111.19</v>
      </c>
    </row>
    <row r="249" ht="15" customHeight="1">
      <c r="A249" s="1887" t="inlineStr">
        <is>
          <t>EPS - Diluted - excluding Extraordinary Items Applicable to Common - Total</t>
        </is>
      </c>
      <c r="B249" s="1892" t="n">
        <v>12.59</v>
      </c>
      <c r="C249" s="1892" t="n">
        <v>28.29</v>
      </c>
      <c r="D249" s="1892" t="n">
        <v>25.96</v>
      </c>
      <c r="E249" s="1892" t="n">
        <v>99.58</v>
      </c>
      <c r="F249" s="1893" t="n">
        <v>111.19</v>
      </c>
    </row>
    <row r="250" ht="15" customHeight="1">
      <c r="A250" s="1887" t="inlineStr">
        <is>
          <t>EPS - Diluted - excluding Extraordinary Items - Normalized - Total</t>
        </is>
      </c>
      <c r="B250" s="1892" t="n">
        <v>12.59</v>
      </c>
      <c r="C250" s="1892" t="n">
        <v>28.36</v>
      </c>
      <c r="D250" s="1892" t="n">
        <v>25.76</v>
      </c>
      <c r="E250" s="1892" t="n">
        <v>99.58</v>
      </c>
      <c r="F250" s="1892" t="n">
        <v>96.45999999999999</v>
      </c>
    </row>
    <row r="251" ht="15" customHeight="1">
      <c r="A251" s="1887" t="inlineStr">
        <is>
          <t>EPS - Diluted - Non-GAAP - Total</t>
        </is>
      </c>
      <c r="B251" s="731" t="n"/>
      <c r="C251" s="731" t="n"/>
      <c r="D251" s="731" t="n"/>
      <c r="E251" s="731" t="n"/>
      <c r="F251" s="731" t="n"/>
    </row>
    <row r="252" ht="15" customHeight="1">
      <c r="A252" s="1885" t="inlineStr">
        <is>
          <t>Allocated Diluted Net Income including Extraordinary Items Applicable to Common - Issue Specific</t>
        </is>
      </c>
      <c r="B252" s="1807" t="n">
        <v>25819298.32</v>
      </c>
      <c r="C252" s="1807" t="n">
        <v>58489834.45</v>
      </c>
      <c r="D252" s="1807" t="n">
        <v>58543329.6</v>
      </c>
      <c r="E252" s="1807" t="n">
        <v>231186780.01</v>
      </c>
      <c r="F252" s="1807" t="n">
        <v>408763182.01</v>
      </c>
    </row>
    <row r="253" ht="15" customHeight="1">
      <c r="A253" s="1885" t="inlineStr">
        <is>
          <t>Earnings Allocation Factor - Diluted - Issue Specific</t>
        </is>
      </c>
      <c r="B253" s="1892" t="n">
        <v>1</v>
      </c>
      <c r="C253" s="1892" t="n">
        <v>1</v>
      </c>
      <c r="D253" s="1892" t="n">
        <v>1</v>
      </c>
      <c r="E253" s="1892" t="n">
        <v>1</v>
      </c>
      <c r="F253" s="1892" t="n">
        <v>1</v>
      </c>
    </row>
    <row r="254" ht="15" customHeight="1">
      <c r="A254" s="1886" t="inlineStr">
        <is>
          <t>Shares used to calculate Diluted EPS - Issue Specific</t>
        </is>
      </c>
      <c r="B254" s="1807" t="n">
        <v>2050292.29</v>
      </c>
      <c r="C254" s="1807" t="n">
        <v>2067378.04</v>
      </c>
      <c r="D254" s="1807" t="n">
        <v>2255321.29</v>
      </c>
      <c r="E254" s="1807" t="n">
        <v>2321628.56</v>
      </c>
      <c r="F254" s="1807" t="n">
        <v>3676392.39</v>
      </c>
    </row>
    <row r="255" ht="15" customHeight="1">
      <c r="A255" s="1887" t="inlineStr">
        <is>
          <t>EPS - Diluted - including Extraordinary Items Applicable to Common - Issue Specific</t>
        </is>
      </c>
      <c r="B255" s="1892" t="n">
        <v>12.59</v>
      </c>
      <c r="C255" s="1892" t="n">
        <v>28.29</v>
      </c>
      <c r="D255" s="1892" t="n">
        <v>25.96</v>
      </c>
      <c r="E255" s="1892" t="n">
        <v>99.58</v>
      </c>
      <c r="F255" s="1893" t="n">
        <v>111.19</v>
      </c>
    </row>
    <row r="256" ht="15" customHeight="1">
      <c r="A256" s="1887" t="inlineStr">
        <is>
          <t>EPS - Diluted - excluding Extraordinary Items Applicable to Common - Issue Specific</t>
        </is>
      </c>
      <c r="B256" s="1892" t="n">
        <v>12.59</v>
      </c>
      <c r="C256" s="1892" t="n">
        <v>28.29</v>
      </c>
      <c r="D256" s="1892" t="n">
        <v>25.96</v>
      </c>
      <c r="E256" s="1892" t="n">
        <v>99.58</v>
      </c>
      <c r="F256" s="1893" t="n">
        <v>111.19</v>
      </c>
    </row>
    <row r="257" ht="15" customHeight="1">
      <c r="A257" s="1887" t="inlineStr">
        <is>
          <t>EPS - Diluted - excluding Extraordinary Items - Normalized - Issue Specific</t>
        </is>
      </c>
      <c r="B257" s="1892" t="n">
        <v>12.59</v>
      </c>
      <c r="C257" s="1892" t="n">
        <v>28.36</v>
      </c>
      <c r="D257" s="1892" t="n">
        <v>25.76</v>
      </c>
      <c r="E257" s="1892" t="n">
        <v>99.58</v>
      </c>
      <c r="F257" s="1892" t="n">
        <v>96.45999999999999</v>
      </c>
    </row>
    <row r="258" ht="15" customHeight="1">
      <c r="A258" s="1885" t="inlineStr">
        <is>
          <t>EPS - Diluted from Discontinued Operations &amp; Extraordinary Items</t>
        </is>
      </c>
      <c r="B258" s="1807" t="n">
        <v>0</v>
      </c>
      <c r="C258" s="1807" t="n">
        <v>0</v>
      </c>
      <c r="D258" s="1807" t="n">
        <v>0</v>
      </c>
      <c r="E258" s="1807" t="n">
        <v>0</v>
      </c>
      <c r="F258" s="1807" t="n">
        <v>0</v>
      </c>
    </row>
    <row r="259" ht="15" customHeight="1">
      <c r="A259" s="1885" t="inlineStr">
        <is>
          <t>Comprehensive Earnings Per Share - Diluted - Issue Specific</t>
        </is>
      </c>
      <c r="B259" s="1892" t="n">
        <v>12.64</v>
      </c>
      <c r="C259" s="1892" t="n">
        <v>28.32</v>
      </c>
      <c r="D259" s="1892" t="n">
        <v>25.92</v>
      </c>
      <c r="E259" s="1892" t="n">
        <v>99.76000000000001</v>
      </c>
      <c r="F259" s="1893" t="n">
        <v>111.19</v>
      </c>
    </row>
    <row r="260" ht="15" customHeight="1">
      <c r="A260" s="1885" t="inlineStr">
        <is>
          <t>Comprehensive Earnings Per Share - Diluted - Issue Specific - DR</t>
        </is>
      </c>
      <c r="B260" s="731" t="n"/>
      <c r="C260" s="731" t="n"/>
      <c r="D260" s="731" t="n"/>
      <c r="E260" s="731" t="n"/>
      <c r="F260" s="731" t="n"/>
    </row>
    <row r="261" ht="15" customHeight="1">
      <c r="A261" s="1885" t="inlineStr">
        <is>
          <t>Comprehensive Earnings Per Share - Diluted - Issue Specific - CPO</t>
        </is>
      </c>
      <c r="B261" s="731" t="n"/>
      <c r="C261" s="731" t="n"/>
      <c r="D261" s="731" t="n"/>
      <c r="E261" s="731" t="n"/>
      <c r="F261" s="731" t="n"/>
    </row>
    <row r="262" ht="15" customHeight="1">
      <c r="A262" s="1884" t="inlineStr">
        <is>
          <t>Share/Per Share - Dividends</t>
        </is>
      </c>
      <c r="B262" s="734" t="n"/>
      <c r="C262" s="734" t="n"/>
      <c r="D262" s="734" t="n"/>
      <c r="E262" s="734" t="n"/>
      <c r="F262" s="734" t="n"/>
    </row>
    <row r="263" ht="15" customHeight="1">
      <c r="A263" s="1885" t="inlineStr">
        <is>
          <t>DPS - Common - Gross - Issue - By Announcement Date</t>
        </is>
      </c>
      <c r="B263" s="1807" t="n">
        <v>0</v>
      </c>
      <c r="C263" s="1807" t="n">
        <v>0</v>
      </c>
      <c r="D263" s="1807" t="n">
        <v>0</v>
      </c>
      <c r="E263" s="1892" t="n">
        <v>1.06</v>
      </c>
      <c r="F263" s="1892" t="n">
        <v>2</v>
      </c>
    </row>
    <row r="264" ht="15" customHeight="1">
      <c r="A264" s="1885" t="inlineStr">
        <is>
          <t>DPS - Common - Net - Issue - By Announcement Date</t>
        </is>
      </c>
      <c r="B264" s="1807" t="n">
        <v>0</v>
      </c>
      <c r="C264" s="1807" t="n">
        <v>0</v>
      </c>
      <c r="D264" s="1807" t="n">
        <v>0</v>
      </c>
      <c r="E264" s="1892" t="n">
        <v>0.9</v>
      </c>
      <c r="F264" s="1892" t="n">
        <v>1.7</v>
      </c>
    </row>
    <row r="265" ht="15" customHeight="1">
      <c r="A265" s="1885" t="inlineStr">
        <is>
          <t>DPS - Special - Gross - Issue - By Announcement Date</t>
        </is>
      </c>
      <c r="B265" s="731" t="n"/>
      <c r="C265" s="731" t="n"/>
      <c r="D265" s="731" t="n"/>
      <c r="E265" s="731" t="n"/>
      <c r="F265" s="731" t="n"/>
    </row>
    <row r="266" ht="15" customHeight="1">
      <c r="A266" s="1885" t="inlineStr">
        <is>
          <t>DPS - Special - Net - Issue - By Announcement Date</t>
        </is>
      </c>
      <c r="B266" s="731" t="n"/>
      <c r="C266" s="731" t="n"/>
      <c r="D266" s="731" t="n"/>
      <c r="E266" s="731" t="n"/>
      <c r="F266" s="731" t="n"/>
    </row>
    <row r="267" ht="15" customHeight="1">
      <c r="A267" s="1885" t="inlineStr">
        <is>
          <t>DPS - Common - Gross - Issue - DR - By Announcement Date</t>
        </is>
      </c>
      <c r="B267" s="731" t="n"/>
      <c r="C267" s="731" t="n"/>
      <c r="D267" s="731" t="n"/>
      <c r="E267" s="731" t="n"/>
      <c r="F267" s="731" t="n"/>
    </row>
    <row r="268" ht="15" customHeight="1">
      <c r="A268" s="1885" t="inlineStr">
        <is>
          <t>DPS - Common - Net - Issue - DR - By Announcement Date</t>
        </is>
      </c>
      <c r="B268" s="731" t="n"/>
      <c r="C268" s="731" t="n"/>
      <c r="D268" s="731" t="n"/>
      <c r="E268" s="731" t="n"/>
      <c r="F268" s="731" t="n"/>
    </row>
    <row r="269" ht="15" customHeight="1">
      <c r="A269" s="1885" t="inlineStr">
        <is>
          <t>DPS - Special - Gross - Issue - DR - By Announcement Date</t>
        </is>
      </c>
      <c r="B269" s="731" t="n"/>
      <c r="C269" s="731" t="n"/>
      <c r="D269" s="731" t="n"/>
      <c r="E269" s="731" t="n"/>
      <c r="F269" s="731" t="n"/>
    </row>
    <row r="270" ht="15" customHeight="1">
      <c r="A270" s="1885" t="inlineStr">
        <is>
          <t>DPS - Special - Net - Issue - DR - By Announcement Date</t>
        </is>
      </c>
      <c r="B270" s="731" t="n"/>
      <c r="C270" s="731" t="n"/>
      <c r="D270" s="731" t="n"/>
      <c r="E270" s="731" t="n"/>
      <c r="F270" s="731" t="n"/>
    </row>
    <row r="271" ht="15" customHeight="1">
      <c r="A271" s="1885" t="inlineStr">
        <is>
          <t>DPS - Common - Gross - Issue - CPO - By Announcement Date</t>
        </is>
      </c>
      <c r="B271" s="731" t="n"/>
      <c r="C271" s="731" t="n"/>
      <c r="D271" s="731" t="n"/>
      <c r="E271" s="731" t="n"/>
      <c r="F271" s="731" t="n"/>
    </row>
    <row r="272" ht="15" customHeight="1">
      <c r="A272" s="1885" t="inlineStr">
        <is>
          <t>DPS - Common - Net - Issue - CPO - By Announcement Date</t>
        </is>
      </c>
      <c r="B272" s="731" t="n"/>
      <c r="C272" s="731" t="n"/>
      <c r="D272" s="731" t="n"/>
      <c r="E272" s="731" t="n"/>
      <c r="F272" s="731" t="n"/>
    </row>
    <row r="273" ht="15" customHeight="1">
      <c r="A273" s="1885" t="inlineStr">
        <is>
          <t>DPS - Special - Gross - Issue - CPO - By Announcement Date</t>
        </is>
      </c>
      <c r="B273" s="731" t="n"/>
      <c r="C273" s="731" t="n"/>
      <c r="D273" s="731" t="n"/>
      <c r="E273" s="731" t="n"/>
      <c r="F273" s="731" t="n"/>
    </row>
    <row r="274" ht="15" customHeight="1">
      <c r="A274" s="1885" t="inlineStr">
        <is>
          <t>DPS - Special - Net - Issue - CPO - By Announcement Date</t>
        </is>
      </c>
      <c r="B274" s="731" t="n"/>
      <c r="C274" s="731" t="n"/>
      <c r="D274" s="731" t="n"/>
      <c r="E274" s="731" t="n"/>
      <c r="F274" s="731" t="n"/>
    </row>
    <row r="275" ht="15" customHeight="1">
      <c r="A275" s="1884" t="inlineStr">
        <is>
          <t>EBIT/EBITDA &amp; related</t>
        </is>
      </c>
      <c r="B275" s="734" t="n"/>
      <c r="C275" s="734" t="n"/>
      <c r="D275" s="734" t="n"/>
      <c r="E275" s="734" t="n"/>
      <c r="F275" s="734" t="n"/>
    </row>
    <row r="276" ht="15" customHeight="1">
      <c r="A276" s="1885" t="inlineStr">
        <is>
          <t>Earnings before Interest &amp; Taxes (EBIT)</t>
        </is>
      </c>
      <c r="B276" s="1807" t="n">
        <v>21046634.95</v>
      </c>
      <c r="C276" s="1807" t="n">
        <v>61000861.36</v>
      </c>
      <c r="D276" s="1807" t="n">
        <v>124858111.85</v>
      </c>
      <c r="E276" s="1807" t="n">
        <v>344670165.42</v>
      </c>
      <c r="F276" s="1807" t="n">
        <v>910144191.6</v>
      </c>
    </row>
    <row r="277" ht="15" customHeight="1">
      <c r="A277" s="1885" t="inlineStr">
        <is>
          <t>Earnings before Interest, Taxes, Depreciation &amp; Amortization (EBITDA)</t>
        </is>
      </c>
      <c r="B277" s="1807" t="n">
        <v>54524240.4</v>
      </c>
      <c r="C277" s="1807" t="n">
        <v>120785805.84</v>
      </c>
      <c r="D277" s="1807" t="n">
        <v>229013070.24</v>
      </c>
      <c r="E277" s="1807" t="n">
        <v>491576851.46</v>
      </c>
      <c r="F277" s="1807" t="n">
        <v>1106232966.57</v>
      </c>
    </row>
    <row r="278" ht="15" customHeight="1">
      <c r="A278" s="1885" t="inlineStr">
        <is>
          <t>Earnings before Interest, Taxes, Depreciation, Amortization &amp; Exploration Expenses (EBITDAX)</t>
        </is>
      </c>
      <c r="B278" s="731" t="n"/>
      <c r="C278" s="731" t="n"/>
      <c r="D278" s="731" t="n"/>
      <c r="E278" s="731" t="n"/>
      <c r="F278" s="731" t="n"/>
    </row>
    <row r="279" ht="15" customHeight="1">
      <c r="A279" s="1885" t="inlineStr">
        <is>
          <t>Earnings before Interest, Taxes, Depreciation &amp; Amortization (EBITDA) and Operating Lease Payments</t>
        </is>
      </c>
      <c r="B279" s="1807" t="n">
        <v>54542516.4</v>
      </c>
      <c r="C279" s="1807" t="n">
        <v>120983564.43</v>
      </c>
      <c r="D279" s="1807" t="n">
        <v>233330931.22</v>
      </c>
      <c r="E279" s="1807" t="n">
        <v>493219708.31</v>
      </c>
      <c r="F279" s="1807" t="n">
        <v>1107049437.5</v>
      </c>
    </row>
    <row r="280" ht="15" customHeight="1">
      <c r="A280" s="1884" t="inlineStr">
        <is>
          <t>Depreciation/Amortization - Income Statement</t>
        </is>
      </c>
      <c r="B280" s="734" t="n"/>
      <c r="C280" s="734" t="n"/>
      <c r="D280" s="734" t="n"/>
      <c r="E280" s="734" t="n"/>
      <c r="F280" s="734" t="n"/>
    </row>
    <row r="281" ht="15" customHeight="1">
      <c r="A281" s="1885" t="inlineStr">
        <is>
          <t>Depreciation - Investment Property - Supplemental</t>
        </is>
      </c>
      <c r="B281" s="731" t="n"/>
      <c r="C281" s="731" t="n"/>
      <c r="D281" s="731" t="n"/>
      <c r="E281" s="731" t="n"/>
      <c r="F281" s="731" t="n"/>
    </row>
    <row r="282" ht="15" customHeight="1">
      <c r="A282" s="1885" t="inlineStr">
        <is>
          <t>Depreciation &amp; Amortization - Supplemental</t>
        </is>
      </c>
      <c r="B282" s="1807" t="n">
        <v>33477605.44</v>
      </c>
      <c r="C282" s="1807" t="n">
        <v>59534944.48</v>
      </c>
      <c r="D282" s="1807" t="n">
        <v>104154958.4</v>
      </c>
      <c r="E282" s="1807" t="n">
        <v>146906686.04</v>
      </c>
      <c r="F282" s="1807" t="n">
        <v>196088774.98</v>
      </c>
    </row>
    <row r="283" ht="15" customHeight="1">
      <c r="A283" s="1886" t="inlineStr">
        <is>
          <t>Depreciation Expense - Total - Supplemental</t>
        </is>
      </c>
      <c r="B283" s="1807" t="n">
        <v>33477605.44</v>
      </c>
      <c r="C283" s="1807" t="n">
        <v>59534944.48</v>
      </c>
      <c r="D283" s="1807" t="n">
        <v>103904958.4</v>
      </c>
      <c r="E283" s="1807" t="n">
        <v>145629861</v>
      </c>
      <c r="F283" s="1807" t="n">
        <v>192256679.85</v>
      </c>
    </row>
    <row r="284" ht="15" customHeight="1">
      <c r="A284" s="1887" t="inlineStr">
        <is>
          <t>Depreciation - Fin Lease Right-of-Use Assets - Total - Suppl</t>
        </is>
      </c>
      <c r="B284" s="1807" t="n">
        <v>13700224.87</v>
      </c>
      <c r="C284" s="1807" t="n">
        <v>31238098.53</v>
      </c>
      <c r="D284" s="1807" t="n">
        <v>26859193.4</v>
      </c>
      <c r="E284" s="1807" t="n">
        <v>35292799.51</v>
      </c>
      <c r="F284" s="1807" t="n">
        <v>25986414.15</v>
      </c>
    </row>
    <row r="285" ht="15" customHeight="1">
      <c r="A285" s="1886" t="inlineStr">
        <is>
          <t>Amortization - Total - Supplemental</t>
        </is>
      </c>
      <c r="B285" s="731" t="n"/>
      <c r="C285" s="731" t="n"/>
      <c r="D285" s="1807" t="n">
        <v>250000</v>
      </c>
      <c r="E285" s="1807" t="n">
        <v>1276825.04</v>
      </c>
      <c r="F285" s="1807" t="n">
        <v>3832095.13</v>
      </c>
    </row>
    <row r="286" ht="15" customHeight="1">
      <c r="A286" s="1887" t="inlineStr">
        <is>
          <t>Goodwill Amortization - Supplemental</t>
        </is>
      </c>
      <c r="B286" s="731" t="n"/>
      <c r="C286" s="731" t="n"/>
      <c r="D286" s="731" t="n"/>
      <c r="E286" s="731" t="n"/>
      <c r="F286" s="731" t="n"/>
    </row>
    <row r="287" ht="15" customHeight="1">
      <c r="A287" s="1887" t="inlineStr">
        <is>
          <t>Intangible Amortization - Other - Supplemental</t>
        </is>
      </c>
      <c r="B287" s="731" t="n"/>
      <c r="C287" s="731" t="n"/>
      <c r="D287" s="1807" t="n">
        <v>250000</v>
      </c>
      <c r="E287" s="1807" t="n">
        <v>1276825.04</v>
      </c>
      <c r="F287" s="1807" t="n">
        <v>3832095.13</v>
      </c>
    </row>
    <row r="288" ht="15" customHeight="1">
      <c r="A288" s="1890" t="inlineStr">
        <is>
          <t>Amortization of Licenses, Copyrights, Property Rights &amp; Designs - Supplemental</t>
        </is>
      </c>
      <c r="B288" s="731" t="n"/>
      <c r="C288" s="731" t="n"/>
      <c r="D288" s="731" t="n"/>
      <c r="E288" s="731" t="n"/>
      <c r="F288" s="731" t="n"/>
    </row>
    <row r="289" ht="15" customHeight="1">
      <c r="A289" s="1890" t="inlineStr">
        <is>
          <t>Amortization of Computer Software - Supplemental</t>
        </is>
      </c>
      <c r="B289" s="731" t="n"/>
      <c r="C289" s="731" t="n"/>
      <c r="D289" s="1807" t="n">
        <v>250000</v>
      </c>
      <c r="E289" s="1807" t="n">
        <v>1276825.04</v>
      </c>
      <c r="F289" s="1807" t="n">
        <v>3832095.13</v>
      </c>
    </row>
    <row r="290" ht="15" customHeight="1">
      <c r="A290" s="1890" t="inlineStr">
        <is>
          <t>Amortization of Brands, Patents, Trademarks, Marketing &amp; Artistic Intangibles - Supplemental</t>
        </is>
      </c>
      <c r="B290" s="731" t="n"/>
      <c r="C290" s="731" t="n"/>
      <c r="D290" s="731" t="n"/>
      <c r="E290" s="731" t="n"/>
      <c r="F290" s="731" t="n"/>
    </row>
    <row r="291" ht="15" customHeight="1">
      <c r="A291" s="1890" t="inlineStr">
        <is>
          <t>Amortization of Fin Lease Right-of-Use Assets Total - Suppl</t>
        </is>
      </c>
      <c r="B291" s="731" t="n"/>
      <c r="C291" s="731" t="n"/>
      <c r="D291" s="731" t="n"/>
      <c r="E291" s="731" t="n"/>
      <c r="F291" s="731" t="n"/>
    </row>
    <row r="292" ht="15" customHeight="1">
      <c r="A292" s="1890" t="inlineStr">
        <is>
          <t>Amortization of Capitalized Research &amp; Development Expenses - Supplemental</t>
        </is>
      </c>
      <c r="B292" s="731" t="n"/>
      <c r="C292" s="731" t="n"/>
      <c r="D292" s="731" t="n"/>
      <c r="E292" s="731" t="n"/>
      <c r="F292" s="731" t="n"/>
    </row>
    <row r="293" ht="15" customHeight="1">
      <c r="A293" s="1887" t="inlineStr">
        <is>
          <t>Amortization of Deferred Costs - Supplemental</t>
        </is>
      </c>
      <c r="B293" s="731" t="n"/>
      <c r="C293" s="731" t="n"/>
      <c r="D293" s="731" t="n"/>
      <c r="E293" s="731" t="n"/>
      <c r="F293" s="731" t="n"/>
    </row>
    <row r="294" ht="15" customHeight="1">
      <c r="A294" s="1884" t="inlineStr">
        <is>
          <t>Depreciation/Amortization - Total</t>
        </is>
      </c>
      <c r="B294" s="734" t="n"/>
      <c r="C294" s="734" t="n"/>
      <c r="D294" s="734" t="n"/>
      <c r="E294" s="734" t="n"/>
      <c r="F294" s="734" t="n"/>
    </row>
    <row r="295" ht="15" customHeight="1">
      <c r="A295" s="1885" t="inlineStr">
        <is>
          <t>Depreciation, Depletion &amp; Amortization - Total</t>
        </is>
      </c>
      <c r="B295" s="1807" t="n">
        <v>33477605.44</v>
      </c>
      <c r="C295" s="1807" t="n">
        <v>59784944.48</v>
      </c>
      <c r="D295" s="1807" t="n">
        <v>104154958.4</v>
      </c>
      <c r="E295" s="1807" t="n">
        <v>146906686.04</v>
      </c>
      <c r="F295" s="1807" t="n">
        <v>196088774.98</v>
      </c>
    </row>
    <row r="296" ht="15" customHeight="1">
      <c r="A296" s="1886" t="inlineStr">
        <is>
          <t>Depreciation - Total</t>
        </is>
      </c>
      <c r="B296" s="1807" t="n">
        <v>33477605.44</v>
      </c>
      <c r="C296" s="1807" t="n">
        <v>59534944.48</v>
      </c>
      <c r="D296" s="1807" t="n">
        <v>103904958.4</v>
      </c>
      <c r="E296" s="1807" t="n">
        <v>145629861</v>
      </c>
      <c r="F296" s="1807" t="n">
        <v>192256679.85</v>
      </c>
    </row>
    <row r="297" ht="15" customHeight="1">
      <c r="A297" s="1886" t="inlineStr">
        <is>
          <t>Amortization of Intangible Assets including Goodwill - Total</t>
        </is>
      </c>
      <c r="B297" s="731" t="n"/>
      <c r="C297" s="731" t="n"/>
      <c r="D297" s="731" t="n"/>
      <c r="E297" s="731" t="n"/>
      <c r="F297" s="731" t="n"/>
    </row>
    <row r="298" ht="15" customHeight="1">
      <c r="A298" s="1886" t="inlineStr">
        <is>
          <t>Amortization of Goodwill - Total</t>
        </is>
      </c>
      <c r="B298" s="731" t="n"/>
      <c r="C298" s="731" t="n"/>
      <c r="D298" s="731" t="n"/>
      <c r="E298" s="731" t="n"/>
      <c r="F298" s="731" t="n"/>
    </row>
    <row r="299" ht="15" customHeight="1">
      <c r="A299" s="1886" t="inlineStr">
        <is>
          <t>Amortization of Intangible Assets excluding Goodwill - Total</t>
        </is>
      </c>
      <c r="B299" s="731" t="n"/>
      <c r="C299" s="1807" t="n">
        <v>250000</v>
      </c>
      <c r="D299" s="1807" t="n">
        <v>250000</v>
      </c>
      <c r="E299" s="1807" t="n">
        <v>1276825.04</v>
      </c>
      <c r="F299" s="1807" t="n">
        <v>3832095.13</v>
      </c>
    </row>
    <row r="300" ht="15" customHeight="1">
      <c r="A300" s="1886" t="inlineStr">
        <is>
          <t>Amortization of Deferred Charges - Total</t>
        </is>
      </c>
      <c r="B300" s="731" t="n"/>
      <c r="C300" s="731" t="n"/>
      <c r="D300" s="731" t="n"/>
      <c r="E300" s="731" t="n"/>
      <c r="F300" s="731" t="n"/>
    </row>
    <row r="301" ht="15" customHeight="1">
      <c r="A301" s="1884" t="inlineStr">
        <is>
          <t>Islamic</t>
        </is>
      </c>
      <c r="B301" s="734" t="n"/>
      <c r="C301" s="734" t="n"/>
      <c r="D301" s="734" t="n"/>
      <c r="E301" s="734" t="n"/>
      <c r="F301" s="734" t="n"/>
    </row>
    <row r="302" ht="15" customHeight="1">
      <c r="A302" s="1885" t="inlineStr">
        <is>
          <t>Islamic Income</t>
        </is>
      </c>
      <c r="B302" s="731" t="n"/>
      <c r="C302" s="731" t="n"/>
      <c r="D302" s="731" t="n"/>
      <c r="E302" s="731" t="n"/>
      <c r="F302" s="731" t="n"/>
    </row>
    <row r="303" ht="15" customHeight="1">
      <c r="A303" s="1884" t="inlineStr">
        <is>
          <t>Research &amp; Development</t>
        </is>
      </c>
      <c r="B303" s="734" t="n"/>
      <c r="C303" s="734" t="n"/>
      <c r="D303" s="734" t="n"/>
      <c r="E303" s="734" t="n"/>
      <c r="F303" s="734" t="n"/>
    </row>
    <row r="304" ht="15" customHeight="1">
      <c r="A304" s="1885" t="inlineStr">
        <is>
          <t>Research &amp; Development Expense - Expensed &amp; Capitalized - Total - Supplemental</t>
        </is>
      </c>
      <c r="B304" s="731" t="n"/>
      <c r="C304" s="731" t="n"/>
      <c r="D304" s="731" t="n"/>
      <c r="E304" s="731" t="n"/>
      <c r="F304" s="731" t="n"/>
    </row>
    <row r="305" ht="15" customHeight="1">
      <c r="A305" s="1886" t="inlineStr">
        <is>
          <t>Research &amp; Development Expense - Supplemental</t>
        </is>
      </c>
      <c r="B305" s="731" t="n"/>
      <c r="C305" s="731" t="n"/>
      <c r="D305" s="731" t="n"/>
      <c r="E305" s="731" t="n"/>
      <c r="F305" s="731" t="n"/>
    </row>
    <row r="306" ht="15" customHeight="1">
      <c r="A306" s="1886" t="inlineStr">
        <is>
          <t>Research &amp; Development Expense - Capitalized - Supplemental</t>
        </is>
      </c>
      <c r="B306" s="731" t="n"/>
      <c r="C306" s="731" t="n"/>
      <c r="D306" s="731" t="n"/>
      <c r="E306" s="731" t="n"/>
      <c r="F306" s="731" t="n"/>
    </row>
    <row r="307" ht="15" customHeight="1">
      <c r="A307" s="1884" t="inlineStr">
        <is>
          <t>Labor &amp; Related Expenses</t>
        </is>
      </c>
      <c r="B307" s="734" t="n"/>
      <c r="C307" s="734" t="n"/>
      <c r="D307" s="734" t="n"/>
      <c r="E307" s="734" t="n"/>
      <c r="F307" s="734" t="n"/>
    </row>
    <row r="308" ht="15" customHeight="1">
      <c r="A308" s="1885" t="inlineStr">
        <is>
          <t>Labor &amp; Related Expenses - Total</t>
        </is>
      </c>
      <c r="B308" s="1807" t="n">
        <v>14879734.91</v>
      </c>
      <c r="C308" s="1807" t="n">
        <v>21875369.43</v>
      </c>
      <c r="D308" s="1807" t="n">
        <v>19148593.25</v>
      </c>
      <c r="E308" s="1807" t="n">
        <v>21417934.52</v>
      </c>
      <c r="F308" s="1807" t="n">
        <v>87128963.83</v>
      </c>
    </row>
    <row r="309" ht="15" customHeight="1">
      <c r="A309" s="1885" t="inlineStr">
        <is>
          <t>Labor &amp; Related Expenses - Supplemental</t>
        </is>
      </c>
      <c r="B309" s="1807" t="n">
        <v>14879734.91</v>
      </c>
      <c r="C309" s="1807" t="n">
        <v>21875369.43</v>
      </c>
      <c r="D309" s="1807" t="n">
        <v>19148593.25</v>
      </c>
      <c r="E309" s="1807" t="n">
        <v>21417934.52</v>
      </c>
      <c r="F309" s="1807" t="n">
        <v>87128963.83</v>
      </c>
    </row>
    <row r="310" ht="15" customHeight="1">
      <c r="A310" s="1886" t="inlineStr">
        <is>
          <t>Stock-Based Compensation Expense - Net of Tax - Supplemental</t>
        </is>
      </c>
      <c r="B310" s="731" t="n"/>
      <c r="C310" s="731" t="n"/>
      <c r="D310" s="731" t="n"/>
      <c r="E310" s="731" t="n"/>
      <c r="F310" s="731" t="n"/>
    </row>
    <row r="311" ht="15" customHeight="1">
      <c r="A311" s="1887" t="inlineStr">
        <is>
          <t>Stock-Based Compensation Expense - Pre-tax - Supplemental</t>
        </is>
      </c>
      <c r="B311" s="731" t="n"/>
      <c r="C311" s="731" t="n"/>
      <c r="D311" s="731" t="n"/>
      <c r="E311" s="731" t="n"/>
      <c r="F311" s="731" t="n"/>
    </row>
    <row r="312" ht="15" customHeight="1">
      <c r="A312" s="1887" t="inlineStr">
        <is>
          <t>Stock-Based Compensation - Tax Benefit - Supplemental</t>
        </is>
      </c>
      <c r="B312" s="731" t="n"/>
      <c r="C312" s="731" t="n"/>
      <c r="D312" s="731" t="n"/>
      <c r="E312" s="731" t="n"/>
      <c r="F312" s="731" t="n"/>
    </row>
    <row r="313" ht="15" customHeight="1">
      <c r="A313" s="1884" t="inlineStr">
        <is>
          <t>Auditor Fees</t>
        </is>
      </c>
      <c r="B313" s="734" t="n"/>
      <c r="C313" s="734" t="n"/>
      <c r="D313" s="734" t="n"/>
      <c r="E313" s="734" t="n"/>
      <c r="F313" s="734" t="n"/>
    </row>
    <row r="314" ht="15" customHeight="1">
      <c r="A314" s="1885" t="inlineStr">
        <is>
          <t>Auditor Fees</t>
        </is>
      </c>
      <c r="B314" s="731" t="n"/>
      <c r="C314" s="731" t="n"/>
      <c r="D314" s="731" t="n"/>
      <c r="E314" s="1807" t="n">
        <v>175000</v>
      </c>
      <c r="F314" s="1807" t="n">
        <v>1290000</v>
      </c>
    </row>
    <row r="315" ht="15" customHeight="1">
      <c r="A315" s="1886" t="inlineStr">
        <is>
          <t>Audit-Related Fees</t>
        </is>
      </c>
      <c r="B315" s="731" t="n"/>
      <c r="C315" s="731" t="n"/>
      <c r="D315" s="731" t="n"/>
      <c r="E315" s="1807" t="n">
        <v>175000</v>
      </c>
      <c r="F315" s="1807" t="n">
        <v>1290000</v>
      </c>
    </row>
    <row r="316" ht="15" customHeight="1">
      <c r="A316" s="1886" t="inlineStr">
        <is>
          <t>Tax Fees</t>
        </is>
      </c>
      <c r="B316" s="731" t="n"/>
      <c r="C316" s="731" t="n"/>
      <c r="D316" s="731" t="n"/>
      <c r="E316" s="731" t="n"/>
      <c r="F316" s="731" t="n"/>
    </row>
    <row r="317" ht="15" customHeight="1">
      <c r="A317" s="1886" t="inlineStr">
        <is>
          <t>Fees - Other</t>
        </is>
      </c>
      <c r="B317" s="731" t="n"/>
      <c r="C317" s="731" t="n"/>
      <c r="D317" s="731" t="n"/>
      <c r="E317" s="731" t="n"/>
      <c r="F317" s="731" t="n"/>
    </row>
    <row r="318" ht="15" customHeight="1">
      <c r="A318" s="1884" t="inlineStr">
        <is>
          <t>Non-GAAP</t>
        </is>
      </c>
      <c r="B318" s="734" t="n"/>
      <c r="C318" s="734" t="n"/>
      <c r="D318" s="734" t="n"/>
      <c r="E318" s="734" t="n"/>
      <c r="F318" s="734" t="n"/>
    </row>
    <row r="319" ht="15" customHeight="1">
      <c r="A319" s="1885" t="inlineStr">
        <is>
          <t>Non-GAAP Revenues - Company Reported</t>
        </is>
      </c>
      <c r="B319" s="731" t="n"/>
      <c r="C319" s="731" t="n"/>
      <c r="D319" s="731" t="n"/>
      <c r="E319" s="731" t="n"/>
      <c r="F319" s="731" t="n"/>
    </row>
    <row r="320" ht="15" customHeight="1">
      <c r="A320" s="1885" t="inlineStr">
        <is>
          <t>Non-GAAP Income from Operations - Company Reported</t>
        </is>
      </c>
      <c r="B320" s="731" t="n"/>
      <c r="C320" s="731" t="n"/>
      <c r="D320" s="731" t="n"/>
      <c r="E320" s="731" t="n"/>
      <c r="F320" s="731" t="n"/>
    </row>
    <row r="321" ht="15" customHeight="1">
      <c r="A321" s="1885" t="inlineStr">
        <is>
          <t>Non-GAAP Adjusted Net Earnings - Company Reported</t>
        </is>
      </c>
      <c r="B321" s="731" t="n"/>
      <c r="C321" s="731" t="n"/>
      <c r="D321" s="731" t="n"/>
      <c r="E321" s="731" t="n"/>
      <c r="F321" s="731" t="n"/>
    </row>
    <row r="322" ht="15" customHeight="1">
      <c r="A322" s="1885" t="inlineStr">
        <is>
          <t>Non-GAAP Adjusted EBITDA - Company Reported</t>
        </is>
      </c>
      <c r="B322" s="731" t="n"/>
      <c r="C322" s="731" t="n"/>
      <c r="D322" s="731" t="n"/>
      <c r="E322" s="731" t="n"/>
      <c r="F322" s="731" t="n"/>
    </row>
    <row r="323" ht="15" customHeight="1">
      <c r="A323" s="1885" t="inlineStr">
        <is>
          <t>Non-GAAP EPS Basic - Company Reported</t>
        </is>
      </c>
      <c r="B323" s="731" t="n"/>
      <c r="C323" s="731" t="n"/>
      <c r="D323" s="731" t="n"/>
      <c r="E323" s="731" t="n"/>
      <c r="F323" s="731" t="n"/>
    </row>
    <row r="324" ht="15" customHeight="1">
      <c r="A324" s="1885" t="inlineStr">
        <is>
          <t>Non-GAAP EPS Diluted - Company Reported</t>
        </is>
      </c>
      <c r="B324" s="731" t="n"/>
      <c r="C324" s="731" t="n"/>
      <c r="D324" s="731" t="n"/>
      <c r="E324" s="731" t="n"/>
      <c r="F324" s="731" t="n"/>
    </row>
    <row r="325" ht="15" customHeight="1">
      <c r="A325" s="1885" t="inlineStr">
        <is>
          <t>Non-GAAP Operating Margin % - Company Reported</t>
        </is>
      </c>
      <c r="B325" s="731" t="n"/>
      <c r="C325" s="731" t="n"/>
      <c r="D325" s="731" t="n"/>
      <c r="E325" s="731" t="n"/>
      <c r="F325" s="731" t="n"/>
    </row>
    <row r="326" ht="15" customHeight="1">
      <c r="A326" s="1885" t="inlineStr">
        <is>
          <t>Reported - Net Income - Non-GAAP</t>
        </is>
      </c>
      <c r="B326" s="731" t="n"/>
      <c r="C326" s="731" t="n"/>
      <c r="D326" s="731" t="n"/>
      <c r="E326" s="731" t="n"/>
      <c r="F326" s="731" t="n"/>
    </row>
    <row r="327" ht="15" customHeight="1">
      <c r="A327" s="1885" t="inlineStr">
        <is>
          <t>Reported - Non-Recurring Item - Non-GAAP</t>
        </is>
      </c>
      <c r="B327" s="731" t="n"/>
      <c r="C327" s="731" t="n"/>
      <c r="D327" s="731" t="n"/>
      <c r="E327" s="731" t="n"/>
      <c r="F327" s="731" t="n"/>
    </row>
    <row r="328" ht="15" customHeight="1">
      <c r="A328" s="1885" t="inlineStr">
        <is>
          <t>Reported - Tax Impact from Non-Recurring Items - Non-GAAP</t>
        </is>
      </c>
      <c r="B328" s="731" t="n"/>
      <c r="C328" s="731" t="n"/>
      <c r="D328" s="731" t="n"/>
      <c r="E328" s="731" t="n"/>
      <c r="F328" s="731" t="n"/>
    </row>
    <row r="329" ht="15" customHeight="1">
      <c r="A329" s="1885" t="inlineStr">
        <is>
          <t>Reported - Normalized Net Income</t>
        </is>
      </c>
      <c r="B329" s="731" t="n"/>
      <c r="C329" s="731" t="n"/>
      <c r="D329" s="731" t="n"/>
      <c r="E329" s="731" t="n"/>
      <c r="F329" s="731" t="n"/>
    </row>
    <row r="330" ht="15" customHeight="1">
      <c r="A330" s="1885" t="inlineStr">
        <is>
          <t>Non-Recurring/Unusual Items - Tax Impact</t>
        </is>
      </c>
      <c r="B330" s="731" t="n"/>
      <c r="C330" s="731" t="n"/>
      <c r="D330" s="731" t="n"/>
      <c r="E330" s="731" t="n"/>
      <c r="F330" s="731" t="n"/>
    </row>
    <row r="331" ht="15" customHeight="1">
      <c r="A331" s="1885" t="inlineStr">
        <is>
          <t>Non-Recurring Items - Impact on Income Tax</t>
        </is>
      </c>
      <c r="B331" s="731" t="n"/>
      <c r="C331" s="731" t="n"/>
      <c r="D331" s="731" t="n"/>
      <c r="E331" s="731" t="n"/>
      <c r="F331" s="731" t="n"/>
    </row>
    <row r="332" ht="15" customHeight="1">
      <c r="A332" s="1884" t="inlineStr">
        <is>
          <t>Normalized</t>
        </is>
      </c>
      <c r="B332" s="734" t="n"/>
      <c r="C332" s="734" t="n"/>
      <c r="D332" s="734" t="n"/>
      <c r="E332" s="734" t="n"/>
      <c r="F332" s="734" t="n"/>
    </row>
    <row r="333" ht="15" customHeight="1">
      <c r="A333" s="1885" t="inlineStr">
        <is>
          <t>Normalized after Tax Profit</t>
        </is>
      </c>
      <c r="B333" s="1807" t="n">
        <v>24808986.33</v>
      </c>
      <c r="C333" s="1807" t="n">
        <v>58596931.48</v>
      </c>
      <c r="D333" s="1807" t="n">
        <v>57811154.69</v>
      </c>
      <c r="E333" s="1807" t="n">
        <v>229278471.5</v>
      </c>
      <c r="F333" s="1807" t="n">
        <v>578983207.37</v>
      </c>
    </row>
    <row r="334" ht="15" customHeight="1">
      <c r="A334" s="1885" t="inlineStr">
        <is>
          <t>Normalized Net Income from Continuing Operations</t>
        </is>
      </c>
      <c r="B334" s="1807" t="n">
        <v>24808986.33</v>
      </c>
      <c r="C334" s="1807" t="n">
        <v>58596931.48</v>
      </c>
      <c r="D334" s="1807" t="n">
        <v>57811154.69</v>
      </c>
      <c r="E334" s="1807" t="n">
        <v>229278471.5</v>
      </c>
      <c r="F334" s="1807" t="n">
        <v>578983207.37</v>
      </c>
    </row>
    <row r="335" ht="15" customHeight="1">
      <c r="A335" s="1885" t="inlineStr">
        <is>
          <t>Normalized Net Income - Bottom Line</t>
        </is>
      </c>
      <c r="B335" s="1807" t="n">
        <v>25819298.32</v>
      </c>
      <c r="C335" s="1807" t="n">
        <v>58640539.7</v>
      </c>
      <c r="D335" s="1807" t="n">
        <v>58097763.18</v>
      </c>
      <c r="E335" s="1807" t="n">
        <v>231186780.01</v>
      </c>
      <c r="F335" s="1807" t="n">
        <v>354631543.07</v>
      </c>
    </row>
    <row r="336" ht="15" customHeight="1">
      <c r="A336" s="1885" t="inlineStr">
        <is>
          <t>Earnings before Interest &amp; Taxes (EBIT) - Normalized</t>
        </is>
      </c>
      <c r="B336" s="1807" t="n">
        <v>20094865.98</v>
      </c>
      <c r="C336" s="1807" t="n">
        <v>90361476.56</v>
      </c>
      <c r="D336" s="1807" t="n">
        <v>122640769.82</v>
      </c>
      <c r="E336" s="1807" t="n">
        <v>392551191.09</v>
      </c>
      <c r="F336" s="1807" t="n">
        <v>881967555.37</v>
      </c>
    </row>
    <row r="337" ht="15" customHeight="1">
      <c r="A337" s="1885" t="inlineStr">
        <is>
          <t>Earnings before Interest, Taxes, Depreciation &amp; Amortization (EBITDA) - Normalized</t>
        </is>
      </c>
      <c r="B337" s="1807" t="n">
        <v>53572471.42</v>
      </c>
      <c r="C337" s="1807" t="n">
        <v>150146421.04</v>
      </c>
      <c r="D337" s="1807" t="n">
        <v>226795728.21</v>
      </c>
      <c r="E337" s="1807" t="n">
        <v>539457877.13</v>
      </c>
      <c r="F337" s="1807" t="n">
        <v>1078056330.35</v>
      </c>
    </row>
    <row r="338" ht="15" customHeight="1">
      <c r="A338" s="1884" t="inlineStr">
        <is>
          <t>Derivatives - Realized Gain/Loss</t>
        </is>
      </c>
      <c r="B338" s="734" t="n"/>
      <c r="C338" s="734" t="n"/>
      <c r="D338" s="734" t="n"/>
      <c r="E338" s="734" t="n"/>
      <c r="F338" s="734" t="n"/>
    </row>
    <row r="339" ht="15" customHeight="1">
      <c r="A339" s="1885" t="inlineStr">
        <is>
          <t>Derivatives - Realized Gain/(Loss) (including Reclassified from OCI) - Revenue - Supplemental</t>
        </is>
      </c>
      <c r="B339" s="731" t="n"/>
      <c r="C339" s="731" t="n"/>
      <c r="D339" s="731" t="n"/>
      <c r="E339" s="731" t="n"/>
      <c r="F339" s="731" t="n"/>
    </row>
    <row r="340" ht="15" customHeight="1">
      <c r="A340" s="1885" t="inlineStr">
        <is>
          <t>Derivatives - Realized Gain/(Loss) (including Reclassified from OCI) - Cost of Goods Sold - Supplemental</t>
        </is>
      </c>
      <c r="B340" s="731" t="n"/>
      <c r="C340" s="731" t="n"/>
      <c r="D340" s="731" t="n"/>
      <c r="E340" s="731" t="n"/>
      <c r="F340" s="731" t="n"/>
    </row>
    <row r="341" ht="15" customHeight="1">
      <c r="A341" s="1885" t="inlineStr">
        <is>
          <t>Derivatives - Realized Gain/(Loss) (including Reclassified from OCI) - Interest Expenses - Supplemental</t>
        </is>
      </c>
      <c r="B341" s="731" t="n"/>
      <c r="C341" s="731" t="n"/>
      <c r="D341" s="731" t="n"/>
      <c r="E341" s="731" t="n"/>
      <c r="F341" s="731" t="n"/>
    </row>
    <row r="342" ht="15" customHeight="1">
      <c r="A342" s="1885" t="inlineStr">
        <is>
          <t>Derivatives - Realized Gain/(Loss) (including Reclassified from OCI) - Other - Supplemental</t>
        </is>
      </c>
      <c r="B342" s="731" t="n"/>
      <c r="C342" s="731" t="n"/>
      <c r="D342" s="731" t="n"/>
      <c r="E342" s="731" t="n"/>
      <c r="F342" s="731" t="n"/>
    </row>
    <row r="343" ht="15" customHeight="1">
      <c r="A343" s="1885" t="inlineStr">
        <is>
          <t>Derivatives - Realized Gain/(Loss) (including Reclassified from OCI) - Total - Supplemental</t>
        </is>
      </c>
      <c r="B343" s="731" t="n"/>
      <c r="C343" s="731" t="n"/>
      <c r="D343" s="731" t="n"/>
      <c r="E343" s="731" t="n"/>
      <c r="F343" s="731" t="n"/>
    </row>
    <row r="344" ht="15" customHeight="1">
      <c r="A344" s="1884" t="inlineStr">
        <is>
          <t>Derivatives</t>
        </is>
      </c>
      <c r="B344" s="734" t="n"/>
      <c r="C344" s="734" t="n"/>
      <c r="D344" s="734" t="n"/>
      <c r="E344" s="734" t="n"/>
      <c r="F344" s="734" t="n"/>
    </row>
    <row r="345" ht="15" customHeight="1">
      <c r="A345" s="1885" t="inlineStr">
        <is>
          <t>Derivatives - Hedging - Gain/(Loss) - Total - Supplemental</t>
        </is>
      </c>
      <c r="B345" s="731" t="n"/>
      <c r="C345" s="731" t="n"/>
      <c r="D345" s="731" t="n"/>
      <c r="E345" s="731" t="n"/>
      <c r="F345" s="731" t="n"/>
    </row>
    <row r="346" ht="15" customHeight="1">
      <c r="A346" s="1886" t="inlineStr">
        <is>
          <t>Unrealized Adjustments on Derivatives for Hedging - Supplemental</t>
        </is>
      </c>
      <c r="B346" s="731" t="n"/>
      <c r="C346" s="731" t="n"/>
      <c r="D346" s="731" t="n"/>
      <c r="E346" s="731" t="n"/>
      <c r="F346" s="731" t="n"/>
    </row>
    <row r="347" ht="15" customHeight="1">
      <c r="A347" s="1886" t="inlineStr">
        <is>
          <t>Derivatives - Hedging - Realized Gain/(Loss) - Total - Supplemental</t>
        </is>
      </c>
      <c r="B347" s="731" t="n"/>
      <c r="C347" s="731" t="n"/>
      <c r="D347" s="731" t="n"/>
      <c r="E347" s="731" t="n"/>
      <c r="F347" s="731" t="n"/>
    </row>
    <row r="348" ht="15" customHeight="1">
      <c r="A348" s="1887" t="inlineStr">
        <is>
          <t>Derivatives - Hedging - Effective Gain/(Loss) - Supplemental</t>
        </is>
      </c>
      <c r="B348" s="731" t="n"/>
      <c r="C348" s="731" t="n"/>
      <c r="D348" s="731" t="n"/>
      <c r="E348" s="731" t="n"/>
      <c r="F348" s="731" t="n"/>
    </row>
    <row r="349" ht="15" customHeight="1">
      <c r="A349" s="1887" t="inlineStr">
        <is>
          <t>Derivatives - Hedging - Ineffective Gain/(Loss) - Supplemental</t>
        </is>
      </c>
      <c r="B349" s="731" t="n"/>
      <c r="C349" s="731" t="n"/>
      <c r="D349" s="731" t="n"/>
      <c r="E349" s="731" t="n"/>
      <c r="F349" s="731" t="n"/>
    </row>
    <row r="350" ht="15" customHeight="1">
      <c r="A350" s="1887" t="inlineStr">
        <is>
          <t>Early Termination of Derivatives - Hedging - Gain/(Loss) - Supplemental</t>
        </is>
      </c>
      <c r="B350" s="731" t="n"/>
      <c r="C350" s="731" t="n"/>
      <c r="D350" s="731" t="n"/>
      <c r="E350" s="731" t="n"/>
      <c r="F350" s="731" t="n"/>
    </row>
    <row r="351" ht="15" customHeight="1">
      <c r="A351" s="1886" t="inlineStr">
        <is>
          <t>Trading Derivatives - Gain/(Loss) - Supplemental</t>
        </is>
      </c>
      <c r="B351" s="731" t="n"/>
      <c r="C351" s="731" t="n"/>
      <c r="D351" s="731" t="n"/>
      <c r="E351" s="731" t="n"/>
      <c r="F351" s="731" t="n"/>
    </row>
    <row r="352" ht="15" customHeight="1">
      <c r="A352" s="1884" t="inlineStr">
        <is>
          <t>Lease Expenses</t>
        </is>
      </c>
      <c r="B352" s="734" t="n"/>
      <c r="C352" s="734" t="n"/>
      <c r="D352" s="734" t="n"/>
      <c r="E352" s="734" t="n"/>
      <c r="F352" s="734" t="n"/>
    </row>
    <row r="353" ht="15" customHeight="1">
      <c r="A353" s="1885" t="inlineStr">
        <is>
          <t>Lease Expense -Total - Supplemental</t>
        </is>
      </c>
      <c r="B353" s="731" t="n"/>
      <c r="C353" s="731" t="n"/>
      <c r="D353" s="731" t="n"/>
      <c r="E353" s="731" t="n"/>
      <c r="F353" s="731" t="n"/>
    </row>
    <row r="354" ht="15" customHeight="1">
      <c r="A354" s="1886" t="inlineStr">
        <is>
          <t>Operating /Rental Expense - Supplemental</t>
        </is>
      </c>
      <c r="B354" s="731" t="n"/>
      <c r="C354" s="731" t="n"/>
      <c r="D354" s="731" t="n"/>
      <c r="E354" s="731" t="n"/>
      <c r="F354" s="731" t="n"/>
    </row>
    <row r="355" ht="15" customHeight="1">
      <c r="A355" s="1886" t="inlineStr">
        <is>
          <t>Depreciation of Financial Lease ROU Assets - Supplemental</t>
        </is>
      </c>
      <c r="B355" s="1807" t="n">
        <v>13700224.87</v>
      </c>
      <c r="C355" s="1807" t="n">
        <v>31238098.53</v>
      </c>
      <c r="D355" s="1807" t="n">
        <v>26859193.4</v>
      </c>
      <c r="E355" s="1807" t="n">
        <v>35292799.51</v>
      </c>
      <c r="F355" s="1807" t="n">
        <v>25986414.15</v>
      </c>
    </row>
    <row r="356" ht="15" customHeight="1">
      <c r="A356" s="1886" t="inlineStr">
        <is>
          <t>Amortization of Financial Lease ROU Assets - Supplemental</t>
        </is>
      </c>
      <c r="B356" s="731" t="n"/>
      <c r="C356" s="731" t="n"/>
      <c r="D356" s="731" t="n"/>
      <c r="E356" s="731" t="n"/>
      <c r="F356" s="731" t="n"/>
    </row>
    <row r="357" ht="15" customHeight="1">
      <c r="A357" s="1886" t="inlineStr">
        <is>
          <t>Variable Lease Expense - Unclassified - Supplemental</t>
        </is>
      </c>
      <c r="B357" s="731" t="n"/>
      <c r="C357" s="731" t="n"/>
      <c r="D357" s="731" t="n"/>
      <c r="E357" s="731" t="n"/>
      <c r="F357" s="731" t="n"/>
    </row>
    <row r="358" ht="15" customHeight="1">
      <c r="A358" s="1886" t="inlineStr">
        <is>
          <t>Variable Operating Lease Expenses - US GAAP - Supplemental</t>
        </is>
      </c>
      <c r="B358" s="731" t="n"/>
      <c r="C358" s="731" t="n"/>
      <c r="D358" s="731" t="n"/>
      <c r="E358" s="731" t="n"/>
      <c r="F358" s="731" t="n"/>
    </row>
    <row r="359" ht="15" customHeight="1">
      <c r="A359" s="1886" t="inlineStr">
        <is>
          <t>Variable Financial Lease Expenses - Supplemental</t>
        </is>
      </c>
      <c r="B359" s="731" t="n"/>
      <c r="C359" s="731" t="n"/>
      <c r="D359" s="731" t="n"/>
      <c r="E359" s="731" t="n"/>
      <c r="F359" s="731" t="n"/>
    </row>
    <row r="360" ht="15" customHeight="1">
      <c r="A360" s="1886" t="inlineStr">
        <is>
          <t>Interest Expense on Financial Lease Liabilities - Supple</t>
        </is>
      </c>
      <c r="B360" s="1807" t="n">
        <v>4876425.12</v>
      </c>
      <c r="C360" s="1807" t="n">
        <v>12280564.7</v>
      </c>
      <c r="D360" s="1807" t="n">
        <v>17093119.65</v>
      </c>
      <c r="E360" s="1807" t="n">
        <v>5213870.78</v>
      </c>
      <c r="F360" s="1807" t="n">
        <v>3759547</v>
      </c>
    </row>
    <row r="361" ht="15" customHeight="1">
      <c r="A361" s="1886" t="inlineStr">
        <is>
          <t>Short-Term Lease Cost - Supplemental</t>
        </is>
      </c>
      <c r="B361" s="731" t="n"/>
      <c r="C361" s="731" t="n"/>
      <c r="D361" s="731" t="n"/>
      <c r="E361" s="731" t="n"/>
      <c r="F361" s="731" t="n"/>
    </row>
    <row r="362" ht="15" customHeight="1">
      <c r="A362" s="1886" t="inlineStr">
        <is>
          <t>Sublease Income - Supplemental</t>
        </is>
      </c>
      <c r="B362" s="731" t="n"/>
      <c r="C362" s="731" t="n"/>
      <c r="D362" s="731" t="n"/>
      <c r="E362" s="731" t="n"/>
      <c r="F362" s="731" t="n"/>
    </row>
    <row r="363" ht="15" customHeight="1">
      <c r="A363" s="1884" t="inlineStr">
        <is>
          <t>Other</t>
        </is>
      </c>
      <c r="B363" s="734" t="n"/>
      <c r="C363" s="734" t="n"/>
      <c r="D363" s="734" t="n"/>
      <c r="E363" s="734" t="n"/>
      <c r="F363" s="734" t="n"/>
    </row>
    <row r="364" ht="15" customHeight="1">
      <c r="A364" s="1885" t="inlineStr">
        <is>
          <t>Rental/Operating Lease Expense</t>
        </is>
      </c>
      <c r="B364" s="1807" t="n">
        <v>18276</v>
      </c>
      <c r="C364" s="1807" t="n">
        <v>197758.59</v>
      </c>
      <c r="D364" s="1807" t="n">
        <v>4317860.98</v>
      </c>
      <c r="E364" s="1807" t="n">
        <v>1642856.86</v>
      </c>
      <c r="F364" s="1807" t="n">
        <v>816470.9300000001</v>
      </c>
    </row>
    <row r="365" ht="15" customHeight="1">
      <c r="A365" s="1885" t="inlineStr">
        <is>
          <t>Advertising Expenses - Supplemental</t>
        </is>
      </c>
      <c r="B365" s="1807" t="n">
        <v>384329.31</v>
      </c>
      <c r="C365" s="1807" t="n">
        <v>271866.11</v>
      </c>
      <c r="D365" s="1807" t="n">
        <v>354841.17</v>
      </c>
      <c r="E365" s="1807" t="n">
        <v>1390829.4</v>
      </c>
      <c r="F365" s="1807" t="n">
        <v>22386857.62</v>
      </c>
    </row>
    <row r="366" ht="15" customHeight="1">
      <c r="A366" s="1885" t="inlineStr">
        <is>
          <t>Exploration Expenses</t>
        </is>
      </c>
      <c r="B366" s="731" t="n"/>
      <c r="C366" s="731" t="n"/>
      <c r="D366" s="731" t="n"/>
      <c r="E366" s="731" t="n"/>
      <c r="F366" s="731" t="n"/>
    </row>
    <row r="367" ht="15" customHeight="1">
      <c r="A367" s="1885" t="inlineStr">
        <is>
          <t>U.S. GAAP Adjustment</t>
        </is>
      </c>
      <c r="B367" s="731" t="n"/>
      <c r="C367" s="731" t="n"/>
      <c r="D367" s="731" t="n"/>
      <c r="E367" s="731" t="n"/>
      <c r="F367" s="731" t="n"/>
    </row>
    <row r="368" ht="15" customHeight="1">
      <c r="A368" s="1885" t="inlineStr">
        <is>
          <t>Cost of Revenue including Operation &amp; Maintenance (Utility) - Total</t>
        </is>
      </c>
      <c r="B368" s="1807" t="n">
        <v>339277882.39</v>
      </c>
      <c r="C368" s="1807" t="n">
        <v>352488820.13</v>
      </c>
      <c r="D368" s="1807" t="n">
        <v>267350511.06</v>
      </c>
      <c r="E368" s="1807" t="n">
        <v>257080687.38</v>
      </c>
      <c r="F368" s="1807" t="n">
        <v>532761105.11</v>
      </c>
    </row>
    <row r="369" ht="15" customHeight="1">
      <c r="A369" s="1885" t="inlineStr">
        <is>
          <t>Cost of Revenues excluding Depreciation</t>
        </is>
      </c>
      <c r="B369" s="1807" t="n">
        <v>315116080.56</v>
      </c>
      <c r="C369" s="1807" t="n">
        <v>302948150.01</v>
      </c>
      <c r="D369" s="1807" t="n">
        <v>173172504.97</v>
      </c>
      <c r="E369" s="1807" t="n">
        <v>128634629.14</v>
      </c>
      <c r="F369" s="1807" t="n">
        <v>349470384.7</v>
      </c>
    </row>
    <row r="370" ht="15" customHeight="1">
      <c r="A370" s="1885" t="inlineStr">
        <is>
          <t>Foreign Exchange Gain/(Loss)</t>
        </is>
      </c>
      <c r="B370" s="731" t="n"/>
      <c r="C370" s="731" t="n"/>
      <c r="D370" s="731" t="n"/>
      <c r="E370" s="731" t="n"/>
      <c r="F370" s="731" t="n"/>
    </row>
    <row r="371" ht="15" customHeight="1">
      <c r="A371" s="1885" t="inlineStr">
        <is>
          <t>Generation Cost</t>
        </is>
      </c>
      <c r="B371" s="731" t="n"/>
      <c r="C371" s="731" t="n"/>
      <c r="D371" s="731" t="n"/>
      <c r="E371" s="731" t="n"/>
      <c r="F371" s="731" t="n"/>
    </row>
    <row r="372" ht="15" customHeight="1">
      <c r="A372" s="1885" t="inlineStr">
        <is>
          <t>Interest Expense</t>
        </is>
      </c>
      <c r="B372" s="1807" t="n">
        <v>16416776.58</v>
      </c>
      <c r="C372" s="1807" t="n">
        <v>42497653.33</v>
      </c>
      <c r="D372" s="1807" t="n">
        <v>55695111.08</v>
      </c>
      <c r="E372" s="1807" t="n">
        <v>120709457.92</v>
      </c>
      <c r="F372" s="1807" t="n">
        <v>284368641.09</v>
      </c>
    </row>
    <row r="373" ht="15" customHeight="1">
      <c r="A373" s="1885" t="inlineStr">
        <is>
          <t>Operating Expenses</t>
        </is>
      </c>
      <c r="B373" s="1807" t="n">
        <v>369910481.93</v>
      </c>
      <c r="C373" s="1807" t="n">
        <v>400251816.63</v>
      </c>
      <c r="D373" s="1807" t="n">
        <v>314468255.4</v>
      </c>
      <c r="E373" s="1807" t="n">
        <v>327183835.85</v>
      </c>
      <c r="F373" s="1807" t="n">
        <v>749251878.26</v>
      </c>
    </row>
    <row r="374" ht="15" customHeight="1">
      <c r="A374" s="1885" t="inlineStr">
        <is>
          <t>Selling, General &amp; Administrative Expenses excluding Research &amp; Development Expenses</t>
        </is>
      </c>
      <c r="B374" s="1807" t="n">
        <v>32902071.44</v>
      </c>
      <c r="C374" s="1807" t="n">
        <v>50030030.9</v>
      </c>
      <c r="D374" s="1807" t="n">
        <v>49010542</v>
      </c>
      <c r="E374" s="1807" t="n">
        <v>69761527.76000001</v>
      </c>
      <c r="F374" s="1807" t="n">
        <v>211937417.3</v>
      </c>
    </row>
  </sheetData>
  <pageMargins left="0.5" right="0.5" top="1" bottom="1" header="0.511811023622047" footer="0.511811023622047"/>
  <pageSetup orientation="portrait" fitToHeight="0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539"/>
  <sheetViews>
    <sheetView zoomScaleNormal="100" workbookViewId="0">
      <selection activeCell="A1" sqref="A1"/>
    </sheetView>
  </sheetViews>
  <sheetFormatPr baseColWidth="8" defaultColWidth="8.5703125" defaultRowHeight="14.25" outlineLevelRow="1"/>
  <cols>
    <col width="85.5703125" customWidth="1" min="1" max="1"/>
    <col width="15.5703125" customWidth="1" min="2" max="7"/>
  </cols>
  <sheetData>
    <row r="1" ht="15" customHeight="1">
      <c r="A1" s="1872" t="inlineStr">
        <is>
          <t>Company Fundamentals - Balance Sheet</t>
        </is>
      </c>
      <c r="B1" s="1873" t="n"/>
      <c r="C1" s="1873" t="n"/>
      <c r="D1" s="1873" t="n"/>
      <c r="E1" s="1873" t="n"/>
      <c r="F1" s="1873" t="n"/>
      <c r="G1" s="1873" t="n"/>
    </row>
    <row r="2" ht="15" customHeight="1">
      <c r="A2" s="934" t="inlineStr">
        <is>
          <t>Company Name</t>
        </is>
      </c>
      <c r="B2" s="931" t="inlineStr">
        <is>
          <t>Sarana Menara Nusantara Tbk PT (TOWR.JK)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46247.28126662037</v>
      </c>
    </row>
    <row r="11" ht="14.25" customHeight="1">
      <c r="A11" s="1875" t="inlineStr">
        <is>
          <t>Statement Data</t>
        </is>
      </c>
      <c r="B11" s="1876" t="inlineStr">
        <is>
          <t>2020</t>
        </is>
      </c>
      <c r="C11" s="1876" t="inlineStr">
        <is>
          <t>2021</t>
        </is>
      </c>
      <c r="D11" s="1876" t="inlineStr">
        <is>
          <t>2022</t>
        </is>
      </c>
      <c r="E11" s="1876" t="inlineStr">
        <is>
          <t>2023</t>
        </is>
      </c>
      <c r="F11" s="1876" t="inlineStr">
        <is>
          <t>2024</t>
        </is>
      </c>
      <c r="G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B12" s="1878" t="n">
        <v>44196</v>
      </c>
      <c r="C12" s="1878" t="n">
        <v>44561</v>
      </c>
      <c r="D12" s="1878" t="n">
        <v>44926</v>
      </c>
      <c r="E12" s="1878" t="n">
        <v>45291</v>
      </c>
      <c r="F12" s="1878" t="n">
        <v>45657</v>
      </c>
      <c r="G12" s="1878" t="n">
        <v>46022</v>
      </c>
    </row>
    <row r="13" outlineLevel="1" ht="15" customHeight="1">
      <c r="A13" s="1877" t="inlineStr">
        <is>
          <t>Standardized Currency</t>
        </is>
      </c>
      <c r="B13" s="1879" t="inlineStr">
        <is>
          <t>IDR</t>
        </is>
      </c>
      <c r="C13" s="1879" t="inlineStr">
        <is>
          <t>IDR</t>
        </is>
      </c>
      <c r="D13" s="1879" t="inlineStr">
        <is>
          <t>IDR</t>
        </is>
      </c>
      <c r="E13" s="1879" t="inlineStr">
        <is>
          <t>IDR</t>
        </is>
      </c>
      <c r="F13" s="1879" t="inlineStr">
        <is>
          <t>IDR</t>
        </is>
      </c>
      <c r="G13" s="1879" t="inlineStr">
        <is>
          <t>IDR</t>
        </is>
      </c>
    </row>
    <row r="14" outlineLevel="1" ht="15" customHeight="1">
      <c r="A14" s="1877" t="inlineStr">
        <is>
          <t>Statement Date</t>
        </is>
      </c>
      <c r="B14" s="1878" t="n">
        <v>44196</v>
      </c>
      <c r="C14" s="1878" t="n">
        <v>44561</v>
      </c>
      <c r="D14" s="1878" t="n">
        <v>44926</v>
      </c>
      <c r="E14" s="1878" t="n">
        <v>45291</v>
      </c>
      <c r="F14" s="1878" t="n">
        <v>45657</v>
      </c>
      <c r="G14" s="1878" t="n">
        <v>46022</v>
      </c>
    </row>
    <row r="15" outlineLevel="1" ht="15" customHeight="1">
      <c r="A15" s="1877" t="inlineStr">
        <is>
          <t>Complete Statement</t>
        </is>
      </c>
      <c r="B15" s="1880" t="inlineStr">
        <is>
          <t>Complete</t>
        </is>
      </c>
      <c r="C15" s="1880" t="inlineStr">
        <is>
          <t>Complete</t>
        </is>
      </c>
      <c r="D15" s="1880" t="inlineStr">
        <is>
          <t>Complete</t>
        </is>
      </c>
      <c r="E15" s="1880" t="inlineStr">
        <is>
          <t>Complete</t>
        </is>
      </c>
      <c r="F15" s="1880" t="inlineStr">
        <is>
          <t>Complete</t>
        </is>
      </c>
      <c r="G15" s="1880" t="inlineStr">
        <is>
          <t>Complete</t>
        </is>
      </c>
    </row>
    <row r="16" outlineLevel="1" ht="15" customHeight="1">
      <c r="A16" s="1877" t="inlineStr">
        <is>
          <t>Consolidated</t>
        </is>
      </c>
      <c r="B16" s="1880" t="inlineStr">
        <is>
          <t>Consolidated</t>
        </is>
      </c>
      <c r="C16" s="1880" t="inlineStr">
        <is>
          <t>Consolidated</t>
        </is>
      </c>
      <c r="D16" s="1880" t="inlineStr">
        <is>
          <t>Consolidated</t>
        </is>
      </c>
      <c r="E16" s="1880" t="inlineStr">
        <is>
          <t>Consolidated</t>
        </is>
      </c>
      <c r="F16" s="1880" t="inlineStr">
        <is>
          <t>Consolidated</t>
        </is>
      </c>
      <c r="G16" s="1880" t="inlineStr">
        <is>
          <t>Consolidated</t>
        </is>
      </c>
    </row>
    <row r="17" outlineLevel="1" ht="15" customHeight="1">
      <c r="A17" s="1877" t="inlineStr">
        <is>
          <t>Accounting Standard</t>
        </is>
      </c>
      <c r="B17" s="1880" t="inlineStr">
        <is>
          <t>Indonesian</t>
        </is>
      </c>
      <c r="C17" s="1880" t="inlineStr">
        <is>
          <t>Indonesian</t>
        </is>
      </c>
      <c r="D17" s="1880" t="inlineStr">
        <is>
          <t>Indonesian</t>
        </is>
      </c>
      <c r="E17" s="1880" t="inlineStr">
        <is>
          <t>Indonesian</t>
        </is>
      </c>
      <c r="F17" s="1880" t="inlineStr">
        <is>
          <t>Indonesian</t>
        </is>
      </c>
      <c r="G17" s="1880" t="inlineStr">
        <is>
          <t>Indonesian</t>
        </is>
      </c>
    </row>
    <row r="18" ht="14.25" customHeight="1">
      <c r="A18" s="1881" t="inlineStr">
        <is>
          <t>Balance Sheet - Standardized (Currency: Indonesia Rupiah)</t>
        </is>
      </c>
      <c r="B18" s="1882" t="n"/>
      <c r="C18" s="1882" t="n"/>
      <c r="D18" s="1882" t="n"/>
      <c r="E18" s="1882" t="n"/>
      <c r="F18" s="1882" t="n"/>
      <c r="G18" s="1882" t="n"/>
    </row>
    <row r="19" ht="14.25" customHeight="1">
      <c r="A19" s="1881" t="inlineStr">
        <is>
          <t>Field Name</t>
        </is>
      </c>
      <c r="B19" s="1883" t="inlineStr">
        <is>
          <t>31-12-2020</t>
        </is>
      </c>
      <c r="C19" s="1883" t="inlineStr">
        <is>
          <t>31-12-2021</t>
        </is>
      </c>
      <c r="D19" s="1883" t="inlineStr">
        <is>
          <t>31-12-2022</t>
        </is>
      </c>
      <c r="E19" s="1883" t="inlineStr">
        <is>
          <t>31-12-2023</t>
        </is>
      </c>
      <c r="F19" s="1883" t="inlineStr">
        <is>
          <t>31-12-2024</t>
        </is>
      </c>
      <c r="G19" s="1883" t="inlineStr">
        <is>
          <t>31-12-2025</t>
        </is>
      </c>
    </row>
    <row r="20" ht="15" customHeight="1">
      <c r="A20" s="1884" t="inlineStr">
        <is>
          <t>Current Assets</t>
        </is>
      </c>
      <c r="B20" s="734" t="n"/>
      <c r="C20" s="734" t="n"/>
      <c r="D20" s="734" t="n"/>
      <c r="E20" s="734" t="n"/>
      <c r="F20" s="734" t="n"/>
      <c r="G20" s="734" t="n"/>
    </row>
    <row r="21" ht="15" customHeight="1">
      <c r="A21" s="1885" t="inlineStr">
        <is>
          <t>Cash &amp; Short-Term Investments</t>
        </is>
      </c>
      <c r="B21" s="1807" t="n">
        <v>1442627000</v>
      </c>
      <c r="C21" s="1807" t="n">
        <v>4748364000</v>
      </c>
      <c r="D21" s="1807" t="n">
        <v>342703000</v>
      </c>
      <c r="E21" s="1807" t="n">
        <v>517126000</v>
      </c>
      <c r="F21" s="1807" t="n">
        <v>979223000</v>
      </c>
      <c r="G21" s="1807" t="n">
        <v>709858000</v>
      </c>
    </row>
    <row r="22" ht="15" customHeight="1">
      <c r="A22" s="1886" t="inlineStr">
        <is>
          <t>Cash &amp; Cash Equivalents</t>
        </is>
      </c>
      <c r="B22" s="1807" t="n">
        <v>1442627000</v>
      </c>
      <c r="C22" s="1807" t="n">
        <v>4748364000</v>
      </c>
      <c r="D22" s="1807" t="n">
        <v>308636000</v>
      </c>
      <c r="E22" s="1807" t="n">
        <v>428677000</v>
      </c>
      <c r="F22" s="1807" t="n">
        <v>940183000</v>
      </c>
      <c r="G22" s="1807" t="n">
        <v>647545000</v>
      </c>
    </row>
    <row r="23" ht="15" customHeight="1">
      <c r="A23" s="1886" t="inlineStr">
        <is>
          <t>Short-Term Investments - Total</t>
        </is>
      </c>
      <c r="B23" s="731" t="n"/>
      <c r="C23" s="731" t="n"/>
      <c r="D23" s="1807" t="n">
        <v>34067000</v>
      </c>
      <c r="E23" s="1807" t="n">
        <v>88449000</v>
      </c>
      <c r="F23" s="1807" t="n">
        <v>39040000</v>
      </c>
      <c r="G23" s="1807" t="n">
        <v>62313000</v>
      </c>
    </row>
    <row r="24" ht="15" customHeight="1">
      <c r="A24" s="1886" t="inlineStr">
        <is>
          <t>Financial Assets - Short-Term</t>
        </is>
      </c>
      <c r="B24" s="731" t="n"/>
      <c r="C24" s="731" t="n"/>
      <c r="D24" s="731" t="n"/>
      <c r="E24" s="731" t="n"/>
      <c r="F24" s="731" t="n"/>
      <c r="G24" s="731" t="n"/>
    </row>
    <row r="25" ht="15" customHeight="1">
      <c r="A25" s="1885" t="inlineStr">
        <is>
          <t>Derivative Financial Instruments - Hedging - Short-Term</t>
        </is>
      </c>
      <c r="B25" s="731" t="n"/>
      <c r="C25" s="731" t="n"/>
      <c r="D25" s="731" t="n"/>
      <c r="E25" s="731" t="n"/>
      <c r="F25" s="731" t="n"/>
      <c r="G25" s="731" t="n"/>
    </row>
    <row r="26" ht="15" customHeight="1">
      <c r="A26" s="1885" t="inlineStr">
        <is>
          <t>Loans &amp; Receivables - Net - Short-Term</t>
        </is>
      </c>
      <c r="B26" s="1807" t="n">
        <v>1275857000</v>
      </c>
      <c r="C26" s="1807" t="n">
        <v>2184362000</v>
      </c>
      <c r="D26" s="1807" t="n">
        <v>2615727000</v>
      </c>
      <c r="E26" s="1807" t="n">
        <v>3145293000</v>
      </c>
      <c r="F26" s="1807" t="n">
        <v>3564702000</v>
      </c>
      <c r="G26" s="1807" t="n">
        <v>2220530000</v>
      </c>
    </row>
    <row r="27" ht="15" customHeight="1">
      <c r="A27" s="1886" t="inlineStr">
        <is>
          <t>Trade Accounts &amp; Trade Notes Receivable - Net</t>
        </is>
      </c>
      <c r="B27" s="1807" t="n">
        <v>1240069000</v>
      </c>
      <c r="C27" s="1807" t="n">
        <v>2171296000</v>
      </c>
      <c r="D27" s="1807" t="n">
        <v>2557804000</v>
      </c>
      <c r="E27" s="1807" t="n">
        <v>3086334000</v>
      </c>
      <c r="F27" s="1807" t="n">
        <v>3292793000</v>
      </c>
      <c r="G27" s="1807" t="n">
        <v>1973530000</v>
      </c>
    </row>
    <row r="28" ht="15" customHeight="1">
      <c r="A28" s="1887" t="inlineStr">
        <is>
          <t>Trade Accounts &amp; Trade Notes Receivable - Gross</t>
        </is>
      </c>
      <c r="B28" s="1807" t="n">
        <v>1348589000</v>
      </c>
      <c r="C28" s="1807" t="n">
        <v>2269848000</v>
      </c>
      <c r="D28" s="1807" t="n">
        <v>2597461000</v>
      </c>
      <c r="E28" s="1807" t="n">
        <v>3169354000</v>
      </c>
      <c r="F28" s="1807" t="n">
        <v>3386022000</v>
      </c>
      <c r="G28" s="1807" t="n">
        <v>2008853000</v>
      </c>
    </row>
    <row r="29" ht="15" customHeight="1">
      <c r="A29" s="1887" t="inlineStr">
        <is>
          <t>Provision - Trade Accounts &amp; Trade Notes Receivable</t>
        </is>
      </c>
      <c r="B29" s="1807" t="n">
        <v>108520000</v>
      </c>
      <c r="C29" s="1807" t="n">
        <v>98552000</v>
      </c>
      <c r="D29" s="1807" t="n">
        <v>39657000</v>
      </c>
      <c r="E29" s="1807" t="n">
        <v>83020000</v>
      </c>
      <c r="F29" s="1807" t="n">
        <v>93229000</v>
      </c>
      <c r="G29" s="1807" t="n">
        <v>35323000</v>
      </c>
    </row>
    <row r="30" ht="15" customHeight="1">
      <c r="A30" s="1887" t="inlineStr">
        <is>
          <t>Unbilled Utility Revenue - Short-Term</t>
        </is>
      </c>
      <c r="B30" s="731" t="n"/>
      <c r="C30" s="731" t="n"/>
      <c r="D30" s="731" t="n"/>
      <c r="E30" s="731" t="n"/>
      <c r="F30" s="731" t="n"/>
      <c r="G30" s="731" t="n"/>
    </row>
    <row r="31" ht="15" customHeight="1">
      <c r="A31" s="1886" t="inlineStr">
        <is>
          <t>Loans - Short-Term</t>
        </is>
      </c>
      <c r="B31" s="731" t="n"/>
      <c r="C31" s="731" t="n"/>
      <c r="D31" s="731" t="n"/>
      <c r="E31" s="731" t="n"/>
      <c r="F31" s="1807" t="n">
        <v>168639000</v>
      </c>
      <c r="G31" s="1807" t="n">
        <v>175604000</v>
      </c>
    </row>
    <row r="32" ht="15" customHeight="1">
      <c r="A32" s="1886" t="inlineStr">
        <is>
          <t>Income Tax - Receivables - Short-Term</t>
        </is>
      </c>
      <c r="B32" s="731" t="n"/>
      <c r="C32" s="731" t="n"/>
      <c r="D32" s="731" t="n"/>
      <c r="E32" s="731" t="n"/>
      <c r="F32" s="731" t="n"/>
      <c r="G32" s="731" t="n"/>
    </row>
    <row r="33" ht="15" customHeight="1">
      <c r="A33" s="1886" t="inlineStr">
        <is>
          <t>Receivables - Other - Total</t>
        </is>
      </c>
      <c r="B33" s="1807" t="n">
        <v>35788000</v>
      </c>
      <c r="C33" s="1807" t="n">
        <v>13066000</v>
      </c>
      <c r="D33" s="1807" t="n">
        <v>57923000</v>
      </c>
      <c r="E33" s="1807" t="n">
        <v>58959000</v>
      </c>
      <c r="F33" s="1807" t="n">
        <v>103270000</v>
      </c>
      <c r="G33" s="1807" t="n">
        <v>71396000</v>
      </c>
    </row>
    <row r="34" ht="15" customHeight="1">
      <c r="A34" s="1886" t="inlineStr">
        <is>
          <t>Provision - Doubtful Accounts</t>
        </is>
      </c>
      <c r="B34" s="731" t="n"/>
      <c r="C34" s="731" t="n"/>
      <c r="D34" s="731" t="n"/>
      <c r="E34" s="731" t="n"/>
      <c r="F34" s="731" t="n"/>
      <c r="G34" s="731" t="n"/>
    </row>
    <row r="35" ht="15" customHeight="1">
      <c r="A35" s="1886" t="inlineStr">
        <is>
          <t>Receivables Over One Year included within Short-Term Receivables</t>
        </is>
      </c>
      <c r="B35" s="731" t="n"/>
      <c r="C35" s="731" t="n"/>
      <c r="D35" s="731" t="n"/>
      <c r="E35" s="731" t="n"/>
      <c r="F35" s="731" t="n"/>
      <c r="G35" s="731" t="n"/>
    </row>
    <row r="36" ht="15" customHeight="1">
      <c r="A36" s="1885" t="inlineStr">
        <is>
          <t>Inventories - Total</t>
        </is>
      </c>
      <c r="B36" s="731" t="n"/>
      <c r="C36" s="731" t="n"/>
      <c r="D36" s="731" t="n"/>
      <c r="E36" s="1807" t="n">
        <v>14572000</v>
      </c>
      <c r="F36" s="1807" t="n">
        <v>15943000</v>
      </c>
      <c r="G36" s="1807" t="n">
        <v>8517000</v>
      </c>
    </row>
    <row r="37" ht="15" customHeight="1">
      <c r="A37" s="1886" t="inlineStr">
        <is>
          <t>Inventories - Raw Materials</t>
        </is>
      </c>
      <c r="B37" s="731" t="n"/>
      <c r="C37" s="731" t="n"/>
      <c r="D37" s="731" t="n"/>
      <c r="E37" s="731" t="n"/>
      <c r="F37" s="731" t="n"/>
      <c r="G37" s="731" t="n"/>
    </row>
    <row r="38" ht="15" customHeight="1">
      <c r="A38" s="1886" t="inlineStr">
        <is>
          <t>Inventories - Work in Progress</t>
        </is>
      </c>
      <c r="B38" s="731" t="n"/>
      <c r="C38" s="731" t="n"/>
      <c r="D38" s="731" t="n"/>
      <c r="E38" s="731" t="n"/>
      <c r="F38" s="731" t="n"/>
      <c r="G38" s="731" t="n"/>
    </row>
    <row r="39" ht="15" customHeight="1">
      <c r="A39" s="1886" t="inlineStr">
        <is>
          <t>Inventories - Finished Goods</t>
        </is>
      </c>
      <c r="B39" s="731" t="n"/>
      <c r="C39" s="731" t="n"/>
      <c r="D39" s="731" t="n"/>
      <c r="E39" s="731" t="n"/>
      <c r="F39" s="731" t="n"/>
      <c r="G39" s="731" t="n"/>
    </row>
    <row r="40" ht="15" customHeight="1">
      <c r="A40" s="1886" t="inlineStr">
        <is>
          <t>Inventories - Other - Total</t>
        </is>
      </c>
      <c r="B40" s="731" t="n"/>
      <c r="C40" s="731" t="n"/>
      <c r="D40" s="731" t="n"/>
      <c r="E40" s="731" t="n"/>
      <c r="F40" s="731" t="n"/>
      <c r="G40" s="731" t="n"/>
    </row>
    <row r="41" ht="15" customHeight="1">
      <c r="A41" s="1887" t="inlineStr">
        <is>
          <t>Inventories - Cost in excess of Billings</t>
        </is>
      </c>
      <c r="B41" s="731" t="n"/>
      <c r="C41" s="731" t="n"/>
      <c r="D41" s="731" t="n"/>
      <c r="E41" s="731" t="n"/>
      <c r="F41" s="731" t="n"/>
      <c r="G41" s="731" t="n"/>
    </row>
    <row r="42" ht="15" customHeight="1">
      <c r="A42" s="1887" t="inlineStr">
        <is>
          <t>Inventories - Gas in Storage</t>
        </is>
      </c>
      <c r="B42" s="731" t="n"/>
      <c r="C42" s="731" t="n"/>
      <c r="D42" s="731" t="n"/>
      <c r="E42" s="731" t="n"/>
      <c r="F42" s="731" t="n"/>
      <c r="G42" s="731" t="n"/>
    </row>
    <row r="43" ht="15" customHeight="1">
      <c r="A43" s="1887" t="inlineStr">
        <is>
          <t>Inventories - LIFO Reserve</t>
        </is>
      </c>
      <c r="B43" s="731" t="n"/>
      <c r="C43" s="731" t="n"/>
      <c r="D43" s="731" t="n"/>
      <c r="E43" s="731" t="n"/>
      <c r="F43" s="731" t="n"/>
      <c r="G43" s="731" t="n"/>
    </row>
    <row r="44" ht="15" customHeight="1">
      <c r="A44" s="1887" t="inlineStr">
        <is>
          <t>Biological Assets - Short-Term</t>
        </is>
      </c>
      <c r="B44" s="731" t="n"/>
      <c r="C44" s="731" t="n"/>
      <c r="D44" s="731" t="n"/>
      <c r="E44" s="731" t="n"/>
      <c r="F44" s="731" t="n"/>
      <c r="G44" s="731" t="n"/>
    </row>
    <row r="45" ht="15" customHeight="1">
      <c r="A45" s="1885" t="inlineStr">
        <is>
          <t>Prepaid Expenses - Short-Term</t>
        </is>
      </c>
      <c r="B45" s="1807" t="n">
        <v>278899000</v>
      </c>
      <c r="C45" s="1807" t="n">
        <v>463431000</v>
      </c>
      <c r="D45" s="1807" t="n">
        <v>692688000</v>
      </c>
      <c r="E45" s="1807" t="n">
        <v>749770000</v>
      </c>
      <c r="F45" s="1807" t="n">
        <v>395437000</v>
      </c>
      <c r="G45" s="1807" t="n">
        <v>488811000</v>
      </c>
    </row>
    <row r="46" ht="15" customHeight="1">
      <c r="A46" s="1885" t="inlineStr">
        <is>
          <t>Assets Held for Sale/Discontinued Operations - Short-Term</t>
        </is>
      </c>
      <c r="B46" s="731" t="n"/>
      <c r="C46" s="731" t="n"/>
      <c r="D46" s="731" t="n"/>
      <c r="E46" s="731" t="n"/>
      <c r="F46" s="731" t="n"/>
      <c r="G46" s="731" t="n"/>
    </row>
    <row r="47" ht="15" customHeight="1">
      <c r="A47" s="1885" t="inlineStr">
        <is>
          <t>Other Current Assets - Total</t>
        </is>
      </c>
      <c r="B47" s="1807" t="n">
        <v>4949000</v>
      </c>
      <c r="C47" s="1807" t="n">
        <v>1981000</v>
      </c>
      <c r="D47" s="1807" t="n">
        <v>16000</v>
      </c>
      <c r="E47" s="1807" t="n">
        <v>122000</v>
      </c>
      <c r="F47" s="1807" t="n">
        <v>535000</v>
      </c>
      <c r="G47" s="1807" t="n">
        <v>5516000</v>
      </c>
    </row>
    <row r="48" ht="15" customHeight="1">
      <c r="A48" s="1886" t="inlineStr">
        <is>
          <t>Deferred Tax - Asset - Short-Term</t>
        </is>
      </c>
      <c r="B48" s="731" t="n"/>
      <c r="C48" s="731" t="n"/>
      <c r="D48" s="731" t="n"/>
      <c r="E48" s="731" t="n"/>
      <c r="F48" s="731" t="n"/>
      <c r="G48" s="731" t="n"/>
    </row>
    <row r="49" ht="15" customHeight="1">
      <c r="A49" s="1886" t="inlineStr">
        <is>
          <t>Deferred Costs - Short-Term</t>
        </is>
      </c>
      <c r="B49" s="731" t="n"/>
      <c r="C49" s="731" t="n"/>
      <c r="D49" s="731" t="n"/>
      <c r="E49" s="731" t="n"/>
      <c r="F49" s="731" t="n"/>
      <c r="G49" s="731" t="n"/>
    </row>
    <row r="50" ht="15" customHeight="1">
      <c r="A50" s="1886" t="inlineStr">
        <is>
          <t>Restricted Accounts - Short-Term</t>
        </is>
      </c>
      <c r="B50" s="1807" t="n">
        <v>4949000</v>
      </c>
      <c r="C50" s="1807" t="n">
        <v>1981000</v>
      </c>
      <c r="D50" s="1807" t="n">
        <v>16000</v>
      </c>
      <c r="E50" s="1807" t="n">
        <v>122000</v>
      </c>
      <c r="F50" s="1807" t="n">
        <v>535000</v>
      </c>
      <c r="G50" s="1807" t="n">
        <v>5516000</v>
      </c>
    </row>
    <row r="51" ht="15" customHeight="1">
      <c r="A51" s="1886" t="inlineStr">
        <is>
          <t>Regulatory Assets - Short-Term</t>
        </is>
      </c>
      <c r="B51" s="731" t="n"/>
      <c r="C51" s="731" t="n"/>
      <c r="D51" s="731" t="n"/>
      <c r="E51" s="731" t="n"/>
      <c r="F51" s="731" t="n"/>
      <c r="G51" s="731" t="n"/>
    </row>
    <row r="52" ht="15" customHeight="1">
      <c r="A52" s="1886" t="inlineStr">
        <is>
          <t>Other Current Assets</t>
        </is>
      </c>
      <c r="B52" s="731" t="n"/>
      <c r="C52" s="731" t="n"/>
      <c r="D52" s="731" t="n"/>
      <c r="E52" s="731" t="n"/>
      <c r="F52" s="731" t="n"/>
      <c r="G52" s="731" t="n"/>
    </row>
    <row r="53" ht="15" customHeight="1">
      <c r="A53" s="1888" t="inlineStr">
        <is>
          <t>Total Current Assets</t>
        </is>
      </c>
      <c r="B53" s="1889" t="n">
        <v>3002332000</v>
      </c>
      <c r="C53" s="1889" t="n">
        <v>7398138000</v>
      </c>
      <c r="D53" s="1889" t="n">
        <v>3651134000</v>
      </c>
      <c r="E53" s="1889" t="n">
        <v>4426883000</v>
      </c>
      <c r="F53" s="1889" t="n">
        <v>4955840000</v>
      </c>
      <c r="G53" s="1889" t="n">
        <v>3433232000</v>
      </c>
    </row>
    <row r="54" ht="15" customHeight="1">
      <c r="A54" s="1884" t="inlineStr">
        <is>
          <t>Non-Current Assets</t>
        </is>
      </c>
      <c r="B54" s="734" t="n"/>
      <c r="C54" s="734" t="n"/>
      <c r="D54" s="734" t="n"/>
      <c r="E54" s="734" t="n"/>
      <c r="F54" s="734" t="n"/>
      <c r="G54" s="734" t="n"/>
    </row>
    <row r="55" ht="15" customHeight="1">
      <c r="A55" s="1885" t="inlineStr">
        <is>
          <t>Investments - Long-Term</t>
        </is>
      </c>
      <c r="B55" s="1807" t="n">
        <v>476210000</v>
      </c>
      <c r="C55" s="1807" t="n">
        <v>531308000</v>
      </c>
      <c r="D55" s="1807" t="n">
        <v>506502000</v>
      </c>
      <c r="E55" s="1807" t="n">
        <v>0</v>
      </c>
      <c r="F55" s="731" t="n"/>
      <c r="G55" s="731" t="n"/>
    </row>
    <row r="56" ht="15" customHeight="1">
      <c r="A56" s="1886" t="inlineStr">
        <is>
          <t>Investment Property - Net</t>
        </is>
      </c>
      <c r="B56" s="731" t="n"/>
      <c r="C56" s="731" t="n"/>
      <c r="D56" s="731" t="n"/>
      <c r="E56" s="731" t="n"/>
      <c r="F56" s="731" t="n"/>
      <c r="G56" s="731" t="n"/>
    </row>
    <row r="57" ht="15" customHeight="1">
      <c r="A57" s="1887" t="inlineStr">
        <is>
          <t>Investment Property - Accumulated Depreciation &amp; Impairment</t>
        </is>
      </c>
      <c r="B57" s="731" t="n"/>
      <c r="C57" s="731" t="n"/>
      <c r="D57" s="731" t="n"/>
      <c r="E57" s="731" t="n"/>
      <c r="F57" s="731" t="n"/>
      <c r="G57" s="731" t="n"/>
    </row>
    <row r="58" ht="15" customHeight="1">
      <c r="A58" s="1887" t="inlineStr">
        <is>
          <t>Investment Property - Gross</t>
        </is>
      </c>
      <c r="B58" s="731" t="n"/>
      <c r="C58" s="731" t="n"/>
      <c r="D58" s="731" t="n"/>
      <c r="E58" s="731" t="n"/>
      <c r="F58" s="731" t="n"/>
      <c r="G58" s="731" t="n"/>
    </row>
    <row r="59" ht="15" customHeight="1">
      <c r="A59" s="1886" t="inlineStr">
        <is>
          <t>Investments - Available for Sale/Held to Maturity - Long-Term</t>
        </is>
      </c>
      <c r="B59" s="1807" t="n">
        <v>476210000</v>
      </c>
      <c r="C59" s="1807" t="n">
        <v>531308000</v>
      </c>
      <c r="D59" s="1807" t="n">
        <v>506502000</v>
      </c>
      <c r="E59" s="1807" t="n">
        <v>0</v>
      </c>
      <c r="F59" s="731" t="n"/>
      <c r="G59" s="731" t="n"/>
    </row>
    <row r="60" ht="15" customHeight="1">
      <c r="A60" s="1887" t="inlineStr">
        <is>
          <t>Marketable Securities - Long-Term</t>
        </is>
      </c>
      <c r="B60" s="731" t="n"/>
      <c r="C60" s="731" t="n"/>
      <c r="D60" s="731" t="n"/>
      <c r="E60" s="731" t="n"/>
      <c r="F60" s="731" t="n"/>
      <c r="G60" s="731" t="n"/>
    </row>
    <row r="61" ht="15" customHeight="1">
      <c r="A61" s="1886" t="inlineStr">
        <is>
          <t>Financial Assets - Long-Term</t>
        </is>
      </c>
      <c r="B61" s="731" t="n"/>
      <c r="C61" s="731" t="n"/>
      <c r="D61" s="731" t="n"/>
      <c r="E61" s="731" t="n"/>
      <c r="F61" s="731" t="n"/>
      <c r="G61" s="731" t="n"/>
    </row>
    <row r="62" ht="15" customHeight="1">
      <c r="A62" s="1885" t="inlineStr">
        <is>
          <t>Investments in Associates, Joint Ventures and Unconsolidated Subsidiaries</t>
        </is>
      </c>
      <c r="B62" s="731" t="n"/>
      <c r="C62" s="731" t="n"/>
      <c r="D62" s="731" t="n"/>
      <c r="E62" s="1807" t="n">
        <v>494088000</v>
      </c>
      <c r="F62" s="1807" t="n">
        <v>571632000</v>
      </c>
      <c r="G62" s="1807" t="n">
        <v>1225771000</v>
      </c>
    </row>
    <row r="63" ht="15" customHeight="1">
      <c r="A63" s="1885" t="inlineStr">
        <is>
          <t>Receivables &amp; Loans - Long-Term</t>
        </is>
      </c>
      <c r="B63" s="1807" t="n">
        <v>26524000</v>
      </c>
      <c r="C63" s="1807" t="n">
        <v>323304000</v>
      </c>
      <c r="D63" s="1807" t="n">
        <v>283839000</v>
      </c>
      <c r="E63" s="1807" t="n">
        <v>253419000</v>
      </c>
      <c r="F63" s="1807" t="n">
        <v>1059168000</v>
      </c>
      <c r="G63" s="1807" t="n">
        <v>512637000</v>
      </c>
    </row>
    <row r="64" ht="15" customHeight="1">
      <c r="A64" s="1886" t="inlineStr">
        <is>
          <t>Accounts &amp; Notes Receivable - Trade - Net - Long-Term</t>
        </is>
      </c>
      <c r="B64" s="1807" t="n">
        <v>0</v>
      </c>
      <c r="C64" s="1807" t="n">
        <v>0</v>
      </c>
      <c r="D64" s="1807" t="n">
        <v>-42748000</v>
      </c>
      <c r="E64" s="1807" t="n">
        <v>-42748000</v>
      </c>
      <c r="F64" s="1807" t="n">
        <v>-42748000</v>
      </c>
      <c r="G64" s="1807" t="n">
        <v>-42748000</v>
      </c>
    </row>
    <row r="65" ht="15" customHeight="1">
      <c r="A65" s="1887" t="inlineStr">
        <is>
          <t>Accounts &amp; Notes Receivable - Trade - Gross - Long-Term</t>
        </is>
      </c>
      <c r="B65" s="1807" t="n">
        <v>339195000</v>
      </c>
      <c r="C65" s="1807" t="n">
        <v>339195000</v>
      </c>
      <c r="D65" s="1807" t="n">
        <v>824542000</v>
      </c>
      <c r="E65" s="1807" t="n">
        <v>824542000</v>
      </c>
      <c r="F65" s="1807" t="n">
        <v>856631000</v>
      </c>
      <c r="G65" s="1807" t="n">
        <v>856631000</v>
      </c>
    </row>
    <row r="66" ht="15" customHeight="1">
      <c r="A66" s="1886" t="inlineStr">
        <is>
          <t>Loans - Long-Term</t>
        </is>
      </c>
      <c r="B66" s="731" t="n"/>
      <c r="C66" s="731" t="n"/>
      <c r="D66" s="731" t="n"/>
      <c r="E66" s="731" t="n"/>
      <c r="F66" s="731" t="n"/>
      <c r="G66" s="731" t="n"/>
    </row>
    <row r="67" ht="15" customHeight="1">
      <c r="A67" s="1886" t="inlineStr">
        <is>
          <t>Finance Lease Receivables - Long-Term</t>
        </is>
      </c>
      <c r="B67" s="731" t="n"/>
      <c r="C67" s="731" t="n"/>
      <c r="D67" s="731" t="n"/>
      <c r="E67" s="731" t="n"/>
      <c r="F67" s="1807" t="n">
        <v>685858000</v>
      </c>
      <c r="G67" s="1807" t="n">
        <v>452834000</v>
      </c>
    </row>
    <row r="68" ht="15" customHeight="1">
      <c r="A68" s="1886" t="inlineStr">
        <is>
          <t>Receivables - Other - Net - Long-Term</t>
        </is>
      </c>
      <c r="B68" s="1807" t="n">
        <v>26524000</v>
      </c>
      <c r="C68" s="1807" t="n">
        <v>323304000</v>
      </c>
      <c r="D68" s="1807" t="n">
        <v>326587000</v>
      </c>
      <c r="E68" s="1807" t="n">
        <v>296167000</v>
      </c>
      <c r="F68" s="1807" t="n">
        <v>416058000</v>
      </c>
      <c r="G68" s="1807" t="n">
        <v>102551000</v>
      </c>
    </row>
    <row r="69" ht="15" customHeight="1">
      <c r="A69" s="1886" t="inlineStr">
        <is>
          <t>Provision - Doubtful Accounts - Long-Term</t>
        </is>
      </c>
      <c r="B69" s="731" t="n"/>
      <c r="C69" s="731" t="n"/>
      <c r="D69" s="731" t="n"/>
      <c r="E69" s="731" t="n"/>
      <c r="F69" s="731" t="n"/>
      <c r="G69" s="731" t="n"/>
    </row>
    <row r="70" ht="15" customHeight="1">
      <c r="A70" s="1885" t="inlineStr">
        <is>
          <t>Derivative Financial Instruments - Hedging - Long-Term</t>
        </is>
      </c>
      <c r="B70" s="731" t="n"/>
      <c r="C70" s="731" t="n"/>
      <c r="D70" s="1807" t="n">
        <v>286484000</v>
      </c>
      <c r="E70" s="1807" t="n">
        <v>157051000</v>
      </c>
      <c r="F70" s="1807" t="n">
        <v>273499000</v>
      </c>
      <c r="G70" s="1807" t="n">
        <v>266109000</v>
      </c>
    </row>
    <row r="71" ht="15" customHeight="1">
      <c r="A71" s="1885" t="inlineStr">
        <is>
          <t>Property, Plant &amp; Equipment - Net - Total</t>
        </is>
      </c>
      <c r="B71" s="1807" t="n">
        <v>28208085000</v>
      </c>
      <c r="C71" s="1807" t="n">
        <v>39802265000</v>
      </c>
      <c r="D71" s="1807" t="n">
        <v>43374481000</v>
      </c>
      <c r="E71" s="1807" t="n">
        <v>45743956000</v>
      </c>
      <c r="F71" s="1807" t="n">
        <v>53256586000</v>
      </c>
      <c r="G71" s="1807" t="n">
        <v>53906900000</v>
      </c>
    </row>
    <row r="72" ht="15" customHeight="1">
      <c r="A72" s="1886" t="inlineStr">
        <is>
          <t>Assets Leased Out under Operating Lease - Net</t>
        </is>
      </c>
      <c r="B72" s="731" t="n"/>
      <c r="C72" s="731" t="n"/>
      <c r="D72" s="731" t="n"/>
      <c r="E72" s="731" t="n"/>
      <c r="F72" s="731" t="n"/>
      <c r="G72" s="731" t="n"/>
    </row>
    <row r="73" ht="15" customHeight="1">
      <c r="A73" s="1886" t="inlineStr">
        <is>
          <t>Property, Plant &amp; Equipment - excluding Assets Leased Out - Net - Total</t>
        </is>
      </c>
      <c r="B73" s="1807" t="n">
        <v>28208085000</v>
      </c>
      <c r="C73" s="1807" t="n">
        <v>39802265000</v>
      </c>
      <c r="D73" s="1807" t="n">
        <v>43374481000</v>
      </c>
      <c r="E73" s="1807" t="n">
        <v>45743956000</v>
      </c>
      <c r="F73" s="1807" t="n">
        <v>53256586000</v>
      </c>
      <c r="G73" s="1807" t="n">
        <v>53906900000</v>
      </c>
    </row>
    <row r="74" ht="15" customHeight="1">
      <c r="A74" s="1887" t="inlineStr">
        <is>
          <t>Land &amp; Buildings - Net</t>
        </is>
      </c>
      <c r="B74" s="1807" t="n">
        <v>20106446000</v>
      </c>
      <c r="C74" s="1807" t="n">
        <v>28745202000</v>
      </c>
      <c r="D74" s="1807" t="n">
        <v>29522908000</v>
      </c>
      <c r="E74" s="1807" t="n">
        <v>30407322000</v>
      </c>
      <c r="F74" s="1807" t="n">
        <v>35007835000</v>
      </c>
      <c r="G74" s="1807" t="n">
        <v>35515238000</v>
      </c>
    </row>
    <row r="75" ht="15" customHeight="1">
      <c r="A75" s="1890" t="inlineStr">
        <is>
          <t>Land/Improvements - Net</t>
        </is>
      </c>
      <c r="B75" s="1807" t="n">
        <v>9596000</v>
      </c>
      <c r="C75" s="1807" t="n">
        <v>15706000</v>
      </c>
      <c r="D75" s="1807" t="n">
        <v>16156000</v>
      </c>
      <c r="E75" s="1807" t="n">
        <v>14953000</v>
      </c>
      <c r="F75" s="1807" t="n">
        <v>132186000</v>
      </c>
      <c r="G75" s="1807" t="n">
        <v>202142000</v>
      </c>
    </row>
    <row r="76" ht="15" customHeight="1">
      <c r="A76" s="1890" t="inlineStr">
        <is>
          <t>Buildings - Net</t>
        </is>
      </c>
      <c r="B76" s="1807" t="n">
        <v>20096850000</v>
      </c>
      <c r="C76" s="1807" t="n">
        <v>28729496000</v>
      </c>
      <c r="D76" s="1807" t="n">
        <v>29506752000</v>
      </c>
      <c r="E76" s="1807" t="n">
        <v>30392369000</v>
      </c>
      <c r="F76" s="1807" t="n">
        <v>34875649000</v>
      </c>
      <c r="G76" s="1807" t="n">
        <v>35313096000</v>
      </c>
    </row>
    <row r="77" ht="15" customHeight="1">
      <c r="A77" s="1890" t="inlineStr">
        <is>
          <t>Leasehold Improvements - Net</t>
        </is>
      </c>
      <c r="B77" s="731" t="n"/>
      <c r="C77" s="731" t="n"/>
      <c r="D77" s="731" t="n"/>
      <c r="E77" s="731" t="n"/>
      <c r="F77" s="731" t="n"/>
      <c r="G77" s="731" t="n"/>
    </row>
    <row r="78" ht="15" customHeight="1">
      <c r="A78" s="1887" t="inlineStr">
        <is>
          <t>Plant, Machinery &amp; Equipment - Net</t>
        </is>
      </c>
      <c r="B78" s="1807" t="n">
        <v>1855939000</v>
      </c>
      <c r="C78" s="1807" t="n">
        <v>3059663000</v>
      </c>
      <c r="D78" s="1807" t="n">
        <v>6474261000</v>
      </c>
      <c r="E78" s="1807" t="n">
        <v>8454649000</v>
      </c>
      <c r="F78" s="1807" t="n">
        <v>10979962000</v>
      </c>
      <c r="G78" s="1807" t="n">
        <v>11415862000</v>
      </c>
    </row>
    <row r="79" ht="15" customHeight="1">
      <c r="A79" s="1890" t="inlineStr">
        <is>
          <t>Transportation Equipment - Net</t>
        </is>
      </c>
      <c r="B79" s="1807" t="n">
        <v>10566000</v>
      </c>
      <c r="C79" s="1807" t="n">
        <v>13790000</v>
      </c>
      <c r="D79" s="1807" t="n">
        <v>36049000</v>
      </c>
      <c r="E79" s="1807" t="n">
        <v>37060000</v>
      </c>
      <c r="F79" s="1807" t="n">
        <v>38327000</v>
      </c>
      <c r="G79" s="1807" t="n">
        <v>33989000</v>
      </c>
    </row>
    <row r="80" ht="15" customHeight="1">
      <c r="A80" s="1890" t="inlineStr">
        <is>
          <t>Computer Software &amp; Equipment - Net</t>
        </is>
      </c>
      <c r="B80" s="731" t="n"/>
      <c r="C80" s="731" t="n"/>
      <c r="D80" s="731" t="n"/>
      <c r="E80" s="731" t="n"/>
      <c r="F80" s="731" t="n"/>
      <c r="G80" s="731" t="n"/>
    </row>
    <row r="81" ht="15" customHeight="1">
      <c r="A81" s="1887" t="inlineStr">
        <is>
          <t>Construction in Progress - Net</t>
        </is>
      </c>
      <c r="B81" s="1807" t="n">
        <v>849501000</v>
      </c>
      <c r="C81" s="1807" t="n">
        <v>1168989000</v>
      </c>
      <c r="D81" s="1807" t="n">
        <v>1104049000</v>
      </c>
      <c r="E81" s="1807" t="n">
        <v>1618619000</v>
      </c>
      <c r="F81" s="1807" t="n">
        <v>1546908000</v>
      </c>
      <c r="G81" s="1807" t="n">
        <v>1455515000</v>
      </c>
    </row>
    <row r="82" ht="15" customHeight="1">
      <c r="A82" s="1887" t="inlineStr">
        <is>
          <t>Property, Plant &amp; Equipment - Under Capital Lease - Net</t>
        </is>
      </c>
      <c r="B82" s="731" t="n"/>
      <c r="C82" s="731" t="n"/>
      <c r="D82" s="731" t="n"/>
      <c r="E82" s="731" t="n"/>
      <c r="F82" s="1807" t="n">
        <v>21927000</v>
      </c>
      <c r="G82" s="1807" t="n">
        <v>17242000</v>
      </c>
    </row>
    <row r="83" ht="15" customHeight="1">
      <c r="A83" s="1887" t="inlineStr">
        <is>
          <t>Right of Use Tangible Assets - Total - Net</t>
        </is>
      </c>
      <c r="B83" s="1807" t="n">
        <v>5264096000</v>
      </c>
      <c r="C83" s="1807" t="n">
        <v>6676348000</v>
      </c>
      <c r="D83" s="1807" t="n">
        <v>6113351000</v>
      </c>
      <c r="E83" s="1807" t="n">
        <v>5121186000</v>
      </c>
      <c r="F83" s="1807" t="n">
        <v>5567137000</v>
      </c>
      <c r="G83" s="1807" t="n">
        <v>5371315000</v>
      </c>
    </row>
    <row r="84" ht="15" customHeight="1">
      <c r="A84" s="1890" t="inlineStr">
        <is>
          <t>Right of Use Tangible Assets - Operating Lease - Net</t>
        </is>
      </c>
      <c r="B84" s="731" t="n"/>
      <c r="C84" s="731" t="n"/>
      <c r="D84" s="731" t="n"/>
      <c r="E84" s="731" t="n"/>
      <c r="F84" s="731" t="n"/>
      <c r="G84" s="731" t="n"/>
    </row>
    <row r="85" ht="15" customHeight="1">
      <c r="A85" s="1890" t="inlineStr">
        <is>
          <t>Right of Use Tangible Assets - Capital/Finance Lease - Net</t>
        </is>
      </c>
      <c r="B85" s="1807" t="n">
        <v>5264096000</v>
      </c>
      <c r="C85" s="1807" t="n">
        <v>6676348000</v>
      </c>
      <c r="D85" s="1807" t="n">
        <v>6113351000</v>
      </c>
      <c r="E85" s="1807" t="n">
        <v>5121186000</v>
      </c>
      <c r="F85" s="1807" t="n">
        <v>5567137000</v>
      </c>
      <c r="G85" s="1807" t="n">
        <v>5371315000</v>
      </c>
    </row>
    <row r="86" ht="15" customHeight="1">
      <c r="A86" s="1887" t="inlineStr">
        <is>
          <t>Property, Plant &amp; Equipment - Other - Net</t>
        </is>
      </c>
      <c r="B86" s="1807" t="n">
        <v>132103000</v>
      </c>
      <c r="C86" s="1807" t="n">
        <v>152063000</v>
      </c>
      <c r="D86" s="1807" t="n">
        <v>159912000</v>
      </c>
      <c r="E86" s="1807" t="n">
        <v>142180000</v>
      </c>
      <c r="F86" s="1807" t="n">
        <v>132817000</v>
      </c>
      <c r="G86" s="1807" t="n">
        <v>131728000</v>
      </c>
    </row>
    <row r="87" ht="15" customHeight="1">
      <c r="A87" s="1890" t="inlineStr">
        <is>
          <t>Natural Resources/Biological Assets - Net</t>
        </is>
      </c>
      <c r="B87" s="731" t="n"/>
      <c r="C87" s="731" t="n"/>
      <c r="D87" s="731" t="n"/>
      <c r="E87" s="731" t="n"/>
      <c r="F87" s="731" t="n"/>
      <c r="G87" s="731" t="n"/>
    </row>
    <row r="88" ht="15" customHeight="1">
      <c r="A88" s="1890" t="inlineStr">
        <is>
          <t>Mining/Exploration Specific Assets - Net</t>
        </is>
      </c>
      <c r="B88" s="731" t="n"/>
      <c r="C88" s="731" t="n"/>
      <c r="D88" s="731" t="n"/>
      <c r="E88" s="731" t="n"/>
      <c r="F88" s="731" t="n"/>
      <c r="G88" s="731" t="n"/>
    </row>
    <row r="89" ht="15" customHeight="1">
      <c r="A89" s="1890" t="inlineStr">
        <is>
          <t>Utility Plant - Net</t>
        </is>
      </c>
      <c r="B89" s="731" t="n"/>
      <c r="C89" s="731" t="n"/>
      <c r="D89" s="731" t="n"/>
      <c r="E89" s="731" t="n"/>
      <c r="F89" s="731" t="n"/>
      <c r="G89" s="731" t="n"/>
    </row>
    <row r="90" ht="15" customHeight="1">
      <c r="A90" s="1886" t="inlineStr">
        <is>
          <t>Property, Plant &amp; Equipment - Gross - Total</t>
        </is>
      </c>
      <c r="B90" s="1807" t="n">
        <v>34253612000</v>
      </c>
      <c r="C90" s="1807" t="n">
        <v>49284395000</v>
      </c>
      <c r="D90" s="1807" t="n">
        <v>53913677000</v>
      </c>
      <c r="E90" s="1807" t="n">
        <v>57377186000</v>
      </c>
      <c r="F90" s="1807" t="n">
        <v>72855517000</v>
      </c>
      <c r="G90" s="1807" t="n">
        <v>75918546000</v>
      </c>
    </row>
    <row r="91" ht="15" customHeight="1">
      <c r="A91" s="1887" t="inlineStr">
        <is>
          <t>Assets Leased Out under Operating Lease - Gross</t>
        </is>
      </c>
      <c r="B91" s="731" t="n"/>
      <c r="C91" s="731" t="n"/>
      <c r="D91" s="731" t="n"/>
      <c r="E91" s="731" t="n"/>
      <c r="F91" s="731" t="n"/>
      <c r="G91" s="731" t="n"/>
    </row>
    <row r="92" ht="15" customHeight="1">
      <c r="A92" s="1887" t="inlineStr">
        <is>
          <t>Property, Plant &amp; Equipment - excluding Assets Leased Out - Gross</t>
        </is>
      </c>
      <c r="B92" s="1807" t="n">
        <v>34253612000</v>
      </c>
      <c r="C92" s="1807" t="n">
        <v>49284395000</v>
      </c>
      <c r="D92" s="1807" t="n">
        <v>53913677000</v>
      </c>
      <c r="E92" s="1807" t="n">
        <v>57377186000</v>
      </c>
      <c r="F92" s="1807" t="n">
        <v>72855517000</v>
      </c>
      <c r="G92" s="1807" t="n">
        <v>75918546000</v>
      </c>
    </row>
    <row r="93" ht="15" customHeight="1">
      <c r="A93" s="1890" t="inlineStr">
        <is>
          <t>Land &amp; Buildings - Gross</t>
        </is>
      </c>
      <c r="B93" s="1807" t="n">
        <v>25612484000</v>
      </c>
      <c r="C93" s="1807" t="n">
        <v>36921838000</v>
      </c>
      <c r="D93" s="1807" t="n">
        <v>38327559000</v>
      </c>
      <c r="E93" s="1807" t="n">
        <v>39800852000</v>
      </c>
      <c r="F93" s="1807" t="n">
        <v>45660307000</v>
      </c>
      <c r="G93" s="1807" t="n">
        <v>46940363000</v>
      </c>
    </row>
    <row r="94" ht="15" customHeight="1">
      <c r="A94" s="1891" t="inlineStr">
        <is>
          <t>Land/Improvements - Gross</t>
        </is>
      </c>
      <c r="B94" s="1807" t="n">
        <v>9596000</v>
      </c>
      <c r="C94" s="1807" t="n">
        <v>15706000</v>
      </c>
      <c r="D94" s="1807" t="n">
        <v>16156000</v>
      </c>
      <c r="E94" s="1807" t="n">
        <v>14953000</v>
      </c>
      <c r="F94" s="1807" t="n">
        <v>132186000</v>
      </c>
      <c r="G94" s="1807" t="n">
        <v>202142000</v>
      </c>
    </row>
    <row r="95" ht="15" customHeight="1">
      <c r="A95" s="1891" t="inlineStr">
        <is>
          <t>Buildings - Gross</t>
        </is>
      </c>
      <c r="B95" s="1807" t="n">
        <v>25602888000</v>
      </c>
      <c r="C95" s="1807" t="n">
        <v>36906132000</v>
      </c>
      <c r="D95" s="1807" t="n">
        <v>38311403000</v>
      </c>
      <c r="E95" s="1807" t="n">
        <v>39785899000</v>
      </c>
      <c r="F95" s="1807" t="n">
        <v>45528121000</v>
      </c>
      <c r="G95" s="1807" t="n">
        <v>46738221000</v>
      </c>
    </row>
    <row r="96" ht="15" customHeight="1">
      <c r="A96" s="1891" t="inlineStr">
        <is>
          <t>Leasehold Improvements - Gross</t>
        </is>
      </c>
      <c r="B96" s="731" t="n"/>
      <c r="C96" s="731" t="n"/>
      <c r="D96" s="731" t="n"/>
      <c r="E96" s="731" t="n"/>
      <c r="F96" s="731" t="n"/>
      <c r="G96" s="731" t="n"/>
    </row>
    <row r="97" ht="15" customHeight="1">
      <c r="A97" s="1890" t="inlineStr">
        <is>
          <t>Plant, Machinery &amp; Equipment - Gross</t>
        </is>
      </c>
      <c r="B97" s="1807" t="n">
        <v>2226051000</v>
      </c>
      <c r="C97" s="1807" t="n">
        <v>4086137000</v>
      </c>
      <c r="D97" s="1807" t="n">
        <v>7866586000</v>
      </c>
      <c r="E97" s="1807" t="n">
        <v>10281033000</v>
      </c>
      <c r="F97" s="1807" t="n">
        <v>13759442000</v>
      </c>
      <c r="G97" s="1807" t="n">
        <v>14831155000</v>
      </c>
    </row>
    <row r="98" ht="15" customHeight="1">
      <c r="A98" s="1891" t="inlineStr">
        <is>
          <t>Transportation Equipment - Gross</t>
        </is>
      </c>
      <c r="B98" s="1807" t="n">
        <v>24196000</v>
      </c>
      <c r="C98" s="1807" t="n">
        <v>33044000</v>
      </c>
      <c r="D98" s="1807" t="n">
        <v>59259000</v>
      </c>
      <c r="E98" s="1807" t="n">
        <v>67287000</v>
      </c>
      <c r="F98" s="1807" t="n">
        <v>86251000</v>
      </c>
      <c r="G98" s="1807" t="n">
        <v>86771000</v>
      </c>
    </row>
    <row r="99" ht="15" customHeight="1">
      <c r="A99" s="1891" t="inlineStr">
        <is>
          <t>Computer Software &amp; Equipment - Gross</t>
        </is>
      </c>
      <c r="B99" s="731" t="n"/>
      <c r="C99" s="731" t="n"/>
      <c r="D99" s="731" t="n"/>
      <c r="E99" s="731" t="n"/>
      <c r="F99" s="731" t="n"/>
      <c r="G99" s="731" t="n"/>
    </row>
    <row r="100" ht="15" customHeight="1">
      <c r="A100" s="1890" t="inlineStr">
        <is>
          <t>Construction in Progress - Gross</t>
        </is>
      </c>
      <c r="B100" s="1807" t="n">
        <v>849501000</v>
      </c>
      <c r="C100" s="1807" t="n">
        <v>1168989000</v>
      </c>
      <c r="D100" s="1807" t="n">
        <v>1104049000</v>
      </c>
      <c r="E100" s="1807" t="n">
        <v>1618619000</v>
      </c>
      <c r="F100" s="1807" t="n">
        <v>1546908000</v>
      </c>
      <c r="G100" s="1807" t="n">
        <v>1455515000</v>
      </c>
    </row>
    <row r="101" ht="15" customHeight="1">
      <c r="A101" s="1890" t="inlineStr">
        <is>
          <t>Property, Plant &amp; Equipment - Under Capital Lease - Gross</t>
        </is>
      </c>
      <c r="B101" s="731" t="n"/>
      <c r="C101" s="731" t="n"/>
      <c r="D101" s="731" t="n"/>
      <c r="E101" s="731" t="n"/>
      <c r="F101" s="1807" t="n">
        <v>36897000</v>
      </c>
      <c r="G101" s="1807" t="n">
        <v>36897000</v>
      </c>
    </row>
    <row r="102" ht="15" customHeight="1">
      <c r="A102" s="1890" t="inlineStr">
        <is>
          <t>Right of Use Tangible Assets - Total - Gross</t>
        </is>
      </c>
      <c r="B102" s="1807" t="n">
        <v>5264096000</v>
      </c>
      <c r="C102" s="1807" t="n">
        <v>6676348000</v>
      </c>
      <c r="D102" s="1807" t="n">
        <v>6113351000</v>
      </c>
      <c r="E102" s="1807" t="n">
        <v>5121186000</v>
      </c>
      <c r="F102" s="1807" t="n">
        <v>11232059000</v>
      </c>
      <c r="G102" s="1807" t="n">
        <v>12093812000</v>
      </c>
    </row>
    <row r="103" ht="15" customHeight="1">
      <c r="A103" s="1891" t="inlineStr">
        <is>
          <t>Right of Use Tangible Assets - Operating Lease - Gross</t>
        </is>
      </c>
      <c r="B103" s="731" t="n"/>
      <c r="C103" s="731" t="n"/>
      <c r="D103" s="731" t="n"/>
      <c r="E103" s="731" t="n"/>
      <c r="F103" s="731" t="n"/>
      <c r="G103" s="731" t="n"/>
    </row>
    <row r="104" ht="15" customHeight="1">
      <c r="A104" s="1891" t="inlineStr">
        <is>
          <t>Right of Use Tangible Assets - Capital/Finance Lease - Gross</t>
        </is>
      </c>
      <c r="B104" s="1807" t="n">
        <v>5264096000</v>
      </c>
      <c r="C104" s="1807" t="n">
        <v>6676348000</v>
      </c>
      <c r="D104" s="1807" t="n">
        <v>6113351000</v>
      </c>
      <c r="E104" s="1807" t="n">
        <v>5121186000</v>
      </c>
      <c r="F104" s="1807" t="n">
        <v>11232059000</v>
      </c>
      <c r="G104" s="1807" t="n">
        <v>12093812000</v>
      </c>
    </row>
    <row r="105" ht="15" customHeight="1">
      <c r="A105" s="1890" t="inlineStr">
        <is>
          <t>Property, Plant &amp; Equipment - Other - Gross</t>
        </is>
      </c>
      <c r="B105" s="1807" t="n">
        <v>301480000</v>
      </c>
      <c r="C105" s="1807" t="n">
        <v>431083000</v>
      </c>
      <c r="D105" s="1807" t="n">
        <v>502132000</v>
      </c>
      <c r="E105" s="1807" t="n">
        <v>555496000</v>
      </c>
      <c r="F105" s="1807" t="n">
        <v>619904000</v>
      </c>
      <c r="G105" s="1807" t="n">
        <v>560804000</v>
      </c>
    </row>
    <row r="106" ht="15" customHeight="1">
      <c r="A106" s="1891" t="inlineStr">
        <is>
          <t>Natural Resources/Biological Assets - Gross</t>
        </is>
      </c>
      <c r="B106" s="731" t="n"/>
      <c r="C106" s="731" t="n"/>
      <c r="D106" s="731" t="n"/>
      <c r="E106" s="731" t="n"/>
      <c r="F106" s="731" t="n"/>
      <c r="G106" s="731" t="n"/>
    </row>
    <row r="107" ht="15" customHeight="1">
      <c r="A107" s="1891" t="inlineStr">
        <is>
          <t>Mining/Exploration Specific Assets - Gross</t>
        </is>
      </c>
      <c r="B107" s="731" t="n"/>
      <c r="C107" s="731" t="n"/>
      <c r="D107" s="731" t="n"/>
      <c r="E107" s="731" t="n"/>
      <c r="F107" s="731" t="n"/>
      <c r="G107" s="731" t="n"/>
    </row>
    <row r="108" ht="15" customHeight="1">
      <c r="A108" s="1891" t="inlineStr">
        <is>
          <t>Utility Plant - Gross</t>
        </is>
      </c>
      <c r="B108" s="731" t="n"/>
      <c r="C108" s="731" t="n"/>
      <c r="D108" s="731" t="n"/>
      <c r="E108" s="731" t="n"/>
      <c r="F108" s="731" t="n"/>
      <c r="G108" s="731" t="n"/>
    </row>
    <row r="109" ht="15" customHeight="1">
      <c r="A109" s="1886" t="inlineStr">
        <is>
          <t>Property, Plant &amp; Equipment - Accumulated Depreciation &amp; Impairment - Total</t>
        </is>
      </c>
      <c r="B109" s="1807" t="n">
        <v>6045527000</v>
      </c>
      <c r="C109" s="1807" t="n">
        <v>9482130000</v>
      </c>
      <c r="D109" s="1807" t="n">
        <v>10539196000</v>
      </c>
      <c r="E109" s="1807" t="n">
        <v>11633230000</v>
      </c>
      <c r="F109" s="1807" t="n">
        <v>19598931000</v>
      </c>
      <c r="G109" s="1807" t="n">
        <v>22011646000</v>
      </c>
    </row>
    <row r="110" ht="15" customHeight="1">
      <c r="A110" s="1887" t="inlineStr">
        <is>
          <t>Assets Leased Out under Operating Lease - Accumulated Depreciation &amp; Impairment</t>
        </is>
      </c>
      <c r="B110" s="731" t="n"/>
      <c r="C110" s="731" t="n"/>
      <c r="D110" s="731" t="n"/>
      <c r="E110" s="731" t="n"/>
      <c r="F110" s="731" t="n"/>
      <c r="G110" s="731" t="n"/>
    </row>
    <row r="111" ht="15" customHeight="1">
      <c r="A111" s="1887" t="inlineStr">
        <is>
          <t>Property, Plant &amp; Equipment - excluding Assets Leased Out - Accumulated Depreciation &amp; Impairment - Total</t>
        </is>
      </c>
      <c r="B111" s="1807" t="n">
        <v>6045527000</v>
      </c>
      <c r="C111" s="1807" t="n">
        <v>9482130000</v>
      </c>
      <c r="D111" s="1807" t="n">
        <v>10539196000</v>
      </c>
      <c r="E111" s="1807" t="n">
        <v>11633230000</v>
      </c>
      <c r="F111" s="1807" t="n">
        <v>19598931000</v>
      </c>
      <c r="G111" s="1807" t="n">
        <v>22011646000</v>
      </c>
    </row>
    <row r="112" ht="15" customHeight="1">
      <c r="A112" s="1890" t="inlineStr">
        <is>
          <t>Land &amp; Buildings - Accumulated Depreciation &amp; Impairment</t>
        </is>
      </c>
      <c r="B112" s="1807" t="n">
        <v>5506038000</v>
      </c>
      <c r="C112" s="1807" t="n">
        <v>8176636000</v>
      </c>
      <c r="D112" s="1807" t="n">
        <v>8804651000</v>
      </c>
      <c r="E112" s="1807" t="n">
        <v>9393530000</v>
      </c>
      <c r="F112" s="1807" t="n">
        <v>10652472000</v>
      </c>
      <c r="G112" s="1807" t="n">
        <v>11425125000</v>
      </c>
    </row>
    <row r="113" ht="15" customHeight="1">
      <c r="A113" s="1891" t="inlineStr">
        <is>
          <t>Land/Improvements - Accumulated Depreciation &amp; Impairment</t>
        </is>
      </c>
      <c r="B113" s="731" t="n"/>
      <c r="C113" s="731" t="n"/>
      <c r="D113" s="731" t="n"/>
      <c r="E113" s="731" t="n"/>
      <c r="F113" s="731" t="n"/>
      <c r="G113" s="731" t="n"/>
    </row>
    <row r="114" ht="15" customHeight="1">
      <c r="A114" s="1891" t="inlineStr">
        <is>
          <t>Buildings - Accumulated Depreciation &amp; Impairment</t>
        </is>
      </c>
      <c r="B114" s="1807" t="n">
        <v>5506038000</v>
      </c>
      <c r="C114" s="1807" t="n">
        <v>8176636000</v>
      </c>
      <c r="D114" s="1807" t="n">
        <v>8804651000</v>
      </c>
      <c r="E114" s="1807" t="n">
        <v>9393530000</v>
      </c>
      <c r="F114" s="1807" t="n">
        <v>10652472000</v>
      </c>
      <c r="G114" s="1807" t="n">
        <v>11425125000</v>
      </c>
    </row>
    <row r="115" ht="15" customHeight="1">
      <c r="A115" s="1891" t="inlineStr">
        <is>
          <t>Leasehold Improvements - Accumulated Depreciation &amp; Impairment</t>
        </is>
      </c>
      <c r="B115" s="731" t="n"/>
      <c r="C115" s="731" t="n"/>
      <c r="D115" s="731" t="n"/>
      <c r="E115" s="731" t="n"/>
      <c r="F115" s="731" t="n"/>
      <c r="G115" s="731" t="n"/>
    </row>
    <row r="116" ht="15" customHeight="1">
      <c r="A116" s="1890" t="inlineStr">
        <is>
          <t>Plant, Machinery &amp; Equipment - Accumulated Depreciation &amp; Impairment</t>
        </is>
      </c>
      <c r="B116" s="1807" t="n">
        <v>370112000</v>
      </c>
      <c r="C116" s="1807" t="n">
        <v>1026474000</v>
      </c>
      <c r="D116" s="1807" t="n">
        <v>1392325000</v>
      </c>
      <c r="E116" s="1807" t="n">
        <v>1826384000</v>
      </c>
      <c r="F116" s="1807" t="n">
        <v>2779480000</v>
      </c>
      <c r="G116" s="1807" t="n">
        <v>3415293000</v>
      </c>
    </row>
    <row r="117" ht="15" customHeight="1">
      <c r="A117" s="1891" t="inlineStr">
        <is>
          <t>Transportation Equipment - Accumulated Depreciation &amp; Impairment</t>
        </is>
      </c>
      <c r="B117" s="1807" t="n">
        <v>13630000</v>
      </c>
      <c r="C117" s="1807" t="n">
        <v>19254000</v>
      </c>
      <c r="D117" s="1807" t="n">
        <v>23210000</v>
      </c>
      <c r="E117" s="1807" t="n">
        <v>30227000</v>
      </c>
      <c r="F117" s="1807" t="n">
        <v>47924000</v>
      </c>
      <c r="G117" s="1807" t="n">
        <v>52782000</v>
      </c>
    </row>
    <row r="118" ht="15" customHeight="1">
      <c r="A118" s="1891" t="inlineStr">
        <is>
          <t>Computer Software &amp; Equipment - Accumulated Depreciation &amp; Impairment</t>
        </is>
      </c>
      <c r="B118" s="731" t="n"/>
      <c r="C118" s="731" t="n"/>
      <c r="D118" s="731" t="n"/>
      <c r="E118" s="731" t="n"/>
      <c r="F118" s="731" t="n"/>
      <c r="G118" s="731" t="n"/>
    </row>
    <row r="119" ht="15" customHeight="1">
      <c r="A119" s="1890" t="inlineStr">
        <is>
          <t>Construction in Progress - Accumulated Depreciation &amp; Impairment</t>
        </is>
      </c>
      <c r="B119" s="731" t="n"/>
      <c r="C119" s="731" t="n"/>
      <c r="D119" s="731" t="n"/>
      <c r="E119" s="731" t="n"/>
      <c r="F119" s="731" t="n"/>
      <c r="G119" s="731" t="n"/>
    </row>
    <row r="120" ht="15" customHeight="1">
      <c r="A120" s="1890" t="inlineStr">
        <is>
          <t>Property, Plant &amp; Equipment - Under Capital Lease - Accumulated Depreciation &amp; Impairment</t>
        </is>
      </c>
      <c r="B120" s="731" t="n"/>
      <c r="C120" s="731" t="n"/>
      <c r="D120" s="731" t="n"/>
      <c r="E120" s="731" t="n"/>
      <c r="F120" s="1807" t="n">
        <v>14970000</v>
      </c>
      <c r="G120" s="1807" t="n">
        <v>19655000</v>
      </c>
    </row>
    <row r="121" ht="15" customHeight="1">
      <c r="A121" s="1890" t="inlineStr">
        <is>
          <t>Right of Use Tangible Assets - Total/Unspecified - Accumulated Depreciation</t>
        </is>
      </c>
      <c r="B121" s="731" t="n"/>
      <c r="C121" s="731" t="n"/>
      <c r="D121" s="731" t="n"/>
      <c r="E121" s="731" t="n"/>
      <c r="F121" s="1807" t="n">
        <v>5664922000</v>
      </c>
      <c r="G121" s="1807" t="n">
        <v>6722497000</v>
      </c>
    </row>
    <row r="122" ht="15" customHeight="1">
      <c r="A122" s="1891" t="inlineStr">
        <is>
          <t>Right of Use Tangible Assets - Operating Lease - Accumulated Depreciation</t>
        </is>
      </c>
      <c r="B122" s="731" t="n"/>
      <c r="C122" s="731" t="n"/>
      <c r="D122" s="731" t="n"/>
      <c r="E122" s="731" t="n"/>
      <c r="F122" s="731" t="n"/>
      <c r="G122" s="731" t="n"/>
    </row>
    <row r="123" ht="15" customHeight="1">
      <c r="A123" s="1891" t="inlineStr">
        <is>
          <t>Right of Use Tangible Assets - Capital/Finance Lease - Accumulated Depreciation</t>
        </is>
      </c>
      <c r="B123" s="731" t="n"/>
      <c r="C123" s="731" t="n"/>
      <c r="D123" s="731" t="n"/>
      <c r="E123" s="731" t="n"/>
      <c r="F123" s="1807" t="n">
        <v>5664922000</v>
      </c>
      <c r="G123" s="1807" t="n">
        <v>6722497000</v>
      </c>
    </row>
    <row r="124" ht="15" customHeight="1">
      <c r="A124" s="1890" t="inlineStr">
        <is>
          <t>Property, Plant &amp; Equipment - Other - Accumulated Depreciation &amp; Impairment</t>
        </is>
      </c>
      <c r="B124" s="1807" t="n">
        <v>169377000</v>
      </c>
      <c r="C124" s="1807" t="n">
        <v>279020000</v>
      </c>
      <c r="D124" s="1807" t="n">
        <v>342220000</v>
      </c>
      <c r="E124" s="1807" t="n">
        <v>413316000</v>
      </c>
      <c r="F124" s="1807" t="n">
        <v>487087000</v>
      </c>
      <c r="G124" s="1807" t="n">
        <v>429076000</v>
      </c>
    </row>
    <row r="125" ht="15" customHeight="1">
      <c r="A125" s="1891" t="inlineStr">
        <is>
          <t>Utility Plant - Accumulated Depreciation &amp; Impairment</t>
        </is>
      </c>
      <c r="B125" s="731" t="n"/>
      <c r="C125" s="731" t="n"/>
      <c r="D125" s="731" t="n"/>
      <c r="E125" s="731" t="n"/>
      <c r="F125" s="731" t="n"/>
      <c r="G125" s="731" t="n"/>
    </row>
    <row r="126" ht="15" customHeight="1">
      <c r="A126" s="1891" t="inlineStr">
        <is>
          <t>Mining/Exploration Specific Assets - Accumulated Depreciation &amp; Impairment</t>
        </is>
      </c>
      <c r="B126" s="731" t="n"/>
      <c r="C126" s="731" t="n"/>
      <c r="D126" s="731" t="n"/>
      <c r="E126" s="731" t="n"/>
      <c r="F126" s="731" t="n"/>
      <c r="G126" s="731" t="n"/>
    </row>
    <row r="127" ht="15" customHeight="1">
      <c r="A127" s="1891" t="inlineStr">
        <is>
          <t>Natural Resources/Biological Assets - Accumulated Depreciation &amp; Impairment</t>
        </is>
      </c>
      <c r="B127" s="731" t="n"/>
      <c r="C127" s="731" t="n"/>
      <c r="D127" s="731" t="n"/>
      <c r="E127" s="731" t="n"/>
      <c r="F127" s="731" t="n"/>
      <c r="G127" s="731" t="n"/>
    </row>
    <row r="128" ht="15" customHeight="1">
      <c r="A128" s="1885" t="inlineStr">
        <is>
          <t>Assets Held for Sale/Discontinued Operations - Long-Term</t>
        </is>
      </c>
      <c r="B128" s="731" t="n"/>
      <c r="C128" s="731" t="n"/>
      <c r="D128" s="731" t="n"/>
      <c r="E128" s="731" t="n"/>
      <c r="F128" s="731" t="n"/>
      <c r="G128" s="731" t="n"/>
    </row>
    <row r="129" ht="15" customHeight="1">
      <c r="A129" s="1885" t="inlineStr">
        <is>
          <t>Other Non-Current Assets - Total</t>
        </is>
      </c>
      <c r="B129" s="1807" t="n">
        <v>1192173000</v>
      </c>
      <c r="C129" s="1807" t="n">
        <v>1114153000</v>
      </c>
      <c r="D129" s="1807" t="n">
        <v>1000513000</v>
      </c>
      <c r="E129" s="1807" t="n">
        <v>844216000</v>
      </c>
      <c r="F129" s="1807" t="n">
        <v>1013845000</v>
      </c>
      <c r="G129" s="1807" t="n">
        <v>1389612000</v>
      </c>
    </row>
    <row r="130" ht="15" customHeight="1">
      <c r="A130" s="1886" t="inlineStr">
        <is>
          <t>Restricted Accounts - Long-Term</t>
        </is>
      </c>
      <c r="B130" s="731" t="n"/>
      <c r="C130" s="731" t="n"/>
      <c r="D130" s="731" t="n"/>
      <c r="E130" s="731" t="n"/>
      <c r="F130" s="731" t="n"/>
      <c r="G130" s="731" t="n"/>
    </row>
    <row r="131" ht="15" customHeight="1">
      <c r="A131" s="1886" t="inlineStr">
        <is>
          <t>Deferred Tax - Asset - Long-Term</t>
        </is>
      </c>
      <c r="B131" s="1807" t="n">
        <v>1701000</v>
      </c>
      <c r="C131" s="1807" t="n">
        <v>12715000</v>
      </c>
      <c r="D131" s="1807" t="n">
        <v>4527000</v>
      </c>
      <c r="E131" s="1807" t="n">
        <v>6645000</v>
      </c>
      <c r="F131" s="1807" t="n">
        <v>7216000</v>
      </c>
      <c r="G131" s="1807" t="n">
        <v>12567000</v>
      </c>
    </row>
    <row r="132" ht="15" customHeight="1">
      <c r="A132" s="1886" t="inlineStr">
        <is>
          <t>Deferred Charges - Long-Term</t>
        </is>
      </c>
      <c r="B132" s="1807" t="n">
        <v>738051000</v>
      </c>
      <c r="C132" s="1807" t="n">
        <v>687074000</v>
      </c>
      <c r="D132" s="1807" t="n">
        <v>617137000</v>
      </c>
      <c r="E132" s="1807" t="n">
        <v>551311000</v>
      </c>
      <c r="F132" s="1807" t="n">
        <v>730909000</v>
      </c>
      <c r="G132" s="1807" t="n">
        <v>1117017000</v>
      </c>
    </row>
    <row r="133" ht="15" customHeight="1">
      <c r="A133" s="1886" t="inlineStr">
        <is>
          <t>Prepaid Expenses - Long-Term</t>
        </is>
      </c>
      <c r="B133" s="1807" t="n">
        <v>433058000</v>
      </c>
      <c r="C133" s="1807" t="n">
        <v>385979000</v>
      </c>
      <c r="D133" s="1807" t="n">
        <v>290838000</v>
      </c>
      <c r="E133" s="1807" t="n">
        <v>183620000</v>
      </c>
      <c r="F133" s="1807" t="n">
        <v>175244000</v>
      </c>
      <c r="G133" s="1807" t="n">
        <v>162110000</v>
      </c>
    </row>
    <row r="134" ht="15" customHeight="1">
      <c r="A134" s="1886" t="inlineStr">
        <is>
          <t>Inventories - Long-Term</t>
        </is>
      </c>
      <c r="B134" s="731" t="n"/>
      <c r="C134" s="731" t="n"/>
      <c r="D134" s="731" t="n"/>
      <c r="E134" s="731" t="n"/>
      <c r="F134" s="731" t="n"/>
      <c r="G134" s="731" t="n"/>
    </row>
    <row r="135" ht="15" customHeight="1">
      <c r="A135" s="1886" t="inlineStr">
        <is>
          <t>Regulatory Assets - Long-Term</t>
        </is>
      </c>
      <c r="B135" s="731" t="n"/>
      <c r="C135" s="731" t="n"/>
      <c r="D135" s="731" t="n"/>
      <c r="E135" s="731" t="n"/>
      <c r="F135" s="731" t="n"/>
      <c r="G135" s="731" t="n"/>
    </row>
    <row r="136" ht="15" customHeight="1">
      <c r="A136" s="1886" t="inlineStr">
        <is>
          <t>Pension Assets - Long-Term</t>
        </is>
      </c>
      <c r="B136" s="1807" t="n">
        <v>411000</v>
      </c>
      <c r="C136" s="1807" t="n">
        <v>801000</v>
      </c>
      <c r="D136" s="1807" t="n">
        <v>465000</v>
      </c>
      <c r="E136" s="1807" t="n">
        <v>673000</v>
      </c>
      <c r="F136" s="1807" t="n">
        <v>74000</v>
      </c>
      <c r="G136" s="731" t="n"/>
    </row>
    <row r="137" ht="15" customHeight="1">
      <c r="A137" s="1886" t="inlineStr">
        <is>
          <t>Other Non-Current Assets</t>
        </is>
      </c>
      <c r="B137" s="1807" t="n">
        <v>18952000</v>
      </c>
      <c r="C137" s="1807" t="n">
        <v>27584000</v>
      </c>
      <c r="D137" s="1807" t="n">
        <v>87546000</v>
      </c>
      <c r="E137" s="1807" t="n">
        <v>101967000</v>
      </c>
      <c r="F137" s="1807" t="n">
        <v>100402000</v>
      </c>
      <c r="G137" s="1807" t="n">
        <v>97918000</v>
      </c>
    </row>
    <row r="138" ht="15" customHeight="1">
      <c r="A138" s="1885" t="inlineStr">
        <is>
          <t>Intangible Assets - Total - Net</t>
        </is>
      </c>
      <c r="B138" s="1807" t="n">
        <v>1344226000</v>
      </c>
      <c r="C138" s="1807" t="n">
        <v>16659502000</v>
      </c>
      <c r="D138" s="1807" t="n">
        <v>16522183000</v>
      </c>
      <c r="E138" s="1807" t="n">
        <v>16499333000</v>
      </c>
      <c r="F138" s="1807" t="n">
        <v>16697810000</v>
      </c>
      <c r="G138" s="1807" t="n">
        <v>16535431000</v>
      </c>
    </row>
    <row r="139" ht="15" customHeight="1">
      <c r="A139" s="1886" t="inlineStr">
        <is>
          <t>Goodwill/Cost in Excess of Assets Purchased - Net</t>
        </is>
      </c>
      <c r="B139" s="1807" t="n">
        <v>360279000</v>
      </c>
      <c r="C139" s="1807" t="n">
        <v>15475044000</v>
      </c>
      <c r="D139" s="1807" t="n">
        <v>15421546000</v>
      </c>
      <c r="E139" s="1807" t="n">
        <v>15508533000</v>
      </c>
      <c r="F139" s="1807" t="n">
        <v>15833997000</v>
      </c>
      <c r="G139" s="1807" t="n">
        <v>15779722000</v>
      </c>
    </row>
    <row r="140" ht="15" customHeight="1">
      <c r="A140" s="1886" t="inlineStr">
        <is>
          <t>Intangible Assets - excluding Goodwill - Net - Total</t>
        </is>
      </c>
      <c r="B140" s="1807" t="n">
        <v>983947000</v>
      </c>
      <c r="C140" s="1807" t="n">
        <v>1184458000</v>
      </c>
      <c r="D140" s="1807" t="n">
        <v>1100637000</v>
      </c>
      <c r="E140" s="1807" t="n">
        <v>990800000</v>
      </c>
      <c r="F140" s="1807" t="n">
        <v>863813000</v>
      </c>
      <c r="G140" s="1807" t="n">
        <v>755709000</v>
      </c>
    </row>
    <row r="141" ht="15" customHeight="1">
      <c r="A141" s="1887" t="inlineStr">
        <is>
          <t>Computer Software - Intangible Assets - Net</t>
        </is>
      </c>
      <c r="B141" s="731" t="n"/>
      <c r="C141" s="731" t="n"/>
      <c r="D141" s="731" t="n"/>
      <c r="E141" s="731" t="n"/>
      <c r="F141" s="731" t="n"/>
      <c r="G141" s="731" t="n"/>
    </row>
    <row r="142" ht="15" customHeight="1">
      <c r="A142" s="1887" t="inlineStr">
        <is>
          <t>Research &amp; Development Costs - Net</t>
        </is>
      </c>
      <c r="B142" s="731" t="n"/>
      <c r="C142" s="731" t="n"/>
      <c r="D142" s="731" t="n"/>
      <c r="E142" s="731" t="n"/>
      <c r="F142" s="731" t="n"/>
      <c r="G142" s="731" t="n"/>
    </row>
    <row r="143" ht="15" customHeight="1">
      <c r="A143" s="1887" t="inlineStr">
        <is>
          <t>Brands, Patents, Trademarks, Marketing &amp; Artistic Intangibles - Net</t>
        </is>
      </c>
      <c r="B143" s="731" t="n"/>
      <c r="C143" s="731" t="n"/>
      <c r="D143" s="731" t="n"/>
      <c r="E143" s="1807" t="n">
        <v>27222000</v>
      </c>
      <c r="F143" s="1807" t="n">
        <v>23479000</v>
      </c>
      <c r="G143" s="1807" t="n">
        <v>19737000</v>
      </c>
    </row>
    <row r="144" ht="15" customHeight="1">
      <c r="A144" s="1887" t="inlineStr">
        <is>
          <t>Licenses, Franchises, Copyrights, Property Rights, Prototypes, Contract Based, Models &amp; Designs - Net</t>
        </is>
      </c>
      <c r="B144" s="731" t="n"/>
      <c r="C144" s="731" t="n"/>
      <c r="D144" s="731" t="n"/>
      <c r="E144" s="731" t="n"/>
      <c r="F144" s="731" t="n"/>
      <c r="G144" s="731" t="n"/>
    </row>
    <row r="145" ht="15" customHeight="1">
      <c r="A145" s="1887" t="inlineStr">
        <is>
          <t>Right of Use Intangible Assets - Net</t>
        </is>
      </c>
      <c r="B145" s="731" t="n"/>
      <c r="C145" s="731" t="n"/>
      <c r="D145" s="731" t="n"/>
      <c r="E145" s="731" t="n"/>
      <c r="F145" s="731" t="n"/>
      <c r="G145" s="731" t="n"/>
    </row>
    <row r="146" ht="15" customHeight="1">
      <c r="A146" s="1887" t="inlineStr">
        <is>
          <t>Intangible Assets - Other - Net</t>
        </is>
      </c>
      <c r="B146" s="1807" t="n">
        <v>983947000</v>
      </c>
      <c r="C146" s="1807" t="n">
        <v>1184458000</v>
      </c>
      <c r="D146" s="1807" t="n">
        <v>1100637000</v>
      </c>
      <c r="E146" s="1807" t="n">
        <v>963578000</v>
      </c>
      <c r="F146" s="1807" t="n">
        <v>840334000</v>
      </c>
      <c r="G146" s="1807" t="n">
        <v>735972000</v>
      </c>
    </row>
    <row r="147" ht="15" customHeight="1">
      <c r="A147" s="1886" t="inlineStr">
        <is>
          <t>Intangible Assets - Gross - Total</t>
        </is>
      </c>
      <c r="B147" s="731" t="n"/>
      <c r="C147" s="731" t="n"/>
      <c r="D147" s="731" t="n"/>
      <c r="E147" s="731" t="n"/>
      <c r="F147" s="731" t="n"/>
      <c r="G147" s="731" t="n"/>
    </row>
    <row r="148" ht="15" customHeight="1">
      <c r="A148" s="1887" t="inlineStr">
        <is>
          <t>Goodwill/Cost in Excess of Assets Purchased - Gross</t>
        </is>
      </c>
      <c r="B148" s="731" t="n"/>
      <c r="C148" s="731" t="n"/>
      <c r="D148" s="731" t="n"/>
      <c r="E148" s="731" t="n"/>
      <c r="F148" s="731" t="n"/>
      <c r="G148" s="731" t="n"/>
    </row>
    <row r="149" ht="15" customHeight="1">
      <c r="A149" s="1887" t="inlineStr">
        <is>
          <t>Intangible Assets - excluding Goodwill - Gross</t>
        </is>
      </c>
      <c r="B149" s="1807" t="n">
        <v>1496373000</v>
      </c>
      <c r="C149" s="1807" t="n">
        <v>1879977000</v>
      </c>
      <c r="D149" s="1807" t="n">
        <v>1932707000</v>
      </c>
      <c r="E149" s="1807" t="n">
        <v>1962112000</v>
      </c>
      <c r="F149" s="1807" t="n">
        <v>1976996000</v>
      </c>
      <c r="G149" s="1807" t="n">
        <v>1977755000</v>
      </c>
    </row>
    <row r="150" ht="15" customHeight="1">
      <c r="A150" s="1890" t="inlineStr">
        <is>
          <t>Computer Software - Intangible Assets - Gross</t>
        </is>
      </c>
      <c r="B150" s="731" t="n"/>
      <c r="C150" s="731" t="n"/>
      <c r="D150" s="731" t="n"/>
      <c r="E150" s="731" t="n"/>
      <c r="F150" s="731" t="n"/>
      <c r="G150" s="731" t="n"/>
    </row>
    <row r="151" ht="15" customHeight="1">
      <c r="A151" s="1890" t="inlineStr">
        <is>
          <t>Research &amp; Development Costs - Gross</t>
        </is>
      </c>
      <c r="B151" s="731" t="n"/>
      <c r="C151" s="731" t="n"/>
      <c r="D151" s="731" t="n"/>
      <c r="E151" s="731" t="n"/>
      <c r="F151" s="731" t="n"/>
      <c r="G151" s="731" t="n"/>
    </row>
    <row r="152" ht="15" customHeight="1">
      <c r="A152" s="1890" t="inlineStr">
        <is>
          <t>Brands, Patents, Trademarks, Marketing &amp; Artistic Intangibles - Gross</t>
        </is>
      </c>
      <c r="B152" s="731" t="n"/>
      <c r="C152" s="731" t="n"/>
      <c r="D152" s="731" t="n"/>
      <c r="E152" s="1807" t="n">
        <v>29405000</v>
      </c>
      <c r="F152" s="1807" t="n">
        <v>29405000</v>
      </c>
      <c r="G152" s="1807" t="n">
        <v>29405000</v>
      </c>
    </row>
    <row r="153" ht="15" customHeight="1">
      <c r="A153" s="1890" t="inlineStr">
        <is>
          <t>Licenses, Franchises, Copyrights, Property Rights, Prototypes, Contract Based, Models &amp; Designs - Gross</t>
        </is>
      </c>
      <c r="B153" s="731" t="n"/>
      <c r="C153" s="731" t="n"/>
      <c r="D153" s="731" t="n"/>
      <c r="E153" s="731" t="n"/>
      <c r="F153" s="731" t="n"/>
      <c r="G153" s="731" t="n"/>
    </row>
    <row r="154" ht="15" customHeight="1">
      <c r="A154" s="1890" t="inlineStr">
        <is>
          <t>Right of Use Intangible Assets - Gross</t>
        </is>
      </c>
      <c r="B154" s="731" t="n"/>
      <c r="C154" s="731" t="n"/>
      <c r="D154" s="731" t="n"/>
      <c r="E154" s="731" t="n"/>
      <c r="F154" s="731" t="n"/>
      <c r="G154" s="731" t="n"/>
    </row>
    <row r="155" ht="15" customHeight="1">
      <c r="A155" s="1890" t="inlineStr">
        <is>
          <t>Intangible Assets - Other - Gross - Total</t>
        </is>
      </c>
      <c r="B155" s="1807" t="n">
        <v>1496373000</v>
      </c>
      <c r="C155" s="1807" t="n">
        <v>1879977000</v>
      </c>
      <c r="D155" s="1807" t="n">
        <v>1932707000</v>
      </c>
      <c r="E155" s="1807" t="n">
        <v>1932707000</v>
      </c>
      <c r="F155" s="1807" t="n">
        <v>1947591000</v>
      </c>
      <c r="G155" s="1807" t="n">
        <v>1948350000</v>
      </c>
    </row>
    <row r="156" ht="15" customHeight="1">
      <c r="A156" s="1886" t="inlineStr">
        <is>
          <t>Intangible Assets - Accumulated Amortization &amp; Impairment - Total</t>
        </is>
      </c>
      <c r="B156" s="731" t="n"/>
      <c r="C156" s="731" t="n"/>
      <c r="D156" s="731" t="n"/>
      <c r="E156" s="731" t="n"/>
      <c r="F156" s="731" t="n"/>
      <c r="G156" s="731" t="n"/>
    </row>
    <row r="157" ht="15" customHeight="1">
      <c r="A157" s="1887" t="inlineStr">
        <is>
          <t>Goodwill - Accumulated Amortization &amp; Impairment</t>
        </is>
      </c>
      <c r="B157" s="731" t="n"/>
      <c r="C157" s="731" t="n"/>
      <c r="D157" s="731" t="n"/>
      <c r="E157" s="731" t="n"/>
      <c r="F157" s="731" t="n"/>
      <c r="G157" s="731" t="n"/>
    </row>
    <row r="158" ht="15" customHeight="1">
      <c r="A158" s="1887" t="inlineStr">
        <is>
          <t>Intangible Assets - excluding Goodwill - Accumulated Amortization &amp; Impairment - Total</t>
        </is>
      </c>
      <c r="B158" s="1807" t="n">
        <v>512426000</v>
      </c>
      <c r="C158" s="1807" t="n">
        <v>695519000</v>
      </c>
      <c r="D158" s="1807" t="n">
        <v>832070000</v>
      </c>
      <c r="E158" s="1807" t="n">
        <v>971312000</v>
      </c>
      <c r="F158" s="1807" t="n">
        <v>1113183000</v>
      </c>
      <c r="G158" s="1807" t="n">
        <v>1222046000</v>
      </c>
    </row>
    <row r="159" ht="15" customHeight="1">
      <c r="A159" s="1890" t="inlineStr">
        <is>
          <t>Computer Software - Intangible Assets - Accumulated Amortization &amp; Impairment</t>
        </is>
      </c>
      <c r="B159" s="731" t="n"/>
      <c r="C159" s="731" t="n"/>
      <c r="D159" s="731" t="n"/>
      <c r="E159" s="731" t="n"/>
      <c r="F159" s="731" t="n"/>
      <c r="G159" s="731" t="n"/>
    </row>
    <row r="160" ht="15" customHeight="1">
      <c r="A160" s="1890" t="inlineStr">
        <is>
          <t>Research &amp; Development Costs - Accumulated Amortization &amp; Impairment</t>
        </is>
      </c>
      <c r="B160" s="731" t="n"/>
      <c r="C160" s="731" t="n"/>
      <c r="D160" s="731" t="n"/>
      <c r="E160" s="731" t="n"/>
      <c r="F160" s="731" t="n"/>
      <c r="G160" s="731" t="n"/>
    </row>
    <row r="161" ht="15" customHeight="1">
      <c r="A161" s="1890" t="inlineStr">
        <is>
          <t>Brands, Patents, Trademarks, Marketing &amp; Artistic Intangibles - Accumulated Amortization &amp; Impairment</t>
        </is>
      </c>
      <c r="B161" s="731" t="n"/>
      <c r="C161" s="731" t="n"/>
      <c r="D161" s="731" t="n"/>
      <c r="E161" s="1807" t="n">
        <v>2183000</v>
      </c>
      <c r="F161" s="1807" t="n">
        <v>5926000</v>
      </c>
      <c r="G161" s="1807" t="n">
        <v>9668000</v>
      </c>
    </row>
    <row r="162" ht="15" customHeight="1">
      <c r="A162" s="1890" t="inlineStr">
        <is>
          <t>Licenses, Franchises, Copy/Property Rights, Prototypes, Contract Based, Models &amp; Designs - Accumulated Amortization &amp; Impairment</t>
        </is>
      </c>
      <c r="B162" s="731" t="n"/>
      <c r="C162" s="731" t="n"/>
      <c r="D162" s="731" t="n"/>
      <c r="E162" s="731" t="n"/>
      <c r="F162" s="731" t="n"/>
      <c r="G162" s="731" t="n"/>
    </row>
    <row r="163" ht="15" customHeight="1">
      <c r="A163" s="1890" t="inlineStr">
        <is>
          <t>Right of Use Intangible Assets - Accumulated Amortization</t>
        </is>
      </c>
      <c r="B163" s="731" t="n"/>
      <c r="C163" s="731" t="n"/>
      <c r="D163" s="731" t="n"/>
      <c r="E163" s="731" t="n"/>
      <c r="F163" s="731" t="n"/>
      <c r="G163" s="731" t="n"/>
    </row>
    <row r="164" ht="15" customHeight="1">
      <c r="A164" s="1890" t="inlineStr">
        <is>
          <t>Intangible Assets - Other - Accumulated Amortization &amp; Impairment</t>
        </is>
      </c>
      <c r="B164" s="1807" t="n">
        <v>512426000</v>
      </c>
      <c r="C164" s="1807" t="n">
        <v>695519000</v>
      </c>
      <c r="D164" s="1807" t="n">
        <v>832070000</v>
      </c>
      <c r="E164" s="1807" t="n">
        <v>969129000</v>
      </c>
      <c r="F164" s="1807" t="n">
        <v>1107257000</v>
      </c>
      <c r="G164" s="1807" t="n">
        <v>1212378000</v>
      </c>
    </row>
    <row r="165" ht="15" customHeight="1">
      <c r="A165" s="1888" t="inlineStr">
        <is>
          <t>Total Non-Current Assets</t>
        </is>
      </c>
      <c r="B165" s="1889" t="n">
        <v>31247218000</v>
      </c>
      <c r="C165" s="1889" t="n">
        <v>58430532000</v>
      </c>
      <c r="D165" s="1889" t="n">
        <v>61974002000</v>
      </c>
      <c r="E165" s="1889" t="n">
        <v>63992063000</v>
      </c>
      <c r="F165" s="1889" t="n">
        <v>72872540000</v>
      </c>
      <c r="G165" s="1889" t="n">
        <v>73836460000</v>
      </c>
    </row>
    <row r="166" ht="15" customHeight="1">
      <c r="A166" s="1884" t="inlineStr">
        <is>
          <t>Total Assets</t>
        </is>
      </c>
      <c r="B166" s="734" t="n"/>
      <c r="C166" s="734" t="n"/>
      <c r="D166" s="734" t="n"/>
      <c r="E166" s="734" t="n"/>
      <c r="F166" s="734" t="n"/>
      <c r="G166" s="734" t="n"/>
    </row>
    <row r="167" ht="15" customHeight="1">
      <c r="A167" s="1888" t="inlineStr">
        <is>
          <t>Total Assets</t>
        </is>
      </c>
      <c r="B167" s="1889" t="n">
        <v>34249550000</v>
      </c>
      <c r="C167" s="1889" t="n">
        <v>65828670000</v>
      </c>
      <c r="D167" s="1889" t="n">
        <v>65625136000</v>
      </c>
      <c r="E167" s="1889" t="n">
        <v>68418946000</v>
      </c>
      <c r="F167" s="1889" t="n">
        <v>77828380000</v>
      </c>
      <c r="G167" s="1889" t="n">
        <v>77269692000</v>
      </c>
    </row>
    <row r="168" ht="15" customHeight="1">
      <c r="A168" s="1884" t="inlineStr">
        <is>
          <t>Current Liabilities</t>
        </is>
      </c>
      <c r="B168" s="734" t="n"/>
      <c r="C168" s="734" t="n"/>
      <c r="D168" s="734" t="n"/>
      <c r="E168" s="734" t="n"/>
      <c r="F168" s="734" t="n"/>
      <c r="G168" s="734" t="n"/>
    </row>
    <row r="169" ht="15" customHeight="1">
      <c r="A169" s="1885" t="inlineStr">
        <is>
          <t>Trade Accounts Payable &amp; Accruals - Short-Term</t>
        </is>
      </c>
      <c r="B169" s="1807" t="n">
        <v>1097761000</v>
      </c>
      <c r="C169" s="1807" t="n">
        <v>1617100000</v>
      </c>
      <c r="D169" s="1807" t="n">
        <v>2350846000</v>
      </c>
      <c r="E169" s="1807" t="n">
        <v>2669739000</v>
      </c>
      <c r="F169" s="1807" t="n">
        <v>2423471000</v>
      </c>
      <c r="G169" s="1807" t="n">
        <v>2364699000</v>
      </c>
    </row>
    <row r="170" ht="15" customHeight="1">
      <c r="A170" s="1886" t="inlineStr">
        <is>
          <t>Trade Accounts &amp; Trade Notes Payable - Short-Term</t>
        </is>
      </c>
      <c r="B170" s="1807" t="n">
        <v>534866000</v>
      </c>
      <c r="C170" s="1807" t="n">
        <v>521678000</v>
      </c>
      <c r="D170" s="1807" t="n">
        <v>839297000</v>
      </c>
      <c r="E170" s="1807" t="n">
        <v>1206943000</v>
      </c>
      <c r="F170" s="1807" t="n">
        <v>1008214000</v>
      </c>
      <c r="G170" s="1807" t="n">
        <v>1187895000</v>
      </c>
    </row>
    <row r="171" ht="15" customHeight="1">
      <c r="A171" s="1886" t="inlineStr">
        <is>
          <t>Accrued Expenses - Short-Term</t>
        </is>
      </c>
      <c r="B171" s="1807" t="n">
        <v>562895000</v>
      </c>
      <c r="C171" s="1807" t="n">
        <v>1095422000</v>
      </c>
      <c r="D171" s="1807" t="n">
        <v>1511549000</v>
      </c>
      <c r="E171" s="1807" t="n">
        <v>1462796000</v>
      </c>
      <c r="F171" s="1807" t="n">
        <v>1415257000</v>
      </c>
      <c r="G171" s="1807" t="n">
        <v>1176804000</v>
      </c>
    </row>
    <row r="172" ht="15" customHeight="1">
      <c r="A172" s="1885" t="inlineStr">
        <is>
          <t>Short-Term Debt &amp; Current Portion of Long-Term Debt</t>
        </is>
      </c>
      <c r="B172" s="1807" t="n">
        <v>4391102000</v>
      </c>
      <c r="C172" s="1807" t="n">
        <v>16793662000</v>
      </c>
      <c r="D172" s="1807" t="n">
        <v>9563552000</v>
      </c>
      <c r="E172" s="1807" t="n">
        <v>18644171000</v>
      </c>
      <c r="F172" s="1807" t="n">
        <v>15199870000</v>
      </c>
      <c r="G172" s="1807" t="n">
        <v>15747721000</v>
      </c>
    </row>
    <row r="173" ht="15" customHeight="1">
      <c r="A173" s="1886" t="inlineStr">
        <is>
          <t>Short-Term Debt &amp; Notes Payable</t>
        </is>
      </c>
      <c r="B173" s="731" t="n"/>
      <c r="C173" s="731" t="n"/>
      <c r="D173" s="731" t="n"/>
      <c r="E173" s="1807" t="n">
        <v>54500000</v>
      </c>
      <c r="F173" s="1807" t="n">
        <v>0</v>
      </c>
      <c r="G173" s="731" t="n"/>
    </row>
    <row r="174" ht="15" customHeight="1">
      <c r="A174" s="1887" t="inlineStr">
        <is>
          <t>Notes Payable - Short-Term</t>
        </is>
      </c>
      <c r="B174" s="731" t="n"/>
      <c r="C174" s="731" t="n"/>
      <c r="D174" s="731" t="n"/>
      <c r="E174" s="731" t="n"/>
      <c r="F174" s="731" t="n"/>
      <c r="G174" s="731" t="n"/>
    </row>
    <row r="175" ht="15" customHeight="1">
      <c r="A175" s="1886" t="inlineStr">
        <is>
          <t>Current Portion of Long-Term Debt including Capitalized Leases</t>
        </is>
      </c>
      <c r="B175" s="1807" t="n">
        <v>4391102000</v>
      </c>
      <c r="C175" s="1807" t="n">
        <v>16793662000</v>
      </c>
      <c r="D175" s="1807" t="n">
        <v>9563552000</v>
      </c>
      <c r="E175" s="1807" t="n">
        <v>18589671000</v>
      </c>
      <c r="F175" s="1807" t="n">
        <v>15199870000</v>
      </c>
      <c r="G175" s="1807" t="n">
        <v>15747721000</v>
      </c>
    </row>
    <row r="176" ht="15" customHeight="1">
      <c r="A176" s="1887" t="inlineStr">
        <is>
          <t>Current Portion of Long-Term Debt excluding Capitalized Leases</t>
        </is>
      </c>
      <c r="B176" s="1807" t="n">
        <v>4109801000</v>
      </c>
      <c r="C176" s="1807" t="n">
        <v>16440408000</v>
      </c>
      <c r="D176" s="1807" t="n">
        <v>9176580000</v>
      </c>
      <c r="E176" s="1807" t="n">
        <v>18324361000</v>
      </c>
      <c r="F176" s="1807" t="n">
        <v>14954175000</v>
      </c>
      <c r="G176" s="1807" t="n">
        <v>15520246000</v>
      </c>
    </row>
    <row r="177" ht="15" customHeight="1">
      <c r="A177" s="1887" t="inlineStr">
        <is>
          <t>Capitalized Leases - Current Portion</t>
        </is>
      </c>
      <c r="B177" s="1807" t="n">
        <v>281301000</v>
      </c>
      <c r="C177" s="1807" t="n">
        <v>353254000</v>
      </c>
      <c r="D177" s="1807" t="n">
        <v>386972000</v>
      </c>
      <c r="E177" s="1807" t="n">
        <v>265310000</v>
      </c>
      <c r="F177" s="1807" t="n">
        <v>245695000</v>
      </c>
      <c r="G177" s="1807" t="n">
        <v>227475000</v>
      </c>
    </row>
    <row r="178" ht="15" customHeight="1">
      <c r="A178" s="1886" t="inlineStr">
        <is>
          <t>Hybrid Financial Instrument - Liability - Current Portion</t>
        </is>
      </c>
      <c r="B178" s="731" t="n"/>
      <c r="C178" s="731" t="n"/>
      <c r="D178" s="731" t="n"/>
      <c r="E178" s="731" t="n"/>
      <c r="F178" s="731" t="n"/>
      <c r="G178" s="731" t="n"/>
    </row>
    <row r="179" ht="15" customHeight="1">
      <c r="A179" s="1885" t="inlineStr">
        <is>
          <t>Derivative Liabilities - Hedging - Short-Term</t>
        </is>
      </c>
      <c r="B179" s="731" t="n"/>
      <c r="C179" s="731" t="n"/>
      <c r="D179" s="731" t="n"/>
      <c r="E179" s="1807" t="n">
        <v>21922000</v>
      </c>
      <c r="F179" s="1807" t="n">
        <v>0</v>
      </c>
      <c r="G179" s="1807" t="n">
        <v>114000</v>
      </c>
    </row>
    <row r="180" ht="15" customHeight="1">
      <c r="A180" s="1885" t="inlineStr">
        <is>
          <t>Liabilities Held for Sale/Discontinued Operations - Short-Term</t>
        </is>
      </c>
      <c r="B180" s="731" t="n"/>
      <c r="C180" s="731" t="n"/>
      <c r="D180" s="731" t="n"/>
      <c r="E180" s="731" t="n"/>
      <c r="F180" s="731" t="n"/>
      <c r="G180" s="731" t="n"/>
    </row>
    <row r="181" ht="15" customHeight="1">
      <c r="A181" s="1885" t="inlineStr">
        <is>
          <t>Income Taxes - Payable - Short-Term</t>
        </is>
      </c>
      <c r="B181" s="1807" t="n">
        <v>137658000</v>
      </c>
      <c r="C181" s="1807" t="n">
        <v>142437000</v>
      </c>
      <c r="D181" s="1807" t="n">
        <v>167911000</v>
      </c>
      <c r="E181" s="1807" t="n">
        <v>193123000</v>
      </c>
      <c r="F181" s="1807" t="n">
        <v>120460000</v>
      </c>
      <c r="G181" s="1807" t="n">
        <v>55412000</v>
      </c>
    </row>
    <row r="182" ht="15" customHeight="1">
      <c r="A182" s="1885" t="inlineStr">
        <is>
          <t>Dividends/Distributions Payable</t>
        </is>
      </c>
      <c r="B182" s="731" t="n"/>
      <c r="C182" s="731" t="n"/>
      <c r="D182" s="731" t="n"/>
      <c r="E182" s="731" t="n"/>
      <c r="F182" s="731" t="n"/>
      <c r="G182" s="731" t="n"/>
    </row>
    <row r="183" ht="15" customHeight="1">
      <c r="A183" s="1885" t="inlineStr">
        <is>
          <t>Operating Lease Liabilities - Current Portion/Short-Term</t>
        </is>
      </c>
      <c r="B183" s="731" t="n"/>
      <c r="C183" s="731" t="n"/>
      <c r="D183" s="731" t="n"/>
      <c r="E183" s="731" t="n"/>
      <c r="F183" s="731" t="n"/>
      <c r="G183" s="731" t="n"/>
    </row>
    <row r="184" ht="15" customHeight="1">
      <c r="A184" s="1885" t="inlineStr">
        <is>
          <t>Other Current Liabilities - Total</t>
        </is>
      </c>
      <c r="B184" s="1807" t="n">
        <v>1598667000</v>
      </c>
      <c r="C184" s="1807" t="n">
        <v>3327065000</v>
      </c>
      <c r="D184" s="1807" t="n">
        <v>2363775000</v>
      </c>
      <c r="E184" s="1807" t="n">
        <v>2769998000</v>
      </c>
      <c r="F184" s="1807" t="n">
        <v>2380434000</v>
      </c>
      <c r="G184" s="1807" t="n">
        <v>1409724000</v>
      </c>
    </row>
    <row r="185" ht="15" customHeight="1">
      <c r="A185" s="1886" t="inlineStr">
        <is>
          <t>Deferred Income - Short-Term</t>
        </is>
      </c>
      <c r="B185" s="1807" t="n">
        <v>1532578000</v>
      </c>
      <c r="C185" s="1807" t="n">
        <v>2147433000</v>
      </c>
      <c r="D185" s="1807" t="n">
        <v>2148996000</v>
      </c>
      <c r="E185" s="1807" t="n">
        <v>2457037000</v>
      </c>
      <c r="F185" s="1807" t="n">
        <v>2190180000</v>
      </c>
      <c r="G185" s="1807" t="n">
        <v>1222926000</v>
      </c>
    </row>
    <row r="186" ht="15" customHeight="1">
      <c r="A186" s="1886" t="inlineStr">
        <is>
          <t>Security Deposits</t>
        </is>
      </c>
      <c r="B186" s="731" t="n"/>
      <c r="C186" s="731" t="n"/>
      <c r="D186" s="731" t="n"/>
      <c r="E186" s="731" t="n"/>
      <c r="F186" s="731" t="n"/>
      <c r="G186" s="731" t="n"/>
    </row>
    <row r="187" ht="15" customHeight="1">
      <c r="A187" s="1886" t="inlineStr">
        <is>
          <t>Billings in Excess of Cost - Short-Term</t>
        </is>
      </c>
      <c r="B187" s="731" t="n"/>
      <c r="C187" s="731" t="n"/>
      <c r="D187" s="731" t="n"/>
      <c r="E187" s="731" t="n"/>
      <c r="F187" s="731" t="n"/>
      <c r="G187" s="731" t="n"/>
    </row>
    <row r="188" ht="15" customHeight="1">
      <c r="A188" s="1886" t="inlineStr">
        <is>
          <t>Customer Advances - Short-Term</t>
        </is>
      </c>
      <c r="B188" s="731" t="n"/>
      <c r="C188" s="731" t="n"/>
      <c r="D188" s="731" t="n"/>
      <c r="E188" s="731" t="n"/>
      <c r="F188" s="731" t="n"/>
      <c r="G188" s="731" t="n"/>
    </row>
    <row r="189" ht="15" customHeight="1">
      <c r="A189" s="1886" t="inlineStr">
        <is>
          <t>Deferred Tax - Liability - Short-Term</t>
        </is>
      </c>
      <c r="B189" s="731" t="n"/>
      <c r="C189" s="731" t="n"/>
      <c r="D189" s="731" t="n"/>
      <c r="E189" s="731" t="n"/>
      <c r="F189" s="731" t="n"/>
      <c r="G189" s="731" t="n"/>
    </row>
    <row r="190" ht="15" customHeight="1">
      <c r="A190" s="1886" t="inlineStr">
        <is>
          <t>Provisions - Short-Term</t>
        </is>
      </c>
      <c r="B190" s="731" t="n"/>
      <c r="C190" s="731" t="n"/>
      <c r="D190" s="731" t="n"/>
      <c r="E190" s="731" t="n"/>
      <c r="F190" s="731" t="n"/>
      <c r="G190" s="731" t="n"/>
    </row>
    <row r="191" ht="15" customHeight="1">
      <c r="A191" s="1886" t="inlineStr">
        <is>
          <t>Regulatory Liability - Short-Term</t>
        </is>
      </c>
      <c r="B191" s="731" t="n"/>
      <c r="C191" s="731" t="n"/>
      <c r="D191" s="731" t="n"/>
      <c r="E191" s="731" t="n"/>
      <c r="F191" s="731" t="n"/>
      <c r="G191" s="731" t="n"/>
    </row>
    <row r="192" ht="15" customHeight="1">
      <c r="A192" s="1886" t="inlineStr">
        <is>
          <t>Other Current Liabilities</t>
        </is>
      </c>
      <c r="B192" s="1807" t="n">
        <v>66089000</v>
      </c>
      <c r="C192" s="1807" t="n">
        <v>1179632000</v>
      </c>
      <c r="D192" s="1807" t="n">
        <v>214779000</v>
      </c>
      <c r="E192" s="1807" t="n">
        <v>312961000</v>
      </c>
      <c r="F192" s="1807" t="n">
        <v>190254000</v>
      </c>
      <c r="G192" s="1807" t="n">
        <v>186798000</v>
      </c>
    </row>
    <row r="193" ht="15" customHeight="1">
      <c r="A193" s="1888" t="inlineStr">
        <is>
          <t>Total Current Liabilities</t>
        </is>
      </c>
      <c r="B193" s="1889" t="n">
        <v>7225188000</v>
      </c>
      <c r="C193" s="1889" t="n">
        <v>21880264000</v>
      </c>
      <c r="D193" s="1889" t="n">
        <v>14446084000</v>
      </c>
      <c r="E193" s="1889" t="n">
        <v>24298953000</v>
      </c>
      <c r="F193" s="1889" t="n">
        <v>20124235000</v>
      </c>
      <c r="G193" s="1889" t="n">
        <v>19577670000</v>
      </c>
    </row>
    <row r="194" ht="15" customHeight="1">
      <c r="A194" s="1884" t="inlineStr">
        <is>
          <t>Non-Current Liabilities</t>
        </is>
      </c>
      <c r="B194" s="734" t="n"/>
      <c r="C194" s="734" t="n"/>
      <c r="D194" s="734" t="n"/>
      <c r="E194" s="734" t="n"/>
      <c r="F194" s="734" t="n"/>
      <c r="G194" s="734" t="n"/>
    </row>
    <row r="195" ht="15" customHeight="1">
      <c r="A195" s="1885" t="inlineStr">
        <is>
          <t>Accounts Payable including Accrued Expenses - Long-Term</t>
        </is>
      </c>
      <c r="B195" s="731" t="n"/>
      <c r="C195" s="731" t="n"/>
      <c r="D195" s="731" t="n"/>
      <c r="E195" s="731" t="n"/>
      <c r="F195" s="731" t="n"/>
      <c r="G195" s="731" t="n"/>
    </row>
    <row r="196" ht="15" customHeight="1">
      <c r="A196" s="1886" t="inlineStr">
        <is>
          <t>Trade Accounts Payable - Long-Term</t>
        </is>
      </c>
      <c r="B196" s="731" t="n"/>
      <c r="C196" s="731" t="n"/>
      <c r="D196" s="731" t="n"/>
      <c r="E196" s="731" t="n"/>
      <c r="F196" s="731" t="n"/>
      <c r="G196" s="731" t="n"/>
    </row>
    <row r="197" ht="15" customHeight="1">
      <c r="A197" s="1886" t="inlineStr">
        <is>
          <t>Accrued Expenses - Long-Term</t>
        </is>
      </c>
      <c r="B197" s="731" t="n"/>
      <c r="C197" s="731" t="n"/>
      <c r="D197" s="731" t="n"/>
      <c r="E197" s="731" t="n"/>
      <c r="F197" s="731" t="n"/>
      <c r="G197" s="731" t="n"/>
    </row>
    <row r="198" ht="15" customHeight="1">
      <c r="A198" s="1885" t="inlineStr">
        <is>
          <t>Debt - Long-Term - Total</t>
        </is>
      </c>
      <c r="B198" s="1807" t="n">
        <v>15805689000</v>
      </c>
      <c r="C198" s="1807" t="n">
        <v>30191078000</v>
      </c>
      <c r="D198" s="1807" t="n">
        <v>35408616000</v>
      </c>
      <c r="E198" s="1807" t="n">
        <v>26323431000</v>
      </c>
      <c r="F198" s="1807" t="n">
        <v>37136265000</v>
      </c>
      <c r="G198" s="1807" t="n">
        <v>29471717000</v>
      </c>
    </row>
    <row r="199" ht="15" customHeight="1">
      <c r="A199" s="1886" t="inlineStr">
        <is>
          <t>Long-Term Debt excluding Capitalized Leases</t>
        </is>
      </c>
      <c r="B199" s="1807" t="n">
        <v>14074947000</v>
      </c>
      <c r="C199" s="1807" t="n">
        <v>27998782000</v>
      </c>
      <c r="D199" s="1807" t="n">
        <v>33818031000</v>
      </c>
      <c r="E199" s="1807" t="n">
        <v>26143323000</v>
      </c>
      <c r="F199" s="1807" t="n">
        <v>36463187000</v>
      </c>
      <c r="G199" s="1807" t="n">
        <v>29032812000</v>
      </c>
    </row>
    <row r="200" ht="15" customHeight="1">
      <c r="A200" s="1887" t="inlineStr">
        <is>
          <t>Debt - Non-Convertible - Long-Term</t>
        </is>
      </c>
      <c r="B200" s="1807" t="n">
        <v>14074947000</v>
      </c>
      <c r="C200" s="1807" t="n">
        <v>27998782000</v>
      </c>
      <c r="D200" s="1807" t="n">
        <v>33818031000</v>
      </c>
      <c r="E200" s="1807" t="n">
        <v>26143323000</v>
      </c>
      <c r="F200" s="1807" t="n">
        <v>36463187000</v>
      </c>
      <c r="G200" s="1807" t="n">
        <v>29032812000</v>
      </c>
    </row>
    <row r="201" ht="15" customHeight="1">
      <c r="A201" s="1890" t="inlineStr">
        <is>
          <t>Notes Payable - Long-Term</t>
        </is>
      </c>
      <c r="B201" s="731" t="n"/>
      <c r="C201" s="731" t="n"/>
      <c r="D201" s="731" t="n"/>
      <c r="E201" s="731" t="n"/>
      <c r="F201" s="731" t="n"/>
      <c r="G201" s="731" t="n"/>
    </row>
    <row r="202" ht="15" customHeight="1">
      <c r="A202" s="1887" t="inlineStr">
        <is>
          <t>Convertible Debt - Long-Term</t>
        </is>
      </c>
      <c r="B202" s="731" t="n"/>
      <c r="C202" s="731" t="n"/>
      <c r="D202" s="731" t="n"/>
      <c r="E202" s="731" t="n"/>
      <c r="F202" s="731" t="n"/>
      <c r="G202" s="731" t="n"/>
    </row>
    <row r="203" ht="15" customHeight="1">
      <c r="A203" s="1886" t="inlineStr">
        <is>
          <t>Hybrid Financial Instrument - Liability - Long-Term</t>
        </is>
      </c>
      <c r="B203" s="731" t="n"/>
      <c r="C203" s="731" t="n"/>
      <c r="D203" s="731" t="n"/>
      <c r="E203" s="731" t="n"/>
      <c r="F203" s="731" t="n"/>
      <c r="G203" s="731" t="n"/>
    </row>
    <row r="204" ht="15" customHeight="1">
      <c r="A204" s="1887" t="inlineStr">
        <is>
          <t>Mandatorily Redeemable Trust Certificates - Long-Term</t>
        </is>
      </c>
      <c r="B204" s="731" t="n"/>
      <c r="C204" s="731" t="n"/>
      <c r="D204" s="731" t="n"/>
      <c r="E204" s="731" t="n"/>
      <c r="F204" s="731" t="n"/>
      <c r="G204" s="731" t="n"/>
    </row>
    <row r="205" ht="15" customHeight="1">
      <c r="A205" s="1887" t="inlineStr">
        <is>
          <t>Other Mandatorily Redeemable Equity Instruments - Long-Term</t>
        </is>
      </c>
      <c r="B205" s="731" t="n"/>
      <c r="C205" s="731" t="n"/>
      <c r="D205" s="731" t="n"/>
      <c r="E205" s="731" t="n"/>
      <c r="F205" s="731" t="n"/>
      <c r="G205" s="731" t="n"/>
    </row>
    <row r="206" ht="15" customHeight="1">
      <c r="A206" s="1887" t="inlineStr">
        <is>
          <t>Preferred Stock - Liability Portion - Long-Term</t>
        </is>
      </c>
      <c r="B206" s="731" t="n"/>
      <c r="C206" s="731" t="n"/>
      <c r="D206" s="731" t="n"/>
      <c r="E206" s="731" t="n"/>
      <c r="F206" s="731" t="n"/>
      <c r="G206" s="731" t="n"/>
    </row>
    <row r="207" ht="15" customHeight="1">
      <c r="A207" s="1886" t="inlineStr">
        <is>
          <t>Capitalized Lease Obligations - Long-Term</t>
        </is>
      </c>
      <c r="B207" s="1807" t="n">
        <v>1730742000</v>
      </c>
      <c r="C207" s="1807" t="n">
        <v>2192296000</v>
      </c>
      <c r="D207" s="1807" t="n">
        <v>1590585000</v>
      </c>
      <c r="E207" s="1807" t="n">
        <v>180108000</v>
      </c>
      <c r="F207" s="1807" t="n">
        <v>673078000</v>
      </c>
      <c r="G207" s="1807" t="n">
        <v>438905000</v>
      </c>
    </row>
    <row r="208" ht="15" customHeight="1">
      <c r="A208" s="1885" t="inlineStr">
        <is>
          <t>Derivative Liabilities - Hedging - Long-Term</t>
        </is>
      </c>
      <c r="B208" s="1807" t="n">
        <v>83733000</v>
      </c>
      <c r="C208" s="1807" t="n">
        <v>137906000</v>
      </c>
      <c r="D208" s="1807" t="n">
        <v>39427000</v>
      </c>
      <c r="E208" s="1807" t="n">
        <v>22032000</v>
      </c>
      <c r="F208" s="1807" t="n">
        <v>167736000</v>
      </c>
      <c r="G208" s="1807" t="n">
        <v>84378000</v>
      </c>
    </row>
    <row r="209" ht="15" customHeight="1">
      <c r="A209" s="1885" t="inlineStr">
        <is>
          <t>Liabilities Held for Sale/Discontinued Operations - Long-Term</t>
        </is>
      </c>
      <c r="B209" s="731" t="n"/>
      <c r="C209" s="731" t="n"/>
      <c r="D209" s="731" t="n"/>
      <c r="E209" s="731" t="n"/>
      <c r="F209" s="731" t="n"/>
      <c r="G209" s="731" t="n"/>
    </row>
    <row r="210" ht="15" customHeight="1">
      <c r="A210" s="1885" t="inlineStr">
        <is>
          <t>Deferred Tax &amp; Investment Tax Credits - Long-Term</t>
        </is>
      </c>
      <c r="B210" s="1807" t="n">
        <v>461458000</v>
      </c>
      <c r="C210" s="1807" t="n">
        <v>977527000</v>
      </c>
      <c r="D210" s="1807" t="n">
        <v>944030000</v>
      </c>
      <c r="E210" s="1807" t="n">
        <v>841962000</v>
      </c>
      <c r="F210" s="1807" t="n">
        <v>724311000</v>
      </c>
      <c r="G210" s="1807" t="n">
        <v>442436000</v>
      </c>
    </row>
    <row r="211" ht="15" customHeight="1">
      <c r="A211" s="1886" t="inlineStr">
        <is>
          <t>Deferred Tax - Liability - Long-Term</t>
        </is>
      </c>
      <c r="B211" s="1807" t="n">
        <v>461458000</v>
      </c>
      <c r="C211" s="1807" t="n">
        <v>977527000</v>
      </c>
      <c r="D211" s="1807" t="n">
        <v>944030000</v>
      </c>
      <c r="E211" s="1807" t="n">
        <v>841962000</v>
      </c>
      <c r="F211" s="1807" t="n">
        <v>724311000</v>
      </c>
      <c r="G211" s="1807" t="n">
        <v>442436000</v>
      </c>
    </row>
    <row r="212" ht="15" customHeight="1">
      <c r="A212" s="1887" t="inlineStr">
        <is>
          <t>Deferred Tax - Liability - in Untaxed Reserves</t>
        </is>
      </c>
      <c r="B212" s="731" t="n"/>
      <c r="C212" s="731" t="n"/>
      <c r="D212" s="731" t="n"/>
      <c r="E212" s="731" t="n"/>
      <c r="F212" s="731" t="n"/>
      <c r="G212" s="731" t="n"/>
    </row>
    <row r="213" ht="15" customHeight="1">
      <c r="A213" s="1885" t="inlineStr">
        <is>
          <t>Operating Lease Liabilities - Long-Term</t>
        </is>
      </c>
      <c r="B213" s="731" t="n"/>
      <c r="C213" s="731" t="n"/>
      <c r="D213" s="731" t="n"/>
      <c r="E213" s="731" t="n"/>
      <c r="F213" s="731" t="n"/>
      <c r="G213" s="731" t="n"/>
    </row>
    <row r="214" ht="15" customHeight="1">
      <c r="A214" s="1885" t="inlineStr">
        <is>
          <t>Other Non-Current Liabilities - Total</t>
        </is>
      </c>
      <c r="B214" s="1807" t="n">
        <v>489434000</v>
      </c>
      <c r="C214" s="1807" t="n">
        <v>579879000</v>
      </c>
      <c r="D214" s="1807" t="n">
        <v>354645000</v>
      </c>
      <c r="E214" s="1807" t="n">
        <v>420904000</v>
      </c>
      <c r="F214" s="1807" t="n">
        <v>506624000</v>
      </c>
      <c r="G214" s="1807" t="n">
        <v>610185000</v>
      </c>
    </row>
    <row r="215" ht="15" customHeight="1">
      <c r="A215" s="1886" t="inlineStr">
        <is>
          <t>Provisions - Long-Term</t>
        </is>
      </c>
      <c r="B215" s="1807" t="n">
        <v>447452000</v>
      </c>
      <c r="C215" s="1807" t="n">
        <v>542732000</v>
      </c>
      <c r="D215" s="1807" t="n">
        <v>319344000</v>
      </c>
      <c r="E215" s="1807" t="n">
        <v>390532000</v>
      </c>
      <c r="F215" s="1807" t="n">
        <v>473384000</v>
      </c>
      <c r="G215" s="1807" t="n">
        <v>579845000</v>
      </c>
    </row>
    <row r="216" ht="15" customHeight="1">
      <c r="A216" s="1887" t="inlineStr">
        <is>
          <t>Post Employment Benefits - Pension &amp; Other - Long-Term</t>
        </is>
      </c>
      <c r="B216" s="1807" t="n">
        <v>24248000</v>
      </c>
      <c r="C216" s="1807" t="n">
        <v>65198000</v>
      </c>
      <c r="D216" s="1807" t="n">
        <v>46098000</v>
      </c>
      <c r="E216" s="1807" t="n">
        <v>76518000</v>
      </c>
      <c r="F216" s="1807" t="n">
        <v>119404000</v>
      </c>
      <c r="G216" s="1807" t="n">
        <v>199206000</v>
      </c>
    </row>
    <row r="217" ht="15" customHeight="1">
      <c r="A217" s="1887" t="inlineStr">
        <is>
          <t>Asset Retirement Obligation - Long-Term</t>
        </is>
      </c>
      <c r="B217" s="731" t="n"/>
      <c r="C217" s="731" t="n"/>
      <c r="D217" s="731" t="n"/>
      <c r="E217" s="731" t="n"/>
      <c r="F217" s="731" t="n"/>
      <c r="G217" s="731" t="n"/>
    </row>
    <row r="218" ht="15" customHeight="1">
      <c r="A218" s="1887" t="inlineStr">
        <is>
          <t>Provisions - Litigation - Long-Term</t>
        </is>
      </c>
      <c r="B218" s="731" t="n"/>
      <c r="C218" s="731" t="n"/>
      <c r="D218" s="731" t="n"/>
      <c r="E218" s="731" t="n"/>
      <c r="F218" s="731" t="n"/>
      <c r="G218" s="731" t="n"/>
    </row>
    <row r="219" ht="15" customHeight="1">
      <c r="A219" s="1887" t="inlineStr">
        <is>
          <t>Provisions - Restructuring - Long-Term</t>
        </is>
      </c>
      <c r="B219" s="731" t="n"/>
      <c r="C219" s="731" t="n"/>
      <c r="D219" s="731" t="n"/>
      <c r="E219" s="731" t="n"/>
      <c r="F219" s="731" t="n"/>
      <c r="G219" s="731" t="n"/>
    </row>
    <row r="220" ht="15" customHeight="1">
      <c r="A220" s="1887" t="inlineStr">
        <is>
          <t>Provisions - Environmental Obligations - Long-Term</t>
        </is>
      </c>
      <c r="B220" s="731" t="n"/>
      <c r="C220" s="731" t="n"/>
      <c r="D220" s="731" t="n"/>
      <c r="E220" s="731" t="n"/>
      <c r="F220" s="731" t="n"/>
      <c r="G220" s="731" t="n"/>
    </row>
    <row r="221" ht="15" customHeight="1">
      <c r="A221" s="1887" t="inlineStr">
        <is>
          <t>Provisions - Other - Long-Term</t>
        </is>
      </c>
      <c r="B221" s="1807" t="n">
        <v>423204000</v>
      </c>
      <c r="C221" s="1807" t="n">
        <v>477534000</v>
      </c>
      <c r="D221" s="1807" t="n">
        <v>273246000</v>
      </c>
      <c r="E221" s="1807" t="n">
        <v>314014000</v>
      </c>
      <c r="F221" s="1807" t="n">
        <v>353980000</v>
      </c>
      <c r="G221" s="1807" t="n">
        <v>380639000</v>
      </c>
    </row>
    <row r="222" ht="15" customHeight="1">
      <c r="A222" s="1886" t="inlineStr">
        <is>
          <t>Customer Advances - Long-Term</t>
        </is>
      </c>
      <c r="B222" s="731" t="n"/>
      <c r="C222" s="731" t="n"/>
      <c r="D222" s="731" t="n"/>
      <c r="E222" s="731" t="n"/>
      <c r="F222" s="731" t="n"/>
      <c r="G222" s="731" t="n"/>
    </row>
    <row r="223" ht="15" customHeight="1">
      <c r="A223" s="1886" t="inlineStr">
        <is>
          <t>Deferred Revenue - Long-Term</t>
        </is>
      </c>
      <c r="B223" s="1807" t="n">
        <v>41982000</v>
      </c>
      <c r="C223" s="1807" t="n">
        <v>37147000</v>
      </c>
      <c r="D223" s="1807" t="n">
        <v>35301000</v>
      </c>
      <c r="E223" s="1807" t="n">
        <v>30372000</v>
      </c>
      <c r="F223" s="1807" t="n">
        <v>33240000</v>
      </c>
      <c r="G223" s="1807" t="n">
        <v>30340000</v>
      </c>
    </row>
    <row r="224" ht="15" customHeight="1">
      <c r="A224" s="1886" t="inlineStr">
        <is>
          <t>Regulatory Liabilities - Long-Term</t>
        </is>
      </c>
      <c r="B224" s="731" t="n"/>
      <c r="C224" s="731" t="n"/>
      <c r="D224" s="731" t="n"/>
      <c r="E224" s="731" t="n"/>
      <c r="F224" s="731" t="n"/>
      <c r="G224" s="731" t="n"/>
    </row>
    <row r="225" ht="15" customHeight="1">
      <c r="A225" s="1886" t="inlineStr">
        <is>
          <t>Other Non-Current Liabilities</t>
        </is>
      </c>
      <c r="B225" s="731" t="n"/>
      <c r="C225" s="731" t="n"/>
      <c r="D225" s="731" t="n"/>
      <c r="E225" s="731" t="n"/>
      <c r="F225" s="731" t="n"/>
      <c r="G225" s="731" t="n"/>
    </row>
    <row r="226" ht="15" customHeight="1">
      <c r="A226" s="1885" t="inlineStr">
        <is>
          <t>Minority Interest - Non-Equity</t>
        </is>
      </c>
      <c r="B226" s="731" t="n"/>
      <c r="C226" s="731" t="n"/>
      <c r="D226" s="731" t="n"/>
      <c r="E226" s="731" t="n"/>
      <c r="F226" s="731" t="n"/>
      <c r="G226" s="731" t="n"/>
    </row>
    <row r="227" ht="15" customHeight="1">
      <c r="A227" s="1885" t="inlineStr">
        <is>
          <t>Total Non-Current Liabilities</t>
        </is>
      </c>
      <c r="B227" s="1807" t="n">
        <v>16840314000</v>
      </c>
      <c r="C227" s="1807" t="n">
        <v>31886390000</v>
      </c>
      <c r="D227" s="1807" t="n">
        <v>36746718000</v>
      </c>
      <c r="E227" s="1807" t="n">
        <v>27608329000</v>
      </c>
      <c r="F227" s="1807" t="n">
        <v>38534936000</v>
      </c>
      <c r="G227" s="1807" t="n">
        <v>30608716000</v>
      </c>
    </row>
    <row r="228" ht="15" customHeight="1">
      <c r="A228" s="1884" t="inlineStr">
        <is>
          <t>Total Liabilities</t>
        </is>
      </c>
      <c r="B228" s="734" t="n"/>
      <c r="C228" s="734" t="n"/>
      <c r="D228" s="734" t="n"/>
      <c r="E228" s="734" t="n"/>
      <c r="F228" s="734" t="n"/>
      <c r="G228" s="734" t="n"/>
    </row>
    <row r="229" ht="15" customHeight="1">
      <c r="A229" s="1888" t="inlineStr">
        <is>
          <t>Total Liabilities</t>
        </is>
      </c>
      <c r="B229" s="1889" t="n">
        <v>24065502000</v>
      </c>
      <c r="C229" s="1889" t="n">
        <v>53766654000</v>
      </c>
      <c r="D229" s="1889" t="n">
        <v>51192802000</v>
      </c>
      <c r="E229" s="1889" t="n">
        <v>51907282000</v>
      </c>
      <c r="F229" s="1889" t="n">
        <v>58659171000</v>
      </c>
      <c r="G229" s="1889" t="n">
        <v>50186386000</v>
      </c>
    </row>
    <row r="230" ht="15" customHeight="1">
      <c r="A230" s="1884" t="inlineStr">
        <is>
          <t>Shareholders' Equity</t>
        </is>
      </c>
      <c r="B230" s="734" t="n"/>
      <c r="C230" s="734" t="n"/>
      <c r="D230" s="734" t="n"/>
      <c r="E230" s="734" t="n"/>
      <c r="F230" s="734" t="n"/>
      <c r="G230" s="734" t="n"/>
    </row>
    <row r="231" ht="15" customHeight="1">
      <c r="A231" s="1885" t="inlineStr">
        <is>
          <t>Shareholders' Equity - Attributable to Parent Shareholders - Total</t>
        </is>
      </c>
      <c r="B231" s="1807" t="n">
        <v>10154040000</v>
      </c>
      <c r="C231" s="1807" t="n">
        <v>12030997000</v>
      </c>
      <c r="D231" s="1807" t="n">
        <v>14400568000</v>
      </c>
      <c r="E231" s="1807" t="n">
        <v>16456392000</v>
      </c>
      <c r="F231" s="1807" t="n">
        <v>19098622000</v>
      </c>
      <c r="G231" s="1807" t="n">
        <v>26972415000</v>
      </c>
    </row>
    <row r="232" ht="15" customHeight="1">
      <c r="A232" s="1886" t="inlineStr">
        <is>
          <t>Preferred Shareholders Equity</t>
        </is>
      </c>
      <c r="B232" s="731" t="n"/>
      <c r="C232" s="731" t="n"/>
      <c r="D232" s="731" t="n"/>
      <c r="E232" s="731" t="n"/>
      <c r="F232" s="731" t="n"/>
      <c r="G232" s="731" t="n"/>
    </row>
    <row r="233" ht="15" customHeight="1">
      <c r="A233" s="1887" t="inlineStr">
        <is>
          <t>Preferred Stock - Redeemable - Total</t>
        </is>
      </c>
      <c r="B233" s="731" t="n"/>
      <c r="C233" s="731" t="n"/>
      <c r="D233" s="731" t="n"/>
      <c r="E233" s="731" t="n"/>
      <c r="F233" s="731" t="n"/>
      <c r="G233" s="731" t="n"/>
    </row>
    <row r="234" ht="15" customHeight="1">
      <c r="A234" s="1890" t="inlineStr">
        <is>
          <t>Preferred Stock - Redeemable - Convertible</t>
        </is>
      </c>
      <c r="B234" s="731" t="n"/>
      <c r="C234" s="731" t="n"/>
      <c r="D234" s="731" t="n"/>
      <c r="E234" s="731" t="n"/>
      <c r="F234" s="731" t="n"/>
      <c r="G234" s="731" t="n"/>
    </row>
    <row r="235" ht="15" customHeight="1">
      <c r="A235" s="1887" t="inlineStr">
        <is>
          <t>Preferred Stock - Non-Redeemable</t>
        </is>
      </c>
      <c r="B235" s="731" t="n"/>
      <c r="C235" s="731" t="n"/>
      <c r="D235" s="731" t="n"/>
      <c r="E235" s="731" t="n"/>
      <c r="F235" s="731" t="n"/>
      <c r="G235" s="731" t="n"/>
    </row>
    <row r="236" ht="15" customHeight="1">
      <c r="A236" s="1890" t="inlineStr">
        <is>
          <t>Preferred Stock - Convertible - Non-Redeemable</t>
        </is>
      </c>
      <c r="B236" s="731" t="n"/>
      <c r="C236" s="731" t="n"/>
      <c r="D236" s="731" t="n"/>
      <c r="E236" s="731" t="n"/>
      <c r="F236" s="731" t="n"/>
      <c r="G236" s="731" t="n"/>
    </row>
    <row r="237" ht="15" customHeight="1">
      <c r="A237" s="1887" t="inlineStr">
        <is>
          <t>Preferred Equity - Contributed</t>
        </is>
      </c>
      <c r="B237" s="731" t="n"/>
      <c r="C237" s="731" t="n"/>
      <c r="D237" s="731" t="n"/>
      <c r="E237" s="731" t="n"/>
      <c r="F237" s="731" t="n"/>
      <c r="G237" s="731" t="n"/>
    </row>
    <row r="238" ht="15" customHeight="1">
      <c r="A238" s="1890" t="inlineStr">
        <is>
          <t>Preferred Stock - Issued for ESOP</t>
        </is>
      </c>
      <c r="B238" s="731" t="n"/>
      <c r="C238" s="731" t="n"/>
      <c r="D238" s="731" t="n"/>
      <c r="E238" s="731" t="n"/>
      <c r="F238" s="731" t="n"/>
      <c r="G238" s="731" t="n"/>
    </row>
    <row r="239" ht="15" customHeight="1">
      <c r="A239" s="1887" t="inlineStr">
        <is>
          <t>Preferred Stock - Treasury/Repurchased</t>
        </is>
      </c>
      <c r="B239" s="731" t="n"/>
      <c r="C239" s="731" t="n"/>
      <c r="D239" s="731" t="n"/>
      <c r="E239" s="731" t="n"/>
      <c r="F239" s="731" t="n"/>
      <c r="G239" s="731" t="n"/>
    </row>
    <row r="240" ht="15" customHeight="1">
      <c r="A240" s="1887" t="inlineStr">
        <is>
          <t>ESOP Guarantees - Preferred &amp; Deferred Compensation</t>
        </is>
      </c>
      <c r="B240" s="731" t="n"/>
      <c r="C240" s="731" t="n"/>
      <c r="D240" s="731" t="n"/>
      <c r="E240" s="731" t="n"/>
      <c r="F240" s="731" t="n"/>
      <c r="G240" s="731" t="n"/>
    </row>
    <row r="241" ht="15" customHeight="1">
      <c r="A241" s="1887" t="inlineStr">
        <is>
          <t>Preferred Stock - Redeemable - Temporary Equity</t>
        </is>
      </c>
      <c r="B241" s="731" t="n"/>
      <c r="C241" s="731" t="n"/>
      <c r="D241" s="731" t="n"/>
      <c r="E241" s="731" t="n"/>
      <c r="F241" s="731" t="n"/>
      <c r="G241" s="731" t="n"/>
    </row>
    <row r="242" ht="15" customHeight="1">
      <c r="A242" s="1886" t="inlineStr">
        <is>
          <t>Common Equity Attributable to Parent Shareholders</t>
        </is>
      </c>
      <c r="B242" s="1807" t="n">
        <v>10154040000</v>
      </c>
      <c r="C242" s="1807" t="n">
        <v>12030997000</v>
      </c>
      <c r="D242" s="1807" t="n">
        <v>14400568000</v>
      </c>
      <c r="E242" s="1807" t="n">
        <v>16456392000</v>
      </c>
      <c r="F242" s="1807" t="n">
        <v>19098622000</v>
      </c>
      <c r="G242" s="1807" t="n">
        <v>26972415000</v>
      </c>
    </row>
    <row r="243" ht="15" customHeight="1">
      <c r="A243" s="1887" t="inlineStr">
        <is>
          <t>Common Stock - Treasury/Repurchased</t>
        </is>
      </c>
      <c r="B243" s="1807" t="n">
        <v>786901000</v>
      </c>
      <c r="C243" s="1807" t="n">
        <v>931422000</v>
      </c>
      <c r="D243" s="1807" t="n">
        <v>931422000</v>
      </c>
      <c r="E243" s="1807" t="n">
        <v>931339000</v>
      </c>
      <c r="F243" s="1807" t="n">
        <v>738670000</v>
      </c>
      <c r="G243" s="1807" t="n">
        <v>636817000</v>
      </c>
    </row>
    <row r="244" ht="15" customHeight="1">
      <c r="A244" s="1887" t="inlineStr">
        <is>
          <t>Common Stock - Held in ESOP or Trust/Deferred Compensation</t>
        </is>
      </c>
      <c r="B244" s="731" t="n"/>
      <c r="C244" s="731" t="n"/>
      <c r="D244" s="731" t="n"/>
      <c r="E244" s="731" t="n"/>
      <c r="F244" s="731" t="n"/>
      <c r="G244" s="731" t="n"/>
    </row>
    <row r="245" ht="15" customHeight="1">
      <c r="A245" s="1887" t="inlineStr">
        <is>
          <t>Common Equity - Contributed</t>
        </is>
      </c>
      <c r="B245" s="1807" t="n">
        <v>530722000</v>
      </c>
      <c r="C245" s="1807" t="n">
        <v>554634000</v>
      </c>
      <c r="D245" s="1807" t="n">
        <v>595626000</v>
      </c>
      <c r="E245" s="1807" t="n">
        <v>620065000</v>
      </c>
      <c r="F245" s="1807" t="n">
        <v>635210000</v>
      </c>
      <c r="G245" s="1807" t="n">
        <v>6060742000</v>
      </c>
    </row>
    <row r="246" ht="15" customHeight="1">
      <c r="A246" s="1890" t="inlineStr">
        <is>
          <t>Common Stock - Issued &amp; Paid</t>
        </is>
      </c>
      <c r="B246" s="1807" t="n">
        <v>510146000</v>
      </c>
      <c r="C246" s="1807" t="n">
        <v>510146000</v>
      </c>
      <c r="D246" s="1807" t="n">
        <v>510146000</v>
      </c>
      <c r="E246" s="1807" t="n">
        <v>510146000</v>
      </c>
      <c r="F246" s="1807" t="n">
        <v>523691000</v>
      </c>
      <c r="G246" s="1807" t="n">
        <v>590981000</v>
      </c>
    </row>
    <row r="247" ht="15" customHeight="1">
      <c r="A247" s="1891" t="inlineStr">
        <is>
          <t>Limited Partner</t>
        </is>
      </c>
      <c r="B247" s="731" t="n"/>
      <c r="C247" s="731" t="n"/>
      <c r="D247" s="731" t="n"/>
      <c r="E247" s="731" t="n"/>
      <c r="F247" s="731" t="n"/>
      <c r="G247" s="731" t="n"/>
    </row>
    <row r="248" ht="15" customHeight="1">
      <c r="A248" s="1890" t="inlineStr">
        <is>
          <t>Common Stock - Additional Paid in Capital including Option Reserve</t>
        </is>
      </c>
      <c r="B248" s="1807" t="n">
        <v>20576000</v>
      </c>
      <c r="C248" s="1807" t="n">
        <v>44488000</v>
      </c>
      <c r="D248" s="1807" t="n">
        <v>85480000</v>
      </c>
      <c r="E248" s="1807" t="n">
        <v>109919000</v>
      </c>
      <c r="F248" s="1807" t="n">
        <v>111519000</v>
      </c>
      <c r="G248" s="1807" t="n">
        <v>5469761000</v>
      </c>
    </row>
    <row r="249" ht="15" customHeight="1">
      <c r="A249" s="1890" t="inlineStr">
        <is>
          <t>Common Share Capital including Additional Paid in Capital - Total</t>
        </is>
      </c>
      <c r="B249" s="731" t="n"/>
      <c r="C249" s="731" t="n"/>
      <c r="D249" s="731" t="n"/>
      <c r="E249" s="731" t="n"/>
      <c r="F249" s="731" t="n"/>
      <c r="G249" s="731" t="n"/>
    </row>
    <row r="250" ht="15" customHeight="1">
      <c r="A250" s="1887" t="inlineStr">
        <is>
          <t>Equity - Non-Contributed - Reserves &amp; Retained Earnings</t>
        </is>
      </c>
      <c r="B250" s="1807" t="n">
        <v>10410219000</v>
      </c>
      <c r="C250" s="1807" t="n">
        <v>12407785000</v>
      </c>
      <c r="D250" s="1807" t="n">
        <v>14736364000</v>
      </c>
      <c r="E250" s="1807" t="n">
        <v>16767666000</v>
      </c>
      <c r="F250" s="1807" t="n">
        <v>19202082000</v>
      </c>
      <c r="G250" s="1807" t="n">
        <v>21548490000</v>
      </c>
    </row>
    <row r="251" ht="15" customHeight="1">
      <c r="A251" s="1890" t="inlineStr">
        <is>
          <t>Retained Earnings - Total</t>
        </is>
      </c>
      <c r="B251" s="1807" t="n">
        <v>10365634000</v>
      </c>
      <c r="C251" s="1807" t="n">
        <v>12394007000</v>
      </c>
      <c r="D251" s="1807" t="n">
        <v>14635878000</v>
      </c>
      <c r="E251" s="1807" t="n">
        <v>16688820000</v>
      </c>
      <c r="F251" s="1807" t="n">
        <v>19122894000</v>
      </c>
      <c r="G251" s="1807" t="n">
        <v>21602062000</v>
      </c>
    </row>
    <row r="252" ht="15" customHeight="1">
      <c r="A252" s="1890" t="inlineStr">
        <is>
          <t>Comprehensive Income - Accumulated - Total</t>
        </is>
      </c>
      <c r="B252" s="1807" t="n">
        <v>44585000</v>
      </c>
      <c r="C252" s="1807" t="n">
        <v>13778000</v>
      </c>
      <c r="D252" s="1807" t="n">
        <v>100486000</v>
      </c>
      <c r="E252" s="1807" t="n">
        <v>78846000</v>
      </c>
      <c r="F252" s="1807" t="n">
        <v>79188000</v>
      </c>
      <c r="G252" s="1807" t="n">
        <v>-53572000</v>
      </c>
    </row>
    <row r="253" ht="15" customHeight="1">
      <c r="A253" s="1891" t="inlineStr">
        <is>
          <t>Investments - Unrealized Gain/Loss</t>
        </is>
      </c>
      <c r="B253" s="1807" t="n">
        <v>16713000</v>
      </c>
      <c r="C253" s="1807" t="n">
        <v>15360000</v>
      </c>
      <c r="D253" s="1807" t="n">
        <v>-2205000</v>
      </c>
      <c r="E253" s="1807" t="n">
        <v>0</v>
      </c>
      <c r="F253" s="731" t="n"/>
      <c r="G253" s="731" t="n"/>
    </row>
    <row r="254" ht="15" customHeight="1">
      <c r="A254" s="1891" t="inlineStr">
        <is>
          <t>Hedging Reserves</t>
        </is>
      </c>
      <c r="B254" s="1807" t="n">
        <v>8768000</v>
      </c>
      <c r="C254" s="1807" t="n">
        <v>-14601000</v>
      </c>
      <c r="D254" s="1807" t="n">
        <v>95443000</v>
      </c>
      <c r="E254" s="1807" t="n">
        <v>64785000</v>
      </c>
      <c r="F254" s="1807" t="n">
        <v>60313000</v>
      </c>
      <c r="G254" s="1807" t="n">
        <v>-42951000</v>
      </c>
    </row>
    <row r="255" ht="15" customHeight="1">
      <c r="A255" s="1891" t="inlineStr">
        <is>
          <t>Foreign Currency Translation Adjustment - Accumulated</t>
        </is>
      </c>
      <c r="B255" s="731" t="n"/>
      <c r="C255" s="731" t="n"/>
      <c r="D255" s="731" t="n"/>
      <c r="E255" s="731" t="n"/>
      <c r="F255" s="731" t="n"/>
      <c r="G255" s="1807" t="n">
        <v>1302000</v>
      </c>
    </row>
    <row r="256" ht="15" customHeight="1">
      <c r="A256" s="1891" t="inlineStr">
        <is>
          <t>Comprehensive Income - Pension Liabilities</t>
        </is>
      </c>
      <c r="B256" s="1807" t="n">
        <v>19104000</v>
      </c>
      <c r="C256" s="1807" t="n">
        <v>13019000</v>
      </c>
      <c r="D256" s="1807" t="n">
        <v>7248000</v>
      </c>
      <c r="E256" s="1807" t="n">
        <v>14047000</v>
      </c>
      <c r="F256" s="1807" t="n">
        <v>18834000</v>
      </c>
      <c r="G256" s="1807" t="n">
        <v>-10110000</v>
      </c>
    </row>
    <row r="257" ht="15" customHeight="1">
      <c r="A257" s="1891" t="inlineStr">
        <is>
          <t>Comprehensive Income - Unearned Compensation</t>
        </is>
      </c>
      <c r="B257" s="731" t="n"/>
      <c r="C257" s="731" t="n"/>
      <c r="D257" s="731" t="n"/>
      <c r="E257" s="731" t="n"/>
      <c r="F257" s="731" t="n"/>
      <c r="G257" s="731" t="n"/>
    </row>
    <row r="258" ht="15" customHeight="1">
      <c r="A258" s="1891" t="inlineStr">
        <is>
          <t>Revaluation Reserves</t>
        </is>
      </c>
      <c r="B258" s="731" t="n"/>
      <c r="C258" s="731" t="n"/>
      <c r="D258" s="731" t="n"/>
      <c r="E258" s="731" t="n"/>
      <c r="F258" s="731" t="n"/>
      <c r="G258" s="731" t="n"/>
    </row>
    <row r="259" ht="15" customHeight="1">
      <c r="A259" s="1891" t="inlineStr">
        <is>
          <t>Comprehensive Income - Other - Total</t>
        </is>
      </c>
      <c r="B259" s="731" t="n"/>
      <c r="C259" s="731" t="n"/>
      <c r="D259" s="731" t="n"/>
      <c r="E259" s="1807" t="n">
        <v>14000</v>
      </c>
      <c r="F259" s="1807" t="n">
        <v>41000</v>
      </c>
      <c r="G259" s="1807" t="n">
        <v>-1813000</v>
      </c>
    </row>
    <row r="260" ht="15" customHeight="1">
      <c r="A260" s="1890" t="inlineStr">
        <is>
          <t>Other Reserves/Equity - Total</t>
        </is>
      </c>
      <c r="B260" s="731" t="n"/>
      <c r="C260" s="731" t="n"/>
      <c r="D260" s="731" t="n"/>
      <c r="E260" s="731" t="n"/>
      <c r="F260" s="731" t="n"/>
      <c r="G260" s="731" t="n"/>
    </row>
    <row r="261" ht="15" customHeight="1">
      <c r="A261" s="1891" t="inlineStr">
        <is>
          <t>Goodwill - Cumulative Written Off</t>
        </is>
      </c>
      <c r="B261" s="731" t="n"/>
      <c r="C261" s="731" t="n"/>
      <c r="D261" s="731" t="n"/>
      <c r="E261" s="731" t="n"/>
      <c r="F261" s="731" t="n"/>
      <c r="G261" s="731" t="n"/>
    </row>
    <row r="262" ht="15" customHeight="1">
      <c r="A262" s="1891" t="inlineStr">
        <is>
          <t>Untaxed/Special Reserves</t>
        </is>
      </c>
      <c r="B262" s="731" t="n"/>
      <c r="C262" s="731" t="n"/>
      <c r="D262" s="731" t="n"/>
      <c r="E262" s="731" t="n"/>
      <c r="F262" s="731" t="n"/>
      <c r="G262" s="731" t="n"/>
    </row>
    <row r="263" ht="15" customHeight="1">
      <c r="A263" s="1891" t="inlineStr">
        <is>
          <t>Negative Consolidation Differences, Goodwill &amp; Cumulative Amount Written Off against Reserves</t>
        </is>
      </c>
      <c r="B263" s="731" t="n"/>
      <c r="C263" s="731" t="n"/>
      <c r="D263" s="731" t="n"/>
      <c r="E263" s="731" t="n"/>
      <c r="F263" s="731" t="n"/>
      <c r="G263" s="731" t="n"/>
    </row>
    <row r="264" ht="15" customHeight="1">
      <c r="A264" s="1886" t="inlineStr">
        <is>
          <t>Equity - Other</t>
        </is>
      </c>
      <c r="B264" s="731" t="n"/>
      <c r="C264" s="731" t="n"/>
      <c r="D264" s="731" t="n"/>
      <c r="E264" s="731" t="n"/>
      <c r="F264" s="731" t="n"/>
      <c r="G264" s="731" t="n"/>
    </row>
    <row r="265" ht="15" customHeight="1">
      <c r="A265" s="1887" t="inlineStr">
        <is>
          <t>General Partner</t>
        </is>
      </c>
      <c r="B265" s="731" t="n"/>
      <c r="C265" s="731" t="n"/>
      <c r="D265" s="731" t="n"/>
      <c r="E265" s="731" t="n"/>
      <c r="F265" s="731" t="n"/>
      <c r="G265" s="731" t="n"/>
    </row>
    <row r="266" ht="15" customHeight="1">
      <c r="A266" s="1887" t="inlineStr">
        <is>
          <t>Deferred Shares</t>
        </is>
      </c>
      <c r="B266" s="731" t="n"/>
      <c r="C266" s="731" t="n"/>
      <c r="D266" s="731" t="n"/>
      <c r="E266" s="731" t="n"/>
      <c r="F266" s="731" t="n"/>
      <c r="G266" s="731" t="n"/>
    </row>
    <row r="267" ht="15" customHeight="1">
      <c r="A267" s="1886" t="inlineStr">
        <is>
          <t>Common Equity - Total</t>
        </is>
      </c>
      <c r="B267" s="1807" t="n">
        <v>10154040000</v>
      </c>
      <c r="C267" s="1807" t="n">
        <v>12030997000</v>
      </c>
      <c r="D267" s="1807" t="n">
        <v>14400568000</v>
      </c>
      <c r="E267" s="1807" t="n">
        <v>16456392000</v>
      </c>
      <c r="F267" s="1807" t="n">
        <v>19098622000</v>
      </c>
      <c r="G267" s="1807" t="n">
        <v>26972415000</v>
      </c>
    </row>
    <row r="268" ht="15" customHeight="1">
      <c r="A268" s="1885" t="inlineStr">
        <is>
          <t>Minority Interest - Equity</t>
        </is>
      </c>
      <c r="B268" s="1807" t="n">
        <v>30008000</v>
      </c>
      <c r="C268" s="1807" t="n">
        <v>31019000</v>
      </c>
      <c r="D268" s="1807" t="n">
        <v>31766000</v>
      </c>
      <c r="E268" s="1807" t="n">
        <v>55272000</v>
      </c>
      <c r="F268" s="1807" t="n">
        <v>70587000</v>
      </c>
      <c r="G268" s="1807" t="n">
        <v>110891000</v>
      </c>
    </row>
    <row r="269" ht="15" customHeight="1">
      <c r="A269" s="1885" t="inlineStr">
        <is>
          <t>Hybrid Financial Instrument - Equity Portion</t>
        </is>
      </c>
      <c r="B269" s="731" t="n"/>
      <c r="C269" s="731" t="n"/>
      <c r="D269" s="731" t="n"/>
      <c r="E269" s="731" t="n"/>
      <c r="F269" s="731" t="n"/>
      <c r="G269" s="731" t="n"/>
    </row>
    <row r="270" ht="15" customHeight="1">
      <c r="A270" s="1884" t="inlineStr">
        <is>
          <t>Total Shareholders' Equity</t>
        </is>
      </c>
      <c r="B270" s="734" t="n"/>
      <c r="C270" s="734" t="n"/>
      <c r="D270" s="734" t="n"/>
      <c r="E270" s="734" t="n"/>
      <c r="F270" s="734" t="n"/>
      <c r="G270" s="734" t="n"/>
    </row>
    <row r="271" ht="15" customHeight="1">
      <c r="A271" s="1888" t="inlineStr">
        <is>
          <t>Total Shareholders' Equity - including Minority Interest &amp; Hybrid Debt</t>
        </is>
      </c>
      <c r="B271" s="1889" t="n">
        <v>10184048000</v>
      </c>
      <c r="C271" s="1889" t="n">
        <v>12062016000</v>
      </c>
      <c r="D271" s="1889" t="n">
        <v>14432334000</v>
      </c>
      <c r="E271" s="1889" t="n">
        <v>16511664000</v>
      </c>
      <c r="F271" s="1889" t="n">
        <v>19169209000</v>
      </c>
      <c r="G271" s="1889" t="n">
        <v>27083306000</v>
      </c>
    </row>
    <row r="272" ht="15" customHeight="1">
      <c r="A272" s="1884" t="inlineStr">
        <is>
          <t>Total Liabilities &amp; Shareholders' Equity</t>
        </is>
      </c>
      <c r="B272" s="734" t="n"/>
      <c r="C272" s="734" t="n"/>
      <c r="D272" s="734" t="n"/>
      <c r="E272" s="734" t="n"/>
      <c r="F272" s="734" t="n"/>
      <c r="G272" s="734" t="n"/>
    </row>
    <row r="273" ht="15" customHeight="1">
      <c r="A273" s="1888" t="inlineStr">
        <is>
          <t>Total Liabilities &amp; Equity</t>
        </is>
      </c>
      <c r="B273" s="1889" t="n">
        <v>34249550000</v>
      </c>
      <c r="C273" s="1889" t="n">
        <v>65828670000</v>
      </c>
      <c r="D273" s="1889" t="n">
        <v>65625136000</v>
      </c>
      <c r="E273" s="1889" t="n">
        <v>68418946000</v>
      </c>
      <c r="F273" s="1889" t="n">
        <v>77828380000</v>
      </c>
      <c r="G273" s="1889" t="n">
        <v>77269692000</v>
      </c>
    </row>
    <row r="274" ht="15" customHeight="1">
      <c r="A274" s="1884" t="inlineStr">
        <is>
          <t>Share/Per Share - Common</t>
        </is>
      </c>
      <c r="B274" s="734" t="n"/>
      <c r="C274" s="734" t="n"/>
      <c r="D274" s="734" t="n"/>
      <c r="E274" s="734" t="n"/>
      <c r="F274" s="734" t="n"/>
      <c r="G274" s="734" t="n"/>
    </row>
    <row r="275" ht="15" customHeight="1">
      <c r="A275" s="1885" t="inlineStr">
        <is>
          <t>Common Shares - Issued - Total</t>
        </is>
      </c>
      <c r="B275" s="1807" t="n">
        <v>51014625</v>
      </c>
      <c r="C275" s="1807" t="n">
        <v>51014625</v>
      </c>
      <c r="D275" s="1807" t="n">
        <v>51014625</v>
      </c>
      <c r="E275" s="1807" t="n">
        <v>51014625</v>
      </c>
      <c r="F275" s="1807" t="n">
        <v>51014625</v>
      </c>
      <c r="G275" s="1807" t="n">
        <v>59098103.73</v>
      </c>
    </row>
    <row r="276" ht="15" customHeight="1">
      <c r="A276" s="1886" t="inlineStr">
        <is>
          <t>Common Shares - Outstanding - Total</t>
        </is>
      </c>
      <c r="B276" s="1807" t="n">
        <v>49938135</v>
      </c>
      <c r="C276" s="1807" t="n">
        <v>49798939.8</v>
      </c>
      <c r="D276" s="1807" t="n">
        <v>49798939.8</v>
      </c>
      <c r="E276" s="1807" t="n">
        <v>49799041.6</v>
      </c>
      <c r="F276" s="1807" t="n">
        <v>50036733.35</v>
      </c>
      <c r="G276" s="1807" t="n">
        <v>58211582.38</v>
      </c>
    </row>
    <row r="277" ht="15" customHeight="1">
      <c r="A277" s="1886" t="inlineStr">
        <is>
          <t>Common Shares - Treasury - Total</t>
        </is>
      </c>
      <c r="B277" s="1807" t="n">
        <v>1076490</v>
      </c>
      <c r="C277" s="1807" t="n">
        <v>1215685.2</v>
      </c>
      <c r="D277" s="1807" t="n">
        <v>1215685.2</v>
      </c>
      <c r="E277" s="1807" t="n">
        <v>1215583.4</v>
      </c>
      <c r="F277" s="1807" t="n">
        <v>977891.65</v>
      </c>
      <c r="G277" s="1807" t="n">
        <v>886521.35</v>
      </c>
    </row>
    <row r="278" ht="15" customHeight="1">
      <c r="A278" s="1885" t="inlineStr">
        <is>
          <t>Common Shares - Authorized - Issue Specific</t>
        </is>
      </c>
      <c r="B278" s="1807" t="n">
        <v>100000000</v>
      </c>
      <c r="C278" s="1807" t="n">
        <v>100000000</v>
      </c>
      <c r="D278" s="1807" t="n">
        <v>100000000</v>
      </c>
      <c r="E278" s="1807" t="n">
        <v>100000000</v>
      </c>
      <c r="F278" s="1807" t="n">
        <v>200000000</v>
      </c>
      <c r="G278" s="1807" t="n">
        <v>200000000</v>
      </c>
    </row>
    <row r="279" ht="15" customHeight="1">
      <c r="A279" s="1885" t="inlineStr">
        <is>
          <t>Common Shares - Issued - Issue Specific</t>
        </is>
      </c>
      <c r="B279" s="1807" t="n">
        <v>51014625</v>
      </c>
      <c r="C279" s="1807" t="n">
        <v>51014625</v>
      </c>
      <c r="D279" s="1807" t="n">
        <v>51014625</v>
      </c>
      <c r="E279" s="1807" t="n">
        <v>51014625</v>
      </c>
      <c r="F279" s="1807" t="n">
        <v>51014625</v>
      </c>
      <c r="G279" s="1807" t="n">
        <v>59098103.73</v>
      </c>
    </row>
    <row r="280" ht="15" customHeight="1">
      <c r="A280" s="1886" t="inlineStr">
        <is>
          <t>Common Shares - Outstanding - Issue Specific</t>
        </is>
      </c>
      <c r="B280" s="1807" t="n">
        <v>49938135</v>
      </c>
      <c r="C280" s="1807" t="n">
        <v>49798939.8</v>
      </c>
      <c r="D280" s="1807" t="n">
        <v>49798939.8</v>
      </c>
      <c r="E280" s="1807" t="n">
        <v>49799041.6</v>
      </c>
      <c r="F280" s="1807" t="n">
        <v>50036733.35</v>
      </c>
      <c r="G280" s="1807" t="n">
        <v>58211582.38</v>
      </c>
    </row>
    <row r="281" ht="15" customHeight="1">
      <c r="A281" s="1886" t="inlineStr">
        <is>
          <t>Common Shares - Treasury - Issue Specific</t>
        </is>
      </c>
      <c r="B281" s="1807" t="n">
        <v>1076490</v>
      </c>
      <c r="C281" s="1807" t="n">
        <v>1215685.2</v>
      </c>
      <c r="D281" s="1807" t="n">
        <v>1215685.2</v>
      </c>
      <c r="E281" s="1807" t="n">
        <v>1215583.4</v>
      </c>
      <c r="F281" s="1807" t="n">
        <v>977891.65</v>
      </c>
      <c r="G281" s="1807" t="n">
        <v>886521.35</v>
      </c>
    </row>
    <row r="282" ht="15" customHeight="1">
      <c r="A282" s="1885" t="inlineStr">
        <is>
          <t>Common Shares - Issued - Issue Specific - Current</t>
        </is>
      </c>
      <c r="B282" s="731" t="n"/>
      <c r="C282" s="731" t="n"/>
      <c r="D282" s="731" t="n"/>
      <c r="E282" s="731" t="n"/>
      <c r="F282" s="731" t="n"/>
      <c r="G282" s="731" t="n"/>
    </row>
    <row r="283" ht="15" customHeight="1">
      <c r="A283" s="1886" t="inlineStr">
        <is>
          <t>Common Shares - Outstanding - Issue Specific - Current</t>
        </is>
      </c>
      <c r="B283" s="731" t="n"/>
      <c r="C283" s="731" t="n"/>
      <c r="D283" s="731" t="n"/>
      <c r="E283" s="731" t="n"/>
      <c r="F283" s="731" t="n"/>
      <c r="G283" s="731" t="n"/>
    </row>
    <row r="284" ht="15" customHeight="1">
      <c r="A284" s="1886" t="inlineStr">
        <is>
          <t>Common Shares - Treasury - Issue Specific - Current</t>
        </is>
      </c>
      <c r="B284" s="731" t="n"/>
      <c r="C284" s="731" t="n"/>
      <c r="D284" s="731" t="n"/>
      <c r="E284" s="731" t="n"/>
      <c r="F284" s="731" t="n"/>
      <c r="G284" s="731" t="n"/>
    </row>
    <row r="285" ht="15" customHeight="1">
      <c r="A285" s="1885" t="inlineStr">
        <is>
          <t>Common Shares - Issued - Issue Specific - DR</t>
        </is>
      </c>
      <c r="B285" s="731" t="n"/>
      <c r="C285" s="731" t="n"/>
      <c r="D285" s="731" t="n"/>
      <c r="E285" s="731" t="n"/>
      <c r="F285" s="731" t="n"/>
      <c r="G285" s="731" t="n"/>
    </row>
    <row r="286" ht="15" customHeight="1">
      <c r="A286" s="1886" t="inlineStr">
        <is>
          <t>Common Shares - Outstanding - Issue Specific - DR</t>
        </is>
      </c>
      <c r="B286" s="731" t="n"/>
      <c r="C286" s="731" t="n"/>
      <c r="D286" s="731" t="n"/>
      <c r="E286" s="731" t="n"/>
      <c r="F286" s="731" t="n"/>
      <c r="G286" s="731" t="n"/>
    </row>
    <row r="287" ht="15" customHeight="1">
      <c r="A287" s="1886" t="inlineStr">
        <is>
          <t>Common Shares - Treasury - Issue Specific - DR</t>
        </is>
      </c>
      <c r="B287" s="731" t="n"/>
      <c r="C287" s="731" t="n"/>
      <c r="D287" s="731" t="n"/>
      <c r="E287" s="731" t="n"/>
      <c r="F287" s="731" t="n"/>
      <c r="G287" s="731" t="n"/>
    </row>
    <row r="288" ht="15" customHeight="1">
      <c r="A288" s="1885" t="inlineStr">
        <is>
          <t>Common Shares - Issued - Issue Specific - CPO</t>
        </is>
      </c>
      <c r="B288" s="731" t="n"/>
      <c r="C288" s="731" t="n"/>
      <c r="D288" s="731" t="n"/>
      <c r="E288" s="731" t="n"/>
      <c r="F288" s="731" t="n"/>
      <c r="G288" s="731" t="n"/>
    </row>
    <row r="289" ht="15" customHeight="1">
      <c r="A289" s="1886" t="inlineStr">
        <is>
          <t>Common Shares - Outstanding - Issue Specific - CPO</t>
        </is>
      </c>
      <c r="B289" s="731" t="n"/>
      <c r="C289" s="731" t="n"/>
      <c r="D289" s="731" t="n"/>
      <c r="E289" s="731" t="n"/>
      <c r="F289" s="731" t="n"/>
      <c r="G289" s="731" t="n"/>
    </row>
    <row r="290" ht="15" customHeight="1">
      <c r="A290" s="1886" t="inlineStr">
        <is>
          <t>Common Shares - Treasury - Issue Specific - CPO</t>
        </is>
      </c>
      <c r="B290" s="731" t="n"/>
      <c r="C290" s="731" t="n"/>
      <c r="D290" s="731" t="n"/>
      <c r="E290" s="731" t="n"/>
      <c r="F290" s="731" t="n"/>
      <c r="G290" s="731" t="n"/>
    </row>
    <row r="291" ht="15" customHeight="1">
      <c r="A291" s="1884" t="inlineStr">
        <is>
          <t>Share/Per Share - Preferred</t>
        </is>
      </c>
      <c r="B291" s="734" t="n"/>
      <c r="C291" s="734" t="n"/>
      <c r="D291" s="734" t="n"/>
      <c r="E291" s="734" t="n"/>
      <c r="F291" s="734" t="n"/>
      <c r="G291" s="734" t="n"/>
    </row>
    <row r="292" ht="15" customHeight="1">
      <c r="A292" s="1885" t="inlineStr">
        <is>
          <t>Preferred Shares - Authorized - Issue Specific</t>
        </is>
      </c>
      <c r="B292" s="731" t="n"/>
      <c r="C292" s="731" t="n"/>
      <c r="D292" s="731" t="n"/>
      <c r="E292" s="731" t="n"/>
      <c r="F292" s="731" t="n"/>
      <c r="G292" s="731" t="n"/>
    </row>
    <row r="293" ht="15" customHeight="1">
      <c r="A293" s="1885" t="inlineStr">
        <is>
          <t>Preferred Shares - Issued - Issue Specific</t>
        </is>
      </c>
      <c r="B293" s="731" t="n"/>
      <c r="C293" s="731" t="n"/>
      <c r="D293" s="731" t="n"/>
      <c r="E293" s="731" t="n"/>
      <c r="F293" s="731" t="n"/>
      <c r="G293" s="731" t="n"/>
    </row>
    <row r="294" ht="15" customHeight="1">
      <c r="A294" s="1886" t="inlineStr">
        <is>
          <t>Preferred Shares - Outstanding - Issue Specific</t>
        </is>
      </c>
      <c r="B294" s="731" t="n"/>
      <c r="C294" s="731" t="n"/>
      <c r="D294" s="731" t="n"/>
      <c r="E294" s="731" t="n"/>
      <c r="F294" s="731" t="n"/>
      <c r="G294" s="731" t="n"/>
    </row>
    <row r="295" ht="15" customHeight="1">
      <c r="A295" s="1886" t="inlineStr">
        <is>
          <t>Preferred Shares - Treasury - Issue Specific</t>
        </is>
      </c>
      <c r="B295" s="731" t="n"/>
      <c r="C295" s="731" t="n"/>
      <c r="D295" s="731" t="n"/>
      <c r="E295" s="731" t="n"/>
      <c r="F295" s="731" t="n"/>
      <c r="G295" s="731" t="n"/>
    </row>
    <row r="296" ht="15" customHeight="1">
      <c r="A296" s="1885" t="inlineStr">
        <is>
          <t>Preferred Shares - Issued - Issue Specific - Current</t>
        </is>
      </c>
      <c r="B296" s="731" t="n"/>
      <c r="C296" s="731" t="n"/>
      <c r="D296" s="731" t="n"/>
      <c r="E296" s="731" t="n"/>
      <c r="F296" s="731" t="n"/>
      <c r="G296" s="731" t="n"/>
    </row>
    <row r="297" ht="15" customHeight="1">
      <c r="A297" s="1886" t="inlineStr">
        <is>
          <t>Preferred Shares - Outstanding - Issue Specific - Current</t>
        </is>
      </c>
      <c r="B297" s="731" t="n"/>
      <c r="C297" s="731" t="n"/>
      <c r="D297" s="731" t="n"/>
      <c r="E297" s="731" t="n"/>
      <c r="F297" s="731" t="n"/>
      <c r="G297" s="731" t="n"/>
    </row>
    <row r="298" ht="15" customHeight="1">
      <c r="A298" s="1886" t="inlineStr">
        <is>
          <t>Preferred Shares - Treasury - Issue Specific - Current</t>
        </is>
      </c>
      <c r="B298" s="731" t="n"/>
      <c r="C298" s="731" t="n"/>
      <c r="D298" s="731" t="n"/>
      <c r="E298" s="731" t="n"/>
      <c r="F298" s="731" t="n"/>
      <c r="G298" s="731" t="n"/>
    </row>
    <row r="299" ht="15" customHeight="1">
      <c r="A299" s="1884" t="inlineStr">
        <is>
          <t>Share/Per Share - Other</t>
        </is>
      </c>
      <c r="B299" s="734" t="n"/>
      <c r="C299" s="734" t="n"/>
      <c r="D299" s="734" t="n"/>
      <c r="E299" s="734" t="n"/>
      <c r="F299" s="734" t="n"/>
      <c r="G299" s="734" t="n"/>
    </row>
    <row r="300" ht="15" customHeight="1">
      <c r="A300" s="1885" t="inlineStr">
        <is>
          <t>Asset Allocation Factor - Issue Specific</t>
        </is>
      </c>
      <c r="B300" s="1892" t="n">
        <v>1</v>
      </c>
      <c r="C300" s="1892" t="n">
        <v>1</v>
      </c>
      <c r="D300" s="1892" t="n">
        <v>1</v>
      </c>
      <c r="E300" s="1892" t="n">
        <v>1</v>
      </c>
      <c r="F300" s="1892" t="n">
        <v>1</v>
      </c>
      <c r="G300" s="1892" t="n">
        <v>1</v>
      </c>
    </row>
    <row r="301" ht="15" customHeight="1">
      <c r="A301" s="1885" t="inlineStr">
        <is>
          <t>Asset Participation Factor - Issue Specific</t>
        </is>
      </c>
      <c r="B301" s="731" t="n"/>
      <c r="C301" s="731" t="n"/>
      <c r="D301" s="731" t="n"/>
      <c r="E301" s="731" t="n"/>
      <c r="F301" s="731" t="n"/>
      <c r="G301" s="731" t="n"/>
    </row>
    <row r="302" ht="15" customHeight="1">
      <c r="A302" s="1884" t="inlineStr">
        <is>
          <t>Right of Use Tangible Assets</t>
        </is>
      </c>
      <c r="B302" s="734" t="n"/>
      <c r="C302" s="734" t="n"/>
      <c r="D302" s="734" t="n"/>
      <c r="E302" s="734" t="n"/>
      <c r="F302" s="734" t="n"/>
      <c r="G302" s="734" t="n"/>
    </row>
    <row r="303" ht="15" customHeight="1">
      <c r="A303" s="1885" t="inlineStr">
        <is>
          <t>Right of Use Tangible Assets - Total - Net - Supplemental</t>
        </is>
      </c>
      <c r="B303" s="1807" t="n">
        <v>5264096000</v>
      </c>
      <c r="C303" s="1807" t="n">
        <v>6676348000</v>
      </c>
      <c r="D303" s="1807" t="n">
        <v>6113351000</v>
      </c>
      <c r="E303" s="1807" t="n">
        <v>5121186000</v>
      </c>
      <c r="F303" s="1807" t="n">
        <v>5567137000</v>
      </c>
      <c r="G303" s="1807" t="n">
        <v>5371315000</v>
      </c>
    </row>
    <row r="304" ht="15" customHeight="1">
      <c r="A304" s="1886" t="inlineStr">
        <is>
          <t>Right of Use Tangible Assets - Operating Lease - Net - Supplemental</t>
        </is>
      </c>
      <c r="B304" s="731" t="n"/>
      <c r="C304" s="731" t="n"/>
      <c r="D304" s="731" t="n"/>
      <c r="E304" s="731" t="n"/>
      <c r="F304" s="731" t="n"/>
      <c r="G304" s="731" t="n"/>
    </row>
    <row r="305" ht="15" customHeight="1">
      <c r="A305" s="1886" t="inlineStr">
        <is>
          <t>Right of Use Tangible Assets - Capital/Finance Lease - Net - Supplemental</t>
        </is>
      </c>
      <c r="B305" s="1807" t="n">
        <v>5264096000</v>
      </c>
      <c r="C305" s="1807" t="n">
        <v>6676348000</v>
      </c>
      <c r="D305" s="1807" t="n">
        <v>6113351000</v>
      </c>
      <c r="E305" s="1807" t="n">
        <v>5121186000</v>
      </c>
      <c r="F305" s="1807" t="n">
        <v>5567137000</v>
      </c>
      <c r="G305" s="1807" t="n">
        <v>5371315000</v>
      </c>
    </row>
    <row r="306" ht="15" customHeight="1">
      <c r="A306" s="1886" t="inlineStr">
        <is>
          <t>Right of Use Tangible Assets - Total - Gross - Supplemental</t>
        </is>
      </c>
      <c r="B306" s="731" t="n"/>
      <c r="C306" s="731" t="n"/>
      <c r="D306" s="731" t="n"/>
      <c r="E306" s="731" t="n"/>
      <c r="F306" s="1807" t="n">
        <v>11232059000</v>
      </c>
      <c r="G306" s="1807" t="n">
        <v>12093812000</v>
      </c>
    </row>
    <row r="307" ht="15" customHeight="1">
      <c r="A307" s="1887" t="inlineStr">
        <is>
          <t>Right of Use Tangible Assets - Operating Lease - Gross - Supplemental</t>
        </is>
      </c>
      <c r="B307" s="731" t="n"/>
      <c r="C307" s="731" t="n"/>
      <c r="D307" s="731" t="n"/>
      <c r="E307" s="731" t="n"/>
      <c r="F307" s="731" t="n"/>
      <c r="G307" s="731" t="n"/>
    </row>
    <row r="308" ht="15" customHeight="1">
      <c r="A308" s="1887" t="inlineStr">
        <is>
          <t>Right of Use Tangible Assets - Capital/Finance Lease - Gross - Supplemental</t>
        </is>
      </c>
      <c r="B308" s="731" t="n"/>
      <c r="C308" s="731" t="n"/>
      <c r="D308" s="731" t="n"/>
      <c r="E308" s="731" t="n"/>
      <c r="F308" s="1807" t="n">
        <v>11232059000</v>
      </c>
      <c r="G308" s="1807" t="n">
        <v>12093812000</v>
      </c>
    </row>
    <row r="309" ht="15" customHeight="1">
      <c r="A309" s="1886" t="inlineStr">
        <is>
          <t>Right of Use Tangible Assets - Total - Accumulated Depreciation - Supplemental</t>
        </is>
      </c>
      <c r="B309" s="731" t="n"/>
      <c r="C309" s="731" t="n"/>
      <c r="D309" s="731" t="n"/>
      <c r="E309" s="731" t="n"/>
      <c r="F309" s="1807" t="n">
        <v>5664922000</v>
      </c>
      <c r="G309" s="1807" t="n">
        <v>6722497000</v>
      </c>
    </row>
    <row r="310" ht="15" customHeight="1">
      <c r="A310" s="1887" t="inlineStr">
        <is>
          <t>Right of Use Tangible Assets - Operating Lease - Accumulated Depreciation - Supplemental</t>
        </is>
      </c>
      <c r="B310" s="731" t="n"/>
      <c r="C310" s="731" t="n"/>
      <c r="D310" s="731" t="n"/>
      <c r="E310" s="731" t="n"/>
      <c r="F310" s="731" t="n"/>
      <c r="G310" s="731" t="n"/>
    </row>
    <row r="311" ht="15" customHeight="1">
      <c r="A311" s="1887" t="inlineStr">
        <is>
          <t>Right of Use Tangible Assets - Capital/Finance Lease - Accumulated Depreciation - Supplemental</t>
        </is>
      </c>
      <c r="B311" s="731" t="n"/>
      <c r="C311" s="731" t="n"/>
      <c r="D311" s="731" t="n"/>
      <c r="E311" s="731" t="n"/>
      <c r="F311" s="1807" t="n">
        <v>5664922000</v>
      </c>
      <c r="G311" s="1807" t="n">
        <v>6722497000</v>
      </c>
    </row>
    <row r="312" ht="15" customHeight="1">
      <c r="A312" s="1885" t="inlineStr">
        <is>
          <t>Property, Plant &amp; Equipment - excluding Right of Use Tangible Assets &amp; Capital Leases - Net</t>
        </is>
      </c>
      <c r="B312" s="1807" t="n">
        <v>22943989000</v>
      </c>
      <c r="C312" s="1807" t="n">
        <v>33125917000</v>
      </c>
      <c r="D312" s="1807" t="n">
        <v>37261130000</v>
      </c>
      <c r="E312" s="1807" t="n">
        <v>40622770000</v>
      </c>
      <c r="F312" s="1807" t="n">
        <v>47667522000</v>
      </c>
      <c r="G312" s="1807" t="n">
        <v>48518343000</v>
      </c>
    </row>
    <row r="313" ht="15" customHeight="1">
      <c r="A313" s="1886" t="inlineStr">
        <is>
          <t>Property, Plant &amp; Equipment - excluding Right of Use Tangible Assets &amp; Capital Leases - Gross</t>
        </is>
      </c>
      <c r="B313" s="731" t="n"/>
      <c r="C313" s="731" t="n"/>
      <c r="D313" s="731" t="n"/>
      <c r="E313" s="731" t="n"/>
      <c r="F313" s="1807" t="n">
        <v>61586561000</v>
      </c>
      <c r="G313" s="1807" t="n">
        <v>63787837000</v>
      </c>
    </row>
    <row r="314" ht="15" customHeight="1">
      <c r="A314" s="1886" t="inlineStr">
        <is>
          <t>Property, Plant &amp; Equipment - excluding Right of Use Tangible Assets &amp; Capital Leases - Accumulated Depreciation</t>
        </is>
      </c>
      <c r="B314" s="731" t="n"/>
      <c r="C314" s="731" t="n"/>
      <c r="D314" s="731" t="n"/>
      <c r="E314" s="731" t="n"/>
      <c r="F314" s="1807" t="n">
        <v>13919039000</v>
      </c>
      <c r="G314" s="1807" t="n">
        <v>15269494000</v>
      </c>
    </row>
    <row r="315" ht="15" customHeight="1">
      <c r="A315" s="1884" t="inlineStr">
        <is>
          <t>Right of Use Intangible Assets</t>
        </is>
      </c>
      <c r="B315" s="734" t="n"/>
      <c r="C315" s="734" t="n"/>
      <c r="D315" s="734" t="n"/>
      <c r="E315" s="734" t="n"/>
      <c r="F315" s="734" t="n"/>
      <c r="G315" s="734" t="n"/>
    </row>
    <row r="316" ht="15" customHeight="1">
      <c r="A316" s="1885" t="inlineStr">
        <is>
          <t>Right of Use Intangible Assets - Net - Supplemental</t>
        </is>
      </c>
      <c r="B316" s="731" t="n"/>
      <c r="C316" s="731" t="n"/>
      <c r="D316" s="731" t="n"/>
      <c r="E316" s="731" t="n"/>
      <c r="F316" s="731" t="n"/>
      <c r="G316" s="731" t="n"/>
    </row>
    <row r="317" ht="15" customHeight="1">
      <c r="A317" s="1886" t="inlineStr">
        <is>
          <t>Right of Use Intangible Assets - Gross - Supplemental</t>
        </is>
      </c>
      <c r="B317" s="731" t="n"/>
      <c r="C317" s="731" t="n"/>
      <c r="D317" s="731" t="n"/>
      <c r="E317" s="731" t="n"/>
      <c r="F317" s="731" t="n"/>
      <c r="G317" s="731" t="n"/>
    </row>
    <row r="318" ht="15" customHeight="1">
      <c r="A318" s="1886" t="inlineStr">
        <is>
          <t>Right of Use Intangible Assets - Accumulated Amortization - Supplemental</t>
        </is>
      </c>
      <c r="B318" s="731" t="n"/>
      <c r="C318" s="731" t="n"/>
      <c r="D318" s="731" t="n"/>
      <c r="E318" s="731" t="n"/>
      <c r="F318" s="731" t="n"/>
      <c r="G318" s="731" t="n"/>
    </row>
    <row r="319" ht="15" customHeight="1">
      <c r="A319" s="1884" t="inlineStr">
        <is>
          <t>Right of Use Liabilities</t>
        </is>
      </c>
      <c r="B319" s="734" t="n"/>
      <c r="C319" s="734" t="n"/>
      <c r="D319" s="734" t="n"/>
      <c r="E319" s="734" t="n"/>
      <c r="F319" s="734" t="n"/>
      <c r="G319" s="734" t="n"/>
    </row>
    <row r="320" ht="15" customHeight="1">
      <c r="A320" s="1885" t="inlineStr">
        <is>
          <t>Total Operating Lease Liabilities</t>
        </is>
      </c>
      <c r="B320" s="731" t="n"/>
      <c r="C320" s="731" t="n"/>
      <c r="D320" s="731" t="n"/>
      <c r="E320" s="731" t="n"/>
      <c r="F320" s="731" t="n"/>
      <c r="G320" s="731" t="n"/>
    </row>
    <row r="321" ht="15" customHeight="1">
      <c r="A321" s="1886" t="inlineStr">
        <is>
          <t>Operating Lease Liabilities - Long-Term &amp; Short-Term - Supplemental</t>
        </is>
      </c>
      <c r="B321" s="731" t="n"/>
      <c r="C321" s="731" t="n"/>
      <c r="D321" s="731" t="n"/>
      <c r="E321" s="731" t="n"/>
      <c r="F321" s="731" t="n"/>
      <c r="G321" s="731" t="n"/>
    </row>
    <row r="322" ht="15" customHeight="1">
      <c r="A322" s="1886" t="inlineStr">
        <is>
          <t>Operating Lease Liabilities - Current Portion/Short-Term - Supplemental</t>
        </is>
      </c>
      <c r="B322" s="731" t="n"/>
      <c r="C322" s="731" t="n"/>
      <c r="D322" s="731" t="n"/>
      <c r="E322" s="731" t="n"/>
      <c r="F322" s="731" t="n"/>
      <c r="G322" s="731" t="n"/>
    </row>
    <row r="323" ht="15" customHeight="1">
      <c r="A323" s="1886" t="inlineStr">
        <is>
          <t>Operating Lease Liabilities - Long-Term - Supplemental</t>
        </is>
      </c>
      <c r="B323" s="731" t="n"/>
      <c r="C323" s="731" t="n"/>
      <c r="D323" s="731" t="n"/>
      <c r="E323" s="731" t="n"/>
      <c r="F323" s="731" t="n"/>
      <c r="G323" s="731" t="n"/>
    </row>
    <row r="324" ht="15" customHeight="1">
      <c r="A324" s="1885" t="inlineStr">
        <is>
          <t>Finance and Operating Lease Liabilities - Total</t>
        </is>
      </c>
      <c r="B324" s="1807" t="n">
        <v>2012043000</v>
      </c>
      <c r="C324" s="1807" t="n">
        <v>2545550000</v>
      </c>
      <c r="D324" s="1807" t="n">
        <v>1977557000</v>
      </c>
      <c r="E324" s="1807" t="n">
        <v>445418000</v>
      </c>
      <c r="F324" s="1807" t="n">
        <v>918773000</v>
      </c>
      <c r="G324" s="1807" t="n">
        <v>666380000</v>
      </c>
    </row>
    <row r="325" ht="15" customHeight="1">
      <c r="A325" s="1885" t="inlineStr">
        <is>
          <t>Debt including Finance and Operating Lease Liabilities</t>
        </is>
      </c>
      <c r="B325" s="1807" t="n">
        <v>20196791000</v>
      </c>
      <c r="C325" s="1807" t="n">
        <v>46984740000</v>
      </c>
      <c r="D325" s="1807" t="n">
        <v>44972168000</v>
      </c>
      <c r="E325" s="1807" t="n">
        <v>44967602000</v>
      </c>
      <c r="F325" s="1807" t="n">
        <v>52336135000</v>
      </c>
      <c r="G325" s="1807" t="n">
        <v>45219438000</v>
      </c>
    </row>
    <row r="326" ht="15" customHeight="1">
      <c r="A326" s="1884" t="inlineStr">
        <is>
          <t>Long-Term &amp; Short-Term</t>
        </is>
      </c>
      <c r="B326" s="734" t="n"/>
      <c r="C326" s="734" t="n"/>
      <c r="D326" s="734" t="n"/>
      <c r="E326" s="734" t="n"/>
      <c r="F326" s="734" t="n"/>
      <c r="G326" s="734" t="n"/>
    </row>
    <row r="327" ht="15" customHeight="1">
      <c r="A327" s="1885" t="inlineStr">
        <is>
          <t>Derivative Financial Instruments - Hedging - Total</t>
        </is>
      </c>
      <c r="B327" s="731" t="n"/>
      <c r="C327" s="731" t="n"/>
      <c r="D327" s="1807" t="n">
        <v>286484000</v>
      </c>
      <c r="E327" s="1807" t="n">
        <v>157051000</v>
      </c>
      <c r="F327" s="1807" t="n">
        <v>273499000</v>
      </c>
      <c r="G327" s="1807" t="n">
        <v>266109000</v>
      </c>
    </row>
    <row r="328" ht="15" customHeight="1">
      <c r="A328" s="1885" t="inlineStr">
        <is>
          <t>Investments - Total</t>
        </is>
      </c>
      <c r="B328" s="1807" t="n">
        <v>476210000</v>
      </c>
      <c r="C328" s="1807" t="n">
        <v>531308000</v>
      </c>
      <c r="D328" s="1807" t="n">
        <v>540569000</v>
      </c>
      <c r="E328" s="1807" t="n">
        <v>88449000</v>
      </c>
      <c r="F328" s="1807" t="n">
        <v>39040000</v>
      </c>
      <c r="G328" s="1807" t="n">
        <v>62313000</v>
      </c>
    </row>
    <row r="329" ht="15" customHeight="1">
      <c r="A329" s="1885" t="inlineStr">
        <is>
          <t>Loans &amp; Receivables - Total</t>
        </is>
      </c>
      <c r="B329" s="1807" t="n">
        <v>1302381000</v>
      </c>
      <c r="C329" s="1807" t="n">
        <v>2507666000</v>
      </c>
      <c r="D329" s="1807" t="n">
        <v>2899566000</v>
      </c>
      <c r="E329" s="1807" t="n">
        <v>3398712000</v>
      </c>
      <c r="F329" s="1807" t="n">
        <v>4623870000</v>
      </c>
      <c r="G329" s="1807" t="n">
        <v>2733167000</v>
      </c>
    </row>
    <row r="330" ht="15" customHeight="1">
      <c r="A330" s="1886" t="inlineStr">
        <is>
          <t>Accounts &amp; Notes Receivable - Trade - Gross - Total</t>
        </is>
      </c>
      <c r="B330" s="1807" t="n">
        <v>1687784000</v>
      </c>
      <c r="C330" s="1807" t="n">
        <v>2609043000</v>
      </c>
      <c r="D330" s="1807" t="n">
        <v>3422003000</v>
      </c>
      <c r="E330" s="1807" t="n">
        <v>3993896000</v>
      </c>
      <c r="F330" s="1807" t="n">
        <v>4242653000</v>
      </c>
      <c r="G330" s="1807" t="n">
        <v>2865484000</v>
      </c>
    </row>
    <row r="331" ht="15" customHeight="1">
      <c r="A331" s="1886" t="inlineStr">
        <is>
          <t>Provision - Doubtful Trade Accounts &amp; Trade Notes Payable - Total</t>
        </is>
      </c>
      <c r="B331" s="731" t="n"/>
      <c r="C331" s="731" t="n"/>
      <c r="D331" s="731" t="n"/>
      <c r="E331" s="731" t="n"/>
      <c r="F331" s="731" t="n"/>
      <c r="G331" s="731" t="n"/>
    </row>
    <row r="332" ht="15" customHeight="1">
      <c r="A332" s="1886" t="inlineStr">
        <is>
          <t>Provision - Doubtful Accounts - Total</t>
        </is>
      </c>
      <c r="B332" s="731" t="n"/>
      <c r="C332" s="731" t="n"/>
      <c r="D332" s="731" t="n"/>
      <c r="E332" s="731" t="n"/>
      <c r="F332" s="731" t="n"/>
      <c r="G332" s="731" t="n"/>
    </row>
    <row r="333" ht="15" customHeight="1">
      <c r="A333" s="1885" t="inlineStr">
        <is>
          <t>Assets Held for Sale/Discontinued Operations - Long-Term &amp; Short-Term</t>
        </is>
      </c>
      <c r="B333" s="731" t="n"/>
      <c r="C333" s="731" t="n"/>
      <c r="D333" s="731" t="n"/>
      <c r="E333" s="731" t="n"/>
      <c r="F333" s="731" t="n"/>
      <c r="G333" s="731" t="n"/>
    </row>
    <row r="334" ht="15" customHeight="1">
      <c r="A334" s="1885" t="inlineStr">
        <is>
          <t>Other Assets - Total</t>
        </is>
      </c>
      <c r="B334" s="1807" t="n">
        <v>1197122000</v>
      </c>
      <c r="C334" s="1807" t="n">
        <v>1116134000</v>
      </c>
      <c r="D334" s="1807" t="n">
        <v>1000529000</v>
      </c>
      <c r="E334" s="1807" t="n">
        <v>844338000</v>
      </c>
      <c r="F334" s="1807" t="n">
        <v>1014380000</v>
      </c>
      <c r="G334" s="1807" t="n">
        <v>1395128000</v>
      </c>
    </row>
    <row r="335" ht="15" customHeight="1">
      <c r="A335" s="1885" t="inlineStr">
        <is>
          <t>Income Taxes - Payable - Long-Term &amp; Short-Term</t>
        </is>
      </c>
      <c r="B335" s="1807" t="n">
        <v>137658000</v>
      </c>
      <c r="C335" s="1807" t="n">
        <v>142437000</v>
      </c>
      <c r="D335" s="1807" t="n">
        <v>167911000</v>
      </c>
      <c r="E335" s="1807" t="n">
        <v>193123000</v>
      </c>
      <c r="F335" s="1807" t="n">
        <v>120460000</v>
      </c>
      <c r="G335" s="1807" t="n">
        <v>55412000</v>
      </c>
    </row>
    <row r="336" ht="15" customHeight="1">
      <c r="A336" s="1885" t="inlineStr">
        <is>
          <t>Dividends Payable</t>
        </is>
      </c>
      <c r="B336" s="731" t="n"/>
      <c r="C336" s="731" t="n"/>
      <c r="D336" s="731" t="n"/>
      <c r="E336" s="731" t="n"/>
      <c r="F336" s="731" t="n"/>
      <c r="G336" s="731" t="n"/>
    </row>
    <row r="337" ht="15" customHeight="1">
      <c r="A337" s="1885" t="inlineStr">
        <is>
          <t>Payables &amp; Accrued Expenses</t>
        </is>
      </c>
      <c r="B337" s="1807" t="n">
        <v>1097761000</v>
      </c>
      <c r="C337" s="1807" t="n">
        <v>1617100000</v>
      </c>
      <c r="D337" s="1807" t="n">
        <v>2350846000</v>
      </c>
      <c r="E337" s="1807" t="n">
        <v>2669739000</v>
      </c>
      <c r="F337" s="1807" t="n">
        <v>2423471000</v>
      </c>
      <c r="G337" s="1807" t="n">
        <v>2364699000</v>
      </c>
    </row>
    <row r="338" ht="15" customHeight="1">
      <c r="A338" s="1886" t="inlineStr">
        <is>
          <t>Trade Account Payables - Total</t>
        </is>
      </c>
      <c r="B338" s="1807" t="n">
        <v>534866000</v>
      </c>
      <c r="C338" s="1807" t="n">
        <v>521678000</v>
      </c>
      <c r="D338" s="1807" t="n">
        <v>839297000</v>
      </c>
      <c r="E338" s="1807" t="n">
        <v>1206943000</v>
      </c>
      <c r="F338" s="1807" t="n">
        <v>1008214000</v>
      </c>
      <c r="G338" s="1807" t="n">
        <v>1187895000</v>
      </c>
    </row>
    <row r="339" ht="15" customHeight="1">
      <c r="A339" s="1886" t="inlineStr">
        <is>
          <t>Accrued Expenses</t>
        </is>
      </c>
      <c r="B339" s="1807" t="n">
        <v>562895000</v>
      </c>
      <c r="C339" s="1807" t="n">
        <v>1095422000</v>
      </c>
      <c r="D339" s="1807" t="n">
        <v>1511549000</v>
      </c>
      <c r="E339" s="1807" t="n">
        <v>1462796000</v>
      </c>
      <c r="F339" s="1807" t="n">
        <v>1415257000</v>
      </c>
      <c r="G339" s="1807" t="n">
        <v>1176804000</v>
      </c>
    </row>
    <row r="340" ht="15" customHeight="1">
      <c r="A340" s="1885" t="inlineStr">
        <is>
          <t>Derivative Liabilities - Hedging</t>
        </is>
      </c>
      <c r="B340" s="1807" t="n">
        <v>83733000</v>
      </c>
      <c r="C340" s="1807" t="n">
        <v>137906000</v>
      </c>
      <c r="D340" s="1807" t="n">
        <v>39427000</v>
      </c>
      <c r="E340" s="1807" t="n">
        <v>43954000</v>
      </c>
      <c r="F340" s="1807" t="n">
        <v>167736000</v>
      </c>
      <c r="G340" s="1807" t="n">
        <v>84492000</v>
      </c>
    </row>
    <row r="341" ht="15" customHeight="1">
      <c r="A341" s="1885" t="inlineStr">
        <is>
          <t>Billings in Excess of Costs - Total</t>
        </is>
      </c>
      <c r="B341" s="731" t="n"/>
      <c r="C341" s="731" t="n"/>
      <c r="D341" s="731" t="n"/>
      <c r="E341" s="731" t="n"/>
      <c r="F341" s="731" t="n"/>
      <c r="G341" s="731" t="n"/>
    </row>
    <row r="342" ht="15" customHeight="1">
      <c r="A342" s="1885" t="inlineStr">
        <is>
          <t>Liabilities Held for Sale/Discontinued Operations - Long-term &amp; Short-Term</t>
        </is>
      </c>
      <c r="B342" s="731" t="n"/>
      <c r="C342" s="731" t="n"/>
      <c r="D342" s="731" t="n"/>
      <c r="E342" s="731" t="n"/>
      <c r="F342" s="731" t="n"/>
      <c r="G342" s="731" t="n"/>
    </row>
    <row r="343" ht="15" customHeight="1">
      <c r="A343" s="1885" t="inlineStr">
        <is>
          <t>Contract Assets - Short-Term - Unbilled Revenue in Excess of Advance Consideration &amp; Progress Billings</t>
        </is>
      </c>
      <c r="B343" s="731" t="n"/>
      <c r="C343" s="731" t="n"/>
      <c r="D343" s="731" t="n"/>
      <c r="E343" s="731" t="n"/>
      <c r="F343" s="731" t="n"/>
      <c r="G343" s="731" t="n"/>
    </row>
    <row r="344" ht="15" customHeight="1">
      <c r="A344" s="1885" t="inlineStr">
        <is>
          <t>Contract Assets - Long-Term - Unbilled Revenue in Excess of Advance Consideration &amp; Progress Billings</t>
        </is>
      </c>
      <c r="B344" s="731" t="n"/>
      <c r="C344" s="731" t="n"/>
      <c r="D344" s="731" t="n"/>
      <c r="E344" s="731" t="n"/>
      <c r="F344" s="731" t="n"/>
      <c r="G344" s="731" t="n"/>
    </row>
    <row r="345" ht="15" customHeight="1">
      <c r="A345" s="1885" t="inlineStr">
        <is>
          <t>Investment Property - Fair Value</t>
        </is>
      </c>
      <c r="B345" s="731" t="n"/>
      <c r="C345" s="731" t="n"/>
      <c r="D345" s="731" t="n"/>
      <c r="E345" s="731" t="n"/>
      <c r="F345" s="731" t="n"/>
      <c r="G345" s="731" t="n"/>
    </row>
    <row r="346" ht="15" customHeight="1">
      <c r="A346" s="1884" t="inlineStr">
        <is>
          <t>Debt Related</t>
        </is>
      </c>
      <c r="B346" s="734" t="n"/>
      <c r="C346" s="734" t="n"/>
      <c r="D346" s="734" t="n"/>
      <c r="E346" s="734" t="n"/>
      <c r="F346" s="734" t="n"/>
      <c r="G346" s="734" t="n"/>
    </row>
    <row r="347" ht="15" customHeight="1">
      <c r="A347" s="1885" t="inlineStr">
        <is>
          <t>Net Debt</t>
        </is>
      </c>
      <c r="B347" s="1807" t="n">
        <v>18754164000</v>
      </c>
      <c r="C347" s="1807" t="n">
        <v>42236376000</v>
      </c>
      <c r="D347" s="1807" t="n">
        <v>44629465000</v>
      </c>
      <c r="E347" s="1807" t="n">
        <v>44450476000</v>
      </c>
      <c r="F347" s="1807" t="n">
        <v>51356912000</v>
      </c>
      <c r="G347" s="1807" t="n">
        <v>44509580000</v>
      </c>
    </row>
    <row r="348" ht="15" customHeight="1">
      <c r="A348" s="1885" t="inlineStr">
        <is>
          <t>Debt - Total</t>
        </is>
      </c>
      <c r="B348" s="1807" t="n">
        <v>20196791000</v>
      </c>
      <c r="C348" s="1807" t="n">
        <v>46984740000</v>
      </c>
      <c r="D348" s="1807" t="n">
        <v>44972168000</v>
      </c>
      <c r="E348" s="1807" t="n">
        <v>44967602000</v>
      </c>
      <c r="F348" s="1807" t="n">
        <v>52336135000</v>
      </c>
      <c r="G348" s="1807" t="n">
        <v>45219438000</v>
      </c>
    </row>
    <row r="349" ht="15" customHeight="1">
      <c r="A349" s="1885" t="inlineStr">
        <is>
          <t>Weighted Cost of Debt - %</t>
        </is>
      </c>
      <c r="B349" s="731" t="n"/>
      <c r="C349" s="731" t="n"/>
      <c r="D349" s="731" t="n"/>
      <c r="E349" s="731" t="n"/>
      <c r="F349" s="731" t="n"/>
      <c r="G349" s="731" t="n"/>
    </row>
    <row r="350" ht="15" customHeight="1">
      <c r="A350" s="1885" t="inlineStr">
        <is>
          <t>Revolving Line of Credit - Outstanding - Supplemental</t>
        </is>
      </c>
      <c r="B350" s="731" t="n"/>
      <c r="C350" s="731" t="n"/>
      <c r="D350" s="731" t="n"/>
      <c r="E350" s="731" t="n"/>
      <c r="F350" s="731" t="n"/>
      <c r="G350" s="731" t="n"/>
    </row>
    <row r="351" ht="15" customHeight="1">
      <c r="A351" s="1885" t="inlineStr">
        <is>
          <t>Revolving Line of Credit - Unutilized/Unused Amount</t>
        </is>
      </c>
      <c r="B351" s="731" t="n"/>
      <c r="C351" s="731" t="n"/>
      <c r="D351" s="731" t="n"/>
      <c r="E351" s="731" t="n"/>
      <c r="F351" s="731" t="n"/>
      <c r="G351" s="731" t="n"/>
    </row>
    <row r="352" ht="15" customHeight="1">
      <c r="A352" s="1885" t="inlineStr">
        <is>
          <t>Revolving Line of Credit - Total Principal Amount</t>
        </is>
      </c>
      <c r="B352" s="731" t="n"/>
      <c r="C352" s="731" t="n"/>
      <c r="D352" s="731" t="n"/>
      <c r="E352" s="731" t="n"/>
      <c r="F352" s="731" t="n"/>
      <c r="G352" s="731" t="n"/>
    </row>
    <row r="353" ht="15" customHeight="1">
      <c r="A353" s="1885" t="inlineStr">
        <is>
          <t>Debt - Financial Sector - Total</t>
        </is>
      </c>
      <c r="B353" s="731" t="n"/>
      <c r="C353" s="731" t="n"/>
      <c r="D353" s="731" t="n"/>
      <c r="E353" s="731" t="n"/>
      <c r="F353" s="731" t="n"/>
      <c r="G353" s="731" t="n"/>
    </row>
    <row r="354" ht="15" customHeight="1">
      <c r="A354" s="1885" t="inlineStr">
        <is>
          <t>Short-Term Debt - Financial Sector - Total</t>
        </is>
      </c>
      <c r="B354" s="731" t="n"/>
      <c r="C354" s="731" t="n"/>
      <c r="D354" s="731" t="n"/>
      <c r="E354" s="731" t="n"/>
      <c r="F354" s="731" t="n"/>
      <c r="G354" s="731" t="n"/>
    </row>
    <row r="355" ht="15" customHeight="1">
      <c r="A355" s="1885" t="inlineStr">
        <is>
          <t>Debt - Long-Term - Financial Sector - Total</t>
        </is>
      </c>
      <c r="B355" s="731" t="n"/>
      <c r="C355" s="731" t="n"/>
      <c r="D355" s="731" t="n"/>
      <c r="E355" s="731" t="n"/>
      <c r="F355" s="731" t="n"/>
      <c r="G355" s="731" t="n"/>
    </row>
    <row r="356" ht="15" customHeight="1">
      <c r="A356" s="1884" t="inlineStr">
        <is>
          <t>Islamic</t>
        </is>
      </c>
      <c r="B356" s="734" t="n"/>
      <c r="C356" s="734" t="n"/>
      <c r="D356" s="734" t="n"/>
      <c r="E356" s="734" t="n"/>
      <c r="F356" s="734" t="n"/>
      <c r="G356" s="734" t="n"/>
    </row>
    <row r="357" ht="15" customHeight="1">
      <c r="A357" s="1885" t="inlineStr">
        <is>
          <t>Islamic Investments &amp; Deposits</t>
        </is>
      </c>
      <c r="B357" s="731" t="n"/>
      <c r="C357" s="731" t="n"/>
      <c r="D357" s="731" t="n"/>
      <c r="E357" s="731" t="n"/>
      <c r="F357" s="731" t="n"/>
      <c r="G357" s="731" t="n"/>
    </row>
    <row r="358" ht="15" customHeight="1">
      <c r="A358" s="1885" t="inlineStr">
        <is>
          <t>Islamic Receivables - Short-Term</t>
        </is>
      </c>
      <c r="B358" s="731" t="n"/>
      <c r="C358" s="731" t="n"/>
      <c r="D358" s="731" t="n"/>
      <c r="E358" s="731" t="n"/>
      <c r="F358" s="731" t="n"/>
      <c r="G358" s="731" t="n"/>
    </row>
    <row r="359" ht="15" customHeight="1">
      <c r="A359" s="1885" t="inlineStr">
        <is>
          <t>Islamic Receivables - Long-Term</t>
        </is>
      </c>
      <c r="B359" s="731" t="n"/>
      <c r="C359" s="731" t="n"/>
      <c r="D359" s="731" t="n"/>
      <c r="E359" s="731" t="n"/>
      <c r="F359" s="731" t="n"/>
      <c r="G359" s="731" t="n"/>
    </row>
    <row r="360" ht="15" customHeight="1">
      <c r="A360" s="1885" t="inlineStr">
        <is>
          <t>Islamic Debt - Long-Term &amp; Short-Term</t>
        </is>
      </c>
      <c r="B360" s="731" t="n"/>
      <c r="C360" s="731" t="n"/>
      <c r="D360" s="731" t="n"/>
      <c r="E360" s="731" t="n"/>
      <c r="F360" s="731" t="n"/>
      <c r="G360" s="731" t="n"/>
    </row>
    <row r="361" ht="15" customHeight="1">
      <c r="A361" s="1884" t="inlineStr">
        <is>
          <t>Debt Maturity</t>
        </is>
      </c>
      <c r="B361" s="734" t="n"/>
      <c r="C361" s="734" t="n"/>
      <c r="D361" s="734" t="n"/>
      <c r="E361" s="734" t="n"/>
      <c r="F361" s="734" t="n"/>
      <c r="G361" s="734" t="n"/>
    </row>
    <row r="362" ht="15" customHeight="1">
      <c r="A362" s="1885" t="inlineStr">
        <is>
          <t>Debt - Long-Term - Maturities - Total</t>
        </is>
      </c>
      <c r="B362" s="731" t="n"/>
      <c r="C362" s="731" t="n"/>
      <c r="D362" s="731" t="n"/>
      <c r="E362" s="731" t="n"/>
      <c r="F362" s="731" t="n"/>
      <c r="G362" s="731" t="n"/>
    </row>
    <row r="363" ht="15" customHeight="1">
      <c r="A363" s="1886" t="inlineStr">
        <is>
          <t>Debt - Long-Term - Maturities - within 1 Year</t>
        </is>
      </c>
      <c r="B363" s="731" t="n"/>
      <c r="C363" s="731" t="n"/>
      <c r="D363" s="731" t="n"/>
      <c r="E363" s="731" t="n"/>
      <c r="F363" s="731" t="n"/>
      <c r="G363" s="731" t="n"/>
    </row>
    <row r="364" ht="15" customHeight="1">
      <c r="A364" s="1886" t="inlineStr">
        <is>
          <t>Debt - Long-Term - Maturities - Year 2</t>
        </is>
      </c>
      <c r="B364" s="731" t="n"/>
      <c r="C364" s="731" t="n"/>
      <c r="D364" s="731" t="n"/>
      <c r="E364" s="731" t="n"/>
      <c r="F364" s="731" t="n"/>
      <c r="G364" s="731" t="n"/>
    </row>
    <row r="365" ht="15" customHeight="1">
      <c r="A365" s="1886" t="inlineStr">
        <is>
          <t>Debt - Long-Term - Maturities - Year 3</t>
        </is>
      </c>
      <c r="B365" s="731" t="n"/>
      <c r="C365" s="731" t="n"/>
      <c r="D365" s="731" t="n"/>
      <c r="E365" s="731" t="n"/>
      <c r="F365" s="731" t="n"/>
      <c r="G365" s="731" t="n"/>
    </row>
    <row r="366" ht="15" customHeight="1">
      <c r="A366" s="1886" t="inlineStr">
        <is>
          <t>Debt - Long-Term - Maturities - Year 4</t>
        </is>
      </c>
      <c r="B366" s="731" t="n"/>
      <c r="C366" s="731" t="n"/>
      <c r="D366" s="731" t="n"/>
      <c r="E366" s="731" t="n"/>
      <c r="F366" s="731" t="n"/>
      <c r="G366" s="731" t="n"/>
    </row>
    <row r="367" ht="15" customHeight="1">
      <c r="A367" s="1886" t="inlineStr">
        <is>
          <t>Debt - Long-Term - Maturities - Year 5</t>
        </is>
      </c>
      <c r="B367" s="731" t="n"/>
      <c r="C367" s="731" t="n"/>
      <c r="D367" s="731" t="n"/>
      <c r="E367" s="731" t="n"/>
      <c r="F367" s="731" t="n"/>
      <c r="G367" s="731" t="n"/>
    </row>
    <row r="368" ht="15" customHeight="1">
      <c r="A368" s="1886" t="inlineStr">
        <is>
          <t>Debt - Long-Term - Maturities - Year 6</t>
        </is>
      </c>
      <c r="B368" s="731" t="n"/>
      <c r="C368" s="731" t="n"/>
      <c r="D368" s="731" t="n"/>
      <c r="E368" s="731" t="n"/>
      <c r="F368" s="731" t="n"/>
      <c r="G368" s="731" t="n"/>
    </row>
    <row r="369" ht="15" customHeight="1">
      <c r="A369" s="1886" t="inlineStr">
        <is>
          <t>Debt - Long-Term - Maturities - Year 7</t>
        </is>
      </c>
      <c r="B369" s="731" t="n"/>
      <c r="C369" s="731" t="n"/>
      <c r="D369" s="731" t="n"/>
      <c r="E369" s="731" t="n"/>
      <c r="F369" s="731" t="n"/>
      <c r="G369" s="731" t="n"/>
    </row>
    <row r="370" ht="15" customHeight="1">
      <c r="A370" s="1886" t="inlineStr">
        <is>
          <t>Debt - Long-Term - Maturities - Year 8</t>
        </is>
      </c>
      <c r="B370" s="731" t="n"/>
      <c r="C370" s="731" t="n"/>
      <c r="D370" s="731" t="n"/>
      <c r="E370" s="731" t="n"/>
      <c r="F370" s="731" t="n"/>
      <c r="G370" s="731" t="n"/>
    </row>
    <row r="371" ht="15" customHeight="1">
      <c r="A371" s="1886" t="inlineStr">
        <is>
          <t>Debt - Long-Term - Maturities - Year 9</t>
        </is>
      </c>
      <c r="B371" s="731" t="n"/>
      <c r="C371" s="731" t="n"/>
      <c r="D371" s="731" t="n"/>
      <c r="E371" s="731" t="n"/>
      <c r="F371" s="731" t="n"/>
      <c r="G371" s="731" t="n"/>
    </row>
    <row r="372" ht="15" customHeight="1">
      <c r="A372" s="1886" t="inlineStr">
        <is>
          <t>Debt - Long-Term - Maturities - Year 10</t>
        </is>
      </c>
      <c r="B372" s="731" t="n"/>
      <c r="C372" s="731" t="n"/>
      <c r="D372" s="731" t="n"/>
      <c r="E372" s="731" t="n"/>
      <c r="F372" s="731" t="n"/>
      <c r="G372" s="731" t="n"/>
    </row>
    <row r="373" ht="15" customHeight="1">
      <c r="A373" s="1886" t="inlineStr">
        <is>
          <t>Debt - Long-Term - Maturities - Remaining</t>
        </is>
      </c>
      <c r="B373" s="731" t="n"/>
      <c r="C373" s="731" t="n"/>
      <c r="D373" s="731" t="n"/>
      <c r="E373" s="731" t="n"/>
      <c r="F373" s="731" t="n"/>
      <c r="G373" s="731" t="n"/>
    </row>
    <row r="374" ht="15" customHeight="1">
      <c r="A374" s="1885" t="inlineStr">
        <is>
          <t>Debt - Long-Term - Maturities - 2-3 Years</t>
        </is>
      </c>
      <c r="B374" s="731" t="n"/>
      <c r="C374" s="731" t="n"/>
      <c r="D374" s="731" t="n"/>
      <c r="E374" s="731" t="n"/>
      <c r="F374" s="731" t="n"/>
      <c r="G374" s="731" t="n"/>
    </row>
    <row r="375" ht="15" customHeight="1">
      <c r="A375" s="1885" t="inlineStr">
        <is>
          <t>Debt - Long-Term - Maturities - 4-5 Years</t>
        </is>
      </c>
      <c r="B375" s="731" t="n"/>
      <c r="C375" s="731" t="n"/>
      <c r="D375" s="731" t="n"/>
      <c r="E375" s="731" t="n"/>
      <c r="F375" s="731" t="n"/>
      <c r="G375" s="731" t="n"/>
    </row>
    <row r="376" ht="15" customHeight="1">
      <c r="A376" s="1885" t="inlineStr">
        <is>
          <t>Debt - Long-Term - Maturities - Year 6 &amp; Beyond</t>
        </is>
      </c>
      <c r="B376" s="731" t="n"/>
      <c r="C376" s="731" t="n"/>
      <c r="D376" s="731" t="n"/>
      <c r="E376" s="731" t="n"/>
      <c r="F376" s="731" t="n"/>
      <c r="G376" s="731" t="n"/>
    </row>
    <row r="377" ht="15" customHeight="1">
      <c r="A377" s="1884" t="inlineStr">
        <is>
          <t>Capital Lease Maturity</t>
        </is>
      </c>
      <c r="B377" s="734" t="n"/>
      <c r="C377" s="734" t="n"/>
      <c r="D377" s="734" t="n"/>
      <c r="E377" s="734" t="n"/>
      <c r="F377" s="734" t="n"/>
      <c r="G377" s="734" t="n"/>
    </row>
    <row r="378" ht="15" customHeight="1">
      <c r="A378" s="1885" t="inlineStr">
        <is>
          <t>Capital Lease Maturities - Total</t>
        </is>
      </c>
      <c r="B378" s="731" t="n"/>
      <c r="C378" s="731" t="n"/>
      <c r="D378" s="731" t="n"/>
      <c r="E378" s="731" t="n"/>
      <c r="F378" s="731" t="n"/>
      <c r="G378" s="731" t="n"/>
    </row>
    <row r="379" ht="15" customHeight="1">
      <c r="A379" s="1886" t="inlineStr">
        <is>
          <t>Capital Lease Maturities - Due within 1 Year</t>
        </is>
      </c>
      <c r="B379" s="731" t="n"/>
      <c r="C379" s="731" t="n"/>
      <c r="D379" s="731" t="n"/>
      <c r="E379" s="731" t="n"/>
      <c r="F379" s="731" t="n"/>
      <c r="G379" s="731" t="n"/>
    </row>
    <row r="380" ht="15" customHeight="1">
      <c r="A380" s="1886" t="inlineStr">
        <is>
          <t>Capital Lease Maturities - Due in Year 2</t>
        </is>
      </c>
      <c r="B380" s="731" t="n"/>
      <c r="C380" s="731" t="n"/>
      <c r="D380" s="731" t="n"/>
      <c r="E380" s="731" t="n"/>
      <c r="F380" s="731" t="n"/>
      <c r="G380" s="731" t="n"/>
    </row>
    <row r="381" ht="15" customHeight="1">
      <c r="A381" s="1886" t="inlineStr">
        <is>
          <t>Capital Lease Maturities - Due in Year 3</t>
        </is>
      </c>
      <c r="B381" s="731" t="n"/>
      <c r="C381" s="731" t="n"/>
      <c r="D381" s="731" t="n"/>
      <c r="E381" s="731" t="n"/>
      <c r="F381" s="731" t="n"/>
      <c r="G381" s="731" t="n"/>
    </row>
    <row r="382" ht="15" customHeight="1">
      <c r="A382" s="1886" t="inlineStr">
        <is>
          <t>Capital Lease Maturities - Due in Year 4</t>
        </is>
      </c>
      <c r="B382" s="731" t="n"/>
      <c r="C382" s="731" t="n"/>
      <c r="D382" s="731" t="n"/>
      <c r="E382" s="731" t="n"/>
      <c r="F382" s="731" t="n"/>
      <c r="G382" s="731" t="n"/>
    </row>
    <row r="383" ht="15" customHeight="1">
      <c r="A383" s="1886" t="inlineStr">
        <is>
          <t>Capital Lease Maturities - Due in Year 5</t>
        </is>
      </c>
      <c r="B383" s="731" t="n"/>
      <c r="C383" s="731" t="n"/>
      <c r="D383" s="731" t="n"/>
      <c r="E383" s="731" t="n"/>
      <c r="F383" s="731" t="n"/>
      <c r="G383" s="731" t="n"/>
    </row>
    <row r="384" ht="15" customHeight="1">
      <c r="A384" s="1886" t="inlineStr">
        <is>
          <t>Capital Lease Maturities - Due in Year 6</t>
        </is>
      </c>
      <c r="B384" s="731" t="n"/>
      <c r="C384" s="731" t="n"/>
      <c r="D384" s="731" t="n"/>
      <c r="E384" s="731" t="n"/>
      <c r="F384" s="731" t="n"/>
      <c r="G384" s="731" t="n"/>
    </row>
    <row r="385" ht="15" customHeight="1">
      <c r="A385" s="1886" t="inlineStr">
        <is>
          <t>Capital Lease Maturities - Due in Year 7</t>
        </is>
      </c>
      <c r="B385" s="731" t="n"/>
      <c r="C385" s="731" t="n"/>
      <c r="D385" s="731" t="n"/>
      <c r="E385" s="731" t="n"/>
      <c r="F385" s="731" t="n"/>
      <c r="G385" s="731" t="n"/>
    </row>
    <row r="386" ht="15" customHeight="1">
      <c r="A386" s="1886" t="inlineStr">
        <is>
          <t>Capital Lease Maturities - Due in Year 8</t>
        </is>
      </c>
      <c r="B386" s="731" t="n"/>
      <c r="C386" s="731" t="n"/>
      <c r="D386" s="731" t="n"/>
      <c r="E386" s="731" t="n"/>
      <c r="F386" s="731" t="n"/>
      <c r="G386" s="731" t="n"/>
    </row>
    <row r="387" ht="15" customHeight="1">
      <c r="A387" s="1886" t="inlineStr">
        <is>
          <t>Capital Lease Maturities - Due in Year 9</t>
        </is>
      </c>
      <c r="B387" s="731" t="n"/>
      <c r="C387" s="731" t="n"/>
      <c r="D387" s="731" t="n"/>
      <c r="E387" s="731" t="n"/>
      <c r="F387" s="731" t="n"/>
      <c r="G387" s="731" t="n"/>
    </row>
    <row r="388" ht="15" customHeight="1">
      <c r="A388" s="1886" t="inlineStr">
        <is>
          <t>Capital Lease Maturities - Due in Year 10</t>
        </is>
      </c>
      <c r="B388" s="731" t="n"/>
      <c r="C388" s="731" t="n"/>
      <c r="D388" s="731" t="n"/>
      <c r="E388" s="731" t="n"/>
      <c r="F388" s="731" t="n"/>
      <c r="G388" s="731" t="n"/>
    </row>
    <row r="389" ht="15" customHeight="1">
      <c r="A389" s="1886" t="inlineStr">
        <is>
          <t>Capital Lease Maturities - Remaining Maturities</t>
        </is>
      </c>
      <c r="B389" s="731" t="n"/>
      <c r="C389" s="731" t="n"/>
      <c r="D389" s="731" t="n"/>
      <c r="E389" s="731" t="n"/>
      <c r="F389" s="731" t="n"/>
      <c r="G389" s="731" t="n"/>
    </row>
    <row r="390" ht="15" customHeight="1">
      <c r="A390" s="1886" t="inlineStr">
        <is>
          <t>Capital Lease Maturities - Interest Costs</t>
        </is>
      </c>
      <c r="B390" s="731" t="n"/>
      <c r="C390" s="731" t="n"/>
      <c r="D390" s="731" t="n"/>
      <c r="E390" s="731" t="n"/>
      <c r="F390" s="731" t="n"/>
      <c r="G390" s="731" t="n"/>
    </row>
    <row r="391" ht="15" customHeight="1">
      <c r="A391" s="1886" t="inlineStr">
        <is>
          <t>Capital Lease Maturities - Executory Costs</t>
        </is>
      </c>
      <c r="B391" s="731" t="n"/>
      <c r="C391" s="731" t="n"/>
      <c r="D391" s="731" t="n"/>
      <c r="E391" s="731" t="n"/>
      <c r="F391" s="731" t="n"/>
      <c r="G391" s="731" t="n"/>
    </row>
    <row r="392" ht="15" customHeight="1">
      <c r="A392" s="1885" t="inlineStr">
        <is>
          <t>Capital Lease Maturities - Due in 2-3 Years</t>
        </is>
      </c>
      <c r="B392" s="731" t="n"/>
      <c r="C392" s="731" t="n"/>
      <c r="D392" s="731" t="n"/>
      <c r="E392" s="731" t="n"/>
      <c r="F392" s="731" t="n"/>
      <c r="G392" s="731" t="n"/>
    </row>
    <row r="393" ht="15" customHeight="1">
      <c r="A393" s="1885" t="inlineStr">
        <is>
          <t>Capital Lease Maturities - Due in 4-5 Years</t>
        </is>
      </c>
      <c r="B393" s="731" t="n"/>
      <c r="C393" s="731" t="n"/>
      <c r="D393" s="731" t="n"/>
      <c r="E393" s="731" t="n"/>
      <c r="F393" s="731" t="n"/>
      <c r="G393" s="731" t="n"/>
    </row>
    <row r="394" ht="15" customHeight="1">
      <c r="A394" s="1885" t="inlineStr">
        <is>
          <t>Capital Lease Maturities - Due in Year 6 &amp; Beyond</t>
        </is>
      </c>
      <c r="B394" s="731" t="n"/>
      <c r="C394" s="731" t="n"/>
      <c r="D394" s="731" t="n"/>
      <c r="E394" s="731" t="n"/>
      <c r="F394" s="731" t="n"/>
      <c r="G394" s="731" t="n"/>
    </row>
    <row r="395" ht="15" customHeight="1">
      <c r="A395" s="1884" t="inlineStr">
        <is>
          <t>Weighted Average Leases</t>
        </is>
      </c>
      <c r="B395" s="734" t="n"/>
      <c r="C395" s="734" t="n"/>
      <c r="D395" s="734" t="n"/>
      <c r="E395" s="734" t="n"/>
      <c r="F395" s="734" t="n"/>
      <c r="G395" s="734" t="n"/>
    </row>
    <row r="396" ht="15" customHeight="1">
      <c r="A396" s="1885" t="inlineStr">
        <is>
          <t>Wgt Avg Remaining Lease Term (Years)-Operating Lease-US GAAP</t>
        </is>
      </c>
      <c r="B396" s="731" t="n"/>
      <c r="C396" s="731" t="n"/>
      <c r="D396" s="731" t="n"/>
      <c r="E396" s="731" t="n"/>
      <c r="F396" s="731" t="n"/>
      <c r="G396" s="731" t="n"/>
    </row>
    <row r="397" ht="15" customHeight="1">
      <c r="A397" s="1885" t="inlineStr">
        <is>
          <t>Wgt Avg Remaining Lease Term (Years) - Finance Lease</t>
        </is>
      </c>
      <c r="B397" s="731" t="n"/>
      <c r="C397" s="731" t="n"/>
      <c r="D397" s="731" t="n"/>
      <c r="E397" s="731" t="n"/>
      <c r="F397" s="731" t="n"/>
      <c r="G397" s="731" t="n"/>
    </row>
    <row r="398" ht="15" customHeight="1">
      <c r="A398" s="1885" t="inlineStr">
        <is>
          <t>Weighted Average Discount Rate - Operating Lease - US GAAP</t>
        </is>
      </c>
      <c r="B398" s="731" t="n"/>
      <c r="C398" s="731" t="n"/>
      <c r="D398" s="731" t="n"/>
      <c r="E398" s="731" t="n"/>
      <c r="F398" s="731" t="n"/>
      <c r="G398" s="731" t="n"/>
    </row>
    <row r="399" ht="15" customHeight="1">
      <c r="A399" s="1885" t="inlineStr">
        <is>
          <t>Weighted Average Discount Rate - Finance Lease</t>
        </is>
      </c>
      <c r="B399" s="731" t="n"/>
      <c r="C399" s="731" t="n"/>
      <c r="D399" s="731" t="n"/>
      <c r="E399" s="731" t="n"/>
      <c r="F399" s="731" t="n"/>
      <c r="G399" s="731" t="n"/>
    </row>
    <row r="400" ht="15" customHeight="1">
      <c r="A400" s="1884" t="inlineStr">
        <is>
          <t>Other</t>
        </is>
      </c>
      <c r="B400" s="734" t="n"/>
      <c r="C400" s="734" t="n"/>
      <c r="D400" s="734" t="n"/>
      <c r="E400" s="734" t="n"/>
      <c r="F400" s="734" t="n"/>
      <c r="G400" s="734" t="n"/>
    </row>
    <row r="401" ht="15" customHeight="1">
      <c r="A401" s="1885" t="inlineStr">
        <is>
          <t>Contract Liabilities - Short-Term - Advance Consideration &amp; Progress Billings in Excess of Unbilled Revenue</t>
        </is>
      </c>
      <c r="B401" s="731" t="n"/>
      <c r="C401" s="731" t="n"/>
      <c r="D401" s="731" t="n"/>
      <c r="E401" s="731" t="n"/>
      <c r="F401" s="731" t="n"/>
      <c r="G401" s="731" t="n"/>
    </row>
    <row r="402" ht="15" customHeight="1">
      <c r="A402" s="1885" t="inlineStr">
        <is>
          <t>Contract Liabilities - Long-Term - Advance Consideration &amp; Progress Billings in Excess of Unbilled Revenue</t>
        </is>
      </c>
      <c r="B402" s="731" t="n"/>
      <c r="C402" s="731" t="n"/>
      <c r="D402" s="731" t="n"/>
      <c r="E402" s="731" t="n"/>
      <c r="F402" s="731" t="n"/>
      <c r="G402" s="731" t="n"/>
    </row>
    <row r="403" ht="15" customHeight="1">
      <c r="A403" s="1885" t="inlineStr">
        <is>
          <t>Minority Interest - Total</t>
        </is>
      </c>
      <c r="B403" s="1807" t="n">
        <v>30008000</v>
      </c>
      <c r="C403" s="1807" t="n">
        <v>31019000</v>
      </c>
      <c r="D403" s="1807" t="n">
        <v>31766000</v>
      </c>
      <c r="E403" s="1807" t="n">
        <v>55272000</v>
      </c>
      <c r="F403" s="1807" t="n">
        <v>70587000</v>
      </c>
      <c r="G403" s="1807" t="n">
        <v>110891000</v>
      </c>
    </row>
    <row r="404" ht="15" customHeight="1">
      <c r="A404" s="1885" t="inlineStr">
        <is>
          <t>Accruals - Short-Term</t>
        </is>
      </c>
      <c r="B404" s="1807" t="n">
        <v>-5665483000</v>
      </c>
      <c r="C404" s="1807" t="n">
        <v>-19230490000</v>
      </c>
      <c r="D404" s="1807" t="n">
        <v>-11103586000</v>
      </c>
      <c r="E404" s="1807" t="n">
        <v>-20300747000</v>
      </c>
      <c r="F404" s="1807" t="n">
        <v>-16108578000</v>
      </c>
      <c r="G404" s="1807" t="n">
        <v>-16791983000</v>
      </c>
    </row>
    <row r="405" ht="15" customHeight="1">
      <c r="A405" s="1885" t="inlineStr">
        <is>
          <t>Asset Accruals</t>
        </is>
      </c>
      <c r="B405" s="1807" t="n">
        <v>32420120000</v>
      </c>
      <c r="C405" s="1807" t="n">
        <v>45281958000</v>
      </c>
      <c r="D405" s="1807" t="n">
        <v>49611115000</v>
      </c>
      <c r="E405" s="1807" t="n">
        <v>52228317000</v>
      </c>
      <c r="F405" s="1807" t="n">
        <v>59995032000</v>
      </c>
      <c r="G405" s="1807" t="n">
        <v>60329788000</v>
      </c>
    </row>
    <row r="406" ht="15" customHeight="1">
      <c r="A406" s="1885" t="inlineStr">
        <is>
          <t>Cash &amp; Cash Equivalents - Total</t>
        </is>
      </c>
      <c r="B406" s="1807" t="n">
        <v>1442627000</v>
      </c>
      <c r="C406" s="1807" t="n">
        <v>4748364000</v>
      </c>
      <c r="D406" s="1807" t="n">
        <v>308636000</v>
      </c>
      <c r="E406" s="1807" t="n">
        <v>428677000</v>
      </c>
      <c r="F406" s="1807" t="n">
        <v>940183000</v>
      </c>
      <c r="G406" s="1807" t="n">
        <v>647545000</v>
      </c>
    </row>
    <row r="407" ht="15" customHeight="1">
      <c r="A407" s="1885" t="inlineStr">
        <is>
          <t>Cash &amp; Short Term Investments - Total</t>
        </is>
      </c>
      <c r="B407" s="1807" t="n">
        <v>1442627000</v>
      </c>
      <c r="C407" s="1807" t="n">
        <v>4748364000</v>
      </c>
      <c r="D407" s="1807" t="n">
        <v>342703000</v>
      </c>
      <c r="E407" s="1807" t="n">
        <v>517126000</v>
      </c>
      <c r="F407" s="1807" t="n">
        <v>979223000</v>
      </c>
      <c r="G407" s="1807" t="n">
        <v>709858000</v>
      </c>
    </row>
    <row r="408" ht="15" customHeight="1">
      <c r="A408" s="1885" t="inlineStr">
        <is>
          <t>Debt - including Preferred Equity &amp; Minority Interest - Total</t>
        </is>
      </c>
      <c r="B408" s="1807" t="n">
        <v>20226799000</v>
      </c>
      <c r="C408" s="1807" t="n">
        <v>47015759000</v>
      </c>
      <c r="D408" s="1807" t="n">
        <v>45003934000</v>
      </c>
      <c r="E408" s="1807" t="n">
        <v>45022874000</v>
      </c>
      <c r="F408" s="1807" t="n">
        <v>52406722000</v>
      </c>
      <c r="G408" s="1807" t="n">
        <v>45330329000</v>
      </c>
    </row>
    <row r="409" ht="15" customHeight="1">
      <c r="A409" s="1885" t="inlineStr">
        <is>
          <t>Investments - Permanent</t>
        </is>
      </c>
      <c r="B409" s="1807" t="n">
        <v>476210000</v>
      </c>
      <c r="C409" s="1807" t="n">
        <v>531308000</v>
      </c>
      <c r="D409" s="1807" t="n">
        <v>506502000</v>
      </c>
      <c r="E409" s="1807" t="n">
        <v>494088000</v>
      </c>
      <c r="F409" s="1807" t="n">
        <v>571632000</v>
      </c>
      <c r="G409" s="1807" t="n">
        <v>1225771000</v>
      </c>
    </row>
    <row r="410" ht="15" customHeight="1">
      <c r="A410" s="1885" t="inlineStr">
        <is>
          <t>Net Book Capital</t>
        </is>
      </c>
      <c r="B410" s="1807" t="n">
        <v>28938212000</v>
      </c>
      <c r="C410" s="1807" t="n">
        <v>54298392000</v>
      </c>
      <c r="D410" s="1807" t="n">
        <v>59061799000</v>
      </c>
      <c r="E410" s="1807" t="n">
        <v>60962140000</v>
      </c>
      <c r="F410" s="1807" t="n">
        <v>70526121000</v>
      </c>
      <c r="G410" s="1807" t="n">
        <v>71592886000</v>
      </c>
    </row>
    <row r="411" ht="15" customHeight="1">
      <c r="A411" s="1885" t="inlineStr">
        <is>
          <t>Net Operating Assets</t>
        </is>
      </c>
      <c r="B411" s="1807" t="n">
        <v>28938212000</v>
      </c>
      <c r="C411" s="1807" t="n">
        <v>54298392000</v>
      </c>
      <c r="D411" s="1807" t="n">
        <v>59061799000</v>
      </c>
      <c r="E411" s="1807" t="n">
        <v>60962140000</v>
      </c>
      <c r="F411" s="1807" t="n">
        <v>70526121000</v>
      </c>
      <c r="G411" s="1807" t="n">
        <v>71592886000</v>
      </c>
    </row>
    <row r="412" ht="15" customHeight="1">
      <c r="A412" s="1885" t="inlineStr">
        <is>
          <t>Provisions - Total</t>
        </is>
      </c>
      <c r="B412" s="1807" t="n">
        <v>908910000</v>
      </c>
      <c r="C412" s="1807" t="n">
        <v>1520259000</v>
      </c>
      <c r="D412" s="1807" t="n">
        <v>1263374000</v>
      </c>
      <c r="E412" s="1807" t="n">
        <v>1232494000</v>
      </c>
      <c r="F412" s="1807" t="n">
        <v>1197695000</v>
      </c>
      <c r="G412" s="1807" t="n">
        <v>1022281000</v>
      </c>
    </row>
    <row r="413" ht="15" customHeight="1">
      <c r="A413" s="1885" t="inlineStr">
        <is>
          <t>Shareholders Equity - Common</t>
        </is>
      </c>
      <c r="B413" s="1807" t="n">
        <v>10154040000</v>
      </c>
      <c r="C413" s="1807" t="n">
        <v>12030997000</v>
      </c>
      <c r="D413" s="1807" t="n">
        <v>14400568000</v>
      </c>
      <c r="E413" s="1807" t="n">
        <v>16456392000</v>
      </c>
      <c r="F413" s="1807" t="n">
        <v>19098622000</v>
      </c>
      <c r="G413" s="1807" t="n">
        <v>26972415000</v>
      </c>
    </row>
    <row r="414" ht="15" customHeight="1">
      <c r="A414" s="1885" t="inlineStr">
        <is>
          <t>Tangible Total Equity</t>
        </is>
      </c>
      <c r="B414" s="1807" t="n">
        <v>8839822000</v>
      </c>
      <c r="C414" s="1807" t="n">
        <v>-4597486000</v>
      </c>
      <c r="D414" s="1807" t="n">
        <v>-2089849000</v>
      </c>
      <c r="E414" s="1807" t="n">
        <v>12331000</v>
      </c>
      <c r="F414" s="1807" t="n">
        <v>2471399000</v>
      </c>
      <c r="G414" s="1807" t="n">
        <v>10547875000</v>
      </c>
    </row>
    <row r="415" ht="15" customHeight="1">
      <c r="A415" s="1885" t="inlineStr">
        <is>
          <t>Tangible Book Value</t>
        </is>
      </c>
      <c r="B415" s="1807" t="n">
        <v>8809814000</v>
      </c>
      <c r="C415" s="1807" t="n">
        <v>-4628505000</v>
      </c>
      <c r="D415" s="1807" t="n">
        <v>-2121615000</v>
      </c>
      <c r="E415" s="1807" t="n">
        <v>-42941000</v>
      </c>
      <c r="F415" s="1807" t="n">
        <v>2400812000</v>
      </c>
      <c r="G415" s="1807" t="n">
        <v>10436984000</v>
      </c>
    </row>
    <row r="416" ht="15" customHeight="1">
      <c r="A416" s="1885" t="inlineStr">
        <is>
          <t>Total Book Capital</t>
        </is>
      </c>
      <c r="B416" s="1807" t="n">
        <v>30350831000</v>
      </c>
      <c r="C416" s="1807" t="n">
        <v>59015737000</v>
      </c>
      <c r="D416" s="1807" t="n">
        <v>59372736000</v>
      </c>
      <c r="E416" s="1807" t="n">
        <v>61423994000</v>
      </c>
      <c r="F416" s="1807" t="n">
        <v>71434757000</v>
      </c>
      <c r="G416" s="1807" t="n">
        <v>72191853000</v>
      </c>
    </row>
    <row r="417" ht="15" customHeight="1">
      <c r="A417" s="1885" t="inlineStr">
        <is>
          <t>Total Capital</t>
        </is>
      </c>
      <c r="B417" s="1807" t="n">
        <v>30380839000</v>
      </c>
      <c r="C417" s="1807" t="n">
        <v>59046756000</v>
      </c>
      <c r="D417" s="1807" t="n">
        <v>59404502000</v>
      </c>
      <c r="E417" s="1807" t="n">
        <v>61479266000</v>
      </c>
      <c r="F417" s="1807" t="n">
        <v>71505344000</v>
      </c>
      <c r="G417" s="1807" t="n">
        <v>72302744000</v>
      </c>
    </row>
    <row r="418" ht="15" customHeight="1">
      <c r="A418" s="1885" t="inlineStr">
        <is>
          <t>Total Long Term Capital</t>
        </is>
      </c>
      <c r="B418" s="1807" t="n">
        <v>27024362000</v>
      </c>
      <c r="C418" s="1807" t="n">
        <v>43948406000</v>
      </c>
      <c r="D418" s="1807" t="n">
        <v>51179052000</v>
      </c>
      <c r="E418" s="1807" t="n">
        <v>44119993000</v>
      </c>
      <c r="F418" s="1807" t="n">
        <v>57704145000</v>
      </c>
      <c r="G418" s="1807" t="n">
        <v>57692022000</v>
      </c>
    </row>
    <row r="419" ht="15" customHeight="1">
      <c r="A419" s="1885" t="inlineStr">
        <is>
          <t>Total Fixed Assets - Net</t>
        </is>
      </c>
      <c r="B419" s="1807" t="n">
        <v>30860415000</v>
      </c>
      <c r="C419" s="1807" t="n">
        <v>42632184000</v>
      </c>
      <c r="D419" s="1807" t="n">
        <v>46268617000</v>
      </c>
      <c r="E419" s="1807" t="n">
        <v>48230111000</v>
      </c>
      <c r="F419" s="1807" t="n">
        <v>55979375000</v>
      </c>
      <c r="G419" s="1807" t="n">
        <v>57544101000</v>
      </c>
    </row>
    <row r="420" ht="15" customHeight="1">
      <c r="A420" s="1885" t="inlineStr">
        <is>
          <t>Unearned Revenue - Total</t>
        </is>
      </c>
      <c r="B420" s="1807" t="n">
        <v>1574560000</v>
      </c>
      <c r="C420" s="1807" t="n">
        <v>2184580000</v>
      </c>
      <c r="D420" s="1807" t="n">
        <v>2184297000</v>
      </c>
      <c r="E420" s="1807" t="n">
        <v>2487409000</v>
      </c>
      <c r="F420" s="1807" t="n">
        <v>2223420000</v>
      </c>
      <c r="G420" s="1807" t="n">
        <v>1253266000</v>
      </c>
    </row>
    <row r="421" ht="15" customHeight="1">
      <c r="A421" s="1885" t="inlineStr">
        <is>
          <t>Working Capital</t>
        </is>
      </c>
      <c r="B421" s="1807" t="n">
        <v>-4222856000</v>
      </c>
      <c r="C421" s="1807" t="n">
        <v>-14482126000</v>
      </c>
      <c r="D421" s="1807" t="n">
        <v>-10794950000</v>
      </c>
      <c r="E421" s="1807" t="n">
        <v>-19872070000</v>
      </c>
      <c r="F421" s="1807" t="n">
        <v>-15168395000</v>
      </c>
      <c r="G421" s="1807" t="n">
        <v>-16144438000</v>
      </c>
    </row>
    <row r="422" ht="15" customHeight="1">
      <c r="A422" s="1885" t="inlineStr">
        <is>
          <t>Working Capital - Non-Cash</t>
        </is>
      </c>
      <c r="B422" s="1807" t="n">
        <v>-5665483000</v>
      </c>
      <c r="C422" s="1807" t="n">
        <v>-19230490000</v>
      </c>
      <c r="D422" s="1807" t="n">
        <v>-11137653000</v>
      </c>
      <c r="E422" s="1807" t="n">
        <v>-20389196000</v>
      </c>
      <c r="F422" s="1807" t="n">
        <v>-16147618000</v>
      </c>
      <c r="G422" s="1807" t="n">
        <v>-16854296000</v>
      </c>
    </row>
    <row r="423" ht="15" customHeight="1">
      <c r="A423" s="1885" t="inlineStr">
        <is>
          <t>Working Capital excluding Other Current Assets &amp; Liabilities</t>
        </is>
      </c>
      <c r="B423" s="1807" t="n">
        <v>-2629138000</v>
      </c>
      <c r="C423" s="1807" t="n">
        <v>-11157042000</v>
      </c>
      <c r="D423" s="1807" t="n">
        <v>-8431191000</v>
      </c>
      <c r="E423" s="1807" t="n">
        <v>-17102194000</v>
      </c>
      <c r="F423" s="1807" t="n">
        <v>-12788496000</v>
      </c>
      <c r="G423" s="1807" t="n">
        <v>-14740230000</v>
      </c>
    </row>
    <row r="424" ht="15" customHeight="1">
      <c r="A424" s="1885" t="inlineStr">
        <is>
          <t>Book Value excluding Other Equity</t>
        </is>
      </c>
      <c r="B424" s="1807" t="n">
        <v>10154040000</v>
      </c>
      <c r="C424" s="1807" t="n">
        <v>12030997000</v>
      </c>
      <c r="D424" s="1807" t="n">
        <v>14400568000</v>
      </c>
      <c r="E424" s="1807" t="n">
        <v>16456392000</v>
      </c>
      <c r="F424" s="1807" t="n">
        <v>19098622000</v>
      </c>
      <c r="G424" s="1807" t="n">
        <v>26972415000</v>
      </c>
    </row>
    <row r="425" ht="15" customHeight="1">
      <c r="A425" s="1885" t="inlineStr">
        <is>
          <t>Total Indefinite-lived Intangible Assets - Net (excl Goodwill) - Supplemental</t>
        </is>
      </c>
      <c r="B425" s="731" t="n"/>
      <c r="C425" s="731" t="n"/>
      <c r="D425" s="731" t="n"/>
      <c r="E425" s="731" t="n"/>
      <c r="F425" s="731" t="n"/>
      <c r="G425" s="731" t="n"/>
    </row>
    <row r="426" ht="15" customHeight="1">
      <c r="A426" s="1885" t="inlineStr">
        <is>
          <t>Tangible Common Equity Ratio - Total</t>
        </is>
      </c>
      <c r="B426" s="731" t="n"/>
      <c r="C426" s="731" t="n"/>
      <c r="D426" s="731" t="n"/>
      <c r="E426" s="731" t="n"/>
      <c r="F426" s="731" t="n"/>
      <c r="G426" s="731" t="n"/>
    </row>
    <row r="427" ht="15" customHeight="1">
      <c r="A427" s="1885" t="inlineStr">
        <is>
          <t>Order Backlog</t>
        </is>
      </c>
      <c r="B427" s="731" t="n"/>
      <c r="C427" s="731" t="n"/>
      <c r="D427" s="731" t="n"/>
      <c r="E427" s="731" t="n"/>
      <c r="F427" s="731" t="n"/>
      <c r="G427" s="731" t="n"/>
    </row>
    <row r="428" ht="15" customHeight="1">
      <c r="A428" s="1885" t="inlineStr">
        <is>
          <t>Customer Liabilities on Acceptances - Assets</t>
        </is>
      </c>
      <c r="B428" s="731" t="n"/>
      <c r="C428" s="731" t="n"/>
      <c r="D428" s="731" t="n"/>
      <c r="E428" s="731" t="n"/>
      <c r="F428" s="731" t="n"/>
      <c r="G428" s="731" t="n"/>
    </row>
    <row r="429" ht="15" customHeight="1">
      <c r="A429" s="1885" t="inlineStr">
        <is>
          <t>Customer Liabilities on Acceptances - Liabilities</t>
        </is>
      </c>
      <c r="B429" s="731" t="n"/>
      <c r="C429" s="731" t="n"/>
      <c r="D429" s="731" t="n"/>
      <c r="E429" s="731" t="n"/>
      <c r="F429" s="731" t="n"/>
      <c r="G429" s="731" t="n"/>
    </row>
    <row r="430" ht="15" customHeight="1">
      <c r="A430" s="1885" t="inlineStr">
        <is>
          <t>Average Assets Under Management</t>
        </is>
      </c>
      <c r="B430" s="731" t="n"/>
      <c r="C430" s="731" t="n"/>
      <c r="D430" s="731" t="n"/>
      <c r="E430" s="731" t="n"/>
      <c r="F430" s="731" t="n"/>
      <c r="G430" s="731" t="n"/>
    </row>
    <row r="431" ht="15" customHeight="1">
      <c r="A431" s="1885" t="inlineStr">
        <is>
          <t>Total High Quality Liquid Assets (HQLA)</t>
        </is>
      </c>
      <c r="B431" s="731" t="n"/>
      <c r="C431" s="731" t="n"/>
      <c r="D431" s="731" t="n"/>
      <c r="E431" s="731" t="n"/>
      <c r="F431" s="731" t="n"/>
      <c r="G431" s="731" t="n"/>
    </row>
    <row r="432" ht="15" customHeight="1">
      <c r="A432" s="1885" t="inlineStr">
        <is>
          <t>Total Net Cash Outflows (NCO)</t>
        </is>
      </c>
      <c r="B432" s="731" t="n"/>
      <c r="C432" s="731" t="n"/>
      <c r="D432" s="731" t="n"/>
      <c r="E432" s="731" t="n"/>
      <c r="F432" s="731" t="n"/>
      <c r="G432" s="731" t="n"/>
    </row>
    <row r="433" ht="15" customHeight="1">
      <c r="A433" s="1885" t="inlineStr">
        <is>
          <t>Number of Branches - Domestic</t>
        </is>
      </c>
      <c r="B433" s="731" t="n"/>
      <c r="C433" s="731" t="n"/>
      <c r="D433" s="731" t="n"/>
      <c r="E433" s="731" t="n"/>
      <c r="F433" s="731" t="n"/>
      <c r="G433" s="731" t="n"/>
    </row>
    <row r="434" ht="15" customHeight="1">
      <c r="A434" s="1885" t="inlineStr">
        <is>
          <t>Number of Branches - Total</t>
        </is>
      </c>
      <c r="B434" s="731" t="n"/>
      <c r="C434" s="731" t="n"/>
      <c r="D434" s="731" t="n"/>
      <c r="E434" s="731" t="n"/>
      <c r="F434" s="731" t="n"/>
      <c r="G434" s="731" t="n"/>
    </row>
    <row r="435" ht="15" customHeight="1">
      <c r="A435" s="1885" t="inlineStr">
        <is>
          <t>Number of Branches - Foreign</t>
        </is>
      </c>
      <c r="B435" s="731" t="n"/>
      <c r="C435" s="731" t="n"/>
      <c r="D435" s="731" t="n"/>
      <c r="E435" s="731" t="n"/>
      <c r="F435" s="731" t="n"/>
      <c r="G435" s="731" t="n"/>
    </row>
    <row r="436" ht="15" customHeight="1">
      <c r="A436" s="733" t="n"/>
      <c r="B436" s="734" t="n"/>
      <c r="C436" s="734" t="n"/>
      <c r="D436" s="734" t="n"/>
      <c r="E436" s="734" t="n"/>
      <c r="F436" s="734" t="n"/>
      <c r="G436" s="734" t="n"/>
    </row>
    <row r="437" ht="15" customHeight="1">
      <c r="A437" s="1885" t="inlineStr">
        <is>
          <t>Tangible Common Equity Ratio - Total</t>
        </is>
      </c>
      <c r="B437" s="731" t="n"/>
      <c r="C437" s="731" t="n"/>
      <c r="D437" s="731" t="n"/>
      <c r="E437" s="731" t="n"/>
      <c r="F437" s="731" t="n"/>
      <c r="G437" s="731" t="n"/>
    </row>
    <row r="438" ht="15" customHeight="1">
      <c r="A438" s="1884" t="inlineStr">
        <is>
          <t>Shareholders</t>
        </is>
      </c>
      <c r="B438" s="734" t="n"/>
      <c r="C438" s="734" t="n"/>
      <c r="D438" s="734" t="n"/>
      <c r="E438" s="734" t="n"/>
      <c r="F438" s="734" t="n"/>
      <c r="G438" s="734" t="n"/>
    </row>
    <row r="439" ht="15" customHeight="1">
      <c r="A439" s="1885" t="inlineStr">
        <is>
          <t>Common Shareholders - Number</t>
        </is>
      </c>
      <c r="B439" s="731" t="n"/>
      <c r="C439" s="731" t="n"/>
      <c r="D439" s="731" t="n"/>
      <c r="E439" s="731" t="n"/>
      <c r="F439" s="731" t="n"/>
      <c r="G439" s="731" t="n"/>
    </row>
    <row r="440" ht="15" customHeight="1">
      <c r="A440" s="1884" t="inlineStr">
        <is>
          <t>Operating Lease Maturity</t>
        </is>
      </c>
      <c r="B440" s="734" t="n"/>
      <c r="C440" s="734" t="n"/>
      <c r="D440" s="734" t="n"/>
      <c r="E440" s="734" t="n"/>
      <c r="F440" s="734" t="n"/>
      <c r="G440" s="734" t="n"/>
    </row>
    <row r="441" ht="15" customHeight="1">
      <c r="A441" s="1885" t="inlineStr">
        <is>
          <t>Operating Lease Payments - Total</t>
        </is>
      </c>
      <c r="B441" s="731" t="n"/>
      <c r="C441" s="731" t="n"/>
      <c r="D441" s="731" t="n"/>
      <c r="E441" s="731" t="n"/>
      <c r="F441" s="731" t="n"/>
      <c r="G441" s="731" t="n"/>
    </row>
    <row r="442" ht="15" customHeight="1">
      <c r="A442" s="1886" t="inlineStr">
        <is>
          <t>Operating Lease Payments - Due in Year 1</t>
        </is>
      </c>
      <c r="B442" s="731" t="n"/>
      <c r="C442" s="731" t="n"/>
      <c r="D442" s="731" t="n"/>
      <c r="E442" s="731" t="n"/>
      <c r="F442" s="731" t="n"/>
      <c r="G442" s="731" t="n"/>
    </row>
    <row r="443" ht="15" customHeight="1">
      <c r="A443" s="1886" t="inlineStr">
        <is>
          <t>Operating Lease Payments - Due in Year 2</t>
        </is>
      </c>
      <c r="B443" s="731" t="n"/>
      <c r="C443" s="731" t="n"/>
      <c r="D443" s="731" t="n"/>
      <c r="E443" s="731" t="n"/>
      <c r="F443" s="731" t="n"/>
      <c r="G443" s="731" t="n"/>
    </row>
    <row r="444" ht="15" customHeight="1">
      <c r="A444" s="1886" t="inlineStr">
        <is>
          <t>Operating Lease Payments - Due in Year 3</t>
        </is>
      </c>
      <c r="B444" s="731" t="n"/>
      <c r="C444" s="731" t="n"/>
      <c r="D444" s="731" t="n"/>
      <c r="E444" s="731" t="n"/>
      <c r="F444" s="731" t="n"/>
      <c r="G444" s="731" t="n"/>
    </row>
    <row r="445" ht="15" customHeight="1">
      <c r="A445" s="1886" t="inlineStr">
        <is>
          <t>Operating Lease Payments - Due in Year 4</t>
        </is>
      </c>
      <c r="B445" s="731" t="n"/>
      <c r="C445" s="731" t="n"/>
      <c r="D445" s="731" t="n"/>
      <c r="E445" s="731" t="n"/>
      <c r="F445" s="731" t="n"/>
      <c r="G445" s="731" t="n"/>
    </row>
    <row r="446" ht="15" customHeight="1">
      <c r="A446" s="1886" t="inlineStr">
        <is>
          <t>Operating Lease Payments - Due in Year 5</t>
        </is>
      </c>
      <c r="B446" s="731" t="n"/>
      <c r="C446" s="731" t="n"/>
      <c r="D446" s="731" t="n"/>
      <c r="E446" s="731" t="n"/>
      <c r="F446" s="731" t="n"/>
      <c r="G446" s="731" t="n"/>
    </row>
    <row r="447" ht="15" customHeight="1">
      <c r="A447" s="1886" t="inlineStr">
        <is>
          <t>Operating Lease Payments - Due in Year 6</t>
        </is>
      </c>
      <c r="B447" s="731" t="n"/>
      <c r="C447" s="731" t="n"/>
      <c r="D447" s="731" t="n"/>
      <c r="E447" s="731" t="n"/>
      <c r="F447" s="731" t="n"/>
      <c r="G447" s="731" t="n"/>
    </row>
    <row r="448" ht="15" customHeight="1">
      <c r="A448" s="1886" t="inlineStr">
        <is>
          <t>Operating Lease Payments - Due in Year 7</t>
        </is>
      </c>
      <c r="B448" s="731" t="n"/>
      <c r="C448" s="731" t="n"/>
      <c r="D448" s="731" t="n"/>
      <c r="E448" s="731" t="n"/>
      <c r="F448" s="731" t="n"/>
      <c r="G448" s="731" t="n"/>
    </row>
    <row r="449" ht="15" customHeight="1">
      <c r="A449" s="1886" t="inlineStr">
        <is>
          <t>Operating Lease Payments - Due in Year 8</t>
        </is>
      </c>
      <c r="B449" s="731" t="n"/>
      <c r="C449" s="731" t="n"/>
      <c r="D449" s="731" t="n"/>
      <c r="E449" s="731" t="n"/>
      <c r="F449" s="731" t="n"/>
      <c r="G449" s="731" t="n"/>
    </row>
    <row r="450" ht="15" customHeight="1">
      <c r="A450" s="1886" t="inlineStr">
        <is>
          <t>Operating Lease Payments - Due in Year 9</t>
        </is>
      </c>
      <c r="B450" s="731" t="n"/>
      <c r="C450" s="731" t="n"/>
      <c r="D450" s="731" t="n"/>
      <c r="E450" s="731" t="n"/>
      <c r="F450" s="731" t="n"/>
      <c r="G450" s="731" t="n"/>
    </row>
    <row r="451" ht="15" customHeight="1">
      <c r="A451" s="1886" t="inlineStr">
        <is>
          <t>Operating Lease Payments - Due in Year 10</t>
        </is>
      </c>
      <c r="B451" s="731" t="n"/>
      <c r="C451" s="731" t="n"/>
      <c r="D451" s="731" t="n"/>
      <c r="E451" s="731" t="n"/>
      <c r="F451" s="731" t="n"/>
      <c r="G451" s="731" t="n"/>
    </row>
    <row r="452" ht="15" customHeight="1">
      <c r="A452" s="1886" t="inlineStr">
        <is>
          <t>Operating Lease Payments - Remaining Maturities</t>
        </is>
      </c>
      <c r="B452" s="731" t="n"/>
      <c r="C452" s="731" t="n"/>
      <c r="D452" s="731" t="n"/>
      <c r="E452" s="731" t="n"/>
      <c r="F452" s="731" t="n"/>
      <c r="G452" s="731" t="n"/>
    </row>
    <row r="453" ht="15" customHeight="1">
      <c r="A453" s="1886" t="inlineStr">
        <is>
          <t>Operating Lease Payments - Interest Cost/Imputed Interest</t>
        </is>
      </c>
      <c r="B453" s="731" t="n"/>
      <c r="C453" s="731" t="n"/>
      <c r="D453" s="731" t="n"/>
      <c r="E453" s="731" t="n"/>
      <c r="F453" s="731" t="n"/>
      <c r="G453" s="731" t="n"/>
    </row>
    <row r="454" ht="15" customHeight="1">
      <c r="A454" s="1885" t="inlineStr">
        <is>
          <t>Operating Lease Payments - Due in 2-3 Years</t>
        </is>
      </c>
      <c r="B454" s="731" t="n"/>
      <c r="C454" s="731" t="n"/>
      <c r="D454" s="731" t="n"/>
      <c r="E454" s="731" t="n"/>
      <c r="F454" s="731" t="n"/>
      <c r="G454" s="731" t="n"/>
    </row>
    <row r="455" ht="15" customHeight="1">
      <c r="A455" s="1885" t="inlineStr">
        <is>
          <t>Operating Lease Payments - Due in 4-5 Years</t>
        </is>
      </c>
      <c r="B455" s="731" t="n"/>
      <c r="C455" s="731" t="n"/>
      <c r="D455" s="731" t="n"/>
      <c r="E455" s="731" t="n"/>
      <c r="F455" s="731" t="n"/>
      <c r="G455" s="731" t="n"/>
    </row>
    <row r="456" ht="15" customHeight="1">
      <c r="A456" s="1885" t="inlineStr">
        <is>
          <t>Operating Lease Payments - Due in Year 6 &amp; Beyond</t>
        </is>
      </c>
      <c r="B456" s="731" t="n"/>
      <c r="C456" s="731" t="n"/>
      <c r="D456" s="731" t="n"/>
      <c r="E456" s="731" t="n"/>
      <c r="F456" s="731" t="n"/>
      <c r="G456" s="731" t="n"/>
    </row>
    <row r="457" ht="15" customHeight="1">
      <c r="A457" s="1884" t="inlineStr">
        <is>
          <t>Risk Related</t>
        </is>
      </c>
      <c r="B457" s="734" t="n"/>
      <c r="C457" s="734" t="n"/>
      <c r="D457" s="734" t="n"/>
      <c r="E457" s="734" t="n"/>
      <c r="F457" s="734" t="n"/>
      <c r="G457" s="734" t="n"/>
    </row>
    <row r="458" ht="15" customHeight="1">
      <c r="A458" s="1885" t="inlineStr">
        <is>
          <t>Level 1 Assets - Fair Value</t>
        </is>
      </c>
      <c r="B458" s="731" t="n"/>
      <c r="C458" s="731" t="n"/>
      <c r="D458" s="731" t="n"/>
      <c r="E458" s="731" t="n"/>
      <c r="F458" s="731" t="n"/>
      <c r="G458" s="731" t="n"/>
    </row>
    <row r="459" ht="15" customHeight="1">
      <c r="A459" s="1885" t="inlineStr">
        <is>
          <t>Level 2 Assets - Fair Value</t>
        </is>
      </c>
      <c r="B459" s="731" t="n"/>
      <c r="C459" s="731" t="n"/>
      <c r="D459" s="731" t="n"/>
      <c r="E459" s="731" t="n"/>
      <c r="F459" s="731" t="n"/>
      <c r="G459" s="731" t="n"/>
    </row>
    <row r="460" ht="15" customHeight="1">
      <c r="A460" s="1885" t="inlineStr">
        <is>
          <t>Level 3 Assets - Fair Value</t>
        </is>
      </c>
      <c r="B460" s="731" t="n"/>
      <c r="C460" s="731" t="n"/>
      <c r="D460" s="731" t="n"/>
      <c r="E460" s="731" t="n"/>
      <c r="F460" s="731" t="n"/>
      <c r="G460" s="731" t="n"/>
    </row>
    <row r="461" ht="15" customHeight="1">
      <c r="A461" s="1885" t="inlineStr">
        <is>
          <t>Level 1 Liabilities - Fair Value</t>
        </is>
      </c>
      <c r="B461" s="731" t="n"/>
      <c r="C461" s="731" t="n"/>
      <c r="D461" s="731" t="n"/>
      <c r="E461" s="731" t="n"/>
      <c r="F461" s="731" t="n"/>
      <c r="G461" s="731" t="n"/>
    </row>
    <row r="462" ht="15" customHeight="1">
      <c r="A462" s="1885" t="inlineStr">
        <is>
          <t>Level 2 Liabilities - Fair Value</t>
        </is>
      </c>
      <c r="B462" s="731" t="n"/>
      <c r="C462" s="731" t="n"/>
      <c r="D462" s="731" t="n"/>
      <c r="E462" s="731" t="n"/>
      <c r="F462" s="731" t="n"/>
      <c r="G462" s="731" t="n"/>
    </row>
    <row r="463" ht="15" customHeight="1">
      <c r="A463" s="1885" t="inlineStr">
        <is>
          <t>Level 3 Liabilities - Fair Value</t>
        </is>
      </c>
      <c r="B463" s="731" t="n"/>
      <c r="C463" s="731" t="n"/>
      <c r="D463" s="731" t="n"/>
      <c r="E463" s="731" t="n"/>
      <c r="F463" s="731" t="n"/>
      <c r="G463" s="731" t="n"/>
    </row>
    <row r="464" ht="15" customHeight="1">
      <c r="A464" s="1885" t="inlineStr">
        <is>
          <t>Credit Exposure</t>
        </is>
      </c>
      <c r="B464" s="731" t="n"/>
      <c r="C464" s="731" t="n"/>
      <c r="D464" s="731" t="n"/>
      <c r="E464" s="731" t="n"/>
      <c r="F464" s="731" t="n"/>
      <c r="G464" s="731" t="n"/>
    </row>
    <row r="465" ht="15" customHeight="1">
      <c r="A465" s="1885" t="inlineStr">
        <is>
          <t>Assets Under Management (AUM)</t>
        </is>
      </c>
      <c r="B465" s="731" t="n"/>
      <c r="C465" s="731" t="n"/>
      <c r="D465" s="731" t="n"/>
      <c r="E465" s="731" t="n"/>
      <c r="F465" s="731" t="n"/>
      <c r="G465" s="731" t="n"/>
    </row>
    <row r="466" ht="15" customHeight="1">
      <c r="A466" s="1884" t="inlineStr">
        <is>
          <t>Capital Adequacy</t>
        </is>
      </c>
      <c r="B466" s="734" t="n"/>
      <c r="C466" s="734" t="n"/>
      <c r="D466" s="734" t="n"/>
      <c r="E466" s="734" t="n"/>
      <c r="F466" s="734" t="n"/>
      <c r="G466" s="734" t="n"/>
    </row>
    <row r="467" ht="15" customHeight="1">
      <c r="A467" s="1885" t="inlineStr">
        <is>
          <t>Capital Adequacy - Total (Value)</t>
        </is>
      </c>
      <c r="B467" s="731" t="n"/>
      <c r="C467" s="731" t="n"/>
      <c r="D467" s="731" t="n"/>
      <c r="E467" s="731" t="n"/>
      <c r="F467" s="731" t="n"/>
      <c r="G467" s="731" t="n"/>
    </row>
    <row r="468" ht="15" customHeight="1">
      <c r="A468" s="1886" t="inlineStr">
        <is>
          <t>Capital Adequacy - Tier 1 (Value)</t>
        </is>
      </c>
      <c r="B468" s="731" t="n"/>
      <c r="C468" s="731" t="n"/>
      <c r="D468" s="731" t="n"/>
      <c r="E468" s="731" t="n"/>
      <c r="F468" s="731" t="n"/>
      <c r="G468" s="731" t="n"/>
    </row>
    <row r="469" ht="15" customHeight="1">
      <c r="A469" s="1887" t="inlineStr">
        <is>
          <t>Capital Adequacy - Core Tier 1 (Value)</t>
        </is>
      </c>
      <c r="B469" s="731" t="n"/>
      <c r="C469" s="731" t="n"/>
      <c r="D469" s="731" t="n"/>
      <c r="E469" s="731" t="n"/>
      <c r="F469" s="731" t="n"/>
      <c r="G469" s="731" t="n"/>
    </row>
    <row r="470" ht="15" customHeight="1">
      <c r="A470" s="1887" t="inlineStr">
        <is>
          <t>Capital Adequacy - Hybrid Tier 1 (included in Tier 1 Capital - Value)</t>
        </is>
      </c>
      <c r="B470" s="731" t="n"/>
      <c r="C470" s="731" t="n"/>
      <c r="D470" s="731" t="n"/>
      <c r="E470" s="731" t="n"/>
      <c r="F470" s="731" t="n"/>
      <c r="G470" s="731" t="n"/>
    </row>
    <row r="471" ht="15" customHeight="1">
      <c r="A471" s="1886" t="inlineStr">
        <is>
          <t>Capital Adequacy - Tier 2 (Value)</t>
        </is>
      </c>
      <c r="B471" s="731" t="n"/>
      <c r="C471" s="731" t="n"/>
      <c r="D471" s="731" t="n"/>
      <c r="E471" s="731" t="n"/>
      <c r="F471" s="731" t="n"/>
      <c r="G471" s="731" t="n"/>
    </row>
    <row r="472" ht="15" customHeight="1">
      <c r="A472" s="1886" t="inlineStr">
        <is>
          <t>Capital Adequacy - Tier 3 (Value)</t>
        </is>
      </c>
      <c r="B472" s="731" t="n"/>
      <c r="C472" s="731" t="n"/>
      <c r="D472" s="731" t="n"/>
      <c r="E472" s="731" t="n"/>
      <c r="F472" s="731" t="n"/>
      <c r="G472" s="731" t="n"/>
    </row>
    <row r="473" ht="15" customHeight="1">
      <c r="A473" s="1885" t="inlineStr">
        <is>
          <t>Capital Adequacy - Total (%)</t>
        </is>
      </c>
      <c r="B473" s="731" t="n"/>
      <c r="C473" s="731" t="n"/>
      <c r="D473" s="731" t="n"/>
      <c r="E473" s="731" t="n"/>
      <c r="F473" s="731" t="n"/>
      <c r="G473" s="731" t="n"/>
    </row>
    <row r="474" ht="15" customHeight="1">
      <c r="A474" s="1886" t="inlineStr">
        <is>
          <t>Capital Adequacy - Tier 1 (%)</t>
        </is>
      </c>
      <c r="B474" s="731" t="n"/>
      <c r="C474" s="731" t="n"/>
      <c r="D474" s="731" t="n"/>
      <c r="E474" s="731" t="n"/>
      <c r="F474" s="731" t="n"/>
      <c r="G474" s="731" t="n"/>
    </row>
    <row r="475" ht="15" customHeight="1">
      <c r="A475" s="1887" t="inlineStr">
        <is>
          <t>Capital Adequacy - Core Tier 1 (%)</t>
        </is>
      </c>
      <c r="B475" s="731" t="n"/>
      <c r="C475" s="731" t="n"/>
      <c r="D475" s="731" t="n"/>
      <c r="E475" s="731" t="n"/>
      <c r="F475" s="731" t="n"/>
      <c r="G475" s="731" t="n"/>
    </row>
    <row r="476" ht="15" customHeight="1">
      <c r="A476" s="1886" t="inlineStr">
        <is>
          <t>Capital Adequacy - Tier 2 (%)</t>
        </is>
      </c>
      <c r="B476" s="731" t="n"/>
      <c r="C476" s="731" t="n"/>
      <c r="D476" s="731" t="n"/>
      <c r="E476" s="731" t="n"/>
      <c r="F476" s="731" t="n"/>
      <c r="G476" s="731" t="n"/>
    </row>
    <row r="477" ht="15" customHeight="1">
      <c r="A477" s="1886" t="inlineStr">
        <is>
          <t>Capital Adequacy - Tier 3 (%)</t>
        </is>
      </c>
      <c r="B477" s="731" t="n"/>
      <c r="C477" s="731" t="n"/>
      <c r="D477" s="731" t="n"/>
      <c r="E477" s="731" t="n"/>
      <c r="F477" s="731" t="n"/>
      <c r="G477" s="731" t="n"/>
    </row>
    <row r="478" ht="15" customHeight="1">
      <c r="A478" s="1885" t="inlineStr">
        <is>
          <t>Risk Weighted Assets</t>
        </is>
      </c>
      <c r="B478" s="731" t="n"/>
      <c r="C478" s="731" t="n"/>
      <c r="D478" s="731" t="n"/>
      <c r="E478" s="731" t="n"/>
      <c r="F478" s="731" t="n"/>
      <c r="G478" s="731" t="n"/>
    </row>
    <row r="479" ht="15" customHeight="1">
      <c r="A479" s="1885" t="inlineStr">
        <is>
          <t>Liquidity Coverage Ratio - Basel 3 - %</t>
        </is>
      </c>
      <c r="B479" s="731" t="n"/>
      <c r="C479" s="731" t="n"/>
      <c r="D479" s="731" t="n"/>
      <c r="E479" s="731" t="n"/>
      <c r="F479" s="731" t="n"/>
      <c r="G479" s="731" t="n"/>
    </row>
    <row r="480" ht="15" customHeight="1">
      <c r="A480" s="1885" t="inlineStr">
        <is>
          <t>Solvency Margin Ratio – Insurance</t>
        </is>
      </c>
      <c r="B480" s="731" t="n"/>
      <c r="C480" s="731" t="n"/>
      <c r="D480" s="731" t="n"/>
      <c r="E480" s="731" t="n"/>
      <c r="F480" s="731" t="n"/>
      <c r="G480" s="731" t="n"/>
    </row>
    <row r="481" ht="15" customHeight="1">
      <c r="A481" s="1885" t="inlineStr">
        <is>
          <t>Leverage Ratio - Basel 3 - %</t>
        </is>
      </c>
      <c r="B481" s="731" t="n"/>
      <c r="C481" s="731" t="n"/>
      <c r="D481" s="731" t="n"/>
      <c r="E481" s="731" t="n"/>
      <c r="F481" s="731" t="n"/>
      <c r="G481" s="731" t="n"/>
    </row>
    <row r="482" ht="15" customHeight="1">
      <c r="A482" s="1885" t="inlineStr">
        <is>
          <t>Net Stable Funding Ratio - Basel 3 - %</t>
        </is>
      </c>
      <c r="B482" s="731" t="n"/>
      <c r="C482" s="731" t="n"/>
      <c r="D482" s="731" t="n"/>
      <c r="E482" s="731" t="n"/>
      <c r="F482" s="731" t="n"/>
      <c r="G482" s="731" t="n"/>
    </row>
    <row r="483" ht="15" customHeight="1">
      <c r="A483" s="1885" t="inlineStr">
        <is>
          <t>Solvency Ratio – Insurance</t>
        </is>
      </c>
      <c r="B483" s="731" t="n"/>
      <c r="C483" s="731" t="n"/>
      <c r="D483" s="731" t="n"/>
      <c r="E483" s="731" t="n"/>
      <c r="F483" s="731" t="n"/>
      <c r="G483" s="731" t="n"/>
    </row>
    <row r="484" ht="15" customHeight="1">
      <c r="A484" s="1884" t="inlineStr">
        <is>
          <t>Nonperforming Loans/Assets</t>
        </is>
      </c>
      <c r="B484" s="734" t="n"/>
      <c r="C484" s="734" t="n"/>
      <c r="D484" s="734" t="n"/>
      <c r="E484" s="734" t="n"/>
      <c r="F484" s="734" t="n"/>
      <c r="G484" s="734" t="n"/>
    </row>
    <row r="485" ht="15" customHeight="1">
      <c r="A485" s="1885" t="inlineStr">
        <is>
          <t>Non-Performing Assets - Loans &amp; Other</t>
        </is>
      </c>
      <c r="B485" s="731" t="n"/>
      <c r="C485" s="731" t="n"/>
      <c r="D485" s="731" t="n"/>
      <c r="E485" s="731" t="n"/>
      <c r="F485" s="731" t="n"/>
      <c r="G485" s="731" t="n"/>
    </row>
    <row r="486" ht="15" customHeight="1">
      <c r="A486" s="1886" t="inlineStr">
        <is>
          <t>Non-Performing Assets - Other than Loans</t>
        </is>
      </c>
      <c r="B486" s="731" t="n"/>
      <c r="C486" s="731" t="n"/>
      <c r="D486" s="731" t="n"/>
      <c r="E486" s="731" t="n"/>
      <c r="F486" s="731" t="n"/>
      <c r="G486" s="731" t="n"/>
    </row>
    <row r="487" ht="15" customHeight="1">
      <c r="A487" s="1886" t="inlineStr">
        <is>
          <t>Loans - Non-Performing &amp; Impaired</t>
        </is>
      </c>
      <c r="B487" s="731" t="n"/>
      <c r="C487" s="731" t="n"/>
      <c r="D487" s="731" t="n"/>
      <c r="E487" s="731" t="n"/>
      <c r="F487" s="731" t="n"/>
      <c r="G487" s="731" t="n"/>
    </row>
    <row r="488" ht="15" customHeight="1">
      <c r="A488" s="1887" t="inlineStr">
        <is>
          <t>Loans - Impaired -Total</t>
        </is>
      </c>
      <c r="B488" s="731" t="n"/>
      <c r="C488" s="731" t="n"/>
      <c r="D488" s="731" t="n"/>
      <c r="E488" s="731" t="n"/>
      <c r="F488" s="731" t="n"/>
      <c r="G488" s="731" t="n"/>
    </row>
    <row r="489" ht="15" customHeight="1">
      <c r="A489" s="1890" t="inlineStr">
        <is>
          <t>Loans - Impaired - Non-Performing</t>
        </is>
      </c>
      <c r="B489" s="731" t="n"/>
      <c r="C489" s="731" t="n"/>
      <c r="D489" s="731" t="n"/>
      <c r="E489" s="731" t="n"/>
      <c r="F489" s="731" t="n"/>
      <c r="G489" s="731" t="n"/>
    </row>
    <row r="490" ht="15" customHeight="1">
      <c r="A490" s="1890" t="inlineStr">
        <is>
          <t>Loans - Impaired - Sub-Performing &amp; Performing but Impaired</t>
        </is>
      </c>
      <c r="B490" s="731" t="n"/>
      <c r="C490" s="731" t="n"/>
      <c r="D490" s="731" t="n"/>
      <c r="E490" s="731" t="n"/>
      <c r="F490" s="731" t="n"/>
      <c r="G490" s="731" t="n"/>
    </row>
    <row r="491" ht="15" customHeight="1">
      <c r="A491" s="1887" t="inlineStr">
        <is>
          <t>Loans - Performing and Non-Performing - Not Impaired</t>
        </is>
      </c>
      <c r="B491" s="731" t="n"/>
      <c r="C491" s="731" t="n"/>
      <c r="D491" s="731" t="n"/>
      <c r="E491" s="731" t="n"/>
      <c r="F491" s="731" t="n"/>
      <c r="G491" s="731" t="n"/>
    </row>
    <row r="492" ht="15" customHeight="1">
      <c r="A492" s="1887" t="inlineStr">
        <is>
          <t>Loans - Non Performing - Not Impaired but Past Due</t>
        </is>
      </c>
      <c r="B492" s="731" t="n"/>
      <c r="C492" s="731" t="n"/>
      <c r="D492" s="731" t="n"/>
      <c r="E492" s="731" t="n"/>
      <c r="F492" s="731" t="n"/>
      <c r="G492" s="731" t="n"/>
    </row>
    <row r="493" ht="15" customHeight="1">
      <c r="A493" s="1890" t="inlineStr">
        <is>
          <t>Loans - Non-Performing - Not Impaired but Past Due - 0 to 90 Days</t>
        </is>
      </c>
      <c r="B493" s="731" t="n"/>
      <c r="C493" s="731" t="n"/>
      <c r="D493" s="731" t="n"/>
      <c r="E493" s="731" t="n"/>
      <c r="F493" s="731" t="n"/>
      <c r="G493" s="731" t="n"/>
    </row>
    <row r="494" ht="15" customHeight="1">
      <c r="A494" s="1890" t="inlineStr">
        <is>
          <t>Loans - Non-Performing - Not Impaired but Past Due - over 90 Days</t>
        </is>
      </c>
      <c r="B494" s="731" t="n"/>
      <c r="C494" s="731" t="n"/>
      <c r="D494" s="731" t="n"/>
      <c r="E494" s="731" t="n"/>
      <c r="F494" s="731" t="n"/>
      <c r="G494" s="731" t="n"/>
    </row>
    <row r="495" ht="15" customHeight="1">
      <c r="A495" s="1887" t="inlineStr">
        <is>
          <t>Loans - Performing - Not Impaired &amp; Not Past Due</t>
        </is>
      </c>
      <c r="B495" s="731" t="n"/>
      <c r="C495" s="731" t="n"/>
      <c r="D495" s="731" t="n"/>
      <c r="E495" s="731" t="n"/>
      <c r="F495" s="731" t="n"/>
      <c r="G495" s="731" t="n"/>
    </row>
    <row r="496" ht="15" customHeight="1">
      <c r="A496" s="1886" t="inlineStr">
        <is>
          <t>Impaired Assets - Total</t>
        </is>
      </c>
      <c r="B496" s="731" t="n"/>
      <c r="C496" s="731" t="n"/>
      <c r="D496" s="731" t="n"/>
      <c r="E496" s="731" t="n"/>
      <c r="F496" s="731" t="n"/>
      <c r="G496" s="731" t="n"/>
    </row>
    <row r="497" ht="15" customHeight="1">
      <c r="A497" s="1887" t="inlineStr">
        <is>
          <t>Impaired Assets - Impaired Loans and Other</t>
        </is>
      </c>
      <c r="B497" s="731" t="n"/>
      <c r="C497" s="731" t="n"/>
      <c r="D497" s="731" t="n"/>
      <c r="E497" s="731" t="n"/>
      <c r="F497" s="731" t="n"/>
      <c r="G497" s="731" t="n"/>
    </row>
    <row r="498" ht="15" customHeight="1">
      <c r="A498" s="1887" t="inlineStr">
        <is>
          <t>Impaired Assets - excluding Impaired Loans</t>
        </is>
      </c>
      <c r="B498" s="731" t="n"/>
      <c r="C498" s="731" t="n"/>
      <c r="D498" s="731" t="n"/>
      <c r="E498" s="731" t="n"/>
      <c r="F498" s="731" t="n"/>
      <c r="G498" s="731" t="n"/>
    </row>
    <row r="499" ht="15" customHeight="1">
      <c r="A499" s="1885" t="inlineStr">
        <is>
          <t>Loans - Stage 1 - Gross, Total</t>
        </is>
      </c>
      <c r="B499" s="731" t="n"/>
      <c r="C499" s="731" t="n"/>
      <c r="D499" s="731" t="n"/>
      <c r="E499" s="731" t="n"/>
      <c r="F499" s="731" t="n"/>
      <c r="G499" s="731" t="n"/>
    </row>
    <row r="500" ht="15" customHeight="1">
      <c r="A500" s="1885" t="inlineStr">
        <is>
          <t>Loans - Stage 2 - Gross, Total</t>
        </is>
      </c>
      <c r="B500" s="731" t="n"/>
      <c r="C500" s="731" t="n"/>
      <c r="D500" s="731" t="n"/>
      <c r="E500" s="731" t="n"/>
      <c r="F500" s="731" t="n"/>
      <c r="G500" s="731" t="n"/>
    </row>
    <row r="501" ht="15" customHeight="1">
      <c r="A501" s="1885" t="inlineStr">
        <is>
          <t>Loans - Stage 3 - Gross, Total</t>
        </is>
      </c>
      <c r="B501" s="731" t="n"/>
      <c r="C501" s="731" t="n"/>
      <c r="D501" s="731" t="n"/>
      <c r="E501" s="731" t="n"/>
      <c r="F501" s="731" t="n"/>
      <c r="G501" s="731" t="n"/>
    </row>
    <row r="502" ht="15" customHeight="1">
      <c r="A502" s="1885" t="inlineStr">
        <is>
          <t>Loans - Not Past Due</t>
        </is>
      </c>
      <c r="B502" s="731" t="n"/>
      <c r="C502" s="731" t="n"/>
      <c r="D502" s="731" t="n"/>
      <c r="E502" s="731" t="n"/>
      <c r="F502" s="731" t="n"/>
      <c r="G502" s="731" t="n"/>
    </row>
    <row r="503" ht="15" customHeight="1">
      <c r="A503" s="1885" t="inlineStr">
        <is>
          <t>Loans - Total Past Due</t>
        </is>
      </c>
      <c r="B503" s="731" t="n"/>
      <c r="C503" s="731" t="n"/>
      <c r="D503" s="731" t="n"/>
      <c r="E503" s="731" t="n"/>
      <c r="F503" s="731" t="n"/>
      <c r="G503" s="731" t="n"/>
    </row>
    <row r="504" ht="15" customHeight="1">
      <c r="A504" s="1886" t="inlineStr">
        <is>
          <t>Loans - Past Due &lt; 90 days</t>
        </is>
      </c>
      <c r="B504" s="731" t="n"/>
      <c r="C504" s="731" t="n"/>
      <c r="D504" s="731" t="n"/>
      <c r="E504" s="731" t="n"/>
      <c r="F504" s="731" t="n"/>
      <c r="G504" s="731" t="n"/>
    </row>
    <row r="505" ht="15" customHeight="1">
      <c r="A505" s="1886" t="inlineStr">
        <is>
          <t>Loans - Past Due - Remaining Portion</t>
        </is>
      </c>
      <c r="B505" s="731" t="n"/>
      <c r="C505" s="731" t="n"/>
      <c r="D505" s="731" t="n"/>
      <c r="E505" s="731" t="n"/>
      <c r="F505" s="731" t="n"/>
      <c r="G505" s="731" t="n"/>
    </row>
    <row r="506" ht="15" customHeight="1">
      <c r="A506" s="1885" t="inlineStr">
        <is>
          <t>Loans Purchased or Originated Credit-Impaired (POCI) - Gross, Total</t>
        </is>
      </c>
      <c r="B506" s="731" t="n"/>
      <c r="C506" s="731" t="n"/>
      <c r="D506" s="731" t="n"/>
      <c r="E506" s="731" t="n"/>
      <c r="F506" s="731" t="n"/>
      <c r="G506" s="731" t="n"/>
    </row>
    <row r="507" ht="15" customHeight="1">
      <c r="A507" s="1885" t="inlineStr">
        <is>
          <t>Other Assets - Stage 1, Gross</t>
        </is>
      </c>
      <c r="B507" s="731" t="n"/>
      <c r="C507" s="731" t="n"/>
      <c r="D507" s="731" t="n"/>
      <c r="E507" s="731" t="n"/>
      <c r="F507" s="731" t="n"/>
      <c r="G507" s="731" t="n"/>
    </row>
    <row r="508" ht="15" customHeight="1">
      <c r="A508" s="1885" t="inlineStr">
        <is>
          <t>Other Assets - Stage 2, Gross</t>
        </is>
      </c>
      <c r="B508" s="731" t="n"/>
      <c r="C508" s="731" t="n"/>
      <c r="D508" s="731" t="n"/>
      <c r="E508" s="731" t="n"/>
      <c r="F508" s="731" t="n"/>
      <c r="G508" s="731" t="n"/>
    </row>
    <row r="509" ht="15" customHeight="1">
      <c r="A509" s="1885" t="inlineStr">
        <is>
          <t>Other Assets - Stage 3, Gross</t>
        </is>
      </c>
      <c r="B509" s="731" t="n"/>
      <c r="C509" s="731" t="n"/>
      <c r="D509" s="731" t="n"/>
      <c r="E509" s="731" t="n"/>
      <c r="F509" s="731" t="n"/>
      <c r="G509" s="731" t="n"/>
    </row>
    <row r="510" ht="15" customHeight="1">
      <c r="A510" s="1885" t="inlineStr">
        <is>
          <t>Loans - Net Non-Performing - Company Reported</t>
        </is>
      </c>
      <c r="B510" s="731" t="n"/>
      <c r="C510" s="731" t="n"/>
      <c r="D510" s="731" t="n"/>
      <c r="E510" s="731" t="n"/>
      <c r="F510" s="731" t="n"/>
      <c r="G510" s="731" t="n"/>
    </row>
    <row r="511" ht="15" customHeight="1">
      <c r="A511" s="1885" t="inlineStr">
        <is>
          <t>Loans - Net Non-Performing - %</t>
        </is>
      </c>
      <c r="B511" s="731" t="n"/>
      <c r="C511" s="731" t="n"/>
      <c r="D511" s="731" t="n"/>
      <c r="E511" s="731" t="n"/>
      <c r="F511" s="731" t="n"/>
      <c r="G511" s="731" t="n"/>
    </row>
    <row r="512" ht="15" customHeight="1">
      <c r="A512" s="1885" t="inlineStr">
        <is>
          <t>Loans - Gross Non-Performing - As Reported</t>
        </is>
      </c>
      <c r="B512" s="731" t="n"/>
      <c r="C512" s="731" t="n"/>
      <c r="D512" s="731" t="n"/>
      <c r="E512" s="731" t="n"/>
      <c r="F512" s="731" t="n"/>
      <c r="G512" s="731" t="n"/>
    </row>
    <row r="513" ht="15" customHeight="1">
      <c r="A513" s="1885" t="inlineStr">
        <is>
          <t>Loans - Gross Non-Performing - As Reported - %</t>
        </is>
      </c>
      <c r="B513" s="731" t="n"/>
      <c r="C513" s="731" t="n"/>
      <c r="D513" s="731" t="n"/>
      <c r="E513" s="731" t="n"/>
      <c r="F513" s="731" t="n"/>
      <c r="G513" s="731" t="n"/>
    </row>
    <row r="514" ht="15" customHeight="1">
      <c r="A514" s="1885" t="inlineStr">
        <is>
          <t>Non-Performing Assets - Other than Loans - As Reported</t>
        </is>
      </c>
      <c r="B514" s="731" t="n"/>
      <c r="C514" s="731" t="n"/>
      <c r="D514" s="731" t="n"/>
      <c r="E514" s="731" t="n"/>
      <c r="F514" s="731" t="n"/>
      <c r="G514" s="731" t="n"/>
    </row>
    <row r="515" ht="15" customHeight="1">
      <c r="A515" s="1885" t="inlineStr">
        <is>
          <t>Non-Performing Assets - Loans &amp; Other - As Reported</t>
        </is>
      </c>
      <c r="B515" s="731" t="n"/>
      <c r="C515" s="731" t="n"/>
      <c r="D515" s="731" t="n"/>
      <c r="E515" s="731" t="n"/>
      <c r="F515" s="731" t="n"/>
      <c r="G515" s="731" t="n"/>
    </row>
    <row r="516" ht="15" customHeight="1">
      <c r="A516" s="1885" t="inlineStr">
        <is>
          <t>Interest Earning Assets - Average</t>
        </is>
      </c>
      <c r="B516" s="731" t="n"/>
      <c r="C516" s="731" t="n"/>
      <c r="D516" s="731" t="n"/>
      <c r="E516" s="731" t="n"/>
      <c r="F516" s="731" t="n"/>
      <c r="G516" s="731" t="n"/>
    </row>
    <row r="517" ht="15" customHeight="1">
      <c r="A517" s="1885" t="inlineStr">
        <is>
          <t>Interest Bearing Liabilities - Average</t>
        </is>
      </c>
      <c r="B517" s="731" t="n"/>
      <c r="C517" s="731" t="n"/>
      <c r="D517" s="731" t="n"/>
      <c r="E517" s="731" t="n"/>
      <c r="F517" s="731" t="n"/>
      <c r="G517" s="731" t="n"/>
    </row>
    <row r="518" ht="15" customHeight="1">
      <c r="A518" s="1885" t="inlineStr">
        <is>
          <t>Short-Term - Lending</t>
        </is>
      </c>
      <c r="B518" s="731" t="n"/>
      <c r="C518" s="731" t="n"/>
      <c r="D518" s="731" t="n"/>
      <c r="E518" s="731" t="n"/>
      <c r="F518" s="731" t="n"/>
      <c r="G518" s="731" t="n"/>
    </row>
    <row r="519" ht="15" customHeight="1">
      <c r="A519" s="1885" t="inlineStr">
        <is>
          <t>Short-Term - Lending to Total Lending - %</t>
        </is>
      </c>
      <c r="B519" s="731" t="n"/>
      <c r="C519" s="731" t="n"/>
      <c r="D519" s="731" t="n"/>
      <c r="E519" s="731" t="n"/>
      <c r="F519" s="731" t="n"/>
      <c r="G519" s="731" t="n"/>
    </row>
    <row r="520" ht="15" customHeight="1">
      <c r="A520" s="1885" t="inlineStr">
        <is>
          <t>Long-Term - Lending</t>
        </is>
      </c>
      <c r="B520" s="731" t="n"/>
      <c r="C520" s="731" t="n"/>
      <c r="D520" s="731" t="n"/>
      <c r="E520" s="731" t="n"/>
      <c r="F520" s="731" t="n"/>
      <c r="G520" s="731" t="n"/>
    </row>
    <row r="521" ht="15" customHeight="1">
      <c r="A521" s="1885" t="inlineStr">
        <is>
          <t>Long-Term - Lending to Total Lending - %</t>
        </is>
      </c>
      <c r="B521" s="731" t="n"/>
      <c r="C521" s="731" t="n"/>
      <c r="D521" s="731" t="n"/>
      <c r="E521" s="731" t="n"/>
      <c r="F521" s="731" t="n"/>
      <c r="G521" s="731" t="n"/>
    </row>
    <row r="522" ht="15" customHeight="1">
      <c r="A522" s="1885" t="inlineStr">
        <is>
          <t>Provision Coverage Ratio - %</t>
        </is>
      </c>
      <c r="B522" s="731" t="n"/>
      <c r="C522" s="731" t="n"/>
      <c r="D522" s="731" t="n"/>
      <c r="E522" s="731" t="n"/>
      <c r="F522" s="731" t="n"/>
      <c r="G522" s="731" t="n"/>
    </row>
    <row r="523" ht="15" customHeight="1">
      <c r="A523" s="1885" t="inlineStr">
        <is>
          <t>CASA Ratio - %</t>
        </is>
      </c>
      <c r="B523" s="731" t="n"/>
      <c r="C523" s="731" t="n"/>
      <c r="D523" s="731" t="n"/>
      <c r="E523" s="731" t="n"/>
      <c r="F523" s="731" t="n"/>
      <c r="G523" s="731" t="n"/>
    </row>
    <row r="524" ht="15" customHeight="1">
      <c r="A524" s="1885" t="inlineStr">
        <is>
          <t>Collection Efficiency Ratio - %</t>
        </is>
      </c>
      <c r="B524" s="731" t="n"/>
      <c r="C524" s="731" t="n"/>
      <c r="D524" s="731" t="n"/>
      <c r="E524" s="731" t="n"/>
      <c r="F524" s="731" t="n"/>
      <c r="G524" s="731" t="n"/>
    </row>
    <row r="525" ht="15" customHeight="1">
      <c r="A525" s="1884" t="inlineStr">
        <is>
          <t>Employees</t>
        </is>
      </c>
      <c r="B525" s="734" t="n"/>
      <c r="C525" s="734" t="n"/>
      <c r="D525" s="734" t="n"/>
      <c r="E525" s="734" t="n"/>
      <c r="F525" s="734" t="n"/>
      <c r="G525" s="734" t="n"/>
    </row>
    <row r="526" ht="15" customHeight="1">
      <c r="A526" s="1885" t="inlineStr">
        <is>
          <t>Employees - Full-Time/Full-Time Equivalents - Period End</t>
        </is>
      </c>
      <c r="B526" s="1893" t="n">
        <v>1024</v>
      </c>
      <c r="C526" s="1893" t="n">
        <v>1427</v>
      </c>
      <c r="D526" s="1893" t="n">
        <v>1479</v>
      </c>
      <c r="E526" s="1893" t="n">
        <v>1747</v>
      </c>
      <c r="F526" s="1893" t="n">
        <v>1863</v>
      </c>
      <c r="G526" s="1893" t="n">
        <v>1905</v>
      </c>
    </row>
    <row r="527" ht="15" customHeight="1">
      <c r="A527" s="1885" t="inlineStr">
        <is>
          <t>Employees - Full-Time/Full-Time Equivalents - Current Date</t>
        </is>
      </c>
      <c r="B527" s="1893" t="n">
        <v>1024</v>
      </c>
      <c r="C527" s="1893" t="n">
        <v>1427</v>
      </c>
      <c r="D527" s="1893" t="n">
        <v>1479</v>
      </c>
      <c r="E527" s="1893" t="n">
        <v>1747</v>
      </c>
      <c r="F527" s="1893" t="n">
        <v>1863</v>
      </c>
      <c r="G527" s="1893" t="n">
        <v>1905</v>
      </c>
    </row>
    <row r="528" ht="15" customHeight="1">
      <c r="A528" s="1885" t="inlineStr">
        <is>
          <t>Employees - Part-Time - Period End</t>
        </is>
      </c>
      <c r="B528" s="731" t="n"/>
      <c r="C528" s="731" t="n"/>
      <c r="D528" s="731" t="n"/>
      <c r="E528" s="731" t="n"/>
      <c r="F528" s="731" t="n"/>
      <c r="G528" s="731" t="n"/>
    </row>
    <row r="529" ht="15" customHeight="1">
      <c r="A529" s="1885" t="inlineStr">
        <is>
          <t>Employees - Full-Time/Full-Time Equiv -Period End-Range High</t>
        </is>
      </c>
      <c r="B529" s="731" t="n"/>
      <c r="C529" s="731" t="n"/>
      <c r="D529" s="731" t="n"/>
      <c r="E529" s="731" t="n"/>
      <c r="F529" s="731" t="n"/>
      <c r="G529" s="731" t="n"/>
    </row>
    <row r="530" ht="15" customHeight="1">
      <c r="A530" s="1885" t="inlineStr">
        <is>
          <t>Employees - Full-Time/Full-Time Equiv - Period End-Range Low</t>
        </is>
      </c>
      <c r="B530" s="731" t="n"/>
      <c r="C530" s="731" t="n"/>
      <c r="D530" s="731" t="n"/>
      <c r="E530" s="731" t="n"/>
      <c r="F530" s="731" t="n"/>
      <c r="G530" s="731" t="n"/>
    </row>
    <row r="531" ht="15" customHeight="1">
      <c r="A531" s="1884" t="inlineStr">
        <is>
          <t>Japan Specific</t>
        </is>
      </c>
      <c r="B531" s="734" t="n"/>
      <c r="C531" s="734" t="n"/>
      <c r="D531" s="734" t="n"/>
      <c r="E531" s="734" t="n"/>
      <c r="F531" s="734" t="n"/>
      <c r="G531" s="734" t="n"/>
    </row>
    <row r="532" ht="15" customHeight="1">
      <c r="A532" s="1885" t="inlineStr">
        <is>
          <t>Reported - Total Assets</t>
        </is>
      </c>
      <c r="B532" s="731" t="n"/>
      <c r="C532" s="731" t="n"/>
      <c r="D532" s="731" t="n"/>
      <c r="E532" s="731" t="n"/>
      <c r="F532" s="731" t="n"/>
      <c r="G532" s="731" t="n"/>
    </row>
    <row r="533" ht="15" customHeight="1">
      <c r="A533" s="1885" t="inlineStr">
        <is>
          <t>Reported - Total Liabilities</t>
        </is>
      </c>
      <c r="B533" s="731" t="n"/>
      <c r="C533" s="731" t="n"/>
      <c r="D533" s="731" t="n"/>
      <c r="E533" s="731" t="n"/>
      <c r="F533" s="731" t="n"/>
      <c r="G533" s="731" t="n"/>
    </row>
    <row r="534" ht="15" customHeight="1">
      <c r="A534" s="1885" t="inlineStr">
        <is>
          <t>Reported - Shareholders' Equity excluding New Stock Subscription</t>
        </is>
      </c>
      <c r="B534" s="731" t="n"/>
      <c r="C534" s="731" t="n"/>
      <c r="D534" s="731" t="n"/>
      <c r="E534" s="731" t="n"/>
      <c r="F534" s="731" t="n"/>
      <c r="G534" s="731" t="n"/>
    </row>
    <row r="535" ht="15" customHeight="1">
      <c r="A535" s="1885" t="inlineStr">
        <is>
          <t>Reported – Shareholders’ Equity</t>
        </is>
      </c>
      <c r="B535" s="731" t="n"/>
      <c r="C535" s="731" t="n"/>
      <c r="D535" s="731" t="n"/>
      <c r="E535" s="731" t="n"/>
      <c r="F535" s="731" t="n"/>
      <c r="G535" s="731" t="n"/>
    </row>
    <row r="536" ht="15" customHeight="1">
      <c r="A536" s="1885" t="inlineStr">
        <is>
          <t>Reported - Net Assets</t>
        </is>
      </c>
      <c r="B536" s="731" t="n"/>
      <c r="C536" s="731" t="n"/>
      <c r="D536" s="731" t="n"/>
      <c r="E536" s="731" t="n"/>
      <c r="F536" s="731" t="n"/>
      <c r="G536" s="731" t="n"/>
    </row>
    <row r="537" ht="15" customHeight="1">
      <c r="A537" s="1885" t="inlineStr">
        <is>
          <t>Reported - Net Assets to Total Assets</t>
        </is>
      </c>
      <c r="B537" s="731" t="n"/>
      <c r="C537" s="731" t="n"/>
      <c r="D537" s="731" t="n"/>
      <c r="E537" s="731" t="n"/>
      <c r="F537" s="731" t="n"/>
      <c r="G537" s="731" t="n"/>
    </row>
    <row r="538" ht="15" customHeight="1">
      <c r="A538" s="1885" t="inlineStr">
        <is>
          <t>Reported - Return on Assets</t>
        </is>
      </c>
      <c r="B538" s="731" t="n"/>
      <c r="C538" s="731" t="n"/>
      <c r="D538" s="731" t="n"/>
      <c r="E538" s="731" t="n"/>
      <c r="F538" s="731" t="n"/>
      <c r="G538" s="731" t="n"/>
    </row>
    <row r="539" ht="15" customHeight="1">
      <c r="A539" s="1885" t="inlineStr">
        <is>
          <t>Reported - Return on Equity</t>
        </is>
      </c>
      <c r="B539" s="731" t="n"/>
      <c r="C539" s="731" t="n"/>
      <c r="D539" s="731" t="n"/>
      <c r="E539" s="731" t="n"/>
      <c r="F539" s="731" t="n"/>
      <c r="G539" s="731" t="n"/>
    </row>
  </sheetData>
  <pageMargins left="0.5" right="0.5" top="1" bottom="1" header="0.511811023622047" footer="0.511811023622047"/>
  <pageSetup orientation="portrait" fitToHeight="0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374"/>
  <sheetViews>
    <sheetView topLeftCell="A4" zoomScaleNormal="100" workbookViewId="0">
      <selection activeCell="B21" sqref="B21"/>
    </sheetView>
  </sheetViews>
  <sheetFormatPr baseColWidth="8" defaultColWidth="8.5703125" defaultRowHeight="14.25" outlineLevelRow="1"/>
  <cols>
    <col width="85.5703125" customWidth="1" min="1" max="1"/>
    <col width="15.5703125" customWidth="1" min="2" max="7"/>
  </cols>
  <sheetData>
    <row r="1" ht="15" customHeight="1">
      <c r="A1" s="1872" t="inlineStr">
        <is>
          <t>Company Fundamentals - Income Statement</t>
        </is>
      </c>
      <c r="B1" s="1873" t="n"/>
      <c r="C1" s="1873" t="n"/>
      <c r="D1" s="1873" t="n"/>
      <c r="E1" s="1873" t="n"/>
      <c r="F1" s="1873" t="n"/>
      <c r="G1" s="1873" t="n"/>
    </row>
    <row r="2" ht="15" customHeight="1">
      <c r="A2" s="934" t="inlineStr">
        <is>
          <t>Company Name</t>
        </is>
      </c>
      <c r="B2" s="931" t="inlineStr">
        <is>
          <t>Sarana Menara Nusantara Tbk PT (TOWR.JK)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46247.28126640046</v>
      </c>
    </row>
    <row r="11" ht="14.25" customHeight="1">
      <c r="A11" s="1875" t="inlineStr">
        <is>
          <t>Statement Data</t>
        </is>
      </c>
      <c r="B11" s="1876" t="inlineStr">
        <is>
          <t>2020</t>
        </is>
      </c>
      <c r="C11" s="1876" t="inlineStr">
        <is>
          <t>2021</t>
        </is>
      </c>
      <c r="D11" s="1876" t="inlineStr">
        <is>
          <t>2022</t>
        </is>
      </c>
      <c r="E11" s="1876" t="inlineStr">
        <is>
          <t>2023</t>
        </is>
      </c>
      <c r="F11" s="1876" t="inlineStr">
        <is>
          <t>2024</t>
        </is>
      </c>
      <c r="G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B12" s="1878" t="n">
        <v>44196</v>
      </c>
      <c r="C12" s="1878" t="n">
        <v>44561</v>
      </c>
      <c r="D12" s="1878" t="n">
        <v>44926</v>
      </c>
      <c r="E12" s="1878" t="n">
        <v>45291</v>
      </c>
      <c r="F12" s="1878" t="n">
        <v>45657</v>
      </c>
      <c r="G12" s="1878" t="n">
        <v>46022</v>
      </c>
    </row>
    <row r="13" outlineLevel="1" ht="15" customHeight="1">
      <c r="A13" s="1877" t="inlineStr">
        <is>
          <t>Standardized Currency</t>
        </is>
      </c>
      <c r="B13" s="1879" t="inlineStr">
        <is>
          <t>IDR</t>
        </is>
      </c>
      <c r="C13" s="1879" t="inlineStr">
        <is>
          <t>IDR</t>
        </is>
      </c>
      <c r="D13" s="1879" t="inlineStr">
        <is>
          <t>IDR</t>
        </is>
      </c>
      <c r="E13" s="1879" t="inlineStr">
        <is>
          <t>IDR</t>
        </is>
      </c>
      <c r="F13" s="1879" t="inlineStr">
        <is>
          <t>IDR</t>
        </is>
      </c>
      <c r="G13" s="1879" t="inlineStr">
        <is>
          <t>IDR</t>
        </is>
      </c>
    </row>
    <row r="14" outlineLevel="1" ht="15" customHeight="1">
      <c r="A14" s="1877" t="inlineStr">
        <is>
          <t>Statement Date</t>
        </is>
      </c>
      <c r="B14" s="1878" t="n">
        <v>44196</v>
      </c>
      <c r="C14" s="1878" t="n">
        <v>44561</v>
      </c>
      <c r="D14" s="1878" t="n">
        <v>44926</v>
      </c>
      <c r="E14" s="1878" t="n">
        <v>45291</v>
      </c>
      <c r="F14" s="1878" t="n">
        <v>45657</v>
      </c>
      <c r="G14" s="1878" t="n">
        <v>46022</v>
      </c>
    </row>
    <row r="15" outlineLevel="1" ht="15" customHeight="1">
      <c r="A15" s="1877" t="inlineStr">
        <is>
          <t>Complete Statement</t>
        </is>
      </c>
      <c r="B15" s="1880" t="inlineStr">
        <is>
          <t>Complete</t>
        </is>
      </c>
      <c r="C15" s="1880" t="inlineStr">
        <is>
          <t>Complete</t>
        </is>
      </c>
      <c r="D15" s="1880" t="inlineStr">
        <is>
          <t>Complete</t>
        </is>
      </c>
      <c r="E15" s="1880" t="inlineStr">
        <is>
          <t>Complete</t>
        </is>
      </c>
      <c r="F15" s="1880" t="inlineStr">
        <is>
          <t>Complete</t>
        </is>
      </c>
      <c r="G15" s="1880" t="inlineStr">
        <is>
          <t>Complete</t>
        </is>
      </c>
    </row>
    <row r="16" outlineLevel="1" ht="15" customHeight="1">
      <c r="A16" s="1877" t="inlineStr">
        <is>
          <t>Consolidated</t>
        </is>
      </c>
      <c r="B16" s="1880" t="inlineStr">
        <is>
          <t>Consolidated</t>
        </is>
      </c>
      <c r="C16" s="1880" t="inlineStr">
        <is>
          <t>Consolidated</t>
        </is>
      </c>
      <c r="D16" s="1880" t="inlineStr">
        <is>
          <t>Consolidated</t>
        </is>
      </c>
      <c r="E16" s="1880" t="inlineStr">
        <is>
          <t>Consolidated</t>
        </is>
      </c>
      <c r="F16" s="1880" t="inlineStr">
        <is>
          <t>Consolidated</t>
        </is>
      </c>
      <c r="G16" s="1880" t="inlineStr">
        <is>
          <t>Consolidated</t>
        </is>
      </c>
    </row>
    <row r="17" outlineLevel="1" ht="15" customHeight="1">
      <c r="A17" s="1877" t="inlineStr">
        <is>
          <t>Accounting Standard</t>
        </is>
      </c>
      <c r="B17" s="1880" t="inlineStr">
        <is>
          <t>Indonesian</t>
        </is>
      </c>
      <c r="C17" s="1880" t="inlineStr">
        <is>
          <t>Indonesian</t>
        </is>
      </c>
      <c r="D17" s="1880" t="inlineStr">
        <is>
          <t>Indonesian</t>
        </is>
      </c>
      <c r="E17" s="1880" t="inlineStr">
        <is>
          <t>Indonesian</t>
        </is>
      </c>
      <c r="F17" s="1880" t="inlineStr">
        <is>
          <t>Indonesian</t>
        </is>
      </c>
      <c r="G17" s="1880" t="inlineStr">
        <is>
          <t>Indonesian</t>
        </is>
      </c>
    </row>
    <row r="18" ht="14.25" customHeight="1">
      <c r="A18" s="1881" t="inlineStr">
        <is>
          <t>Income Statement - Standardized (Currency: Indonesia Rupiah)</t>
        </is>
      </c>
      <c r="B18" s="1882" t="n"/>
      <c r="C18" s="1882" t="n"/>
      <c r="D18" s="1882" t="n"/>
      <c r="E18" s="1882" t="n"/>
      <c r="F18" s="1882" t="n"/>
      <c r="G18" s="1882" t="n"/>
    </row>
    <row r="19" ht="14.25" customHeight="1">
      <c r="A19" s="1881" t="inlineStr">
        <is>
          <t>Field Name</t>
        </is>
      </c>
      <c r="B19" s="1883" t="inlineStr">
        <is>
          <t>31-12-2020</t>
        </is>
      </c>
      <c r="C19" s="1883" t="inlineStr">
        <is>
          <t>31-12-2021</t>
        </is>
      </c>
      <c r="D19" s="1883" t="inlineStr">
        <is>
          <t>31-12-2022</t>
        </is>
      </c>
      <c r="E19" s="1883" t="inlineStr">
        <is>
          <t>31-12-2023</t>
        </is>
      </c>
      <c r="F19" s="1883" t="inlineStr">
        <is>
          <t>31-12-2024</t>
        </is>
      </c>
      <c r="G19" s="1883" t="inlineStr">
        <is>
          <t>31-12-2025</t>
        </is>
      </c>
    </row>
    <row r="20" ht="15" customHeight="1">
      <c r="A20" s="1884" t="inlineStr">
        <is>
          <t>Revenues</t>
        </is>
      </c>
      <c r="B20" s="734" t="n"/>
      <c r="C20" s="734" t="n"/>
      <c r="D20" s="734" t="n"/>
      <c r="E20" s="734" t="n"/>
      <c r="F20" s="734" t="n"/>
      <c r="G20" s="734" t="n"/>
    </row>
    <row r="21" ht="15" customHeight="1">
      <c r="A21" s="1885" t="inlineStr">
        <is>
          <t>Revenue from Goods &amp; Services</t>
        </is>
      </c>
      <c r="B21" s="1807" t="n">
        <v>7445426000</v>
      </c>
      <c r="C21" s="1807" t="n">
        <v>8635346000</v>
      </c>
      <c r="D21" s="1807" t="n">
        <v>11035650000</v>
      </c>
      <c r="E21" s="1807" t="n">
        <v>11740345000</v>
      </c>
      <c r="F21" s="1807" t="n">
        <v>12735815000</v>
      </c>
      <c r="G21" s="1807" t="n">
        <v>13327907000</v>
      </c>
    </row>
    <row r="22" ht="15" customHeight="1">
      <c r="A22" s="1886" t="inlineStr">
        <is>
          <t>Sales of Goods &amp; Services - Net - Unclassified</t>
        </is>
      </c>
      <c r="B22" s="1807" t="n">
        <v>7445426000</v>
      </c>
      <c r="C22" s="1807" t="n">
        <v>8635346000</v>
      </c>
      <c r="D22" s="1807" t="n">
        <v>11035650000</v>
      </c>
      <c r="E22" s="1807" t="n">
        <v>11740345000</v>
      </c>
      <c r="F22" s="1807" t="n">
        <v>12735815000</v>
      </c>
      <c r="G22" s="1807" t="n">
        <v>13327907000</v>
      </c>
    </row>
    <row r="23" ht="15" customHeight="1">
      <c r="A23" s="1886" t="inlineStr">
        <is>
          <t>Hotel Revenue</t>
        </is>
      </c>
      <c r="B23" s="731" t="n"/>
      <c r="C23" s="731" t="n"/>
      <c r="D23" s="731" t="n"/>
      <c r="E23" s="731" t="n"/>
      <c r="F23" s="731" t="n"/>
      <c r="G23" s="731" t="n"/>
    </row>
    <row r="24" ht="15" customHeight="1">
      <c r="A24" s="1887" t="inlineStr">
        <is>
          <t>Hotel Revenue - Rooms</t>
        </is>
      </c>
      <c r="B24" s="731" t="n"/>
      <c r="C24" s="731" t="n"/>
      <c r="D24" s="731" t="n"/>
      <c r="E24" s="731" t="n"/>
      <c r="F24" s="731" t="n"/>
      <c r="G24" s="731" t="n"/>
    </row>
    <row r="25" ht="15" customHeight="1">
      <c r="A25" s="1887" t="inlineStr">
        <is>
          <t>Hotel Revenue - Hotel Lease Income</t>
        </is>
      </c>
      <c r="B25" s="731" t="n"/>
      <c r="C25" s="731" t="n"/>
      <c r="D25" s="731" t="n"/>
      <c r="E25" s="731" t="n"/>
      <c r="F25" s="731" t="n"/>
      <c r="G25" s="731" t="n"/>
    </row>
    <row r="26" ht="15" customHeight="1">
      <c r="A26" s="1887" t="inlineStr">
        <is>
          <t>Hotel Revenue - Food &amp; Beverages</t>
        </is>
      </c>
      <c r="B26" s="731" t="n"/>
      <c r="C26" s="731" t="n"/>
      <c r="D26" s="731" t="n"/>
      <c r="E26" s="731" t="n"/>
      <c r="F26" s="731" t="n"/>
      <c r="G26" s="731" t="n"/>
    </row>
    <row r="27" ht="15" customHeight="1">
      <c r="A27" s="1887" t="inlineStr">
        <is>
          <t>Hotel Revenue - Other</t>
        </is>
      </c>
      <c r="B27" s="731" t="n"/>
      <c r="C27" s="731" t="n"/>
      <c r="D27" s="731" t="n"/>
      <c r="E27" s="731" t="n"/>
      <c r="F27" s="731" t="n"/>
      <c r="G27" s="731" t="n"/>
    </row>
    <row r="28" ht="15" customHeight="1">
      <c r="A28" s="1886" t="inlineStr">
        <is>
          <t>Utility Revenue - Total</t>
        </is>
      </c>
      <c r="B28" s="731" t="n"/>
      <c r="C28" s="731" t="n"/>
      <c r="D28" s="731" t="n"/>
      <c r="E28" s="731" t="n"/>
      <c r="F28" s="731" t="n"/>
      <c r="G28" s="731" t="n"/>
    </row>
    <row r="29" ht="15" customHeight="1">
      <c r="A29" s="1887" t="inlineStr">
        <is>
          <t>Utility Revenue - Other Utility Operations</t>
        </is>
      </c>
      <c r="B29" s="731" t="n"/>
      <c r="C29" s="731" t="n"/>
      <c r="D29" s="731" t="n"/>
      <c r="E29" s="731" t="n"/>
      <c r="F29" s="731" t="n"/>
      <c r="G29" s="731" t="n"/>
    </row>
    <row r="30" ht="15" customHeight="1">
      <c r="A30" s="1887" t="inlineStr">
        <is>
          <t>Utility Revenue - Steam Operations</t>
        </is>
      </c>
      <c r="B30" s="731" t="n"/>
      <c r="C30" s="731" t="n"/>
      <c r="D30" s="731" t="n"/>
      <c r="E30" s="731" t="n"/>
      <c r="F30" s="731" t="n"/>
      <c r="G30" s="731" t="n"/>
    </row>
    <row r="31" ht="15" customHeight="1">
      <c r="A31" s="1887" t="inlineStr">
        <is>
          <t>Utility Revenue - Water Operations</t>
        </is>
      </c>
      <c r="B31" s="731" t="n"/>
      <c r="C31" s="731" t="n"/>
      <c r="D31" s="731" t="n"/>
      <c r="E31" s="731" t="n"/>
      <c r="F31" s="731" t="n"/>
      <c r="G31" s="731" t="n"/>
    </row>
    <row r="32" ht="15" customHeight="1">
      <c r="A32" s="1887" t="inlineStr">
        <is>
          <t>Utility Revenue - Gas Operations</t>
        </is>
      </c>
      <c r="B32" s="731" t="n"/>
      <c r="C32" s="731" t="n"/>
      <c r="D32" s="731" t="n"/>
      <c r="E32" s="731" t="n"/>
      <c r="F32" s="731" t="n"/>
      <c r="G32" s="731" t="n"/>
    </row>
    <row r="33" ht="15" customHeight="1">
      <c r="A33" s="1887" t="inlineStr">
        <is>
          <t>Utility Revenue - Electric Operations</t>
        </is>
      </c>
      <c r="B33" s="731" t="n"/>
      <c r="C33" s="731" t="n"/>
      <c r="D33" s="731" t="n"/>
      <c r="E33" s="731" t="n"/>
      <c r="F33" s="731" t="n"/>
      <c r="G33" s="731" t="n"/>
    </row>
    <row r="34" ht="15" customHeight="1">
      <c r="A34" s="1887" t="inlineStr">
        <is>
          <t>Utility Revenue - Non-Utility Operations</t>
        </is>
      </c>
      <c r="B34" s="731" t="n"/>
      <c r="C34" s="731" t="n"/>
      <c r="D34" s="731" t="n"/>
      <c r="E34" s="731" t="n"/>
      <c r="F34" s="731" t="n"/>
      <c r="G34" s="731" t="n"/>
    </row>
    <row r="35" ht="15" customHeight="1">
      <c r="A35" s="1886" t="inlineStr">
        <is>
          <t>Sales Returns, Allowances &amp; Other Revenue Adjustments</t>
        </is>
      </c>
      <c r="B35" s="731" t="n"/>
      <c r="C35" s="731" t="n"/>
      <c r="D35" s="731" t="n"/>
      <c r="E35" s="731" t="n"/>
      <c r="F35" s="731" t="n"/>
      <c r="G35" s="731" t="n"/>
    </row>
    <row r="36" ht="15" customHeight="1">
      <c r="A36" s="1886" t="inlineStr">
        <is>
          <t>Revenue Taxes</t>
        </is>
      </c>
      <c r="B36" s="731" t="n"/>
      <c r="C36" s="731" t="n"/>
      <c r="D36" s="731" t="n"/>
      <c r="E36" s="731" t="n"/>
      <c r="F36" s="731" t="n"/>
      <c r="G36" s="731" t="n"/>
    </row>
    <row r="37" ht="15" customHeight="1">
      <c r="A37" s="1886" t="inlineStr">
        <is>
          <t>Gross Revenue from Business Activities - Total</t>
        </is>
      </c>
      <c r="B37" s="731" t="n"/>
      <c r="C37" s="731" t="n"/>
      <c r="D37" s="731" t="n"/>
      <c r="E37" s="731" t="n"/>
      <c r="F37" s="731" t="n"/>
      <c r="G37" s="731" t="n"/>
    </row>
    <row r="38" ht="15" customHeight="1">
      <c r="A38" s="1886" t="inlineStr">
        <is>
          <t>Rental &amp; Property-Related Operating Revenue</t>
        </is>
      </c>
      <c r="B38" s="731" t="n"/>
      <c r="C38" s="731" t="n"/>
      <c r="D38" s="731" t="n"/>
      <c r="E38" s="731" t="n"/>
      <c r="F38" s="731" t="n"/>
      <c r="G38" s="731" t="n"/>
    </row>
    <row r="39" ht="15" customHeight="1">
      <c r="A39" s="1885" t="inlineStr">
        <is>
          <t>Revenue from Financing-Related Operations</t>
        </is>
      </c>
      <c r="B39" s="731" t="n"/>
      <c r="C39" s="731" t="n"/>
      <c r="D39" s="731" t="n"/>
      <c r="E39" s="731" t="n"/>
      <c r="F39" s="731" t="n"/>
      <c r="G39" s="731" t="n"/>
    </row>
    <row r="40" ht="15" customHeight="1">
      <c r="A40" s="1886" t="inlineStr">
        <is>
          <t>Business-Related Financing Revenue - Other</t>
        </is>
      </c>
      <c r="B40" s="731" t="n"/>
      <c r="C40" s="731" t="n"/>
      <c r="D40" s="731" t="n"/>
      <c r="E40" s="731" t="n"/>
      <c r="F40" s="731" t="n"/>
      <c r="G40" s="731" t="n"/>
    </row>
    <row r="41" ht="15" customHeight="1">
      <c r="A41" s="1885" t="inlineStr">
        <is>
          <t>Revenue from Business-Related Activities - Other - Total</t>
        </is>
      </c>
      <c r="B41" s="731" t="n"/>
      <c r="C41" s="731" t="n"/>
      <c r="D41" s="731" t="n"/>
      <c r="E41" s="731" t="n"/>
      <c r="F41" s="731" t="n"/>
      <c r="G41" s="731" t="n"/>
    </row>
    <row r="42" ht="15" customHeight="1">
      <c r="A42" s="1886" t="inlineStr">
        <is>
          <t>Royalty Income - Business</t>
        </is>
      </c>
      <c r="B42" s="731" t="n"/>
      <c r="C42" s="731" t="n"/>
      <c r="D42" s="731" t="n"/>
      <c r="E42" s="731" t="n"/>
      <c r="F42" s="731" t="n"/>
      <c r="G42" s="731" t="n"/>
    </row>
    <row r="43" ht="15" customHeight="1">
      <c r="A43" s="1888" t="inlineStr">
        <is>
          <t>Revenue from Business Activities - Total</t>
        </is>
      </c>
      <c r="B43" s="1889" t="n">
        <v>7445426000</v>
      </c>
      <c r="C43" s="1889" t="n">
        <v>8635346000</v>
      </c>
      <c r="D43" s="1889" t="n">
        <v>11035650000</v>
      </c>
      <c r="E43" s="1889" t="n">
        <v>11740345000</v>
      </c>
      <c r="F43" s="1889" t="n">
        <v>12735815000</v>
      </c>
      <c r="G43" s="1889" t="n">
        <v>13327907000</v>
      </c>
    </row>
    <row r="44" ht="15" customHeight="1">
      <c r="A44" s="1884" t="inlineStr">
        <is>
          <t>Operating Expenses</t>
        </is>
      </c>
      <c r="B44" s="734" t="n"/>
      <c r="C44" s="734" t="n"/>
      <c r="D44" s="734" t="n"/>
      <c r="E44" s="734" t="n"/>
      <c r="F44" s="734" t="n"/>
      <c r="G44" s="734" t="n"/>
    </row>
    <row r="45" ht="15" customHeight="1">
      <c r="A45" s="1885" t="inlineStr">
        <is>
          <t>Cost of Operating Revenue</t>
        </is>
      </c>
      <c r="B45" s="1807" t="n">
        <v>2059254000</v>
      </c>
      <c r="C45" s="1807" t="n">
        <v>2340173000</v>
      </c>
      <c r="D45" s="1807" t="n">
        <v>2914450000</v>
      </c>
      <c r="E45" s="1807" t="n">
        <v>3527754000</v>
      </c>
      <c r="F45" s="1807" t="n">
        <v>3996322000</v>
      </c>
      <c r="G45" s="1807" t="n">
        <v>4188377000</v>
      </c>
    </row>
    <row r="46" ht="15" customHeight="1">
      <c r="A46" s="1886" t="inlineStr">
        <is>
          <t>Cost of Financing-Related Operations</t>
        </is>
      </c>
      <c r="B46" s="731" t="n"/>
      <c r="C46" s="731" t="n"/>
      <c r="D46" s="731" t="n"/>
      <c r="E46" s="731" t="n"/>
      <c r="F46" s="731" t="n"/>
      <c r="G46" s="731" t="n"/>
    </row>
    <row r="47" ht="15" customHeight="1">
      <c r="A47" s="1886" t="inlineStr">
        <is>
          <t>Cost of Revenues - Total</t>
        </is>
      </c>
      <c r="B47" s="1807" t="n">
        <v>2059254000</v>
      </c>
      <c r="C47" s="1807" t="n">
        <v>2340173000</v>
      </c>
      <c r="D47" s="1807" t="n">
        <v>2914450000</v>
      </c>
      <c r="E47" s="1807" t="n">
        <v>3527754000</v>
      </c>
      <c r="F47" s="1807" t="n">
        <v>3996322000</v>
      </c>
      <c r="G47" s="1807" t="n">
        <v>4188377000</v>
      </c>
    </row>
    <row r="48" ht="15" customHeight="1">
      <c r="A48" s="1887" t="inlineStr">
        <is>
          <t>Cost of Revenues - Unclassified</t>
        </is>
      </c>
      <c r="B48" s="1807" t="n">
        <v>415240000</v>
      </c>
      <c r="C48" s="1807" t="n">
        <v>480354000</v>
      </c>
      <c r="D48" s="1807" t="n">
        <v>607770000</v>
      </c>
      <c r="E48" s="1807" t="n">
        <v>684486000</v>
      </c>
      <c r="F48" s="1807" t="n">
        <v>898595000</v>
      </c>
      <c r="G48" s="1807" t="n">
        <v>1115112000</v>
      </c>
    </row>
    <row r="49" ht="15" customHeight="1">
      <c r="A49" s="1887" t="inlineStr">
        <is>
          <t>Production Taxes &amp; Royalty Expenses</t>
        </is>
      </c>
      <c r="B49" s="731" t="n"/>
      <c r="C49" s="731" t="n"/>
      <c r="D49" s="731" t="n"/>
      <c r="E49" s="731" t="n"/>
      <c r="F49" s="731" t="n"/>
      <c r="G49" s="731" t="n"/>
    </row>
    <row r="50" ht="15" customHeight="1">
      <c r="A50" s="1887" t="inlineStr">
        <is>
          <t>Amortization in Cost of Revenues</t>
        </is>
      </c>
      <c r="B50" s="1807" t="n">
        <v>215644000</v>
      </c>
      <c r="C50" s="1807" t="n">
        <v>222157000</v>
      </c>
      <c r="D50" s="1807" t="n">
        <v>246177000</v>
      </c>
      <c r="E50" s="1807" t="n">
        <v>270216000</v>
      </c>
      <c r="F50" s="1807" t="n">
        <v>297992000</v>
      </c>
      <c r="G50" s="1807" t="n">
        <v>202480000</v>
      </c>
    </row>
    <row r="51" ht="15" customHeight="1">
      <c r="A51" s="1887" t="inlineStr">
        <is>
          <t>Depreciation in Cost of Revenues</t>
        </is>
      </c>
      <c r="B51" s="1807" t="n">
        <v>1428370000</v>
      </c>
      <c r="C51" s="1807" t="n">
        <v>1637662000</v>
      </c>
      <c r="D51" s="1807" t="n">
        <v>2060503000</v>
      </c>
      <c r="E51" s="1807" t="n">
        <v>2573052000</v>
      </c>
      <c r="F51" s="1807" t="n">
        <v>2799735000</v>
      </c>
      <c r="G51" s="1807" t="n">
        <v>2870785000</v>
      </c>
    </row>
    <row r="52" ht="15" customHeight="1">
      <c r="A52" s="1887" t="inlineStr">
        <is>
          <t>Labor &amp; Related Expenses including Stock-Based Compensation in Cost of Revenues</t>
        </is>
      </c>
      <c r="B52" s="731" t="n"/>
      <c r="C52" s="731" t="n"/>
      <c r="D52" s="731" t="n"/>
      <c r="E52" s="731" t="n"/>
      <c r="F52" s="731" t="n"/>
      <c r="G52" s="731" t="n"/>
    </row>
    <row r="53" ht="15" customHeight="1">
      <c r="A53" s="1887" t="inlineStr">
        <is>
          <t>Material Expenses</t>
        </is>
      </c>
      <c r="B53" s="731" t="n"/>
      <c r="C53" s="731" t="n"/>
      <c r="D53" s="731" t="n"/>
      <c r="E53" s="731" t="n"/>
      <c r="F53" s="731" t="n"/>
      <c r="G53" s="731" t="n"/>
    </row>
    <row r="54" ht="15" customHeight="1">
      <c r="A54" s="1890" t="inlineStr">
        <is>
          <t>Material Expenses - Materials, Inventory, Own Work &amp; Utility - Unclassified</t>
        </is>
      </c>
      <c r="B54" s="731" t="n"/>
      <c r="C54" s="731" t="n"/>
      <c r="D54" s="731" t="n"/>
      <c r="E54" s="731" t="n"/>
      <c r="F54" s="731" t="n"/>
      <c r="G54" s="731" t="n"/>
    </row>
    <row r="55" ht="15" customHeight="1">
      <c r="A55" s="1890" t="inlineStr">
        <is>
          <t>Utility Cost of Revenue - Fuel Expense</t>
        </is>
      </c>
      <c r="B55" s="731" t="n"/>
      <c r="C55" s="731" t="n"/>
      <c r="D55" s="731" t="n"/>
      <c r="E55" s="731" t="n"/>
      <c r="F55" s="731" t="n"/>
      <c r="G55" s="731" t="n"/>
    </row>
    <row r="56" ht="15" customHeight="1">
      <c r="A56" s="1890" t="inlineStr">
        <is>
          <t>Utility Cost of Revenue - Fuel Purchased for Resale</t>
        </is>
      </c>
      <c r="B56" s="731" t="n"/>
      <c r="C56" s="731" t="n"/>
      <c r="D56" s="731" t="n"/>
      <c r="E56" s="731" t="n"/>
      <c r="F56" s="731" t="n"/>
      <c r="G56" s="731" t="n"/>
    </row>
    <row r="57" ht="15" customHeight="1">
      <c r="A57" s="1890" t="inlineStr">
        <is>
          <t>Utility Cost of Revenue - Purchased Power</t>
        </is>
      </c>
      <c r="B57" s="731" t="n"/>
      <c r="C57" s="731" t="n"/>
      <c r="D57" s="731" t="n"/>
      <c r="E57" s="731" t="n"/>
      <c r="F57" s="731" t="n"/>
      <c r="G57" s="731" t="n"/>
    </row>
    <row r="58" ht="15" customHeight="1">
      <c r="A58" s="1890" t="inlineStr">
        <is>
          <t>Own Work Capitalized</t>
        </is>
      </c>
      <c r="B58" s="731" t="n"/>
      <c r="C58" s="731" t="n"/>
      <c r="D58" s="731" t="n"/>
      <c r="E58" s="731" t="n"/>
      <c r="F58" s="731" t="n"/>
      <c r="G58" s="731" t="n"/>
    </row>
    <row r="59" ht="15" customHeight="1">
      <c r="A59" s="1890" t="inlineStr">
        <is>
          <t>Changes in Inventory</t>
        </is>
      </c>
      <c r="B59" s="731" t="n"/>
      <c r="C59" s="731" t="n"/>
      <c r="D59" s="731" t="n"/>
      <c r="E59" s="731" t="n"/>
      <c r="F59" s="731" t="n"/>
      <c r="G59" s="731" t="n"/>
    </row>
    <row r="60" ht="15" customHeight="1">
      <c r="A60" s="1890" t="inlineStr">
        <is>
          <t>Materials Purchased</t>
        </is>
      </c>
      <c r="B60" s="731" t="n"/>
      <c r="C60" s="731" t="n"/>
      <c r="D60" s="731" t="n"/>
      <c r="E60" s="731" t="n"/>
      <c r="F60" s="731" t="n"/>
      <c r="G60" s="731" t="n"/>
    </row>
    <row r="61" ht="15" customHeight="1">
      <c r="A61" s="1890" t="inlineStr">
        <is>
          <t>Ground leases/Rental Expenses in Cost of Revenues</t>
        </is>
      </c>
      <c r="B61" s="731" t="n"/>
      <c r="C61" s="731" t="n"/>
      <c r="D61" s="731" t="n"/>
      <c r="E61" s="731" t="n"/>
      <c r="F61" s="731" t="n"/>
      <c r="G61" s="731" t="n"/>
    </row>
    <row r="62" ht="15" customHeight="1">
      <c r="A62" s="1887" t="inlineStr">
        <is>
          <t>Property Operating Expenses - Hotel</t>
        </is>
      </c>
      <c r="B62" s="731" t="n"/>
      <c r="C62" s="731" t="n"/>
      <c r="D62" s="731" t="n"/>
      <c r="E62" s="731" t="n"/>
      <c r="F62" s="731" t="n"/>
      <c r="G62" s="731" t="n"/>
    </row>
    <row r="63" ht="15" customHeight="1">
      <c r="A63" s="1887" t="inlineStr">
        <is>
          <t>Cost of Revenues - Other - Total</t>
        </is>
      </c>
      <c r="B63" s="731" t="n"/>
      <c r="C63" s="731" t="n"/>
      <c r="D63" s="731" t="n"/>
      <c r="E63" s="731" t="n"/>
      <c r="F63" s="731" t="n"/>
      <c r="G63" s="731" t="n"/>
    </row>
    <row r="64" ht="15" customHeight="1">
      <c r="A64" s="1888" t="inlineStr">
        <is>
          <t>Gross Profit - Industrials/Property - Total</t>
        </is>
      </c>
      <c r="B64" s="1889" t="n">
        <v>5386172000</v>
      </c>
      <c r="C64" s="1889" t="n">
        <v>6295173000</v>
      </c>
      <c r="D64" s="1889" t="n">
        <v>8121200000</v>
      </c>
      <c r="E64" s="1889" t="n">
        <v>8212591000</v>
      </c>
      <c r="F64" s="1889" t="n">
        <v>8739493000</v>
      </c>
      <c r="G64" s="1889" t="n">
        <v>9139530000</v>
      </c>
    </row>
    <row r="65" ht="15" customHeight="1">
      <c r="A65" s="1885" t="inlineStr">
        <is>
          <t>Selling, General &amp; Administrative Expenses - Total</t>
        </is>
      </c>
      <c r="B65" s="1807" t="n">
        <v>592782000</v>
      </c>
      <c r="C65" s="1807" t="n">
        <v>707120000</v>
      </c>
      <c r="D65" s="1807" t="n">
        <v>916111000</v>
      </c>
      <c r="E65" s="1807" t="n">
        <v>1119731000</v>
      </c>
      <c r="F65" s="1807" t="n">
        <v>1217595000</v>
      </c>
      <c r="G65" s="1807" t="n">
        <v>1211640000</v>
      </c>
    </row>
    <row r="66" ht="15" customHeight="1">
      <c r="A66" s="1886" t="inlineStr">
        <is>
          <t>Selling, General &amp; Administrative Expenses - Unclassified</t>
        </is>
      </c>
      <c r="B66" s="1807" t="n">
        <v>205878000</v>
      </c>
      <c r="C66" s="1807" t="n">
        <v>250154000</v>
      </c>
      <c r="D66" s="1807" t="n">
        <v>230432000</v>
      </c>
      <c r="E66" s="1807" t="n">
        <v>243340000</v>
      </c>
      <c r="F66" s="1807" t="n">
        <v>295836000</v>
      </c>
      <c r="G66" s="1807" t="n">
        <v>313724000</v>
      </c>
    </row>
    <row r="67" ht="15" customHeight="1">
      <c r="A67" s="1886" t="inlineStr">
        <is>
          <t>Labor &amp; Related Expenses including Stock-Based Compensation in Selling, General &amp; Administrative Expenses</t>
        </is>
      </c>
      <c r="B67" s="1807" t="n">
        <v>419388000</v>
      </c>
      <c r="C67" s="1807" t="n">
        <v>470514000</v>
      </c>
      <c r="D67" s="1807" t="n">
        <v>680892000</v>
      </c>
      <c r="E67" s="1807" t="n">
        <v>788501000</v>
      </c>
      <c r="F67" s="1807" t="n">
        <v>818343000</v>
      </c>
      <c r="G67" s="1807" t="n">
        <v>917491000</v>
      </c>
    </row>
    <row r="68" ht="15" customHeight="1">
      <c r="A68" s="1886" t="inlineStr">
        <is>
          <t>Research &amp; Development Expense</t>
        </is>
      </c>
      <c r="B68" s="731" t="n"/>
      <c r="C68" s="731" t="n"/>
      <c r="D68" s="731" t="n"/>
      <c r="E68" s="731" t="n"/>
      <c r="F68" s="731" t="n"/>
      <c r="G68" s="731" t="n"/>
    </row>
    <row r="69" ht="15" customHeight="1">
      <c r="A69" s="1886" t="inlineStr">
        <is>
          <t>Exploration/Dry Hole Expenses (including Write-Off)</t>
        </is>
      </c>
      <c r="B69" s="731" t="n"/>
      <c r="C69" s="731" t="n"/>
      <c r="D69" s="731" t="n"/>
      <c r="E69" s="731" t="n"/>
      <c r="F69" s="731" t="n"/>
      <c r="G69" s="731" t="n"/>
    </row>
    <row r="70" ht="15" customHeight="1">
      <c r="A70" s="1886" t="inlineStr">
        <is>
          <t>Depreciation in Selling, General &amp; Administrative Expenses</t>
        </is>
      </c>
      <c r="B70" s="731" t="n"/>
      <c r="C70" s="731" t="n"/>
      <c r="D70" s="731" t="n"/>
      <c r="E70" s="731" t="n"/>
      <c r="F70" s="731" t="n"/>
      <c r="G70" s="731" t="n"/>
    </row>
    <row r="71" ht="15" customHeight="1">
      <c r="A71" s="1886" t="inlineStr">
        <is>
          <t>Amortization of Intangibles in Selling, General &amp; Administrative Expenses</t>
        </is>
      </c>
      <c r="B71" s="731" t="n"/>
      <c r="C71" s="731" t="n"/>
      <c r="D71" s="731" t="n"/>
      <c r="E71" s="731" t="n"/>
      <c r="F71" s="731" t="n"/>
      <c r="G71" s="731" t="n"/>
    </row>
    <row r="72" ht="15" customHeight="1">
      <c r="A72" s="1886" t="inlineStr">
        <is>
          <t>Operations &amp; Maintenance (Utility)</t>
        </is>
      </c>
      <c r="B72" s="731" t="n"/>
      <c r="C72" s="731" t="n"/>
      <c r="D72" s="731" t="n"/>
      <c r="E72" s="731" t="n"/>
      <c r="F72" s="731" t="n"/>
      <c r="G72" s="731" t="n"/>
    </row>
    <row r="73" ht="15" customHeight="1">
      <c r="A73" s="1886" t="inlineStr">
        <is>
          <t>Selling, General &amp; Administrative Expenses - Other - Total</t>
        </is>
      </c>
      <c r="B73" s="1807" t="n">
        <v>-32484000</v>
      </c>
      <c r="C73" s="1807" t="n">
        <v>-13548000</v>
      </c>
      <c r="D73" s="1807" t="n">
        <v>4787000</v>
      </c>
      <c r="E73" s="1807" t="n">
        <v>87890000</v>
      </c>
      <c r="F73" s="1807" t="n">
        <v>103416000</v>
      </c>
      <c r="G73" s="1807" t="n">
        <v>-19575000</v>
      </c>
    </row>
    <row r="74" ht="15" customHeight="1">
      <c r="A74" s="1887" t="inlineStr">
        <is>
          <t>Advertising Expense</t>
        </is>
      </c>
      <c r="B74" s="731" t="n"/>
      <c r="C74" s="731" t="n"/>
      <c r="D74" s="731" t="n"/>
      <c r="E74" s="731" t="n"/>
      <c r="F74" s="731" t="n"/>
      <c r="G74" s="731" t="n"/>
    </row>
    <row r="75" ht="15" customHeight="1">
      <c r="A75" s="1887" t="inlineStr">
        <is>
          <t>Property &amp; Other Taxes</t>
        </is>
      </c>
      <c r="B75" s="731" t="n"/>
      <c r="C75" s="731" t="n"/>
      <c r="D75" s="731" t="n"/>
      <c r="E75" s="731" t="n"/>
      <c r="F75" s="1807" t="n">
        <v>123833000</v>
      </c>
      <c r="G75" s="1807" t="n">
        <v>14583000</v>
      </c>
    </row>
    <row r="76" ht="15" customHeight="1">
      <c r="A76" s="1887" t="inlineStr">
        <is>
          <t>Rental Expense</t>
        </is>
      </c>
      <c r="B76" s="731" t="n"/>
      <c r="C76" s="731" t="n"/>
      <c r="D76" s="731" t="n"/>
      <c r="E76" s="731" t="n"/>
      <c r="F76" s="731" t="n"/>
      <c r="G76" s="731" t="n"/>
    </row>
    <row r="77" ht="15" customHeight="1">
      <c r="A77" s="1887" t="inlineStr">
        <is>
          <t>Occupancy Expense - Other</t>
        </is>
      </c>
      <c r="B77" s="731" t="n"/>
      <c r="C77" s="731" t="n"/>
      <c r="D77" s="731" t="n"/>
      <c r="E77" s="731" t="n"/>
      <c r="F77" s="731" t="n"/>
      <c r="G77" s="731" t="n"/>
    </row>
    <row r="78" ht="15" customHeight="1">
      <c r="A78" s="1887" t="inlineStr">
        <is>
          <t>Pre-Opening Expenses</t>
        </is>
      </c>
      <c r="B78" s="731" t="n"/>
      <c r="C78" s="731" t="n"/>
      <c r="D78" s="731" t="n"/>
      <c r="E78" s="731" t="n"/>
      <c r="F78" s="731" t="n"/>
      <c r="G78" s="731" t="n"/>
    </row>
    <row r="79" ht="15" customHeight="1">
      <c r="A79" s="1887" t="inlineStr">
        <is>
          <t>Provision for Doubtful Accounts &amp; Write-off</t>
        </is>
      </c>
      <c r="B79" s="1807" t="n">
        <v>-32484000</v>
      </c>
      <c r="C79" s="1807" t="n">
        <v>-13548000</v>
      </c>
      <c r="D79" s="1807" t="n">
        <v>4787000</v>
      </c>
      <c r="E79" s="1807" t="n">
        <v>43435000</v>
      </c>
      <c r="F79" s="1807" t="n">
        <v>-43315000</v>
      </c>
      <c r="G79" s="1807" t="n">
        <v>-45280000</v>
      </c>
    </row>
    <row r="80" ht="15" customHeight="1">
      <c r="A80" s="1887" t="inlineStr">
        <is>
          <t>Equipment/Occupancy Expense - Bank/Financial - Other</t>
        </is>
      </c>
      <c r="B80" s="731" t="n"/>
      <c r="C80" s="731" t="n"/>
      <c r="D80" s="731" t="n"/>
      <c r="E80" s="731" t="n"/>
      <c r="F80" s="731" t="n"/>
      <c r="G80" s="731" t="n"/>
    </row>
    <row r="81" ht="15" customHeight="1">
      <c r="A81" s="1885" t="inlineStr">
        <is>
          <t>Other Operating Expense/(Income) - Net</t>
        </is>
      </c>
      <c r="B81" s="1807" t="n">
        <v>22690000</v>
      </c>
      <c r="C81" s="1807" t="n">
        <v>167429000</v>
      </c>
      <c r="D81" s="1807" t="n">
        <v>88975000</v>
      </c>
      <c r="E81" s="1807" t="n">
        <v>-56826000</v>
      </c>
      <c r="F81" s="1807" t="n">
        <v>70469000</v>
      </c>
      <c r="G81" s="1807" t="n">
        <v>77056000</v>
      </c>
    </row>
    <row r="82" ht="15" customHeight="1">
      <c r="A82" s="1886" t="inlineStr">
        <is>
          <t>Other Operating Income - Total</t>
        </is>
      </c>
      <c r="B82" s="731" t="n"/>
      <c r="C82" s="731" t="n"/>
      <c r="D82" s="731" t="n"/>
      <c r="E82" s="731" t="n"/>
      <c r="F82" s="731" t="n"/>
      <c r="G82" s="731" t="n"/>
    </row>
    <row r="83" ht="15" customHeight="1">
      <c r="A83" s="1886" t="inlineStr">
        <is>
          <t>Other Operating Expense</t>
        </is>
      </c>
      <c r="B83" s="731" t="n"/>
      <c r="C83" s="731" t="n"/>
      <c r="D83" s="731" t="n"/>
      <c r="E83" s="731" t="n"/>
      <c r="F83" s="731" t="n"/>
      <c r="G83" s="731" t="n"/>
    </row>
    <row r="84" ht="15" customHeight="1">
      <c r="A84" s="1886" t="inlineStr">
        <is>
          <t>Provision for Decommissioning Fund &amp; Environmental Obligations</t>
        </is>
      </c>
      <c r="B84" s="731" t="n"/>
      <c r="C84" s="731" t="n"/>
      <c r="D84" s="731" t="n"/>
      <c r="E84" s="731" t="n"/>
      <c r="F84" s="731" t="n"/>
      <c r="G84" s="731" t="n"/>
    </row>
    <row r="85" ht="15" customHeight="1">
      <c r="A85" s="1886" t="inlineStr">
        <is>
          <t>Operating Provisions - Increase/(Decrease)</t>
        </is>
      </c>
      <c r="B85" s="731" t="n"/>
      <c r="C85" s="731" t="n"/>
      <c r="D85" s="731" t="n"/>
      <c r="E85" s="731" t="n"/>
      <c r="F85" s="731" t="n"/>
      <c r="G85" s="731" t="n"/>
    </row>
    <row r="86" ht="15" customHeight="1">
      <c r="A86" s="1886" t="inlineStr">
        <is>
          <t>Non-Recurring Adjustments - Operating - Decrease/(Increase)</t>
        </is>
      </c>
      <c r="B86" s="731" t="n"/>
      <c r="C86" s="731" t="n"/>
      <c r="D86" s="731" t="n"/>
      <c r="E86" s="731" t="n"/>
      <c r="F86" s="731" t="n"/>
      <c r="G86" s="731" t="n"/>
    </row>
    <row r="87" ht="15" customHeight="1">
      <c r="A87" s="1886" t="inlineStr">
        <is>
          <t>Supplementary Adjustments - Operating - Decrease/(Increase)</t>
        </is>
      </c>
      <c r="B87" s="731" t="n"/>
      <c r="C87" s="731" t="n"/>
      <c r="D87" s="731" t="n"/>
      <c r="E87" s="731" t="n"/>
      <c r="F87" s="731" t="n"/>
      <c r="G87" s="731" t="n"/>
    </row>
    <row r="88" ht="15" customHeight="1">
      <c r="A88" s="1885" t="inlineStr">
        <is>
          <t>Operating Expenses - Total</t>
        </is>
      </c>
      <c r="B88" s="1807" t="n">
        <v>2674726000</v>
      </c>
      <c r="C88" s="1807" t="n">
        <v>3214722000</v>
      </c>
      <c r="D88" s="1807" t="n">
        <v>3919536000</v>
      </c>
      <c r="E88" s="1807" t="n">
        <v>4590659000</v>
      </c>
      <c r="F88" s="1807" t="n">
        <v>5284386000</v>
      </c>
      <c r="G88" s="1807" t="n">
        <v>5477073000</v>
      </c>
    </row>
    <row r="89" ht="15" customHeight="1">
      <c r="A89" s="1884" t="inlineStr">
        <is>
          <t>Operating Profit</t>
        </is>
      </c>
      <c r="B89" s="734" t="n"/>
      <c r="C89" s="734" t="n"/>
      <c r="D89" s="734" t="n"/>
      <c r="E89" s="734" t="n"/>
      <c r="F89" s="734" t="n"/>
      <c r="G89" s="734" t="n"/>
    </row>
    <row r="90" ht="15" customHeight="1">
      <c r="A90" s="1888" t="inlineStr">
        <is>
          <t>Operating Profit before Non-Recurring Income/Expense</t>
        </is>
      </c>
      <c r="B90" s="1889" t="n">
        <v>4770700000</v>
      </c>
      <c r="C90" s="1889" t="n">
        <v>5420624000</v>
      </c>
      <c r="D90" s="1889" t="n">
        <v>7116114000</v>
      </c>
      <c r="E90" s="1889" t="n">
        <v>7149686000</v>
      </c>
      <c r="F90" s="1889" t="n">
        <v>7451429000</v>
      </c>
      <c r="G90" s="1889" t="n">
        <v>7850834000</v>
      </c>
    </row>
    <row r="91" ht="15" customHeight="1">
      <c r="A91" s="1884" t="inlineStr">
        <is>
          <t>Non-Operating Expenses</t>
        </is>
      </c>
      <c r="B91" s="734" t="n"/>
      <c r="C91" s="734" t="n"/>
      <c r="D91" s="734" t="n"/>
      <c r="E91" s="734" t="n"/>
      <c r="F91" s="734" t="n"/>
      <c r="G91" s="734" t="n"/>
    </row>
    <row r="92" ht="15" customHeight="1">
      <c r="A92" s="1885" t="inlineStr">
        <is>
          <t>Financing Income/(Expense) - Net - Total</t>
        </is>
      </c>
      <c r="B92" s="1807" t="n">
        <v>-1266742000</v>
      </c>
      <c r="C92" s="1807" t="n">
        <v>-1281231000</v>
      </c>
      <c r="D92" s="1807" t="n">
        <v>-2404208000</v>
      </c>
      <c r="E92" s="1807" t="n">
        <v>-2797013000</v>
      </c>
      <c r="F92" s="1807" t="n">
        <v>-3021973000</v>
      </c>
      <c r="G92" s="1807" t="n">
        <v>-3086514000</v>
      </c>
    </row>
    <row r="93" ht="15" customHeight="1">
      <c r="A93" s="1886" t="inlineStr">
        <is>
          <t>Interest Expense - Net of (Interest Income)</t>
        </is>
      </c>
      <c r="B93" s="1807" t="n">
        <v>1050842000</v>
      </c>
      <c r="C93" s="1807" t="n">
        <v>1254452000</v>
      </c>
      <c r="D93" s="1807" t="n">
        <v>2280344000</v>
      </c>
      <c r="E93" s="1807" t="n">
        <v>2694489000</v>
      </c>
      <c r="F93" s="1807" t="n">
        <v>2940697000</v>
      </c>
      <c r="G93" s="1807" t="n">
        <v>2831713000</v>
      </c>
    </row>
    <row r="94" ht="15" customHeight="1">
      <c r="A94" s="1887" t="inlineStr">
        <is>
          <t>Interest Income - Non-Bank</t>
        </is>
      </c>
      <c r="B94" s="1807" t="n">
        <v>33587000</v>
      </c>
      <c r="C94" s="1807" t="n">
        <v>30866000</v>
      </c>
      <c r="D94" s="1807" t="n">
        <v>29265000</v>
      </c>
      <c r="E94" s="1807" t="n">
        <v>25649000</v>
      </c>
      <c r="F94" s="1807" t="n">
        <v>84309000</v>
      </c>
      <c r="G94" s="1807" t="n">
        <v>44354000</v>
      </c>
    </row>
    <row r="95" ht="15" customHeight="1">
      <c r="A95" s="1887" t="inlineStr">
        <is>
          <t>Interest Expense - Net of Capitalized Interest</t>
        </is>
      </c>
      <c r="B95" s="1807" t="n">
        <v>1084429000</v>
      </c>
      <c r="C95" s="1807" t="n">
        <v>1285318000</v>
      </c>
      <c r="D95" s="1807" t="n">
        <v>2309609000</v>
      </c>
      <c r="E95" s="1807" t="n">
        <v>2720138000</v>
      </c>
      <c r="F95" s="1807" t="n">
        <v>3025006000</v>
      </c>
      <c r="G95" s="1807" t="n">
        <v>2876067000</v>
      </c>
    </row>
    <row r="96" ht="15" customHeight="1">
      <c r="A96" s="1890" t="inlineStr">
        <is>
          <t>Interest Expense on Capital Financing - Gross</t>
        </is>
      </c>
      <c r="B96" s="731" t="n"/>
      <c r="C96" s="731" t="n"/>
      <c r="D96" s="731" t="n"/>
      <c r="E96" s="731" t="n"/>
      <c r="F96" s="731" t="n"/>
      <c r="G96" s="731" t="n"/>
    </row>
    <row r="97" ht="15" customHeight="1">
      <c r="A97" s="1891" t="inlineStr">
        <is>
          <t>Dividends on Hybrid Financial Instruments - Liability Portion</t>
        </is>
      </c>
      <c r="B97" s="731" t="n"/>
      <c r="C97" s="731" t="n"/>
      <c r="D97" s="731" t="n"/>
      <c r="E97" s="731" t="n"/>
      <c r="F97" s="731" t="n"/>
      <c r="G97" s="731" t="n"/>
    </row>
    <row r="98" ht="15" customHeight="1">
      <c r="A98" s="1890" t="inlineStr">
        <is>
          <t>Interest Capitalized</t>
        </is>
      </c>
      <c r="B98" s="731" t="n"/>
      <c r="C98" s="731" t="n"/>
      <c r="D98" s="731" t="n"/>
      <c r="E98" s="731" t="n"/>
      <c r="F98" s="731" t="n"/>
      <c r="G98" s="731" t="n"/>
    </row>
    <row r="99" ht="15" customHeight="1">
      <c r="A99" s="1891" t="inlineStr">
        <is>
          <t>Allowance for Funds Used during Construction - Debt Portion (AFUDC)</t>
        </is>
      </c>
      <c r="B99" s="731" t="n"/>
      <c r="C99" s="731" t="n"/>
      <c r="D99" s="731" t="n"/>
      <c r="E99" s="731" t="n"/>
      <c r="F99" s="731" t="n"/>
      <c r="G99" s="731" t="n"/>
    </row>
    <row r="100" ht="15" customHeight="1">
      <c r="A100" s="1886" t="inlineStr">
        <is>
          <t>Non-Interest Financial Income/(Expense) - Total</t>
        </is>
      </c>
      <c r="B100" s="1807" t="n">
        <v>-215900000</v>
      </c>
      <c r="C100" s="1807" t="n">
        <v>-26779000</v>
      </c>
      <c r="D100" s="1807" t="n">
        <v>-123864000</v>
      </c>
      <c r="E100" s="1807" t="n">
        <v>-102524000</v>
      </c>
      <c r="F100" s="1807" t="n">
        <v>-81276000</v>
      </c>
      <c r="G100" s="1807" t="n">
        <v>-254801000</v>
      </c>
    </row>
    <row r="101" ht="15" customHeight="1">
      <c r="A101" s="1887" t="inlineStr">
        <is>
          <t>Dividend &amp; Investment Income</t>
        </is>
      </c>
      <c r="B101" s="731" t="n"/>
      <c r="C101" s="731" t="n"/>
      <c r="D101" s="731" t="n"/>
      <c r="E101" s="731" t="n"/>
      <c r="F101" s="731" t="n"/>
      <c r="G101" s="731" t="n"/>
    </row>
    <row r="102" ht="15" customHeight="1">
      <c r="A102" s="1887" t="inlineStr">
        <is>
          <t>Foreign Exchange Gain/(Loss) - Non-Business</t>
        </is>
      </c>
      <c r="B102" s="1807" t="n">
        <v>-182776000</v>
      </c>
      <c r="C102" s="1807" t="n">
        <v>8880000</v>
      </c>
      <c r="D102" s="1807" t="n">
        <v>-92842000</v>
      </c>
      <c r="E102" s="1807" t="n">
        <v>-14536000</v>
      </c>
      <c r="F102" s="1807" t="n">
        <v>-17317000</v>
      </c>
      <c r="G102" s="1807" t="n">
        <v>-83748000</v>
      </c>
    </row>
    <row r="103" ht="15" customHeight="1">
      <c r="A103" s="1887" t="inlineStr">
        <is>
          <t>Amortization of Deferred Financing Charges</t>
        </is>
      </c>
      <c r="B103" s="731" t="n"/>
      <c r="C103" s="731" t="n"/>
      <c r="D103" s="731" t="n"/>
      <c r="E103" s="731" t="n"/>
      <c r="F103" s="731" t="n"/>
      <c r="G103" s="731" t="n"/>
    </row>
    <row r="104" ht="15" customHeight="1">
      <c r="A104" s="1887" t="inlineStr">
        <is>
          <t>Sale of Investments Held for Sale, Maturity &amp; Trading - Gain/(Loss)</t>
        </is>
      </c>
      <c r="B104" s="731" t="n"/>
      <c r="C104" s="731" t="n"/>
      <c r="D104" s="731" t="n"/>
      <c r="E104" s="731" t="n"/>
      <c r="F104" s="731" t="n"/>
      <c r="G104" s="731" t="n"/>
    </row>
    <row r="105" ht="15" customHeight="1">
      <c r="A105" s="1887" t="inlineStr">
        <is>
          <t>Accretion - Site Closure &amp; Reclamation Expenses</t>
        </is>
      </c>
      <c r="B105" s="731" t="n"/>
      <c r="C105" s="731" t="n"/>
      <c r="D105" s="731" t="n"/>
      <c r="E105" s="731" t="n"/>
      <c r="F105" s="731" t="n"/>
      <c r="G105" s="731" t="n"/>
    </row>
    <row r="106" ht="15" customHeight="1">
      <c r="A106" s="1887" t="inlineStr">
        <is>
          <t>Non-Interest Financial Income/(Expense) - Other - Net</t>
        </is>
      </c>
      <c r="B106" s="1807" t="n">
        <v>-33124000</v>
      </c>
      <c r="C106" s="1807" t="n">
        <v>-35659000</v>
      </c>
      <c r="D106" s="1807" t="n">
        <v>-31022000</v>
      </c>
      <c r="E106" s="1807" t="n">
        <v>-87988000</v>
      </c>
      <c r="F106" s="1807" t="n">
        <v>-63959000</v>
      </c>
      <c r="G106" s="1807" t="n">
        <v>-171053000</v>
      </c>
    </row>
    <row r="107" ht="15" customHeight="1">
      <c r="A107" s="1885" t="inlineStr">
        <is>
          <t>Sale of Tangible &amp; Intangible Fixed Assets - Gain/(Loss)</t>
        </is>
      </c>
      <c r="B107" s="1807" t="n">
        <v>-43365000</v>
      </c>
      <c r="C107" s="1807" t="n">
        <v>-84504000</v>
      </c>
      <c r="D107" s="1807" t="n">
        <v>-144699000</v>
      </c>
      <c r="E107" s="1807" t="n">
        <v>-173608000</v>
      </c>
      <c r="F107" s="1807" t="n">
        <v>-168191000</v>
      </c>
      <c r="G107" s="1807" t="n">
        <v>-269391000</v>
      </c>
    </row>
    <row r="108" ht="15" customHeight="1">
      <c r="A108" s="1886" t="inlineStr">
        <is>
          <t>Sale of Leased Fixed Assets - Gain/(Loss)</t>
        </is>
      </c>
      <c r="B108" s="731" t="n"/>
      <c r="C108" s="731" t="n"/>
      <c r="D108" s="731" t="n"/>
      <c r="E108" s="731" t="n"/>
      <c r="F108" s="731" t="n"/>
      <c r="G108" s="731" t="n"/>
    </row>
    <row r="109" ht="15" customHeight="1">
      <c r="A109" s="1885" t="inlineStr">
        <is>
          <t>Equity Earnings/(Loss) - before Taxes including Non-Recurring</t>
        </is>
      </c>
      <c r="B109" s="731" t="n"/>
      <c r="C109" s="731" t="n"/>
      <c r="D109" s="731" t="n"/>
      <c r="E109" s="731" t="n"/>
      <c r="F109" s="731" t="n"/>
      <c r="G109" s="731" t="n"/>
    </row>
    <row r="110" ht="15" customHeight="1">
      <c r="A110" s="1886" t="inlineStr">
        <is>
          <t>Non-Recurring Portion of Equity Earnings before Taxes</t>
        </is>
      </c>
      <c r="B110" s="731" t="n"/>
      <c r="C110" s="731" t="n"/>
      <c r="D110" s="731" t="n"/>
      <c r="E110" s="731" t="n"/>
      <c r="F110" s="731" t="n"/>
      <c r="G110" s="731" t="n"/>
    </row>
    <row r="111" ht="15" customHeight="1">
      <c r="A111" s="1885" t="inlineStr">
        <is>
          <t>Other Non-Operating Income/(Expense) - Total</t>
        </is>
      </c>
      <c r="B111" s="1807" t="n">
        <v>-83740000</v>
      </c>
      <c r="C111" s="1807" t="n">
        <v>-55470000</v>
      </c>
      <c r="D111" s="1807" t="n">
        <v>-57023000</v>
      </c>
      <c r="E111" s="1807" t="n">
        <v>-55031000</v>
      </c>
      <c r="F111" s="1807" t="n">
        <v>-65570000</v>
      </c>
      <c r="G111" s="1807" t="n">
        <v>-41868000</v>
      </c>
    </row>
    <row r="112" ht="15" customHeight="1">
      <c r="A112" s="1886" t="inlineStr">
        <is>
          <t>Non-Operating Rental Income</t>
        </is>
      </c>
      <c r="B112" s="731" t="n"/>
      <c r="C112" s="731" t="n"/>
      <c r="D112" s="731" t="n"/>
      <c r="E112" s="731" t="n"/>
      <c r="F112" s="731" t="n"/>
      <c r="G112" s="731" t="n"/>
    </row>
    <row r="113" ht="15" customHeight="1">
      <c r="A113" s="1886" t="inlineStr">
        <is>
          <t>Transfer from/(to) Untaxed Reserves</t>
        </is>
      </c>
      <c r="B113" s="731" t="n"/>
      <c r="C113" s="731" t="n"/>
      <c r="D113" s="731" t="n"/>
      <c r="E113" s="731" t="n"/>
      <c r="F113" s="731" t="n"/>
      <c r="G113" s="731" t="n"/>
    </row>
    <row r="114" ht="15" customHeight="1">
      <c r="A114" s="1886" t="inlineStr">
        <is>
          <t>Trading Derivatives - Gain/(Loss)</t>
        </is>
      </c>
      <c r="B114" s="731" t="n"/>
      <c r="C114" s="731" t="n"/>
      <c r="D114" s="731" t="n"/>
      <c r="E114" s="731" t="n"/>
      <c r="F114" s="731" t="n"/>
      <c r="G114" s="731" t="n"/>
    </row>
    <row r="115" ht="15" customHeight="1">
      <c r="A115" s="1886" t="inlineStr">
        <is>
          <t>Derivatives - Hedging - Effective Gain/(Loss)</t>
        </is>
      </c>
      <c r="B115" s="731" t="n"/>
      <c r="C115" s="731" t="n"/>
      <c r="D115" s="731" t="n"/>
      <c r="E115" s="731" t="n"/>
      <c r="F115" s="731" t="n"/>
      <c r="G115" s="731" t="n"/>
    </row>
    <row r="116" ht="15" customHeight="1">
      <c r="A116" s="1886" t="inlineStr">
        <is>
          <t>Derivatives - Hedging - Realized Gain/(Loss)</t>
        </is>
      </c>
      <c r="B116" s="731" t="n"/>
      <c r="C116" s="731" t="n"/>
      <c r="D116" s="731" t="n"/>
      <c r="E116" s="731" t="n"/>
      <c r="F116" s="731" t="n"/>
      <c r="G116" s="731" t="n"/>
    </row>
    <row r="117" ht="15" customHeight="1">
      <c r="A117" s="1886" t="inlineStr">
        <is>
          <t>Non-Recurring Adjustments - Non-Operating- Decrease/(Increase)</t>
        </is>
      </c>
      <c r="B117" s="731" t="n"/>
      <c r="C117" s="731" t="n"/>
      <c r="D117" s="731" t="n"/>
      <c r="E117" s="731" t="n"/>
      <c r="F117" s="731" t="n"/>
      <c r="G117" s="731" t="n"/>
    </row>
    <row r="118" ht="15" customHeight="1">
      <c r="A118" s="1886" t="inlineStr">
        <is>
          <t>Supplementary Adjustments - Non-Operating- Decrease/(Increase)</t>
        </is>
      </c>
      <c r="B118" s="731" t="n"/>
      <c r="C118" s="731" t="n"/>
      <c r="D118" s="731" t="n"/>
      <c r="E118" s="731" t="n"/>
      <c r="F118" s="731" t="n"/>
      <c r="G118" s="731" t="n"/>
    </row>
    <row r="119" ht="15" customHeight="1">
      <c r="A119" s="1885" t="inlineStr">
        <is>
          <t>Normalized Pre-tax Profit</t>
        </is>
      </c>
      <c r="B119" s="1807" t="n">
        <v>3376853000</v>
      </c>
      <c r="C119" s="1807" t="n">
        <v>3999419000</v>
      </c>
      <c r="D119" s="1807" t="n">
        <v>4510184000</v>
      </c>
      <c r="E119" s="1807" t="n">
        <v>4124034000</v>
      </c>
      <c r="F119" s="1807" t="n">
        <v>4195695000</v>
      </c>
      <c r="G119" s="1807" t="n">
        <v>4453061000</v>
      </c>
    </row>
    <row r="120" ht="15" customHeight="1">
      <c r="A120" s="1884" t="inlineStr">
        <is>
          <t>Non-Recurring Income/Expense</t>
        </is>
      </c>
      <c r="B120" s="734" t="n"/>
      <c r="C120" s="734" t="n"/>
      <c r="D120" s="734" t="n"/>
      <c r="E120" s="734" t="n"/>
      <c r="F120" s="734" t="n"/>
      <c r="G120" s="734" t="n"/>
    </row>
    <row r="121" ht="15" customHeight="1">
      <c r="A121" s="1885" t="inlineStr">
        <is>
          <t>Non-Recurring Income/(Expense) - Total</t>
        </is>
      </c>
      <c r="B121" s="1807" t="n">
        <v>22068000</v>
      </c>
      <c r="C121" s="1807" t="n">
        <v>51549000</v>
      </c>
      <c r="D121" s="1807" t="n">
        <v>-50933000</v>
      </c>
      <c r="E121" s="1807" t="n">
        <v>-20240000</v>
      </c>
      <c r="F121" s="1807" t="n">
        <v>0</v>
      </c>
      <c r="G121" s="731" t="n"/>
    </row>
    <row r="122" ht="15" customHeight="1">
      <c r="A122" s="1886" t="inlineStr">
        <is>
          <t>Impairment - Deferred Costs</t>
        </is>
      </c>
      <c r="B122" s="731" t="n"/>
      <c r="C122" s="731" t="n"/>
      <c r="D122" s="731" t="n"/>
      <c r="E122" s="731" t="n"/>
      <c r="F122" s="731" t="n"/>
      <c r="G122" s="731" t="n"/>
    </row>
    <row r="123" ht="15" customHeight="1">
      <c r="A123" s="1886" t="inlineStr">
        <is>
          <t>Impairment - Tangible &amp; Intangible Fixed Assets</t>
        </is>
      </c>
      <c r="B123" s="731" t="n"/>
      <c r="C123" s="731" t="n"/>
      <c r="D123" s="731" t="n"/>
      <c r="E123" s="1807" t="n">
        <v>30000000</v>
      </c>
      <c r="F123" s="1807" t="n">
        <v>0</v>
      </c>
      <c r="G123" s="731" t="n"/>
    </row>
    <row r="124" ht="15" customHeight="1">
      <c r="A124" s="1887" t="inlineStr">
        <is>
          <t>Impairment - Fixed Assets</t>
        </is>
      </c>
      <c r="B124" s="731" t="n"/>
      <c r="C124" s="731" t="n"/>
      <c r="D124" s="731" t="n"/>
      <c r="E124" s="731" t="n"/>
      <c r="F124" s="731" t="n"/>
      <c r="G124" s="731" t="n"/>
    </row>
    <row r="125" ht="15" customHeight="1">
      <c r="A125" s="1887" t="inlineStr">
        <is>
          <t>Impairment - Goodwill</t>
        </is>
      </c>
      <c r="B125" s="731" t="n"/>
      <c r="C125" s="731" t="n"/>
      <c r="D125" s="731" t="n"/>
      <c r="E125" s="1807" t="n">
        <v>30000000</v>
      </c>
      <c r="F125" s="1807" t="n">
        <v>0</v>
      </c>
      <c r="G125" s="731" t="n"/>
    </row>
    <row r="126" ht="15" customHeight="1">
      <c r="A126" s="1887" t="inlineStr">
        <is>
          <t>Impairment - Intangibles excluding Goodwill</t>
        </is>
      </c>
      <c r="B126" s="731" t="n"/>
      <c r="C126" s="731" t="n"/>
      <c r="D126" s="731" t="n"/>
      <c r="E126" s="731" t="n"/>
      <c r="F126" s="731" t="n"/>
      <c r="G126" s="731" t="n"/>
    </row>
    <row r="127" ht="15" customHeight="1">
      <c r="A127" s="1887" t="inlineStr">
        <is>
          <t>Impairment - Oil &amp; Gas Assets</t>
        </is>
      </c>
      <c r="B127" s="731" t="n"/>
      <c r="C127" s="731" t="n"/>
      <c r="D127" s="731" t="n"/>
      <c r="E127" s="731" t="n"/>
      <c r="F127" s="731" t="n"/>
      <c r="G127" s="731" t="n"/>
    </row>
    <row r="128" ht="15" customHeight="1">
      <c r="A128" s="1886" t="inlineStr">
        <is>
          <t>Impairment - Investment Property</t>
        </is>
      </c>
      <c r="B128" s="731" t="n"/>
      <c r="C128" s="731" t="n"/>
      <c r="D128" s="731" t="n"/>
      <c r="E128" s="731" t="n"/>
      <c r="F128" s="731" t="n"/>
      <c r="G128" s="731" t="n"/>
    </row>
    <row r="129" ht="15" customHeight="1">
      <c r="A129" s="1886" t="inlineStr">
        <is>
          <t>Impairment - Financial Investments</t>
        </is>
      </c>
      <c r="B129" s="731" t="n"/>
      <c r="C129" s="731" t="n"/>
      <c r="D129" s="731" t="n"/>
      <c r="E129" s="731" t="n"/>
      <c r="F129" s="731" t="n"/>
      <c r="G129" s="731" t="n"/>
    </row>
    <row r="130" ht="15" customHeight="1">
      <c r="A130" s="1886" t="inlineStr">
        <is>
          <t>Other than Temporary Impairment Losses on Investments</t>
        </is>
      </c>
      <c r="B130" s="731" t="n"/>
      <c r="C130" s="731" t="n"/>
      <c r="D130" s="731" t="n"/>
      <c r="E130" s="731" t="n"/>
      <c r="F130" s="731" t="n"/>
      <c r="G130" s="731" t="n"/>
    </row>
    <row r="131" ht="15" customHeight="1">
      <c r="A131" s="1886" t="inlineStr">
        <is>
          <t>Restructuring Charges</t>
        </is>
      </c>
      <c r="B131" s="731" t="n"/>
      <c r="C131" s="731" t="n"/>
      <c r="D131" s="731" t="n"/>
      <c r="E131" s="731" t="n"/>
      <c r="F131" s="731" t="n"/>
      <c r="G131" s="731" t="n"/>
    </row>
    <row r="132" ht="15" customHeight="1">
      <c r="A132" s="1886" t="inlineStr">
        <is>
          <t>Research &amp; Development - in Process</t>
        </is>
      </c>
      <c r="B132" s="731" t="n"/>
      <c r="C132" s="731" t="n"/>
      <c r="D132" s="731" t="n"/>
      <c r="E132" s="731" t="n"/>
      <c r="F132" s="731" t="n"/>
      <c r="G132" s="731" t="n"/>
    </row>
    <row r="133" ht="15" customHeight="1">
      <c r="A133" s="1886" t="inlineStr">
        <is>
          <t>Litigation Expenses/Settlements</t>
        </is>
      </c>
      <c r="B133" s="731" t="n"/>
      <c r="C133" s="731" t="n"/>
      <c r="D133" s="731" t="n"/>
      <c r="E133" s="731" t="n"/>
      <c r="F133" s="731" t="n"/>
      <c r="G133" s="731" t="n"/>
    </row>
    <row r="134" ht="15" customHeight="1">
      <c r="A134" s="1886" t="inlineStr">
        <is>
          <t>Costs Associated with IPOs &amp; Mergers</t>
        </is>
      </c>
      <c r="B134" s="731" t="n"/>
      <c r="C134" s="731" t="n"/>
      <c r="D134" s="731" t="n"/>
      <c r="E134" s="731" t="n"/>
      <c r="F134" s="731" t="n"/>
      <c r="G134" s="731" t="n"/>
    </row>
    <row r="135" ht="15" customHeight="1">
      <c r="A135" s="1886" t="inlineStr">
        <is>
          <t>Derivatives - Hedging - Gain/(Loss)</t>
        </is>
      </c>
      <c r="B135" s="731" t="n"/>
      <c r="C135" s="731" t="n"/>
      <c r="D135" s="731" t="n"/>
      <c r="E135" s="731" t="n"/>
      <c r="F135" s="731" t="n"/>
      <c r="G135" s="731" t="n"/>
    </row>
    <row r="136" ht="15" customHeight="1">
      <c r="A136" s="1886" t="inlineStr">
        <is>
          <t>Early Termination of Derivatives - Hedging - Gain/(Loss)</t>
        </is>
      </c>
      <c r="B136" s="731" t="n"/>
      <c r="C136" s="731" t="n"/>
      <c r="D136" s="731" t="n"/>
      <c r="E136" s="731" t="n"/>
      <c r="F136" s="731" t="n"/>
      <c r="G136" s="731" t="n"/>
    </row>
    <row r="137" ht="15" customHeight="1">
      <c r="A137" s="1886" t="inlineStr">
        <is>
          <t>Derivatives - Hedging - Ineffective Gain/(Loss)</t>
        </is>
      </c>
      <c r="B137" s="731" t="n"/>
      <c r="C137" s="731" t="n"/>
      <c r="D137" s="731" t="n"/>
      <c r="E137" s="731" t="n"/>
      <c r="F137" s="731" t="n"/>
      <c r="G137" s="731" t="n"/>
    </row>
    <row r="138" ht="15" customHeight="1">
      <c r="A138" s="1886" t="inlineStr">
        <is>
          <t>Unrealized Adjustments on Derivatives for Hedging</t>
        </is>
      </c>
      <c r="B138" s="731" t="n"/>
      <c r="C138" s="731" t="n"/>
      <c r="D138" s="731" t="n"/>
      <c r="E138" s="731" t="n"/>
      <c r="F138" s="731" t="n"/>
      <c r="G138" s="731" t="n"/>
    </row>
    <row r="139" ht="15" customHeight="1">
      <c r="A139" s="1886" t="inlineStr">
        <is>
          <t>Early Extinguishment of Lease Related Debts - Gain/(Loss)</t>
        </is>
      </c>
      <c r="B139" s="731" t="n"/>
      <c r="C139" s="731" t="n"/>
      <c r="D139" s="731" t="n"/>
      <c r="E139" s="731" t="n"/>
      <c r="F139" s="731" t="n"/>
      <c r="G139" s="731" t="n"/>
    </row>
    <row r="140" ht="15" customHeight="1">
      <c r="A140" s="1886" t="inlineStr">
        <is>
          <t>Recognition of Negative Goodwill</t>
        </is>
      </c>
      <c r="B140" s="731" t="n"/>
      <c r="C140" s="731" t="n"/>
      <c r="D140" s="731" t="n"/>
      <c r="E140" s="731" t="n"/>
      <c r="F140" s="731" t="n"/>
      <c r="G140" s="731" t="n"/>
    </row>
    <row r="141" ht="15" customHeight="1">
      <c r="A141" s="1886" t="inlineStr">
        <is>
          <t>Fair Value Adjustments - Investment Property</t>
        </is>
      </c>
      <c r="B141" s="731" t="n"/>
      <c r="C141" s="731" t="n"/>
      <c r="D141" s="731" t="n"/>
      <c r="E141" s="731" t="n"/>
      <c r="F141" s="731" t="n"/>
      <c r="G141" s="731" t="n"/>
    </row>
    <row r="142" ht="15" customHeight="1">
      <c r="A142" s="1886" t="inlineStr">
        <is>
          <t>Fair Value Adjustments - Biological Assets</t>
        </is>
      </c>
      <c r="B142" s="731" t="n"/>
      <c r="C142" s="731" t="n"/>
      <c r="D142" s="731" t="n"/>
      <c r="E142" s="731" t="n"/>
      <c r="F142" s="731" t="n"/>
      <c r="G142" s="731" t="n"/>
    </row>
    <row r="143" ht="15" customHeight="1">
      <c r="A143" s="1886" t="inlineStr">
        <is>
          <t>Fair Value Adjustments - Financial Investments</t>
        </is>
      </c>
      <c r="B143" s="1807" t="n">
        <v>22068000</v>
      </c>
      <c r="C143" s="1807" t="n">
        <v>51549000</v>
      </c>
      <c r="D143" s="1807" t="n">
        <v>-50933000</v>
      </c>
      <c r="E143" s="1807" t="n">
        <v>9760000</v>
      </c>
      <c r="F143" s="1807" t="n">
        <v>0</v>
      </c>
      <c r="G143" s="731" t="n"/>
    </row>
    <row r="144" ht="15" customHeight="1">
      <c r="A144" s="1886" t="inlineStr">
        <is>
          <t>Fair Value Adjustments - Other Assets</t>
        </is>
      </c>
      <c r="B144" s="731" t="n"/>
      <c r="C144" s="731" t="n"/>
      <c r="D144" s="731" t="n"/>
      <c r="E144" s="731" t="n"/>
      <c r="F144" s="731" t="n"/>
      <c r="G144" s="731" t="n"/>
    </row>
    <row r="145" ht="15" customHeight="1">
      <c r="A145" s="1886" t="inlineStr">
        <is>
          <t>Compensation for Disaster - Pre-Tax</t>
        </is>
      </c>
      <c r="B145" s="731" t="n"/>
      <c r="C145" s="731" t="n"/>
      <c r="D145" s="731" t="n"/>
      <c r="E145" s="731" t="n"/>
      <c r="F145" s="731" t="n"/>
      <c r="G145" s="731" t="n"/>
    </row>
    <row r="146" ht="15" customHeight="1">
      <c r="A146" s="1886" t="inlineStr">
        <is>
          <t>Debt Restructuring - Gain/(Loss)</t>
        </is>
      </c>
      <c r="B146" s="731" t="n"/>
      <c r="C146" s="731" t="n"/>
      <c r="D146" s="731" t="n"/>
      <c r="E146" s="731" t="n"/>
      <c r="F146" s="731" t="n"/>
      <c r="G146" s="731" t="n"/>
    </row>
    <row r="147" ht="15" customHeight="1">
      <c r="A147" s="1886" t="inlineStr">
        <is>
          <t>Sale &amp; Acquisition of Group Companies - Gain/(Loss)</t>
        </is>
      </c>
      <c r="B147" s="731" t="n"/>
      <c r="C147" s="731" t="n"/>
      <c r="D147" s="731" t="n"/>
      <c r="E147" s="731" t="n"/>
      <c r="F147" s="731" t="n"/>
      <c r="G147" s="731" t="n"/>
    </row>
    <row r="148" ht="15" customHeight="1">
      <c r="A148" s="1886" t="inlineStr">
        <is>
          <t>Valuation of Inventory - Gain/(Loss)</t>
        </is>
      </c>
      <c r="B148" s="731" t="n"/>
      <c r="C148" s="731" t="n"/>
      <c r="D148" s="731" t="n"/>
      <c r="E148" s="731" t="n"/>
      <c r="F148" s="731" t="n"/>
      <c r="G148" s="731" t="n"/>
    </row>
    <row r="149" ht="15" customHeight="1">
      <c r="A149" s="1886" t="inlineStr">
        <is>
          <t>COVID-19 Non-Recurring Income/(Expense) - Total</t>
        </is>
      </c>
      <c r="B149" s="731" t="n"/>
      <c r="C149" s="731" t="n"/>
      <c r="D149" s="731" t="n"/>
      <c r="E149" s="731" t="n"/>
      <c r="F149" s="731" t="n"/>
      <c r="G149" s="731" t="n"/>
    </row>
    <row r="150" ht="15" customHeight="1">
      <c r="A150" s="1887" t="inlineStr">
        <is>
          <t>COVID-19 Non-Recurring Income/(Expense) - Other</t>
        </is>
      </c>
      <c r="B150" s="731" t="n"/>
      <c r="C150" s="731" t="n"/>
      <c r="D150" s="731" t="n"/>
      <c r="E150" s="731" t="n"/>
      <c r="F150" s="731" t="n"/>
      <c r="G150" s="731" t="n"/>
    </row>
    <row r="151" ht="15" customHeight="1">
      <c r="A151" s="1887" t="inlineStr">
        <is>
          <t>COVID-19 One-time Provisions</t>
        </is>
      </c>
      <c r="B151" s="731" t="n"/>
      <c r="C151" s="731" t="n"/>
      <c r="D151" s="731" t="n"/>
      <c r="E151" s="731" t="n"/>
      <c r="F151" s="731" t="n"/>
      <c r="G151" s="731" t="n"/>
    </row>
    <row r="152" ht="15" customHeight="1">
      <c r="A152" s="1887" t="inlineStr">
        <is>
          <t>COVID-19 Restructuring Charges &amp; Provisions</t>
        </is>
      </c>
      <c r="B152" s="731" t="n"/>
      <c r="C152" s="731" t="n"/>
      <c r="D152" s="731" t="n"/>
      <c r="E152" s="731" t="n"/>
      <c r="F152" s="731" t="n"/>
      <c r="G152" s="731" t="n"/>
    </row>
    <row r="153" ht="15" customHeight="1">
      <c r="A153" s="1887" t="inlineStr">
        <is>
          <t>COVID-19 Impairment of Long-Term Assets</t>
        </is>
      </c>
      <c r="B153" s="731" t="n"/>
      <c r="C153" s="731" t="n"/>
      <c r="D153" s="731" t="n"/>
      <c r="E153" s="731" t="n"/>
      <c r="F153" s="731" t="n"/>
      <c r="G153" s="731" t="n"/>
    </row>
    <row r="154" ht="15" customHeight="1">
      <c r="A154" s="1887" t="inlineStr">
        <is>
          <t>COVID-19 One-time Government Grants Received</t>
        </is>
      </c>
      <c r="B154" s="731" t="n"/>
      <c r="C154" s="731" t="n"/>
      <c r="D154" s="731" t="n"/>
      <c r="E154" s="731" t="n"/>
      <c r="F154" s="731" t="n"/>
      <c r="G154" s="731" t="n"/>
    </row>
    <row r="155" ht="15" customHeight="1">
      <c r="A155" s="1886" t="inlineStr">
        <is>
          <t>Non-Recurring Income/(Expense) - Other - Total</t>
        </is>
      </c>
      <c r="B155" s="731" t="n"/>
      <c r="C155" s="731" t="n"/>
      <c r="D155" s="731" t="n"/>
      <c r="E155" s="731" t="n"/>
      <c r="F155" s="731" t="n"/>
      <c r="G155" s="731" t="n"/>
    </row>
    <row r="156" ht="15" customHeight="1">
      <c r="A156" s="1884" t="inlineStr">
        <is>
          <t>Pre-Tax Income</t>
        </is>
      </c>
      <c r="B156" s="734" t="n"/>
      <c r="C156" s="734" t="n"/>
      <c r="D156" s="734" t="n"/>
      <c r="E156" s="734" t="n"/>
      <c r="F156" s="734" t="n"/>
      <c r="G156" s="734" t="n"/>
    </row>
    <row r="157" ht="15" customHeight="1">
      <c r="A157" s="1888" t="inlineStr">
        <is>
          <t>Income before Taxes</t>
        </is>
      </c>
      <c r="B157" s="1889" t="n">
        <v>3398921000</v>
      </c>
      <c r="C157" s="1889" t="n">
        <v>4050968000</v>
      </c>
      <c r="D157" s="1889" t="n">
        <v>4459251000</v>
      </c>
      <c r="E157" s="1889" t="n">
        <v>4103794000</v>
      </c>
      <c r="F157" s="1889" t="n">
        <v>4195695000</v>
      </c>
      <c r="G157" s="1889" t="n">
        <v>4453061000</v>
      </c>
    </row>
    <row r="158" ht="15" customHeight="1">
      <c r="A158" s="1884" t="inlineStr">
        <is>
          <t>Taxes</t>
        </is>
      </c>
      <c r="B158" s="734" t="n"/>
      <c r="C158" s="734" t="n"/>
      <c r="D158" s="734" t="n"/>
      <c r="E158" s="734" t="n"/>
      <c r="F158" s="734" t="n"/>
      <c r="G158" s="734" t="n"/>
    </row>
    <row r="159" ht="15" customHeight="1">
      <c r="A159" s="1885" t="inlineStr">
        <is>
          <t>Income Taxes</t>
        </is>
      </c>
      <c r="B159" s="1807" t="n">
        <v>545304000</v>
      </c>
      <c r="C159" s="1807" t="n">
        <v>603093000</v>
      </c>
      <c r="D159" s="1807" t="n">
        <v>962716000</v>
      </c>
      <c r="E159" s="1807" t="n">
        <v>800152000</v>
      </c>
      <c r="F159" s="1807" t="n">
        <v>831089000</v>
      </c>
      <c r="G159" s="1807" t="n">
        <v>770813000</v>
      </c>
    </row>
    <row r="160" ht="15" customHeight="1">
      <c r="A160" s="1886" t="inlineStr">
        <is>
          <t>Provision for Income Tax Expense- Unclassified</t>
        </is>
      </c>
      <c r="B160" s="731" t="n"/>
      <c r="C160" s="731" t="n"/>
      <c r="D160" s="731" t="n"/>
      <c r="E160" s="731" t="n"/>
      <c r="F160" s="731" t="n"/>
      <c r="G160" s="731" t="n"/>
    </row>
    <row r="161" ht="15" customHeight="1">
      <c r="A161" s="1886" t="inlineStr">
        <is>
          <t>Provision for Income Tax by Region - Total</t>
        </is>
      </c>
      <c r="B161" s="731" t="n"/>
      <c r="C161" s="731" t="n"/>
      <c r="D161" s="731" t="n"/>
      <c r="E161" s="731" t="n"/>
      <c r="F161" s="731" t="n"/>
      <c r="G161" s="731" t="n"/>
    </row>
    <row r="162" ht="15" customHeight="1">
      <c r="A162" s="1887" t="inlineStr">
        <is>
          <t>Income Taxes - Domestic</t>
        </is>
      </c>
      <c r="B162" s="731" t="n"/>
      <c r="C162" s="731" t="n"/>
      <c r="D162" s="731" t="n"/>
      <c r="E162" s="731" t="n"/>
      <c r="F162" s="731" t="n"/>
      <c r="G162" s="731" t="n"/>
    </row>
    <row r="163" ht="15" customHeight="1">
      <c r="A163" s="1887" t="inlineStr">
        <is>
          <t>Income Taxes - Foreign</t>
        </is>
      </c>
      <c r="B163" s="731" t="n"/>
      <c r="C163" s="731" t="n"/>
      <c r="D163" s="731" t="n"/>
      <c r="E163" s="731" t="n"/>
      <c r="F163" s="731" t="n"/>
      <c r="G163" s="731" t="n"/>
    </row>
    <row r="164" ht="15" customHeight="1">
      <c r="A164" s="1887" t="inlineStr">
        <is>
          <t>Income Taxes - Other (by Region)</t>
        </is>
      </c>
      <c r="B164" s="731" t="n"/>
      <c r="C164" s="731" t="n"/>
      <c r="D164" s="731" t="n"/>
      <c r="E164" s="731" t="n"/>
      <c r="F164" s="731" t="n"/>
      <c r="G164" s="731" t="n"/>
    </row>
    <row r="165" ht="15" customHeight="1">
      <c r="A165" s="1886" t="inlineStr">
        <is>
          <t>Income Taxes for the Year - Current</t>
        </is>
      </c>
      <c r="B165" s="1807" t="n">
        <v>691586000</v>
      </c>
      <c r="C165" s="1807" t="n">
        <v>810695000</v>
      </c>
      <c r="D165" s="1807" t="n">
        <v>930359000</v>
      </c>
      <c r="E165" s="1807" t="n">
        <v>903323000</v>
      </c>
      <c r="F165" s="1807" t="n">
        <v>978887000</v>
      </c>
      <c r="G165" s="1807" t="n">
        <v>1054298000</v>
      </c>
    </row>
    <row r="166" ht="15" customHeight="1">
      <c r="A166" s="1887" t="inlineStr">
        <is>
          <t>Income Taxes - Domestic - Current</t>
        </is>
      </c>
      <c r="B166" s="731" t="n"/>
      <c r="C166" s="731" t="n"/>
      <c r="D166" s="731" t="n"/>
      <c r="E166" s="731" t="n"/>
      <c r="F166" s="731" t="n"/>
      <c r="G166" s="731" t="n"/>
    </row>
    <row r="167" ht="15" customHeight="1">
      <c r="A167" s="1887" t="inlineStr">
        <is>
          <t>Income Taxes - Foreign - Current</t>
        </is>
      </c>
      <c r="B167" s="731" t="n"/>
      <c r="C167" s="731" t="n"/>
      <c r="D167" s="731" t="n"/>
      <c r="E167" s="731" t="n"/>
      <c r="F167" s="731" t="n"/>
      <c r="G167" s="731" t="n"/>
    </row>
    <row r="168" ht="15" customHeight="1">
      <c r="A168" s="1887" t="inlineStr">
        <is>
          <t>Income Taxes - Other (KFAS/NLST) - Current</t>
        </is>
      </c>
      <c r="B168" s="1807" t="n">
        <v>691586000</v>
      </c>
      <c r="C168" s="1807" t="n">
        <v>810695000</v>
      </c>
      <c r="D168" s="1807" t="n">
        <v>930359000</v>
      </c>
      <c r="E168" s="1807" t="n">
        <v>903323000</v>
      </c>
      <c r="F168" s="1807" t="n">
        <v>978887000</v>
      </c>
      <c r="G168" s="1807" t="n">
        <v>1054298000</v>
      </c>
    </row>
    <row r="169" ht="15" customHeight="1">
      <c r="A169" s="1886" t="inlineStr">
        <is>
          <t>Income Taxes - Deferred</t>
        </is>
      </c>
      <c r="B169" s="1807" t="n">
        <v>-146282000</v>
      </c>
      <c r="C169" s="1807" t="n">
        <v>-207602000</v>
      </c>
      <c r="D169" s="1807" t="n">
        <v>32357000</v>
      </c>
      <c r="E169" s="1807" t="n">
        <v>-103171000</v>
      </c>
      <c r="F169" s="1807" t="n">
        <v>-147798000</v>
      </c>
      <c r="G169" s="1807" t="n">
        <v>-283485000</v>
      </c>
    </row>
    <row r="170" ht="15" customHeight="1">
      <c r="A170" s="1887" t="inlineStr">
        <is>
          <t>Income Taxes - Domestic - Deferred</t>
        </is>
      </c>
      <c r="B170" s="731" t="n"/>
      <c r="C170" s="731" t="n"/>
      <c r="D170" s="731" t="n"/>
      <c r="E170" s="731" t="n"/>
      <c r="F170" s="731" t="n"/>
      <c r="G170" s="731" t="n"/>
    </row>
    <row r="171" ht="15" customHeight="1">
      <c r="A171" s="1887" t="inlineStr">
        <is>
          <t>Income Taxes - Foreign - Deferred</t>
        </is>
      </c>
      <c r="B171" s="731" t="n"/>
      <c r="C171" s="731" t="n"/>
      <c r="D171" s="731" t="n"/>
      <c r="E171" s="731" t="n"/>
      <c r="F171" s="731" t="n"/>
      <c r="G171" s="731" t="n"/>
    </row>
    <row r="172" ht="15" customHeight="1">
      <c r="A172" s="1887" t="inlineStr">
        <is>
          <t>Income Taxes - Other - Deferred</t>
        </is>
      </c>
      <c r="B172" s="731" t="n"/>
      <c r="C172" s="731" t="n"/>
      <c r="D172" s="731" t="n"/>
      <c r="E172" s="731" t="n"/>
      <c r="F172" s="731" t="n"/>
      <c r="G172" s="731" t="n"/>
    </row>
    <row r="173" ht="15" customHeight="1">
      <c r="A173" s="1886" t="inlineStr">
        <is>
          <t>Income Taxes - Other (by Type)</t>
        </is>
      </c>
      <c r="B173" s="731" t="n"/>
      <c r="C173" s="731" t="n"/>
      <c r="D173" s="731" t="n"/>
      <c r="E173" s="731" t="n"/>
      <c r="F173" s="731" t="n"/>
      <c r="G173" s="731" t="n"/>
    </row>
    <row r="174" ht="15" customHeight="1">
      <c r="A174" s="1884" t="inlineStr">
        <is>
          <t>Net Income After Tax</t>
        </is>
      </c>
      <c r="B174" s="734" t="n"/>
      <c r="C174" s="734" t="n"/>
      <c r="D174" s="734" t="n"/>
      <c r="E174" s="734" t="n"/>
      <c r="F174" s="734" t="n"/>
      <c r="G174" s="734" t="n"/>
    </row>
    <row r="175" ht="15" customHeight="1">
      <c r="A175" s="1885" t="inlineStr">
        <is>
          <t>Net Income after Tax</t>
        </is>
      </c>
      <c r="B175" s="1807" t="n">
        <v>2853617000</v>
      </c>
      <c r="C175" s="1807" t="n">
        <v>3447875000</v>
      </c>
      <c r="D175" s="1807" t="n">
        <v>3496535000</v>
      </c>
      <c r="E175" s="1807" t="n">
        <v>3303642000</v>
      </c>
      <c r="F175" s="1807" t="n">
        <v>3364606000</v>
      </c>
      <c r="G175" s="1807" t="n">
        <v>3682248000</v>
      </c>
    </row>
    <row r="176" ht="15" customHeight="1">
      <c r="A176" s="1884" t="inlineStr">
        <is>
          <t>After Tax Income/Expense</t>
        </is>
      </c>
      <c r="B176" s="734" t="n"/>
      <c r="C176" s="734" t="n"/>
      <c r="D176" s="734" t="n"/>
      <c r="E176" s="734" t="n"/>
      <c r="F176" s="734" t="n"/>
      <c r="G176" s="734" t="n"/>
    </row>
    <row r="177" ht="15" customHeight="1">
      <c r="A177" s="1885" t="inlineStr">
        <is>
          <t>Equity in Earnings/(Loss) of Affiliates (after Taxes)</t>
        </is>
      </c>
      <c r="B177" s="731" t="n"/>
      <c r="C177" s="731" t="n"/>
      <c r="D177" s="731" t="n"/>
      <c r="E177" s="731" t="n"/>
      <c r="F177" s="731" t="n"/>
      <c r="G177" s="731" t="n"/>
    </row>
    <row r="178" ht="15" customHeight="1">
      <c r="A178" s="1886" t="inlineStr">
        <is>
          <t>Non-Recurring Portion of Equity Earnings</t>
        </is>
      </c>
      <c r="B178" s="731" t="n"/>
      <c r="C178" s="731" t="n"/>
      <c r="D178" s="731" t="n"/>
      <c r="E178" s="731" t="n"/>
      <c r="F178" s="731" t="n"/>
      <c r="G178" s="731" t="n"/>
    </row>
    <row r="179" ht="15" customHeight="1">
      <c r="A179" s="1885" t="inlineStr">
        <is>
          <t>After-Tax Adjustments - Other - Income/(Expense) - Total</t>
        </is>
      </c>
      <c r="B179" s="731" t="n"/>
      <c r="C179" s="731" t="n"/>
      <c r="D179" s="731" t="n"/>
      <c r="E179" s="731" t="n"/>
      <c r="F179" s="731" t="n"/>
      <c r="G179" s="731" t="n"/>
    </row>
    <row r="180" ht="15" customHeight="1">
      <c r="A180" s="1886" t="inlineStr">
        <is>
          <t>Estimated Tax Impact on Pre-tax Discontinued Operations</t>
        </is>
      </c>
      <c r="B180" s="731" t="n"/>
      <c r="C180" s="731" t="n"/>
      <c r="D180" s="731" t="n"/>
      <c r="E180" s="731" t="n"/>
      <c r="F180" s="731" t="n"/>
      <c r="G180" s="731" t="n"/>
    </row>
    <row r="181" ht="15" customHeight="1">
      <c r="A181" s="1886" t="inlineStr">
        <is>
          <t>Zakat</t>
        </is>
      </c>
      <c r="B181" s="731" t="n"/>
      <c r="C181" s="731" t="n"/>
      <c r="D181" s="731" t="n"/>
      <c r="E181" s="731" t="n"/>
      <c r="F181" s="731" t="n"/>
      <c r="G181" s="731" t="n"/>
    </row>
    <row r="182" ht="15" customHeight="1">
      <c r="A182" s="1886" t="inlineStr">
        <is>
          <t>After-Tax Adjustments - Special Reserves</t>
        </is>
      </c>
      <c r="B182" s="731" t="n"/>
      <c r="C182" s="731" t="n"/>
      <c r="D182" s="731" t="n"/>
      <c r="E182" s="731" t="n"/>
      <c r="F182" s="731" t="n"/>
      <c r="G182" s="731" t="n"/>
    </row>
    <row r="183" ht="15" customHeight="1">
      <c r="A183" s="1888" t="inlineStr">
        <is>
          <t>Income before Discontinued Operations &amp; Extraordinary Items</t>
        </is>
      </c>
      <c r="B183" s="1889" t="n">
        <v>2853617000</v>
      </c>
      <c r="C183" s="1889" t="n">
        <v>3447875000</v>
      </c>
      <c r="D183" s="1889" t="n">
        <v>3496535000</v>
      </c>
      <c r="E183" s="1889" t="n">
        <v>3303642000</v>
      </c>
      <c r="F183" s="1889" t="n">
        <v>3364606000</v>
      </c>
      <c r="G183" s="1889" t="n">
        <v>3682248000</v>
      </c>
    </row>
    <row r="184" ht="15" customHeight="1">
      <c r="A184" s="1885" t="inlineStr">
        <is>
          <t>Extraordinary Activities - after Tax - Gain/(Loss)</t>
        </is>
      </c>
      <c r="B184" s="731" t="n"/>
      <c r="C184" s="731" t="n"/>
      <c r="D184" s="731" t="n"/>
      <c r="E184" s="731" t="n"/>
      <c r="F184" s="731" t="n"/>
      <c r="G184" s="731" t="n"/>
    </row>
    <row r="185" ht="15" customHeight="1">
      <c r="A185" s="1886" t="inlineStr">
        <is>
          <t>Discontinued Operations - Net of Taxes - Total - Income/(Expense)</t>
        </is>
      </c>
      <c r="B185" s="731" t="n"/>
      <c r="C185" s="731" t="n"/>
      <c r="D185" s="731" t="n"/>
      <c r="E185" s="731" t="n"/>
      <c r="F185" s="731" t="n"/>
      <c r="G185" s="731" t="n"/>
    </row>
    <row r="186" ht="15" customHeight="1">
      <c r="A186" s="1887" t="inlineStr">
        <is>
          <t>Discontinued Operations - Net - Income/(Expense)</t>
        </is>
      </c>
      <c r="B186" s="731" t="n"/>
      <c r="C186" s="731" t="n"/>
      <c r="D186" s="731" t="n"/>
      <c r="E186" s="731" t="n"/>
      <c r="F186" s="731" t="n"/>
      <c r="G186" s="731" t="n"/>
    </row>
    <row r="187" ht="15" customHeight="1">
      <c r="A187" s="1887" t="inlineStr">
        <is>
          <t>Sale of Discontinued Operations - Net - Gain/(Loss)</t>
        </is>
      </c>
      <c r="B187" s="731" t="n"/>
      <c r="C187" s="731" t="n"/>
      <c r="D187" s="731" t="n"/>
      <c r="E187" s="731" t="n"/>
      <c r="F187" s="731" t="n"/>
      <c r="G187" s="731" t="n"/>
    </row>
    <row r="188" ht="15" customHeight="1">
      <c r="A188" s="1887" t="inlineStr">
        <is>
          <t>Discontinued Operations before Tax - Total - Income/(Expense)</t>
        </is>
      </c>
      <c r="B188" s="731" t="n"/>
      <c r="C188" s="731" t="n"/>
      <c r="D188" s="731" t="n"/>
      <c r="E188" s="731" t="n"/>
      <c r="F188" s="731" t="n"/>
      <c r="G188" s="731" t="n"/>
    </row>
    <row r="189" ht="15" customHeight="1">
      <c r="A189" s="1890" t="inlineStr">
        <is>
          <t>Discontinued Operations before Tax - Income/(Expense)</t>
        </is>
      </c>
      <c r="B189" s="731" t="n"/>
      <c r="C189" s="731" t="n"/>
      <c r="D189" s="731" t="n"/>
      <c r="E189" s="731" t="n"/>
      <c r="F189" s="731" t="n"/>
      <c r="G189" s="731" t="n"/>
    </row>
    <row r="190" ht="15" customHeight="1">
      <c r="A190" s="1890" t="inlineStr">
        <is>
          <t>Sale of Discontinued Operations before Tax - Gain/(Loss)</t>
        </is>
      </c>
      <c r="B190" s="731" t="n"/>
      <c r="C190" s="731" t="n"/>
      <c r="D190" s="731" t="n"/>
      <c r="E190" s="731" t="n"/>
      <c r="F190" s="731" t="n"/>
      <c r="G190" s="731" t="n"/>
    </row>
    <row r="191" ht="15" customHeight="1">
      <c r="A191" s="1887" t="inlineStr">
        <is>
          <t>Discontinued Operations - Tax Impacts</t>
        </is>
      </c>
      <c r="B191" s="731" t="n"/>
      <c r="C191" s="731" t="n"/>
      <c r="D191" s="731" t="n"/>
      <c r="E191" s="731" t="n"/>
      <c r="F191" s="731" t="n"/>
      <c r="G191" s="731" t="n"/>
    </row>
    <row r="192" ht="15" customHeight="1">
      <c r="A192" s="1886" t="inlineStr">
        <is>
          <t>Impacts from Changes in Accounting Standards</t>
        </is>
      </c>
      <c r="B192" s="731" t="n"/>
      <c r="C192" s="731" t="n"/>
      <c r="D192" s="731" t="n"/>
      <c r="E192" s="731" t="n"/>
      <c r="F192" s="731" t="n"/>
      <c r="G192" s="731" t="n"/>
    </row>
    <row r="193" ht="15" customHeight="1">
      <c r="A193" s="1886" t="inlineStr">
        <is>
          <t>Extraordinary Items</t>
        </is>
      </c>
      <c r="B193" s="731" t="n"/>
      <c r="C193" s="731" t="n"/>
      <c r="D193" s="731" t="n"/>
      <c r="E193" s="731" t="n"/>
      <c r="F193" s="731" t="n"/>
      <c r="G193" s="731" t="n"/>
    </row>
    <row r="194" ht="15" customHeight="1">
      <c r="A194" s="1887" t="inlineStr">
        <is>
          <t>COVID-19 Income Taxes - Non-Recurring Charge/(Credit)</t>
        </is>
      </c>
      <c r="B194" s="731" t="n"/>
      <c r="C194" s="731" t="n"/>
      <c r="D194" s="731" t="n"/>
      <c r="E194" s="731" t="n"/>
      <c r="F194" s="731" t="n"/>
      <c r="G194" s="731" t="n"/>
    </row>
    <row r="195" ht="15" customHeight="1">
      <c r="A195" s="1886" t="inlineStr">
        <is>
          <t>Extraordinary Items - Tax Impact</t>
        </is>
      </c>
      <c r="B195" s="731" t="n"/>
      <c r="C195" s="731" t="n"/>
      <c r="D195" s="731" t="n"/>
      <c r="E195" s="731" t="n"/>
      <c r="F195" s="731" t="n"/>
      <c r="G195" s="731" t="n"/>
    </row>
    <row r="196" ht="15" customHeight="1">
      <c r="A196" s="1885" t="inlineStr">
        <is>
          <t>Net Income before Minority Interest</t>
        </is>
      </c>
      <c r="B196" s="1807" t="n">
        <v>2853617000</v>
      </c>
      <c r="C196" s="1807" t="n">
        <v>3447875000</v>
      </c>
      <c r="D196" s="1807" t="n">
        <v>3496535000</v>
      </c>
      <c r="E196" s="1807" t="n">
        <v>3303642000</v>
      </c>
      <c r="F196" s="1807" t="n">
        <v>3364606000</v>
      </c>
      <c r="G196" s="1807" t="n">
        <v>3682248000</v>
      </c>
    </row>
    <row r="197" ht="15" customHeight="1">
      <c r="A197" s="1885" t="inlineStr">
        <is>
          <t>Minority Interest</t>
        </is>
      </c>
      <c r="B197" s="1807" t="n">
        <v>17617000</v>
      </c>
      <c r="C197" s="1807" t="n">
        <v>20500000</v>
      </c>
      <c r="D197" s="1807" t="n">
        <v>54510000</v>
      </c>
      <c r="E197" s="1807" t="n">
        <v>50545000</v>
      </c>
      <c r="F197" s="1807" t="n">
        <v>29169000</v>
      </c>
      <c r="G197" s="1807" t="n">
        <v>3932000</v>
      </c>
    </row>
    <row r="198" ht="15" customHeight="1">
      <c r="A198" s="1885" t="inlineStr">
        <is>
          <t>Net Income after Minority Interest</t>
        </is>
      </c>
      <c r="B198" s="1807" t="n">
        <v>2836000000</v>
      </c>
      <c r="C198" s="1807" t="n">
        <v>3427375000</v>
      </c>
      <c r="D198" s="1807" t="n">
        <v>3442025000</v>
      </c>
      <c r="E198" s="1807" t="n">
        <v>3253097000</v>
      </c>
      <c r="F198" s="1807" t="n">
        <v>3335437000</v>
      </c>
      <c r="G198" s="1807" t="n">
        <v>3678316000</v>
      </c>
    </row>
    <row r="199" ht="15" customHeight="1">
      <c r="A199" s="1884" t="inlineStr">
        <is>
          <t>Net Income</t>
        </is>
      </c>
      <c r="B199" s="734" t="n"/>
      <c r="C199" s="734" t="n"/>
      <c r="D199" s="734" t="n"/>
      <c r="E199" s="734" t="n"/>
      <c r="F199" s="734" t="n"/>
      <c r="G199" s="734" t="n"/>
    </row>
    <row r="200" ht="15" customHeight="1">
      <c r="A200" s="1885" t="inlineStr">
        <is>
          <t>Interest Expense - Hybrid Debt Instruments - Equity</t>
        </is>
      </c>
      <c r="B200" s="731" t="n"/>
      <c r="C200" s="731" t="n"/>
      <c r="D200" s="731" t="n"/>
      <c r="E200" s="731" t="n"/>
      <c r="F200" s="731" t="n"/>
      <c r="G200" s="731" t="n"/>
    </row>
    <row r="201" ht="15" customHeight="1">
      <c r="A201" s="1885" t="inlineStr">
        <is>
          <t>Distribution for General Partners</t>
        </is>
      </c>
      <c r="B201" s="731" t="n"/>
      <c r="C201" s="731" t="n"/>
      <c r="D201" s="731" t="n"/>
      <c r="E201" s="731" t="n"/>
      <c r="F201" s="731" t="n"/>
      <c r="G201" s="731" t="n"/>
    </row>
    <row r="202" ht="15" customHeight="1">
      <c r="A202" s="1885" t="inlineStr">
        <is>
          <t>Distribution for Preferred Shares</t>
        </is>
      </c>
      <c r="B202" s="731" t="n"/>
      <c r="C202" s="731" t="n"/>
      <c r="D202" s="731" t="n"/>
      <c r="E202" s="731" t="n"/>
      <c r="F202" s="731" t="n"/>
      <c r="G202" s="731" t="n"/>
    </row>
    <row r="203" ht="15" customHeight="1">
      <c r="A203" s="1885" t="inlineStr">
        <is>
          <t>Earnings Adjustments to Net Income - Other Expense/(Income)</t>
        </is>
      </c>
      <c r="B203" s="731" t="n"/>
      <c r="C203" s="731" t="n"/>
      <c r="D203" s="731" t="n"/>
      <c r="E203" s="731" t="n"/>
      <c r="F203" s="731" t="n"/>
      <c r="G203" s="731" t="n"/>
    </row>
    <row r="204" ht="15" customHeight="1">
      <c r="A204" s="1888" t="inlineStr">
        <is>
          <t>Income Available to Common Shares</t>
        </is>
      </c>
      <c r="B204" s="1889" t="n">
        <v>2836000000</v>
      </c>
      <c r="C204" s="1889" t="n">
        <v>3427375000</v>
      </c>
      <c r="D204" s="1889" t="n">
        <v>3442025000</v>
      </c>
      <c r="E204" s="1889" t="n">
        <v>3253097000</v>
      </c>
      <c r="F204" s="1889" t="n">
        <v>3335437000</v>
      </c>
      <c r="G204" s="1889" t="n">
        <v>3678316000</v>
      </c>
    </row>
    <row r="205" ht="15" customHeight="1">
      <c r="A205" s="1884" t="inlineStr">
        <is>
          <t>Other Comprehensive Income</t>
        </is>
      </c>
      <c r="B205" s="734" t="n"/>
      <c r="C205" s="734" t="n"/>
      <c r="D205" s="734" t="n"/>
      <c r="E205" s="734" t="n"/>
      <c r="F205" s="734" t="n"/>
      <c r="G205" s="734" t="n"/>
    </row>
    <row r="206" ht="15" customHeight="1">
      <c r="A206" s="1885" t="inlineStr">
        <is>
          <t>Other Comprehensive Income - Starting Line</t>
        </is>
      </c>
      <c r="B206" s="1807" t="n">
        <v>2853617000</v>
      </c>
      <c r="C206" s="1807" t="n">
        <v>3447875000</v>
      </c>
      <c r="D206" s="1807" t="n">
        <v>3496535000</v>
      </c>
      <c r="E206" s="1807" t="n">
        <v>3303642000</v>
      </c>
      <c r="F206" s="1807" t="n">
        <v>3364606000</v>
      </c>
      <c r="G206" s="1807" t="n">
        <v>3682248000</v>
      </c>
    </row>
    <row r="207" ht="15" customHeight="1">
      <c r="A207" s="1885" t="inlineStr">
        <is>
          <t>Other Comprehensive Income - Foreign Currency</t>
        </is>
      </c>
      <c r="B207" s="731" t="n"/>
      <c r="C207" s="731" t="n"/>
      <c r="D207" s="731" t="n"/>
      <c r="E207" s="731" t="n"/>
      <c r="F207" s="731" t="n"/>
      <c r="G207" s="1807" t="n">
        <v>1302000</v>
      </c>
    </row>
    <row r="208" ht="15" customHeight="1">
      <c r="A208" s="1885" t="inlineStr">
        <is>
          <t>Other Comprehensive Income - Unrealized Investment Gain/(Loss)</t>
        </is>
      </c>
      <c r="B208" s="1807" t="n">
        <v>16713000</v>
      </c>
      <c r="C208" s="1807" t="n">
        <v>-1353000</v>
      </c>
      <c r="D208" s="1807" t="n">
        <v>-17565000</v>
      </c>
      <c r="E208" s="1807" t="n">
        <v>2219000</v>
      </c>
      <c r="F208" s="1807" t="n">
        <v>27000</v>
      </c>
      <c r="G208" s="1807" t="n">
        <v>-1854000</v>
      </c>
    </row>
    <row r="209" ht="15" customHeight="1">
      <c r="A209" s="1885" t="inlineStr">
        <is>
          <t>Other Comprehensive Income - Hedging Gain/(Loss)</t>
        </is>
      </c>
      <c r="B209" s="1807" t="n">
        <v>17174000</v>
      </c>
      <c r="C209" s="1807" t="n">
        <v>-23369000</v>
      </c>
      <c r="D209" s="1807" t="n">
        <v>110881000</v>
      </c>
      <c r="E209" s="1807" t="n">
        <v>-31157000</v>
      </c>
      <c r="F209" s="1807" t="n">
        <v>-4810000</v>
      </c>
      <c r="G209" s="1807" t="n">
        <v>-103264000</v>
      </c>
    </row>
    <row r="210" ht="15" customHeight="1">
      <c r="A210" s="1885" t="inlineStr">
        <is>
          <t>Other Comprehensive Income - Revaluation of Tangible &amp; Intangible Assets</t>
        </is>
      </c>
      <c r="B210" s="731" t="n"/>
      <c r="C210" s="731" t="n"/>
      <c r="D210" s="731" t="n"/>
      <c r="E210" s="731" t="n"/>
      <c r="F210" s="731" t="n"/>
      <c r="G210" s="731" t="n"/>
    </row>
    <row r="211" ht="15" customHeight="1">
      <c r="A211" s="1885" t="inlineStr">
        <is>
          <t>Other Comprehensive Income - Other</t>
        </is>
      </c>
      <c r="B211" s="731" t="n"/>
      <c r="C211" s="731" t="n"/>
      <c r="D211" s="731" t="n"/>
      <c r="E211" s="731" t="n"/>
      <c r="F211" s="731" t="n"/>
      <c r="G211" s="731" t="n"/>
    </row>
    <row r="212" ht="15" customHeight="1">
      <c r="A212" s="1885" t="inlineStr">
        <is>
          <t>Other Comprehensive Income - Unearned Income</t>
        </is>
      </c>
      <c r="B212" s="731" t="n"/>
      <c r="C212" s="731" t="n"/>
      <c r="D212" s="731" t="n"/>
      <c r="E212" s="731" t="n"/>
      <c r="F212" s="731" t="n"/>
      <c r="G212" s="731" t="n"/>
    </row>
    <row r="213" ht="15" customHeight="1">
      <c r="A213" s="1885" t="inlineStr">
        <is>
          <t>Other Comprehensive Income - Discontinued Operations</t>
        </is>
      </c>
      <c r="B213" s="731" t="n"/>
      <c r="C213" s="731" t="n"/>
      <c r="D213" s="731" t="n"/>
      <c r="E213" s="731" t="n"/>
      <c r="F213" s="731" t="n"/>
      <c r="G213" s="731" t="n"/>
    </row>
    <row r="214" ht="15" customHeight="1">
      <c r="A214" s="1885" t="inlineStr">
        <is>
          <t>Other Comprehensive Income - Associated Companies</t>
        </is>
      </c>
      <c r="B214" s="731" t="n"/>
      <c r="C214" s="731" t="n"/>
      <c r="D214" s="731" t="n"/>
      <c r="E214" s="731" t="n"/>
      <c r="F214" s="731" t="n"/>
      <c r="G214" s="731" t="n"/>
    </row>
    <row r="215" ht="15" customHeight="1">
      <c r="A215" s="1885" t="inlineStr">
        <is>
          <t>Other Comprehensive Income - Pension Related</t>
        </is>
      </c>
      <c r="B215" s="1807" t="n">
        <v>7923000</v>
      </c>
      <c r="C215" s="1807" t="n">
        <v>-6085000</v>
      </c>
      <c r="D215" s="1807" t="n">
        <v>-5771000</v>
      </c>
      <c r="E215" s="1807" t="n">
        <v>6347000</v>
      </c>
      <c r="F215" s="1807" t="n">
        <v>4872000</v>
      </c>
      <c r="G215" s="1807" t="n">
        <v>-22598000</v>
      </c>
    </row>
    <row r="216" ht="15" customHeight="1">
      <c r="A216" s="1885" t="inlineStr">
        <is>
          <t>Other Comprehensive Income - Income Tax</t>
        </is>
      </c>
      <c r="B216" s="731" t="n"/>
      <c r="C216" s="731" t="n"/>
      <c r="D216" s="731" t="n"/>
      <c r="E216" s="731" t="n"/>
      <c r="F216" s="731" t="n"/>
      <c r="G216" s="731" t="n"/>
    </row>
    <row r="217" ht="15" customHeight="1">
      <c r="A217" s="1885" t="inlineStr">
        <is>
          <t>Other Comprehensive Income - Net of Tax - Total</t>
        </is>
      </c>
      <c r="B217" s="1807" t="n">
        <v>41810000</v>
      </c>
      <c r="C217" s="1807" t="n">
        <v>-30807000</v>
      </c>
      <c r="D217" s="1807" t="n">
        <v>87545000</v>
      </c>
      <c r="E217" s="1807" t="n">
        <v>-22591000</v>
      </c>
      <c r="F217" s="1807" t="n">
        <v>89000</v>
      </c>
      <c r="G217" s="1807" t="n">
        <v>-126414000</v>
      </c>
    </row>
    <row r="218" ht="15" customHeight="1">
      <c r="A218" s="1888" t="inlineStr">
        <is>
          <t>Comprehensive Income before Minority Interest - Total</t>
        </is>
      </c>
      <c r="B218" s="1889" t="n">
        <v>2895427000</v>
      </c>
      <c r="C218" s="1889" t="n">
        <v>3417068000</v>
      </c>
      <c r="D218" s="1889" t="n">
        <v>3584080000</v>
      </c>
      <c r="E218" s="1889" t="n">
        <v>3281051000</v>
      </c>
      <c r="F218" s="1889" t="n">
        <v>3364695000</v>
      </c>
      <c r="G218" s="1889" t="n">
        <v>3555834000</v>
      </c>
    </row>
    <row r="219" ht="15" customHeight="1">
      <c r="A219" s="1885" t="inlineStr">
        <is>
          <t>Comprehensive Income - Attributable to Minority Interest - Total</t>
        </is>
      </c>
      <c r="B219" s="1807" t="n">
        <v>17617000</v>
      </c>
      <c r="C219" s="1807" t="n">
        <v>20500000</v>
      </c>
      <c r="D219" s="1807" t="n">
        <v>55347000</v>
      </c>
      <c r="E219" s="1807" t="n">
        <v>49594000</v>
      </c>
      <c r="F219" s="1807" t="n">
        <v>28916000</v>
      </c>
      <c r="G219" s="1807" t="n">
        <v>4271000</v>
      </c>
    </row>
    <row r="220" ht="15" customHeight="1">
      <c r="A220" s="1885" t="inlineStr">
        <is>
          <t>Comprehensive Income - Dividend on Preferred Stock</t>
        </is>
      </c>
      <c r="B220" s="731" t="n"/>
      <c r="C220" s="731" t="n"/>
      <c r="D220" s="731" t="n"/>
      <c r="E220" s="731" t="n"/>
      <c r="F220" s="731" t="n"/>
      <c r="G220" s="731" t="n"/>
    </row>
    <row r="221" ht="15" customHeight="1">
      <c r="A221" s="1885" t="inlineStr">
        <is>
          <t>Comprehensive Income - Attributable to Parent Company Equity Holders - Total</t>
        </is>
      </c>
      <c r="B221" s="1807" t="n">
        <v>2877810000</v>
      </c>
      <c r="C221" s="1807" t="n">
        <v>3396568000</v>
      </c>
      <c r="D221" s="1807" t="n">
        <v>3528733000</v>
      </c>
      <c r="E221" s="1807" t="n">
        <v>3231457000</v>
      </c>
      <c r="F221" s="1807" t="n">
        <v>3335779000</v>
      </c>
      <c r="G221" s="1807" t="n">
        <v>3551563000</v>
      </c>
    </row>
    <row r="222" ht="15" customHeight="1">
      <c r="A222" s="1884" t="inlineStr">
        <is>
          <t>Share/Per Share - Basic</t>
        </is>
      </c>
      <c r="B222" s="734" t="n"/>
      <c r="C222" s="734" t="n"/>
      <c r="D222" s="734" t="n"/>
      <c r="E222" s="734" t="n"/>
      <c r="F222" s="734" t="n"/>
      <c r="G222" s="734" t="n"/>
    </row>
    <row r="223" ht="15" customHeight="1">
      <c r="A223" s="1885" t="inlineStr">
        <is>
          <t>Net Income - Basic - including Extraordinary Items Applicable to Common - Total</t>
        </is>
      </c>
      <c r="B223" s="1807" t="n">
        <v>2836000000</v>
      </c>
      <c r="C223" s="1807" t="n">
        <v>3427375000</v>
      </c>
      <c r="D223" s="1807" t="n">
        <v>3442025000</v>
      </c>
      <c r="E223" s="1807" t="n">
        <v>3253097000</v>
      </c>
      <c r="F223" s="1807" t="n">
        <v>3335437000</v>
      </c>
      <c r="G223" s="1807" t="n">
        <v>3678316000</v>
      </c>
    </row>
    <row r="224" ht="15" customHeight="1">
      <c r="A224" s="1886" t="inlineStr">
        <is>
          <t>Income available to Common excluding Extraordinary Items</t>
        </is>
      </c>
      <c r="B224" s="1807" t="n">
        <v>2836000000</v>
      </c>
      <c r="C224" s="1807" t="n">
        <v>3427375000</v>
      </c>
      <c r="D224" s="1807" t="n">
        <v>3442025000</v>
      </c>
      <c r="E224" s="1807" t="n">
        <v>3253097000</v>
      </c>
      <c r="F224" s="1807" t="n">
        <v>3335437000</v>
      </c>
      <c r="G224" s="1807" t="n">
        <v>3678316000</v>
      </c>
    </row>
    <row r="225" ht="15" customHeight="1">
      <c r="A225" s="1886" t="inlineStr">
        <is>
          <t>Shares used to calculate Basic EPS - Total</t>
        </is>
      </c>
      <c r="B225" s="1807" t="n">
        <v>50148387.85</v>
      </c>
      <c r="C225" s="1807" t="n">
        <v>49824209.32</v>
      </c>
      <c r="D225" s="1807" t="n">
        <v>49798939.8</v>
      </c>
      <c r="E225" s="1807" t="n">
        <v>49798932.08</v>
      </c>
      <c r="F225" s="1807" t="n">
        <v>49834629.37</v>
      </c>
      <c r="G225" s="1807" t="n">
        <v>53601492.13</v>
      </c>
    </row>
    <row r="226" ht="15" customHeight="1">
      <c r="A226" s="1887" t="inlineStr">
        <is>
          <t>EPS - Basic - including Extraordinary Items Applicable to Common - Total</t>
        </is>
      </c>
      <c r="B226" s="1892" t="n">
        <v>56.55</v>
      </c>
      <c r="C226" s="1892" t="n">
        <v>68.79000000000001</v>
      </c>
      <c r="D226" s="1892" t="n">
        <v>69.12</v>
      </c>
      <c r="E226" s="1892" t="n">
        <v>65.31999999999999</v>
      </c>
      <c r="F226" s="1892" t="n">
        <v>66.93000000000001</v>
      </c>
      <c r="G226" s="1892" t="n">
        <v>68.62</v>
      </c>
    </row>
    <row r="227" ht="15" customHeight="1">
      <c r="A227" s="1887" t="inlineStr">
        <is>
          <t>EPS - Basic - excluding Extraordinary Items Applicable to Common - Total</t>
        </is>
      </c>
      <c r="B227" s="1892" t="n">
        <v>56.55</v>
      </c>
      <c r="C227" s="1892" t="n">
        <v>68.79000000000001</v>
      </c>
      <c r="D227" s="1892" t="n">
        <v>69.12</v>
      </c>
      <c r="E227" s="1892" t="n">
        <v>65.31999999999999</v>
      </c>
      <c r="F227" s="1892" t="n">
        <v>66.93000000000001</v>
      </c>
      <c r="G227" s="1892" t="n">
        <v>68.62</v>
      </c>
    </row>
    <row r="228" ht="15" customHeight="1">
      <c r="A228" s="1887" t="inlineStr">
        <is>
          <t>EPS - Basic - excluding Extraordinary Items - Normalized - Total</t>
        </is>
      </c>
      <c r="B228" s="1892" t="n">
        <v>56.11</v>
      </c>
      <c r="C228" s="1892" t="n">
        <v>67.75</v>
      </c>
      <c r="D228" s="1892" t="n">
        <v>70.14</v>
      </c>
      <c r="E228" s="1892" t="n">
        <v>65.73</v>
      </c>
      <c r="F228" s="1892" t="n">
        <v>66.93000000000001</v>
      </c>
      <c r="G228" s="1892" t="n">
        <v>68.62</v>
      </c>
    </row>
    <row r="229" ht="15" customHeight="1">
      <c r="A229" s="1887" t="inlineStr">
        <is>
          <t>EPS - Basic - Non-GAAP - Total</t>
        </is>
      </c>
      <c r="B229" s="731" t="n"/>
      <c r="C229" s="731" t="n"/>
      <c r="D229" s="731" t="n"/>
      <c r="E229" s="731" t="n"/>
      <c r="F229" s="731" t="n"/>
      <c r="G229" s="731" t="n"/>
    </row>
    <row r="230" ht="15" customHeight="1">
      <c r="A230" s="1885" t="inlineStr">
        <is>
          <t>Allocated Net Income including Extraordinary Items Applicable to Common - Issue Specific</t>
        </is>
      </c>
      <c r="B230" s="1807" t="n">
        <v>2836000000</v>
      </c>
      <c r="C230" s="1807" t="n">
        <v>3427375000</v>
      </c>
      <c r="D230" s="1807" t="n">
        <v>3442025000</v>
      </c>
      <c r="E230" s="1807" t="n">
        <v>3253097000</v>
      </c>
      <c r="F230" s="1807" t="n">
        <v>3335437000</v>
      </c>
      <c r="G230" s="1807" t="n">
        <v>3678316000</v>
      </c>
    </row>
    <row r="231" ht="15" customHeight="1">
      <c r="A231" s="1885" t="inlineStr">
        <is>
          <t>Earnings Allocation Factor - Basic - Issue Specific</t>
        </is>
      </c>
      <c r="B231" s="1892" t="n">
        <v>1</v>
      </c>
      <c r="C231" s="1892" t="n">
        <v>1</v>
      </c>
      <c r="D231" s="1892" t="n">
        <v>1</v>
      </c>
      <c r="E231" s="1892" t="n">
        <v>1</v>
      </c>
      <c r="F231" s="1892" t="n">
        <v>1</v>
      </c>
      <c r="G231" s="1892" t="n">
        <v>1</v>
      </c>
    </row>
    <row r="232" ht="15" customHeight="1">
      <c r="A232" s="1886" t="inlineStr">
        <is>
          <t>Shares used to calculate Basic EPS - Issue Specific</t>
        </is>
      </c>
      <c r="B232" s="1807" t="n">
        <v>50148387.85</v>
      </c>
      <c r="C232" s="1807" t="n">
        <v>49824209.32</v>
      </c>
      <c r="D232" s="1807" t="n">
        <v>49798939.8</v>
      </c>
      <c r="E232" s="1807" t="n">
        <v>49798932.08</v>
      </c>
      <c r="F232" s="1807" t="n">
        <v>49834629.37</v>
      </c>
      <c r="G232" s="1807" t="n">
        <v>53601492.13</v>
      </c>
    </row>
    <row r="233" ht="15" customHeight="1">
      <c r="A233" s="1887" t="inlineStr">
        <is>
          <t>EPS - Basic - including Extraordinary Items Applicable to Common - Issue Specific</t>
        </is>
      </c>
      <c r="B233" s="1892" t="n">
        <v>56.55</v>
      </c>
      <c r="C233" s="1892" t="n">
        <v>68.79000000000001</v>
      </c>
      <c r="D233" s="1892" t="n">
        <v>69.12</v>
      </c>
      <c r="E233" s="1892" t="n">
        <v>65.31999999999999</v>
      </c>
      <c r="F233" s="1892" t="n">
        <v>66.93000000000001</v>
      </c>
      <c r="G233" s="1892" t="n">
        <v>68.62</v>
      </c>
    </row>
    <row r="234" ht="15" customHeight="1">
      <c r="A234" s="1887" t="inlineStr">
        <is>
          <t>EPS - Basic - excluding Extraordinary Items Applicable to Common - Issue Specific</t>
        </is>
      </c>
      <c r="B234" s="1892" t="n">
        <v>56.55</v>
      </c>
      <c r="C234" s="1892" t="n">
        <v>68.79000000000001</v>
      </c>
      <c r="D234" s="1892" t="n">
        <v>69.12</v>
      </c>
      <c r="E234" s="1892" t="n">
        <v>65.31999999999999</v>
      </c>
      <c r="F234" s="1892" t="n">
        <v>66.93000000000001</v>
      </c>
      <c r="G234" s="1892" t="n">
        <v>68.62</v>
      </c>
    </row>
    <row r="235" ht="15" customHeight="1">
      <c r="A235" s="1887" t="inlineStr">
        <is>
          <t>EPS - Basic - excluding Extraordinary Items - Normalized - Issue Specific</t>
        </is>
      </c>
      <c r="B235" s="1892" t="n">
        <v>56.11</v>
      </c>
      <c r="C235" s="1892" t="n">
        <v>67.75</v>
      </c>
      <c r="D235" s="1892" t="n">
        <v>70.14</v>
      </c>
      <c r="E235" s="1892" t="n">
        <v>65.73</v>
      </c>
      <c r="F235" s="1892" t="n">
        <v>66.93000000000001</v>
      </c>
      <c r="G235" s="1892" t="n">
        <v>68.62</v>
      </c>
    </row>
    <row r="236" ht="15" customHeight="1">
      <c r="A236" s="1885" t="inlineStr">
        <is>
          <t>EPS - Basic from Discontinued Operations &amp; Extraordinary Items</t>
        </is>
      </c>
      <c r="B236" s="1807" t="n">
        <v>0</v>
      </c>
      <c r="C236" s="1807" t="n">
        <v>0</v>
      </c>
      <c r="D236" s="1807" t="n">
        <v>0</v>
      </c>
      <c r="E236" s="1807" t="n">
        <v>0</v>
      </c>
      <c r="F236" s="1807" t="n">
        <v>0</v>
      </c>
      <c r="G236" s="1807" t="n">
        <v>0</v>
      </c>
    </row>
    <row r="237" ht="15" customHeight="1">
      <c r="A237" s="1885" t="inlineStr">
        <is>
          <t>Participation Weighted Primary Shares for EPS Calculation - Issue Specific</t>
        </is>
      </c>
      <c r="B237" s="731" t="n"/>
      <c r="C237" s="731" t="n"/>
      <c r="D237" s="731" t="n"/>
      <c r="E237" s="731" t="n"/>
      <c r="F237" s="731" t="n"/>
      <c r="G237" s="731" t="n"/>
    </row>
    <row r="238" ht="15" customHeight="1">
      <c r="A238" s="1885" t="inlineStr">
        <is>
          <t>Earnings Participation Factor - Issue Specific</t>
        </is>
      </c>
      <c r="B238" s="731" t="n"/>
      <c r="C238" s="731" t="n"/>
      <c r="D238" s="731" t="n"/>
      <c r="E238" s="731" t="n"/>
      <c r="F238" s="731" t="n"/>
      <c r="G238" s="731" t="n"/>
    </row>
    <row r="239" ht="15" customHeight="1">
      <c r="A239" s="1885" t="inlineStr">
        <is>
          <t>Priority Dividends - Issue Specific</t>
        </is>
      </c>
      <c r="B239" s="731" t="n"/>
      <c r="C239" s="731" t="n"/>
      <c r="D239" s="731" t="n"/>
      <c r="E239" s="731" t="n"/>
      <c r="F239" s="731" t="n"/>
      <c r="G239" s="731" t="n"/>
    </row>
    <row r="240" ht="15" customHeight="1">
      <c r="A240" s="1885" t="inlineStr">
        <is>
          <t>Comprehensive Earnings Per Share - Basic - Issue Specific</t>
        </is>
      </c>
      <c r="B240" s="1892" t="n">
        <v>57.39</v>
      </c>
      <c r="C240" s="1892" t="n">
        <v>68.17</v>
      </c>
      <c r="D240" s="1892" t="n">
        <v>70.86</v>
      </c>
      <c r="E240" s="1892" t="n">
        <v>64.89</v>
      </c>
      <c r="F240" s="1892" t="n">
        <v>66.94</v>
      </c>
      <c r="G240" s="1892" t="n">
        <v>66.26000000000001</v>
      </c>
    </row>
    <row r="241" ht="15" customHeight="1">
      <c r="A241" s="1885" t="inlineStr">
        <is>
          <t>Comprehensive Earnings Per Share - Basic - Issue Specific - DR</t>
        </is>
      </c>
      <c r="B241" s="731" t="n"/>
      <c r="C241" s="731" t="n"/>
      <c r="D241" s="731" t="n"/>
      <c r="E241" s="731" t="n"/>
      <c r="F241" s="731" t="n"/>
      <c r="G241" s="731" t="n"/>
    </row>
    <row r="242" ht="15" customHeight="1">
      <c r="A242" s="1885" t="inlineStr">
        <is>
          <t>Comprehensive Earnings Per Share - Basic - Issue Specific - CPO</t>
        </is>
      </c>
      <c r="B242" s="731" t="n"/>
      <c r="C242" s="731" t="n"/>
      <c r="D242" s="731" t="n"/>
      <c r="E242" s="731" t="n"/>
      <c r="F242" s="731" t="n"/>
      <c r="G242" s="731" t="n"/>
    </row>
    <row r="243" ht="15" customHeight="1">
      <c r="A243" s="1884" t="inlineStr">
        <is>
          <t>Share/Per Share - Diluted</t>
        </is>
      </c>
      <c r="B243" s="734" t="n"/>
      <c r="C243" s="734" t="n"/>
      <c r="D243" s="734" t="n"/>
      <c r="E243" s="734" t="n"/>
      <c r="F243" s="734" t="n"/>
      <c r="G243" s="734" t="n"/>
    </row>
    <row r="244" ht="15" customHeight="1">
      <c r="A244" s="1885" t="inlineStr">
        <is>
          <t>Dilution Adjustment</t>
        </is>
      </c>
      <c r="B244" s="731" t="n"/>
      <c r="C244" s="731" t="n"/>
      <c r="D244" s="731" t="n"/>
      <c r="E244" s="731" t="n"/>
      <c r="F244" s="731" t="n"/>
      <c r="G244" s="731" t="n"/>
    </row>
    <row r="245" ht="15" customHeight="1">
      <c r="A245" s="1885" t="inlineStr">
        <is>
          <t>Net Income - Diluted - including Extraordinary Items Applicable to Common - Total</t>
        </is>
      </c>
      <c r="B245" s="1807" t="n">
        <v>2836000000</v>
      </c>
      <c r="C245" s="1807" t="n">
        <v>3427375000</v>
      </c>
      <c r="D245" s="1807" t="n">
        <v>3442025000</v>
      </c>
      <c r="E245" s="1807" t="n">
        <v>3253097000</v>
      </c>
      <c r="F245" s="1807" t="n">
        <v>3335437000</v>
      </c>
      <c r="G245" s="1807" t="n">
        <v>3678316000</v>
      </c>
    </row>
    <row r="246" ht="15" customHeight="1">
      <c r="A246" s="1886" t="inlineStr">
        <is>
          <t>Diluted Income available to Common excluding Extraordinary Items</t>
        </is>
      </c>
      <c r="B246" s="1807" t="n">
        <v>2836000000</v>
      </c>
      <c r="C246" s="1807" t="n">
        <v>3427375000</v>
      </c>
      <c r="D246" s="1807" t="n">
        <v>3442025000</v>
      </c>
      <c r="E246" s="1807" t="n">
        <v>3253097000</v>
      </c>
      <c r="F246" s="1807" t="n">
        <v>3335437000</v>
      </c>
      <c r="G246" s="1807" t="n">
        <v>3678316000</v>
      </c>
    </row>
    <row r="247" ht="15" customHeight="1">
      <c r="A247" s="1886" t="inlineStr">
        <is>
          <t>Shares used to calculate Diluted EPS - Total</t>
        </is>
      </c>
      <c r="B247" s="1807" t="n">
        <v>50148387.85</v>
      </c>
      <c r="C247" s="1807" t="n">
        <v>49858653.77</v>
      </c>
      <c r="D247" s="1807" t="n">
        <v>49798939.8</v>
      </c>
      <c r="E247" s="1807" t="n">
        <v>49798932.08</v>
      </c>
      <c r="F247" s="1807" t="n">
        <v>49834629.37</v>
      </c>
      <c r="G247" s="1807" t="n">
        <v>53601492.13</v>
      </c>
    </row>
    <row r="248" ht="15" customHeight="1">
      <c r="A248" s="1887" t="inlineStr">
        <is>
          <t>EPS - Diluted - including Extraordinary Items Applicable to Common - Total</t>
        </is>
      </c>
      <c r="B248" s="1892" t="n">
        <v>56.55</v>
      </c>
      <c r="C248" s="1892" t="n">
        <v>68.73999999999999</v>
      </c>
      <c r="D248" s="1892" t="n">
        <v>69.12</v>
      </c>
      <c r="E248" s="1892" t="n">
        <v>65.31999999999999</v>
      </c>
      <c r="F248" s="1892" t="n">
        <v>66.93000000000001</v>
      </c>
      <c r="G248" s="1892" t="n">
        <v>68.62</v>
      </c>
    </row>
    <row r="249" ht="15" customHeight="1">
      <c r="A249" s="1887" t="inlineStr">
        <is>
          <t>EPS - Diluted - excluding Extraordinary Items Applicable to Common - Total</t>
        </is>
      </c>
      <c r="B249" s="1892" t="n">
        <v>56.55</v>
      </c>
      <c r="C249" s="1892" t="n">
        <v>68.73999999999999</v>
      </c>
      <c r="D249" s="1892" t="n">
        <v>69.12</v>
      </c>
      <c r="E249" s="1892" t="n">
        <v>65.31999999999999</v>
      </c>
      <c r="F249" s="1892" t="n">
        <v>66.93000000000001</v>
      </c>
      <c r="G249" s="1892" t="n">
        <v>68.62</v>
      </c>
    </row>
    <row r="250" ht="15" customHeight="1">
      <c r="A250" s="1887" t="inlineStr">
        <is>
          <t>EPS - Diluted - excluding Extraordinary Items - Normalized - Total</t>
        </is>
      </c>
      <c r="B250" s="1892" t="n">
        <v>56.11</v>
      </c>
      <c r="C250" s="1892" t="n">
        <v>67.70999999999999</v>
      </c>
      <c r="D250" s="1892" t="n">
        <v>70.14</v>
      </c>
      <c r="E250" s="1892" t="n">
        <v>65.73</v>
      </c>
      <c r="F250" s="1892" t="n">
        <v>66.93000000000001</v>
      </c>
      <c r="G250" s="1892" t="n">
        <v>68.62</v>
      </c>
    </row>
    <row r="251" ht="15" customHeight="1">
      <c r="A251" s="1887" t="inlineStr">
        <is>
          <t>EPS - Diluted - Non-GAAP - Total</t>
        </is>
      </c>
      <c r="B251" s="731" t="n"/>
      <c r="C251" s="731" t="n"/>
      <c r="D251" s="731" t="n"/>
      <c r="E251" s="731" t="n"/>
      <c r="F251" s="731" t="n"/>
      <c r="G251" s="731" t="n"/>
    </row>
    <row r="252" ht="15" customHeight="1">
      <c r="A252" s="1885" t="inlineStr">
        <is>
          <t>Allocated Diluted Net Income including Extraordinary Items Applicable to Common - Issue Specific</t>
        </is>
      </c>
      <c r="B252" s="1807" t="n">
        <v>2836000000</v>
      </c>
      <c r="C252" s="1807" t="n">
        <v>3427375000</v>
      </c>
      <c r="D252" s="1807" t="n">
        <v>3442025000</v>
      </c>
      <c r="E252" s="1807" t="n">
        <v>3253097000</v>
      </c>
      <c r="F252" s="1807" t="n">
        <v>3335437000</v>
      </c>
      <c r="G252" s="1807" t="n">
        <v>3678316000</v>
      </c>
    </row>
    <row r="253" ht="15" customHeight="1">
      <c r="A253" s="1885" t="inlineStr">
        <is>
          <t>Earnings Allocation Factor - Diluted - Issue Specific</t>
        </is>
      </c>
      <c r="B253" s="1892" t="n">
        <v>1</v>
      </c>
      <c r="C253" s="1892" t="n">
        <v>1</v>
      </c>
      <c r="D253" s="1892" t="n">
        <v>1</v>
      </c>
      <c r="E253" s="1892" t="n">
        <v>1</v>
      </c>
      <c r="F253" s="1892" t="n">
        <v>1</v>
      </c>
      <c r="G253" s="1892" t="n">
        <v>1</v>
      </c>
    </row>
    <row r="254" ht="15" customHeight="1">
      <c r="A254" s="1886" t="inlineStr">
        <is>
          <t>Shares used to calculate Diluted EPS - Issue Specific</t>
        </is>
      </c>
      <c r="B254" s="1807" t="n">
        <v>50148387.85</v>
      </c>
      <c r="C254" s="1807" t="n">
        <v>49858653.77</v>
      </c>
      <c r="D254" s="1807" t="n">
        <v>49798939.8</v>
      </c>
      <c r="E254" s="1807" t="n">
        <v>49798932.08</v>
      </c>
      <c r="F254" s="1807" t="n">
        <v>49834629.37</v>
      </c>
      <c r="G254" s="1807" t="n">
        <v>53601492.13</v>
      </c>
    </row>
    <row r="255" ht="15" customHeight="1">
      <c r="A255" s="1887" t="inlineStr">
        <is>
          <t>EPS - Diluted - including Extraordinary Items Applicable to Common - Issue Specific</t>
        </is>
      </c>
      <c r="B255" s="1892" t="n">
        <v>56.55</v>
      </c>
      <c r="C255" s="1892" t="n">
        <v>68.73999999999999</v>
      </c>
      <c r="D255" s="1892" t="n">
        <v>69.12</v>
      </c>
      <c r="E255" s="1892" t="n">
        <v>65.31999999999999</v>
      </c>
      <c r="F255" s="1892" t="n">
        <v>66.93000000000001</v>
      </c>
      <c r="G255" s="1892" t="n">
        <v>68.62</v>
      </c>
    </row>
    <row r="256" ht="15" customHeight="1">
      <c r="A256" s="1887" t="inlineStr">
        <is>
          <t>EPS - Diluted - excluding Extraordinary Items Applicable to Common - Issue Specific</t>
        </is>
      </c>
      <c r="B256" s="1892" t="n">
        <v>56.55</v>
      </c>
      <c r="C256" s="1892" t="n">
        <v>68.73999999999999</v>
      </c>
      <c r="D256" s="1892" t="n">
        <v>69.12</v>
      </c>
      <c r="E256" s="1892" t="n">
        <v>65.31999999999999</v>
      </c>
      <c r="F256" s="1892" t="n">
        <v>66.93000000000001</v>
      </c>
      <c r="G256" s="1892" t="n">
        <v>68.62</v>
      </c>
    </row>
    <row r="257" ht="15" customHeight="1">
      <c r="A257" s="1887" t="inlineStr">
        <is>
          <t>EPS - Diluted - excluding Extraordinary Items - Normalized - Issue Specific</t>
        </is>
      </c>
      <c r="B257" s="1892" t="n">
        <v>56.11</v>
      </c>
      <c r="C257" s="1892" t="n">
        <v>67.70999999999999</v>
      </c>
      <c r="D257" s="1892" t="n">
        <v>70.14</v>
      </c>
      <c r="E257" s="1892" t="n">
        <v>65.73</v>
      </c>
      <c r="F257" s="1892" t="n">
        <v>66.93000000000001</v>
      </c>
      <c r="G257" s="1892" t="n">
        <v>68.62</v>
      </c>
    </row>
    <row r="258" ht="15" customHeight="1">
      <c r="A258" s="1885" t="inlineStr">
        <is>
          <t>EPS - Diluted from Discontinued Operations &amp; Extraordinary Items</t>
        </is>
      </c>
      <c r="B258" s="1807" t="n">
        <v>0</v>
      </c>
      <c r="C258" s="1807" t="n">
        <v>0</v>
      </c>
      <c r="D258" s="1807" t="n">
        <v>0</v>
      </c>
      <c r="E258" s="1807" t="n">
        <v>0</v>
      </c>
      <c r="F258" s="1807" t="n">
        <v>0</v>
      </c>
      <c r="G258" s="1807" t="n">
        <v>0</v>
      </c>
    </row>
    <row r="259" ht="15" customHeight="1">
      <c r="A259" s="1885" t="inlineStr">
        <is>
          <t>Comprehensive Earnings Per Share - Diluted - Issue Specific</t>
        </is>
      </c>
      <c r="B259" s="1892" t="n">
        <v>57.39</v>
      </c>
      <c r="C259" s="1892" t="n">
        <v>68.12</v>
      </c>
      <c r="D259" s="1892" t="n">
        <v>70.86</v>
      </c>
      <c r="E259" s="1892" t="n">
        <v>64.89</v>
      </c>
      <c r="F259" s="1892" t="n">
        <v>66.94</v>
      </c>
      <c r="G259" s="1892" t="n">
        <v>66.26000000000001</v>
      </c>
    </row>
    <row r="260" ht="15" customHeight="1">
      <c r="A260" s="1885" t="inlineStr">
        <is>
          <t>Comprehensive Earnings Per Share - Diluted - Issue Specific - DR</t>
        </is>
      </c>
      <c r="B260" s="731" t="n"/>
      <c r="C260" s="731" t="n"/>
      <c r="D260" s="731" t="n"/>
      <c r="E260" s="731" t="n"/>
      <c r="F260" s="731" t="n"/>
      <c r="G260" s="731" t="n"/>
    </row>
    <row r="261" ht="15" customHeight="1">
      <c r="A261" s="1885" t="inlineStr">
        <is>
          <t>Comprehensive Earnings Per Share - Diluted - Issue Specific - CPO</t>
        </is>
      </c>
      <c r="B261" s="731" t="n"/>
      <c r="C261" s="731" t="n"/>
      <c r="D261" s="731" t="n"/>
      <c r="E261" s="731" t="n"/>
      <c r="F261" s="731" t="n"/>
      <c r="G261" s="731" t="n"/>
    </row>
    <row r="262" ht="15" customHeight="1">
      <c r="A262" s="1884" t="inlineStr">
        <is>
          <t>Share/Per Share - Dividends</t>
        </is>
      </c>
      <c r="B262" s="734" t="n"/>
      <c r="C262" s="734" t="n"/>
      <c r="D262" s="734" t="n"/>
      <c r="E262" s="734" t="n"/>
      <c r="F262" s="734" t="n"/>
      <c r="G262" s="734" t="n"/>
    </row>
    <row r="263" ht="15" customHeight="1">
      <c r="A263" s="1885" t="inlineStr">
        <is>
          <t>DPS - Common - Gross - Issue - By Announcement Date</t>
        </is>
      </c>
      <c r="B263" s="1892" t="n">
        <v>23.86</v>
      </c>
      <c r="C263" s="1892" t="n">
        <v>28.09</v>
      </c>
      <c r="D263" s="1892" t="n">
        <v>24.1</v>
      </c>
      <c r="E263" s="1892" t="n">
        <v>24.1</v>
      </c>
      <c r="F263" s="1892" t="n">
        <v>24.1</v>
      </c>
      <c r="G263" s="1892" t="n">
        <v>16.77</v>
      </c>
    </row>
    <row r="264" ht="15" customHeight="1">
      <c r="A264" s="1885" t="inlineStr">
        <is>
          <t>DPS - Common - Net - Issue - By Announcement Date</t>
        </is>
      </c>
      <c r="B264" s="1892" t="n">
        <v>20.28</v>
      </c>
      <c r="C264" s="1892" t="n">
        <v>23.88</v>
      </c>
      <c r="D264" s="1892" t="n">
        <v>20.49</v>
      </c>
      <c r="E264" s="1892" t="n">
        <v>20.49</v>
      </c>
      <c r="F264" s="1892" t="n">
        <v>20.49</v>
      </c>
      <c r="G264" s="1892" t="n">
        <v>14.25</v>
      </c>
    </row>
    <row r="265" ht="15" customHeight="1">
      <c r="A265" s="1885" t="inlineStr">
        <is>
          <t>DPS - Special - Gross - Issue - By Announcement Date</t>
        </is>
      </c>
      <c r="B265" s="731" t="n"/>
      <c r="C265" s="731" t="n"/>
      <c r="D265" s="731" t="n"/>
      <c r="E265" s="731" t="n"/>
      <c r="F265" s="731" t="n"/>
      <c r="G265" s="731" t="n"/>
    </row>
    <row r="266" ht="15" customHeight="1">
      <c r="A266" s="1885" t="inlineStr">
        <is>
          <t>DPS - Special - Net - Issue - By Announcement Date</t>
        </is>
      </c>
      <c r="B266" s="731" t="n"/>
      <c r="C266" s="731" t="n"/>
      <c r="D266" s="731" t="n"/>
      <c r="E266" s="731" t="n"/>
      <c r="F266" s="731" t="n"/>
      <c r="G266" s="731" t="n"/>
    </row>
    <row r="267" ht="15" customHeight="1">
      <c r="A267" s="1885" t="inlineStr">
        <is>
          <t>DPS - Common - Gross - Issue - DR - By Announcement Date</t>
        </is>
      </c>
      <c r="B267" s="731" t="n"/>
      <c r="C267" s="731" t="n"/>
      <c r="D267" s="731" t="n"/>
      <c r="E267" s="731" t="n"/>
      <c r="F267" s="731" t="n"/>
      <c r="G267" s="731" t="n"/>
    </row>
    <row r="268" ht="15" customHeight="1">
      <c r="A268" s="1885" t="inlineStr">
        <is>
          <t>DPS - Common - Net - Issue - DR - By Announcement Date</t>
        </is>
      </c>
      <c r="B268" s="731" t="n"/>
      <c r="C268" s="731" t="n"/>
      <c r="D268" s="731" t="n"/>
      <c r="E268" s="731" t="n"/>
      <c r="F268" s="731" t="n"/>
      <c r="G268" s="731" t="n"/>
    </row>
    <row r="269" ht="15" customHeight="1">
      <c r="A269" s="1885" t="inlineStr">
        <is>
          <t>DPS - Special - Gross - Issue - DR - By Announcement Date</t>
        </is>
      </c>
      <c r="B269" s="731" t="n"/>
      <c r="C269" s="731" t="n"/>
      <c r="D269" s="731" t="n"/>
      <c r="E269" s="731" t="n"/>
      <c r="F269" s="731" t="n"/>
      <c r="G269" s="731" t="n"/>
    </row>
    <row r="270" ht="15" customHeight="1">
      <c r="A270" s="1885" t="inlineStr">
        <is>
          <t>DPS - Special - Net - Issue - DR - By Announcement Date</t>
        </is>
      </c>
      <c r="B270" s="731" t="n"/>
      <c r="C270" s="731" t="n"/>
      <c r="D270" s="731" t="n"/>
      <c r="E270" s="731" t="n"/>
      <c r="F270" s="731" t="n"/>
      <c r="G270" s="731" t="n"/>
    </row>
    <row r="271" ht="15" customHeight="1">
      <c r="A271" s="1885" t="inlineStr">
        <is>
          <t>DPS - Common - Gross - Issue - CPO - By Announcement Date</t>
        </is>
      </c>
      <c r="B271" s="731" t="n"/>
      <c r="C271" s="731" t="n"/>
      <c r="D271" s="731" t="n"/>
      <c r="E271" s="731" t="n"/>
      <c r="F271" s="731" t="n"/>
      <c r="G271" s="731" t="n"/>
    </row>
    <row r="272" ht="15" customHeight="1">
      <c r="A272" s="1885" t="inlineStr">
        <is>
          <t>DPS - Common - Net - Issue - CPO - By Announcement Date</t>
        </is>
      </c>
      <c r="B272" s="731" t="n"/>
      <c r="C272" s="731" t="n"/>
      <c r="D272" s="731" t="n"/>
      <c r="E272" s="731" t="n"/>
      <c r="F272" s="731" t="n"/>
      <c r="G272" s="731" t="n"/>
    </row>
    <row r="273" ht="15" customHeight="1">
      <c r="A273" s="1885" t="inlineStr">
        <is>
          <t>DPS - Special - Gross - Issue - CPO - By Announcement Date</t>
        </is>
      </c>
      <c r="B273" s="731" t="n"/>
      <c r="C273" s="731" t="n"/>
      <c r="D273" s="731" t="n"/>
      <c r="E273" s="731" t="n"/>
      <c r="F273" s="731" t="n"/>
      <c r="G273" s="731" t="n"/>
    </row>
    <row r="274" ht="15" customHeight="1">
      <c r="A274" s="1885" t="inlineStr">
        <is>
          <t>DPS - Special - Net - Issue - CPO - By Announcement Date</t>
        </is>
      </c>
      <c r="B274" s="731" t="n"/>
      <c r="C274" s="731" t="n"/>
      <c r="D274" s="731" t="n"/>
      <c r="E274" s="731" t="n"/>
      <c r="F274" s="731" t="n"/>
      <c r="G274" s="731" t="n"/>
    </row>
    <row r="275" ht="15" customHeight="1">
      <c r="A275" s="1884" t="inlineStr">
        <is>
          <t>EBIT/EBITDA &amp; related</t>
        </is>
      </c>
      <c r="B275" s="734" t="n"/>
      <c r="C275" s="734" t="n"/>
      <c r="D275" s="734" t="n"/>
      <c r="E275" s="734" t="n"/>
      <c r="F275" s="734" t="n"/>
      <c r="G275" s="734" t="n"/>
    </row>
    <row r="276" ht="15" customHeight="1">
      <c r="A276" s="1885" t="inlineStr">
        <is>
          <t>Earnings before Interest &amp; Taxes (EBIT)</t>
        </is>
      </c>
      <c r="B276" s="1807" t="n">
        <v>4770700000</v>
      </c>
      <c r="C276" s="1807" t="n">
        <v>5420624000</v>
      </c>
      <c r="D276" s="1807" t="n">
        <v>7116114000</v>
      </c>
      <c r="E276" s="1807" t="n">
        <v>7149686000</v>
      </c>
      <c r="F276" s="1807" t="n">
        <v>7451429000</v>
      </c>
      <c r="G276" s="1807" t="n">
        <v>7850834000</v>
      </c>
    </row>
    <row r="277" ht="15" customHeight="1">
      <c r="A277" s="1885" t="inlineStr">
        <is>
          <t>Earnings before Interest, Taxes, Depreciation &amp; Amortization (EBITDA)</t>
        </is>
      </c>
      <c r="B277" s="1807" t="n">
        <v>6414714000</v>
      </c>
      <c r="C277" s="1807" t="n">
        <v>7280443000</v>
      </c>
      <c r="D277" s="1807" t="n">
        <v>9422794000</v>
      </c>
      <c r="E277" s="1807" t="n">
        <v>9992954000</v>
      </c>
      <c r="F277" s="1807" t="n">
        <v>10549156000</v>
      </c>
      <c r="G277" s="1807" t="n">
        <v>10924099000</v>
      </c>
    </row>
    <row r="278" ht="15" customHeight="1">
      <c r="A278" s="1885" t="inlineStr">
        <is>
          <t>Earnings before Interest, Taxes, Depreciation, Amortization &amp; Exploration Expenses (EBITDAX)</t>
        </is>
      </c>
      <c r="B278" s="731" t="n"/>
      <c r="C278" s="731" t="n"/>
      <c r="D278" s="731" t="n"/>
      <c r="E278" s="731" t="n"/>
      <c r="F278" s="731" t="n"/>
      <c r="G278" s="731" t="n"/>
    </row>
    <row r="279" ht="15" customHeight="1">
      <c r="A279" s="1885" t="inlineStr">
        <is>
          <t>Earnings before Interest, Taxes, Depreciation &amp; Amortization (EBITDA) and Operating Lease Payments</t>
        </is>
      </c>
      <c r="B279" s="731" t="n"/>
      <c r="C279" s="731" t="n"/>
      <c r="D279" s="731" t="n"/>
      <c r="E279" s="731" t="n"/>
      <c r="F279" s="731" t="n"/>
      <c r="G279" s="731" t="n"/>
    </row>
    <row r="280" ht="15" customHeight="1">
      <c r="A280" s="1884" t="inlineStr">
        <is>
          <t>Depreciation/Amortization - Income Statement</t>
        </is>
      </c>
      <c r="B280" s="734" t="n"/>
      <c r="C280" s="734" t="n"/>
      <c r="D280" s="734" t="n"/>
      <c r="E280" s="734" t="n"/>
      <c r="F280" s="734" t="n"/>
      <c r="G280" s="734" t="n"/>
    </row>
    <row r="281" ht="15" customHeight="1">
      <c r="A281" s="1885" t="inlineStr">
        <is>
          <t>Depreciation - Investment Property - Supplemental</t>
        </is>
      </c>
      <c r="B281" s="731" t="n"/>
      <c r="C281" s="731" t="n"/>
      <c r="D281" s="731" t="n"/>
      <c r="E281" s="731" t="n"/>
      <c r="F281" s="731" t="n"/>
      <c r="G281" s="731" t="n"/>
    </row>
    <row r="282" ht="15" customHeight="1">
      <c r="A282" s="1885" t="inlineStr">
        <is>
          <t>Depreciation &amp; Amortization - Supplemental</t>
        </is>
      </c>
      <c r="B282" s="1807" t="n">
        <v>1520784000</v>
      </c>
      <c r="C282" s="1807" t="n">
        <v>1732665000</v>
      </c>
      <c r="D282" s="1807" t="n">
        <v>2170129000</v>
      </c>
      <c r="E282" s="1807" t="n">
        <v>2704026000</v>
      </c>
      <c r="F282" s="1807" t="n">
        <v>3097727000</v>
      </c>
      <c r="G282" s="1807" t="n">
        <v>3073265000</v>
      </c>
    </row>
    <row r="283" ht="15" customHeight="1">
      <c r="A283" s="1886" t="inlineStr">
        <is>
          <t>Depreciation Expense - Total - Supplemental</t>
        </is>
      </c>
      <c r="B283" s="1807" t="n">
        <v>1428370000</v>
      </c>
      <c r="C283" s="1807" t="n">
        <v>1637662000</v>
      </c>
      <c r="D283" s="1807" t="n">
        <v>2060503000</v>
      </c>
      <c r="E283" s="1807" t="n">
        <v>2573052000</v>
      </c>
      <c r="F283" s="1807" t="n">
        <v>2799735000</v>
      </c>
      <c r="G283" s="1807" t="n">
        <v>2870785000</v>
      </c>
    </row>
    <row r="284" ht="15" customHeight="1">
      <c r="A284" s="1887" t="inlineStr">
        <is>
          <t>Depreciation - Fin Lease Right-of-Use Assets - Total - Suppl</t>
        </is>
      </c>
      <c r="B284" s="1807" t="n">
        <v>816594000</v>
      </c>
      <c r="C284" s="1807" t="n">
        <v>900530000</v>
      </c>
      <c r="D284" s="1807" t="n">
        <v>1086388000</v>
      </c>
      <c r="E284" s="1807" t="n">
        <v>1183535000</v>
      </c>
      <c r="F284" s="1807" t="n">
        <v>1284349000</v>
      </c>
      <c r="G284" s="1807" t="n">
        <v>1126470000</v>
      </c>
    </row>
    <row r="285" ht="15" customHeight="1">
      <c r="A285" s="1886" t="inlineStr">
        <is>
          <t>Amortization - Total - Supplemental</t>
        </is>
      </c>
      <c r="B285" s="1807" t="n">
        <v>92414000</v>
      </c>
      <c r="C285" s="1807" t="n">
        <v>95003000</v>
      </c>
      <c r="D285" s="1807" t="n">
        <v>109626000</v>
      </c>
      <c r="E285" s="1807" t="n">
        <v>130974000</v>
      </c>
      <c r="F285" s="1807" t="n">
        <v>297992000</v>
      </c>
      <c r="G285" s="1807" t="n">
        <v>202480000</v>
      </c>
    </row>
    <row r="286" ht="15" customHeight="1">
      <c r="A286" s="1887" t="inlineStr">
        <is>
          <t>Goodwill Amortization - Supplemental</t>
        </is>
      </c>
      <c r="B286" s="731" t="n"/>
      <c r="C286" s="731" t="n"/>
      <c r="D286" s="731" t="n"/>
      <c r="E286" s="731" t="n"/>
      <c r="F286" s="731" t="n"/>
      <c r="G286" s="731" t="n"/>
    </row>
    <row r="287" ht="15" customHeight="1">
      <c r="A287" s="1887" t="inlineStr">
        <is>
          <t>Intangible Amortization - Other - Supplemental</t>
        </is>
      </c>
      <c r="B287" s="731" t="n"/>
      <c r="C287" s="731" t="n"/>
      <c r="D287" s="731" t="n"/>
      <c r="E287" s="731" t="n"/>
      <c r="F287" s="1807" t="n">
        <v>141871000</v>
      </c>
      <c r="G287" s="1807" t="n">
        <v>108855000</v>
      </c>
    </row>
    <row r="288" ht="15" customHeight="1">
      <c r="A288" s="1890" t="inlineStr">
        <is>
          <t>Amortization of Licenses, Copyrights, Property Rights &amp; Designs - Supplemental</t>
        </is>
      </c>
      <c r="B288" s="731" t="n"/>
      <c r="C288" s="731" t="n"/>
      <c r="D288" s="731" t="n"/>
      <c r="E288" s="731" t="n"/>
      <c r="F288" s="731" t="n"/>
      <c r="G288" s="731" t="n"/>
    </row>
    <row r="289" ht="15" customHeight="1">
      <c r="A289" s="1890" t="inlineStr">
        <is>
          <t>Amortization of Computer Software - Supplemental</t>
        </is>
      </c>
      <c r="B289" s="731" t="n"/>
      <c r="C289" s="731" t="n"/>
      <c r="D289" s="731" t="n"/>
      <c r="E289" s="731" t="n"/>
      <c r="F289" s="731" t="n"/>
      <c r="G289" s="731" t="n"/>
    </row>
    <row r="290" ht="15" customHeight="1">
      <c r="A290" s="1890" t="inlineStr">
        <is>
          <t>Amortization of Brands, Patents, Trademarks, Marketing &amp; Artistic Intangibles - Supplemental</t>
        </is>
      </c>
      <c r="B290" s="731" t="n"/>
      <c r="C290" s="731" t="n"/>
      <c r="D290" s="731" t="n"/>
      <c r="E290" s="731" t="n"/>
      <c r="F290" s="1807" t="n">
        <v>3743000</v>
      </c>
      <c r="G290" s="1807" t="n">
        <v>3742000</v>
      </c>
    </row>
    <row r="291" ht="15" customHeight="1">
      <c r="A291" s="1890" t="inlineStr">
        <is>
          <t>Amortization of Fin Lease Right-of-Use Assets Total - Suppl</t>
        </is>
      </c>
      <c r="B291" s="731" t="n"/>
      <c r="C291" s="731" t="n"/>
      <c r="D291" s="731" t="n"/>
      <c r="E291" s="731" t="n"/>
      <c r="F291" s="731" t="n"/>
      <c r="G291" s="731" t="n"/>
    </row>
    <row r="292" ht="15" customHeight="1">
      <c r="A292" s="1890" t="inlineStr">
        <is>
          <t>Amortization of Capitalized Research &amp; Development Expenses - Supplemental</t>
        </is>
      </c>
      <c r="B292" s="731" t="n"/>
      <c r="C292" s="731" t="n"/>
      <c r="D292" s="731" t="n"/>
      <c r="E292" s="731" t="n"/>
      <c r="F292" s="731" t="n"/>
      <c r="G292" s="731" t="n"/>
    </row>
    <row r="293" ht="15" customHeight="1">
      <c r="A293" s="1887" t="inlineStr">
        <is>
          <t>Amortization of Deferred Costs - Supplemental</t>
        </is>
      </c>
      <c r="B293" s="1807" t="n">
        <v>92414000</v>
      </c>
      <c r="C293" s="1807" t="n">
        <v>95003000</v>
      </c>
      <c r="D293" s="1807" t="n">
        <v>109626000</v>
      </c>
      <c r="E293" s="1807" t="n">
        <v>130974000</v>
      </c>
      <c r="F293" s="1807" t="n">
        <v>156121000</v>
      </c>
      <c r="G293" s="1807" t="n">
        <v>93625000</v>
      </c>
    </row>
    <row r="294" ht="15" customHeight="1">
      <c r="A294" s="1884" t="inlineStr">
        <is>
          <t>Depreciation/Amortization - Total</t>
        </is>
      </c>
      <c r="B294" s="734" t="n"/>
      <c r="C294" s="734" t="n"/>
      <c r="D294" s="734" t="n"/>
      <c r="E294" s="734" t="n"/>
      <c r="F294" s="734" t="n"/>
      <c r="G294" s="734" t="n"/>
    </row>
    <row r="295" ht="15" customHeight="1">
      <c r="A295" s="1885" t="inlineStr">
        <is>
          <t>Depreciation, Depletion &amp; Amortization - Total</t>
        </is>
      </c>
      <c r="B295" s="1807" t="n">
        <v>1644014000</v>
      </c>
      <c r="C295" s="1807" t="n">
        <v>1859819000</v>
      </c>
      <c r="D295" s="1807" t="n">
        <v>2306680000</v>
      </c>
      <c r="E295" s="1807" t="n">
        <v>2843268000</v>
      </c>
      <c r="F295" s="1807" t="n">
        <v>3097727000</v>
      </c>
      <c r="G295" s="1807" t="n">
        <v>3073265000</v>
      </c>
    </row>
    <row r="296" ht="15" customHeight="1">
      <c r="A296" s="1886" t="inlineStr">
        <is>
          <t>Depreciation - Total</t>
        </is>
      </c>
      <c r="B296" s="1807" t="n">
        <v>1428370000</v>
      </c>
      <c r="C296" s="1807" t="n">
        <v>1637662000</v>
      </c>
      <c r="D296" s="1807" t="n">
        <v>2060503000</v>
      </c>
      <c r="E296" s="1807" t="n">
        <v>2573052000</v>
      </c>
      <c r="F296" s="1807" t="n">
        <v>2799735000</v>
      </c>
      <c r="G296" s="1807" t="n">
        <v>2870785000</v>
      </c>
    </row>
    <row r="297" ht="15" customHeight="1">
      <c r="A297" s="1886" t="inlineStr">
        <is>
          <t>Amortization of Intangible Assets including Goodwill - Total</t>
        </is>
      </c>
      <c r="B297" s="731" t="n"/>
      <c r="C297" s="731" t="n"/>
      <c r="D297" s="731" t="n"/>
      <c r="E297" s="731" t="n"/>
      <c r="F297" s="731" t="n"/>
      <c r="G297" s="731" t="n"/>
    </row>
    <row r="298" ht="15" customHeight="1">
      <c r="A298" s="1886" t="inlineStr">
        <is>
          <t>Amortization of Goodwill - Total</t>
        </is>
      </c>
      <c r="B298" s="731" t="n"/>
      <c r="C298" s="731" t="n"/>
      <c r="D298" s="731" t="n"/>
      <c r="E298" s="731" t="n"/>
      <c r="F298" s="731" t="n"/>
      <c r="G298" s="731" t="n"/>
    </row>
    <row r="299" ht="15" customHeight="1">
      <c r="A299" s="1886" t="inlineStr">
        <is>
          <t>Amortization of Intangible Assets excluding Goodwill - Total</t>
        </is>
      </c>
      <c r="B299" s="1807" t="n">
        <v>123230000</v>
      </c>
      <c r="C299" s="1807" t="n">
        <v>127154000</v>
      </c>
      <c r="D299" s="1807" t="n">
        <v>136551000</v>
      </c>
      <c r="E299" s="1807" t="n">
        <v>139242000</v>
      </c>
      <c r="F299" s="1807" t="n">
        <v>141871000</v>
      </c>
      <c r="G299" s="1807" t="n">
        <v>108855000</v>
      </c>
    </row>
    <row r="300" ht="15" customHeight="1">
      <c r="A300" s="1886" t="inlineStr">
        <is>
          <t>Amortization of Deferred Charges - Total</t>
        </is>
      </c>
      <c r="B300" s="1807" t="n">
        <v>92414000</v>
      </c>
      <c r="C300" s="1807" t="n">
        <v>95003000</v>
      </c>
      <c r="D300" s="1807" t="n">
        <v>109626000</v>
      </c>
      <c r="E300" s="1807" t="n">
        <v>130974000</v>
      </c>
      <c r="F300" s="1807" t="n">
        <v>156121000</v>
      </c>
      <c r="G300" s="1807" t="n">
        <v>93625000</v>
      </c>
    </row>
    <row r="301" ht="15" customHeight="1">
      <c r="A301" s="1884" t="inlineStr">
        <is>
          <t>Islamic</t>
        </is>
      </c>
      <c r="B301" s="734" t="n"/>
      <c r="C301" s="734" t="n"/>
      <c r="D301" s="734" t="n"/>
      <c r="E301" s="734" t="n"/>
      <c r="F301" s="734" t="n"/>
      <c r="G301" s="734" t="n"/>
    </row>
    <row r="302" ht="15" customHeight="1">
      <c r="A302" s="1885" t="inlineStr">
        <is>
          <t>Islamic Income</t>
        </is>
      </c>
      <c r="B302" s="731" t="n"/>
      <c r="C302" s="731" t="n"/>
      <c r="D302" s="731" t="n"/>
      <c r="E302" s="731" t="n"/>
      <c r="F302" s="731" t="n"/>
      <c r="G302" s="731" t="n"/>
    </row>
    <row r="303" ht="15" customHeight="1">
      <c r="A303" s="1884" t="inlineStr">
        <is>
          <t>Research &amp; Development</t>
        </is>
      </c>
      <c r="B303" s="734" t="n"/>
      <c r="C303" s="734" t="n"/>
      <c r="D303" s="734" t="n"/>
      <c r="E303" s="734" t="n"/>
      <c r="F303" s="734" t="n"/>
      <c r="G303" s="734" t="n"/>
    </row>
    <row r="304" ht="15" customHeight="1">
      <c r="A304" s="1885" t="inlineStr">
        <is>
          <t>Research &amp; Development Expense - Expensed &amp; Capitalized - Total - Supplemental</t>
        </is>
      </c>
      <c r="B304" s="731" t="n"/>
      <c r="C304" s="731" t="n"/>
      <c r="D304" s="731" t="n"/>
      <c r="E304" s="731" t="n"/>
      <c r="F304" s="731" t="n"/>
      <c r="G304" s="731" t="n"/>
    </row>
    <row r="305" ht="15" customHeight="1">
      <c r="A305" s="1886" t="inlineStr">
        <is>
          <t>Research &amp; Development Expense - Supplemental</t>
        </is>
      </c>
      <c r="B305" s="731" t="n"/>
      <c r="C305" s="731" t="n"/>
      <c r="D305" s="731" t="n"/>
      <c r="E305" s="731" t="n"/>
      <c r="F305" s="731" t="n"/>
      <c r="G305" s="731" t="n"/>
    </row>
    <row r="306" ht="15" customHeight="1">
      <c r="A306" s="1886" t="inlineStr">
        <is>
          <t>Research &amp; Development Expense - Capitalized - Supplemental</t>
        </is>
      </c>
      <c r="B306" s="731" t="n"/>
      <c r="C306" s="731" t="n"/>
      <c r="D306" s="731" t="n"/>
      <c r="E306" s="731" t="n"/>
      <c r="F306" s="731" t="n"/>
      <c r="G306" s="731" t="n"/>
    </row>
    <row r="307" ht="15" customHeight="1">
      <c r="A307" s="1884" t="inlineStr">
        <is>
          <t>Labor &amp; Related Expenses</t>
        </is>
      </c>
      <c r="B307" s="734" t="n"/>
      <c r="C307" s="734" t="n"/>
      <c r="D307" s="734" t="n"/>
      <c r="E307" s="734" t="n"/>
      <c r="F307" s="734" t="n"/>
      <c r="G307" s="734" t="n"/>
    </row>
    <row r="308" ht="15" customHeight="1">
      <c r="A308" s="1885" t="inlineStr">
        <is>
          <t>Labor &amp; Related Expenses - Total</t>
        </is>
      </c>
      <c r="B308" s="1807" t="n">
        <v>419388000</v>
      </c>
      <c r="C308" s="1807" t="n">
        <v>470514000</v>
      </c>
      <c r="D308" s="1807" t="n">
        <v>680892000</v>
      </c>
      <c r="E308" s="1807" t="n">
        <v>788501000</v>
      </c>
      <c r="F308" s="1807" t="n">
        <v>818343000</v>
      </c>
      <c r="G308" s="1807" t="n">
        <v>917491000</v>
      </c>
    </row>
    <row r="309" ht="15" customHeight="1">
      <c r="A309" s="1885" t="inlineStr">
        <is>
          <t>Labor &amp; Related Expenses - Supplemental</t>
        </is>
      </c>
      <c r="B309" s="1807" t="n">
        <v>419388000</v>
      </c>
      <c r="C309" s="1807" t="n">
        <v>470514000</v>
      </c>
      <c r="D309" s="1807" t="n">
        <v>680892000</v>
      </c>
      <c r="E309" s="1807" t="n">
        <v>788501000</v>
      </c>
      <c r="F309" s="1807" t="n">
        <v>818343000</v>
      </c>
      <c r="G309" s="1807" t="n">
        <v>917491000</v>
      </c>
    </row>
    <row r="310" ht="15" customHeight="1">
      <c r="A310" s="1886" t="inlineStr">
        <is>
          <t>Stock-Based Compensation Expense - Net of Tax - Supplemental</t>
        </is>
      </c>
      <c r="B310" s="731" t="n"/>
      <c r="C310" s="731" t="n"/>
      <c r="D310" s="731" t="n"/>
      <c r="E310" s="731" t="n"/>
      <c r="F310" s="731" t="n"/>
      <c r="G310" s="731" t="n"/>
    </row>
    <row r="311" ht="15" customHeight="1">
      <c r="A311" s="1887" t="inlineStr">
        <is>
          <t>Stock-Based Compensation Expense - Pre-tax - Supplemental</t>
        </is>
      </c>
      <c r="B311" s="731" t="n"/>
      <c r="C311" s="731" t="n"/>
      <c r="D311" s="731" t="n"/>
      <c r="E311" s="731" t="n"/>
      <c r="F311" s="731" t="n"/>
      <c r="G311" s="731" t="n"/>
    </row>
    <row r="312" ht="15" customHeight="1">
      <c r="A312" s="1887" t="inlineStr">
        <is>
          <t>Stock-Based Compensation - Tax Benefit - Supplemental</t>
        </is>
      </c>
      <c r="B312" s="731" t="n"/>
      <c r="C312" s="731" t="n"/>
      <c r="D312" s="731" t="n"/>
      <c r="E312" s="731" t="n"/>
      <c r="F312" s="731" t="n"/>
      <c r="G312" s="731" t="n"/>
    </row>
    <row r="313" ht="15" customHeight="1">
      <c r="A313" s="1884" t="inlineStr">
        <is>
          <t>Auditor Fees</t>
        </is>
      </c>
      <c r="B313" s="734" t="n"/>
      <c r="C313" s="734" t="n"/>
      <c r="D313" s="734" t="n"/>
      <c r="E313" s="734" t="n"/>
      <c r="F313" s="734" t="n"/>
      <c r="G313" s="734" t="n"/>
    </row>
    <row r="314" ht="15" customHeight="1">
      <c r="A314" s="1885" t="inlineStr">
        <is>
          <t>Auditor Fees</t>
        </is>
      </c>
      <c r="B314" s="731" t="n"/>
      <c r="C314" s="731" t="n"/>
      <c r="D314" s="731" t="n"/>
      <c r="E314" s="731" t="n"/>
      <c r="F314" s="1807" t="n">
        <v>3400000</v>
      </c>
      <c r="G314" s="1807" t="n">
        <v>2200000</v>
      </c>
    </row>
    <row r="315" ht="15" customHeight="1">
      <c r="A315" s="1886" t="inlineStr">
        <is>
          <t>Audit-Related Fees</t>
        </is>
      </c>
      <c r="B315" s="731" t="n"/>
      <c r="C315" s="731" t="n"/>
      <c r="D315" s="731" t="n"/>
      <c r="E315" s="731" t="n"/>
      <c r="F315" s="1807" t="n">
        <v>3400000</v>
      </c>
      <c r="G315" s="1807" t="n">
        <v>2200000</v>
      </c>
    </row>
    <row r="316" ht="15" customHeight="1">
      <c r="A316" s="1886" t="inlineStr">
        <is>
          <t>Tax Fees</t>
        </is>
      </c>
      <c r="B316" s="731" t="n"/>
      <c r="C316" s="731" t="n"/>
      <c r="D316" s="731" t="n"/>
      <c r="E316" s="731" t="n"/>
      <c r="F316" s="731" t="n"/>
      <c r="G316" s="731" t="n"/>
    </row>
    <row r="317" ht="15" customHeight="1">
      <c r="A317" s="1886" t="inlineStr">
        <is>
          <t>Fees - Other</t>
        </is>
      </c>
      <c r="B317" s="731" t="n"/>
      <c r="C317" s="731" t="n"/>
      <c r="D317" s="731" t="n"/>
      <c r="E317" s="731" t="n"/>
      <c r="F317" s="731" t="n"/>
      <c r="G317" s="731" t="n"/>
    </row>
    <row r="318" ht="15" customHeight="1">
      <c r="A318" s="1884" t="inlineStr">
        <is>
          <t>Non-GAAP</t>
        </is>
      </c>
      <c r="B318" s="734" t="n"/>
      <c r="C318" s="734" t="n"/>
      <c r="D318" s="734" t="n"/>
      <c r="E318" s="734" t="n"/>
      <c r="F318" s="734" t="n"/>
      <c r="G318" s="734" t="n"/>
    </row>
    <row r="319" ht="15" customHeight="1">
      <c r="A319" s="1885" t="inlineStr">
        <is>
          <t>Non-GAAP Revenues - Company Reported</t>
        </is>
      </c>
      <c r="B319" s="731" t="n"/>
      <c r="C319" s="731" t="n"/>
      <c r="D319" s="731" t="n"/>
      <c r="E319" s="731" t="n"/>
      <c r="F319" s="731" t="n"/>
      <c r="G319" s="731" t="n"/>
    </row>
    <row r="320" ht="15" customHeight="1">
      <c r="A320" s="1885" t="inlineStr">
        <is>
          <t>Non-GAAP Income from Operations - Company Reported</t>
        </is>
      </c>
      <c r="B320" s="731" t="n"/>
      <c r="C320" s="731" t="n"/>
      <c r="D320" s="731" t="n"/>
      <c r="E320" s="731" t="n"/>
      <c r="F320" s="731" t="n"/>
      <c r="G320" s="731" t="n"/>
    </row>
    <row r="321" ht="15" customHeight="1">
      <c r="A321" s="1885" t="inlineStr">
        <is>
          <t>Non-GAAP Adjusted Net Earnings - Company Reported</t>
        </is>
      </c>
      <c r="B321" s="731" t="n"/>
      <c r="C321" s="731" t="n"/>
      <c r="D321" s="731" t="n"/>
      <c r="E321" s="731" t="n"/>
      <c r="F321" s="731" t="n"/>
      <c r="G321" s="731" t="n"/>
    </row>
    <row r="322" ht="15" customHeight="1">
      <c r="A322" s="1885" t="inlineStr">
        <is>
          <t>Non-GAAP Adjusted EBITDA - Company Reported</t>
        </is>
      </c>
      <c r="B322" s="731" t="n"/>
      <c r="C322" s="731" t="n"/>
      <c r="D322" s="731" t="n"/>
      <c r="E322" s="731" t="n"/>
      <c r="F322" s="731" t="n"/>
      <c r="G322" s="731" t="n"/>
    </row>
    <row r="323" ht="15" customHeight="1">
      <c r="A323" s="1885" t="inlineStr">
        <is>
          <t>Non-GAAP EPS Basic - Company Reported</t>
        </is>
      </c>
      <c r="B323" s="731" t="n"/>
      <c r="C323" s="731" t="n"/>
      <c r="D323" s="731" t="n"/>
      <c r="E323" s="731" t="n"/>
      <c r="F323" s="731" t="n"/>
      <c r="G323" s="731" t="n"/>
    </row>
    <row r="324" ht="15" customHeight="1">
      <c r="A324" s="1885" t="inlineStr">
        <is>
          <t>Non-GAAP EPS Diluted - Company Reported</t>
        </is>
      </c>
      <c r="B324" s="731" t="n"/>
      <c r="C324" s="731" t="n"/>
      <c r="D324" s="731" t="n"/>
      <c r="E324" s="731" t="n"/>
      <c r="F324" s="731" t="n"/>
      <c r="G324" s="731" t="n"/>
    </row>
    <row r="325" ht="15" customHeight="1">
      <c r="A325" s="1885" t="inlineStr">
        <is>
          <t>Non-GAAP Operating Margin % - Company Reported</t>
        </is>
      </c>
      <c r="B325" s="731" t="n"/>
      <c r="C325" s="731" t="n"/>
      <c r="D325" s="731" t="n"/>
      <c r="E325" s="731" t="n"/>
      <c r="F325" s="731" t="n"/>
      <c r="G325" s="731" t="n"/>
    </row>
    <row r="326" ht="15" customHeight="1">
      <c r="A326" s="1885" t="inlineStr">
        <is>
          <t>Reported - Net Income - Non-GAAP</t>
        </is>
      </c>
      <c r="B326" s="731" t="n"/>
      <c r="C326" s="731" t="n"/>
      <c r="D326" s="731" t="n"/>
      <c r="E326" s="731" t="n"/>
      <c r="F326" s="731" t="n"/>
      <c r="G326" s="731" t="n"/>
    </row>
    <row r="327" ht="15" customHeight="1">
      <c r="A327" s="1885" t="inlineStr">
        <is>
          <t>Reported - Non-Recurring Item - Non-GAAP</t>
        </is>
      </c>
      <c r="B327" s="731" t="n"/>
      <c r="C327" s="731" t="n"/>
      <c r="D327" s="731" t="n"/>
      <c r="E327" s="731" t="n"/>
      <c r="F327" s="731" t="n"/>
      <c r="G327" s="731" t="n"/>
    </row>
    <row r="328" ht="15" customHeight="1">
      <c r="A328" s="1885" t="inlineStr">
        <is>
          <t>Reported - Tax Impact from Non-Recurring Items - Non-GAAP</t>
        </is>
      </c>
      <c r="B328" s="731" t="n"/>
      <c r="C328" s="731" t="n"/>
      <c r="D328" s="731" t="n"/>
      <c r="E328" s="731" t="n"/>
      <c r="F328" s="731" t="n"/>
      <c r="G328" s="731" t="n"/>
    </row>
    <row r="329" ht="15" customHeight="1">
      <c r="A329" s="1885" t="inlineStr">
        <is>
          <t>Reported - Normalized Net Income</t>
        </is>
      </c>
      <c r="B329" s="731" t="n"/>
      <c r="C329" s="731" t="n"/>
      <c r="D329" s="731" t="n"/>
      <c r="E329" s="731" t="n"/>
      <c r="F329" s="731" t="n"/>
      <c r="G329" s="731" t="n"/>
    </row>
    <row r="330" ht="15" customHeight="1">
      <c r="A330" s="1885" t="inlineStr">
        <is>
          <t>Non-Recurring/Unusual Items - Tax Impact</t>
        </is>
      </c>
      <c r="B330" s="731" t="n"/>
      <c r="C330" s="731" t="n"/>
      <c r="D330" s="731" t="n"/>
      <c r="E330" s="731" t="n"/>
      <c r="F330" s="731" t="n"/>
      <c r="G330" s="731" t="n"/>
    </row>
    <row r="331" ht="15" customHeight="1">
      <c r="A331" s="1885" t="inlineStr">
        <is>
          <t>Non-Recurring Items - Impact on Income Tax</t>
        </is>
      </c>
      <c r="B331" s="731" t="n"/>
      <c r="C331" s="731" t="n"/>
      <c r="D331" s="731" t="n"/>
      <c r="E331" s="731" t="n"/>
      <c r="F331" s="731" t="n"/>
      <c r="G331" s="731" t="n"/>
    </row>
    <row r="332" ht="15" customHeight="1">
      <c r="A332" s="1884" t="inlineStr">
        <is>
          <t>Normalized</t>
        </is>
      </c>
      <c r="B332" s="734" t="n"/>
      <c r="C332" s="734" t="n"/>
      <c r="D332" s="734" t="n"/>
      <c r="E332" s="734" t="n"/>
      <c r="F332" s="734" t="n"/>
      <c r="G332" s="734" t="n"/>
    </row>
    <row r="333" ht="15" customHeight="1">
      <c r="A333" s="1885" t="inlineStr">
        <is>
          <t>Normalized after Tax Profit</t>
        </is>
      </c>
      <c r="B333" s="1807" t="n">
        <v>2831549000</v>
      </c>
      <c r="C333" s="1807" t="n">
        <v>3396326000</v>
      </c>
      <c r="D333" s="1807" t="n">
        <v>3547468000</v>
      </c>
      <c r="E333" s="1807" t="n">
        <v>3323882000</v>
      </c>
      <c r="F333" s="1807" t="n">
        <v>3364606000</v>
      </c>
      <c r="G333" s="1807" t="n">
        <v>3682248000</v>
      </c>
    </row>
    <row r="334" ht="15" customHeight="1">
      <c r="A334" s="1885" t="inlineStr">
        <is>
          <t>Normalized Net Income from Continuing Operations</t>
        </is>
      </c>
      <c r="B334" s="1807" t="n">
        <v>2831549000</v>
      </c>
      <c r="C334" s="1807" t="n">
        <v>3396326000</v>
      </c>
      <c r="D334" s="1807" t="n">
        <v>3547468000</v>
      </c>
      <c r="E334" s="1807" t="n">
        <v>3323882000</v>
      </c>
      <c r="F334" s="1807" t="n">
        <v>3364606000</v>
      </c>
      <c r="G334" s="1807" t="n">
        <v>3682248000</v>
      </c>
    </row>
    <row r="335" ht="15" customHeight="1">
      <c r="A335" s="1885" t="inlineStr">
        <is>
          <t>Normalized Net Income - Bottom Line</t>
        </is>
      </c>
      <c r="B335" s="1807" t="n">
        <v>2813932000</v>
      </c>
      <c r="C335" s="1807" t="n">
        <v>3375826000</v>
      </c>
      <c r="D335" s="1807" t="n">
        <v>3492958000</v>
      </c>
      <c r="E335" s="1807" t="n">
        <v>3273337000</v>
      </c>
      <c r="F335" s="1807" t="n">
        <v>3335437000</v>
      </c>
      <c r="G335" s="1807" t="n">
        <v>3678316000</v>
      </c>
    </row>
    <row r="336" ht="15" customHeight="1">
      <c r="A336" s="1885" t="inlineStr">
        <is>
          <t>Earnings before Interest &amp; Taxes (EBIT) - Normalized</t>
        </is>
      </c>
      <c r="B336" s="1807" t="n">
        <v>4427695000</v>
      </c>
      <c r="C336" s="1807" t="n">
        <v>5253871000</v>
      </c>
      <c r="D336" s="1807" t="n">
        <v>6790528000</v>
      </c>
      <c r="E336" s="1807" t="n">
        <v>6818523000</v>
      </c>
      <c r="F336" s="1807" t="n">
        <v>7136392000</v>
      </c>
      <c r="G336" s="1807" t="n">
        <v>7284774000</v>
      </c>
    </row>
    <row r="337" ht="15" customHeight="1">
      <c r="A337" s="1885" t="inlineStr">
        <is>
          <t>Earnings before Interest, Taxes, Depreciation &amp; Amortization (EBITDA) - Normalized</t>
        </is>
      </c>
      <c r="B337" s="1807" t="n">
        <v>6071709000</v>
      </c>
      <c r="C337" s="1807" t="n">
        <v>7113690000</v>
      </c>
      <c r="D337" s="1807" t="n">
        <v>9097208000</v>
      </c>
      <c r="E337" s="1807" t="n">
        <v>9661791000</v>
      </c>
      <c r="F337" s="1807" t="n">
        <v>10234119000</v>
      </c>
      <c r="G337" s="1807" t="n">
        <v>10358039000</v>
      </c>
    </row>
    <row r="338" ht="15" customHeight="1">
      <c r="A338" s="1884" t="inlineStr">
        <is>
          <t>Derivatives - Realized Gain/Loss</t>
        </is>
      </c>
      <c r="B338" s="734" t="n"/>
      <c r="C338" s="734" t="n"/>
      <c r="D338" s="734" t="n"/>
      <c r="E338" s="734" t="n"/>
      <c r="F338" s="734" t="n"/>
      <c r="G338" s="734" t="n"/>
    </row>
    <row r="339" ht="15" customHeight="1">
      <c r="A339" s="1885" t="inlineStr">
        <is>
          <t>Derivatives - Realized Gain/(Loss) (including Reclassified from OCI) - Revenue - Supplemental</t>
        </is>
      </c>
      <c r="B339" s="731" t="n"/>
      <c r="C339" s="731" t="n"/>
      <c r="D339" s="731" t="n"/>
      <c r="E339" s="731" t="n"/>
      <c r="F339" s="731" t="n"/>
      <c r="G339" s="731" t="n"/>
    </row>
    <row r="340" ht="15" customHeight="1">
      <c r="A340" s="1885" t="inlineStr">
        <is>
          <t>Derivatives - Realized Gain/(Loss) (including Reclassified from OCI) - Cost of Goods Sold - Supplemental</t>
        </is>
      </c>
      <c r="B340" s="731" t="n"/>
      <c r="C340" s="731" t="n"/>
      <c r="D340" s="731" t="n"/>
      <c r="E340" s="731" t="n"/>
      <c r="F340" s="731" t="n"/>
      <c r="G340" s="731" t="n"/>
    </row>
    <row r="341" ht="15" customHeight="1">
      <c r="A341" s="1885" t="inlineStr">
        <is>
          <t>Derivatives - Realized Gain/(Loss) (including Reclassified from OCI) - Interest Expenses - Supplemental</t>
        </is>
      </c>
      <c r="B341" s="731" t="n"/>
      <c r="C341" s="731" t="n"/>
      <c r="D341" s="731" t="n"/>
      <c r="E341" s="731" t="n"/>
      <c r="F341" s="731" t="n"/>
      <c r="G341" s="731" t="n"/>
    </row>
    <row r="342" ht="15" customHeight="1">
      <c r="A342" s="1885" t="inlineStr">
        <is>
          <t>Derivatives - Realized Gain/(Loss) (including Reclassified from OCI) - Other - Supplemental</t>
        </is>
      </c>
      <c r="B342" s="731" t="n"/>
      <c r="C342" s="731" t="n"/>
      <c r="D342" s="731" t="n"/>
      <c r="E342" s="731" t="n"/>
      <c r="F342" s="731" t="n"/>
      <c r="G342" s="731" t="n"/>
    </row>
    <row r="343" ht="15" customHeight="1">
      <c r="A343" s="1885" t="inlineStr">
        <is>
          <t>Derivatives - Realized Gain/(Loss) (including Reclassified from OCI) - Total - Supplemental</t>
        </is>
      </c>
      <c r="B343" s="731" t="n"/>
      <c r="C343" s="731" t="n"/>
      <c r="D343" s="731" t="n"/>
      <c r="E343" s="731" t="n"/>
      <c r="F343" s="731" t="n"/>
      <c r="G343" s="731" t="n"/>
    </row>
    <row r="344" ht="15" customHeight="1">
      <c r="A344" s="1884" t="inlineStr">
        <is>
          <t>Derivatives</t>
        </is>
      </c>
      <c r="B344" s="734" t="n"/>
      <c r="C344" s="734" t="n"/>
      <c r="D344" s="734" t="n"/>
      <c r="E344" s="734" t="n"/>
      <c r="F344" s="734" t="n"/>
      <c r="G344" s="734" t="n"/>
    </row>
    <row r="345" ht="15" customHeight="1">
      <c r="A345" s="1885" t="inlineStr">
        <is>
          <t>Derivatives - Hedging - Gain/(Loss) - Total - Supplemental</t>
        </is>
      </c>
      <c r="B345" s="731" t="n"/>
      <c r="C345" s="731" t="n"/>
      <c r="D345" s="731" t="n"/>
      <c r="E345" s="731" t="n"/>
      <c r="F345" s="731" t="n"/>
      <c r="G345" s="731" t="n"/>
    </row>
    <row r="346" ht="15" customHeight="1">
      <c r="A346" s="1886" t="inlineStr">
        <is>
          <t>Unrealized Adjustments on Derivatives for Hedging - Supplemental</t>
        </is>
      </c>
      <c r="B346" s="731" t="n"/>
      <c r="C346" s="731" t="n"/>
      <c r="D346" s="731" t="n"/>
      <c r="E346" s="731" t="n"/>
      <c r="F346" s="731" t="n"/>
      <c r="G346" s="731" t="n"/>
    </row>
    <row r="347" ht="15" customHeight="1">
      <c r="A347" s="1886" t="inlineStr">
        <is>
          <t>Derivatives - Hedging - Realized Gain/(Loss) - Total - Supplemental</t>
        </is>
      </c>
      <c r="B347" s="731" t="n"/>
      <c r="C347" s="731" t="n"/>
      <c r="D347" s="731" t="n"/>
      <c r="E347" s="731" t="n"/>
      <c r="F347" s="731" t="n"/>
      <c r="G347" s="731" t="n"/>
    </row>
    <row r="348" ht="15" customHeight="1">
      <c r="A348" s="1887" t="inlineStr">
        <is>
          <t>Derivatives - Hedging - Effective Gain/(Loss) - Supplemental</t>
        </is>
      </c>
      <c r="B348" s="731" t="n"/>
      <c r="C348" s="731" t="n"/>
      <c r="D348" s="731" t="n"/>
      <c r="E348" s="731" t="n"/>
      <c r="F348" s="731" t="n"/>
      <c r="G348" s="731" t="n"/>
    </row>
    <row r="349" ht="15" customHeight="1">
      <c r="A349" s="1887" t="inlineStr">
        <is>
          <t>Derivatives - Hedging - Ineffective Gain/(Loss) - Supplemental</t>
        </is>
      </c>
      <c r="B349" s="731" t="n"/>
      <c r="C349" s="731" t="n"/>
      <c r="D349" s="731" t="n"/>
      <c r="E349" s="731" t="n"/>
      <c r="F349" s="731" t="n"/>
      <c r="G349" s="731" t="n"/>
    </row>
    <row r="350" ht="15" customHeight="1">
      <c r="A350" s="1887" t="inlineStr">
        <is>
          <t>Early Termination of Derivatives - Hedging - Gain/(Loss) - Supplemental</t>
        </is>
      </c>
      <c r="B350" s="731" t="n"/>
      <c r="C350" s="731" t="n"/>
      <c r="D350" s="731" t="n"/>
      <c r="E350" s="731" t="n"/>
      <c r="F350" s="731" t="n"/>
      <c r="G350" s="731" t="n"/>
    </row>
    <row r="351" ht="15" customHeight="1">
      <c r="A351" s="1886" t="inlineStr">
        <is>
          <t>Trading Derivatives - Gain/(Loss) - Supplemental</t>
        </is>
      </c>
      <c r="B351" s="731" t="n"/>
      <c r="C351" s="731" t="n"/>
      <c r="D351" s="731" t="n"/>
      <c r="E351" s="731" t="n"/>
      <c r="F351" s="731" t="n"/>
      <c r="G351" s="731" t="n"/>
    </row>
    <row r="352" ht="15" customHeight="1">
      <c r="A352" s="1884" t="inlineStr">
        <is>
          <t>Lease Expenses</t>
        </is>
      </c>
      <c r="B352" s="734" t="n"/>
      <c r="C352" s="734" t="n"/>
      <c r="D352" s="734" t="n"/>
      <c r="E352" s="734" t="n"/>
      <c r="F352" s="734" t="n"/>
      <c r="G352" s="734" t="n"/>
    </row>
    <row r="353" ht="15" customHeight="1">
      <c r="A353" s="1885" t="inlineStr">
        <is>
          <t>Lease Expense -Total - Supplemental</t>
        </is>
      </c>
      <c r="B353" s="731" t="n"/>
      <c r="C353" s="731" t="n"/>
      <c r="D353" s="731" t="n"/>
      <c r="E353" s="731" t="n"/>
      <c r="F353" s="731" t="n"/>
      <c r="G353" s="731" t="n"/>
    </row>
    <row r="354" ht="15" customHeight="1">
      <c r="A354" s="1886" t="inlineStr">
        <is>
          <t>Operating /Rental Expense - Supplemental</t>
        </is>
      </c>
      <c r="B354" s="731" t="n"/>
      <c r="C354" s="731" t="n"/>
      <c r="D354" s="731" t="n"/>
      <c r="E354" s="731" t="n"/>
      <c r="F354" s="731" t="n"/>
      <c r="G354" s="731" t="n"/>
    </row>
    <row r="355" ht="15" customHeight="1">
      <c r="A355" s="1886" t="inlineStr">
        <is>
          <t>Depreciation of Financial Lease ROU Assets - Supplemental</t>
        </is>
      </c>
      <c r="B355" s="731" t="n"/>
      <c r="C355" s="731" t="n"/>
      <c r="D355" s="731" t="n"/>
      <c r="E355" s="731" t="n"/>
      <c r="F355" s="731" t="n"/>
      <c r="G355" s="731" t="n"/>
    </row>
    <row r="356" ht="15" customHeight="1">
      <c r="A356" s="1886" t="inlineStr">
        <is>
          <t>Amortization of Financial Lease ROU Assets - Supplemental</t>
        </is>
      </c>
      <c r="B356" s="731" t="n"/>
      <c r="C356" s="731" t="n"/>
      <c r="D356" s="731" t="n"/>
      <c r="E356" s="731" t="n"/>
      <c r="F356" s="731" t="n"/>
      <c r="G356" s="731" t="n"/>
    </row>
    <row r="357" ht="15" customHeight="1">
      <c r="A357" s="1886" t="inlineStr">
        <is>
          <t>Variable Lease Expense - Unclassified - Supplemental</t>
        </is>
      </c>
      <c r="B357" s="731" t="n"/>
      <c r="C357" s="731" t="n"/>
      <c r="D357" s="731" t="n"/>
      <c r="E357" s="731" t="n"/>
      <c r="F357" s="731" t="n"/>
      <c r="G357" s="731" t="n"/>
    </row>
    <row r="358" ht="15" customHeight="1">
      <c r="A358" s="1886" t="inlineStr">
        <is>
          <t>Variable Operating Lease Expenses - US GAAP - Supplemental</t>
        </is>
      </c>
      <c r="B358" s="731" t="n"/>
      <c r="C358" s="731" t="n"/>
      <c r="D358" s="731" t="n"/>
      <c r="E358" s="731" t="n"/>
      <c r="F358" s="731" t="n"/>
      <c r="G358" s="731" t="n"/>
    </row>
    <row r="359" ht="15" customHeight="1">
      <c r="A359" s="1886" t="inlineStr">
        <is>
          <t>Variable Financial Lease Expenses - Supplemental</t>
        </is>
      </c>
      <c r="B359" s="731" t="n"/>
      <c r="C359" s="731" t="n"/>
      <c r="D359" s="731" t="n"/>
      <c r="E359" s="731" t="n"/>
      <c r="F359" s="731" t="n"/>
      <c r="G359" s="731" t="n"/>
    </row>
    <row r="360" ht="15" customHeight="1">
      <c r="A360" s="1886" t="inlineStr">
        <is>
          <t>Interest Expense on Financial Lease Liabilities - Supple</t>
        </is>
      </c>
      <c r="B360" s="1807" t="n">
        <v>110687000</v>
      </c>
      <c r="C360" s="1807" t="n">
        <v>108255000</v>
      </c>
      <c r="D360" s="1807" t="n">
        <v>131077000</v>
      </c>
      <c r="E360" s="1807" t="n">
        <v>91905000</v>
      </c>
      <c r="F360" s="1807" t="n">
        <v>49785000</v>
      </c>
      <c r="G360" s="1807" t="n">
        <v>69340000</v>
      </c>
    </row>
    <row r="361" ht="15" customHeight="1">
      <c r="A361" s="1886" t="inlineStr">
        <is>
          <t>Short-Term Lease Cost - Supplemental</t>
        </is>
      </c>
      <c r="B361" s="731" t="n"/>
      <c r="C361" s="731" t="n"/>
      <c r="D361" s="731" t="n"/>
      <c r="E361" s="731" t="n"/>
      <c r="F361" s="731" t="n"/>
      <c r="G361" s="731" t="n"/>
    </row>
    <row r="362" ht="15" customHeight="1">
      <c r="A362" s="1886" t="inlineStr">
        <is>
          <t>Sublease Income - Supplemental</t>
        </is>
      </c>
      <c r="B362" s="731" t="n"/>
      <c r="C362" s="731" t="n"/>
      <c r="D362" s="731" t="n"/>
      <c r="E362" s="731" t="n"/>
      <c r="F362" s="731" t="n"/>
      <c r="G362" s="731" t="n"/>
    </row>
    <row r="363" ht="15" customHeight="1">
      <c r="A363" s="1884" t="inlineStr">
        <is>
          <t>Other</t>
        </is>
      </c>
      <c r="B363" s="734" t="n"/>
      <c r="C363" s="734" t="n"/>
      <c r="D363" s="734" t="n"/>
      <c r="E363" s="734" t="n"/>
      <c r="F363" s="734" t="n"/>
      <c r="G363" s="734" t="n"/>
    </row>
    <row r="364" ht="15" customHeight="1">
      <c r="A364" s="1885" t="inlineStr">
        <is>
          <t>Rental/Operating Lease Expense</t>
        </is>
      </c>
      <c r="B364" s="731" t="n"/>
      <c r="C364" s="731" t="n"/>
      <c r="D364" s="731" t="n"/>
      <c r="E364" s="731" t="n"/>
      <c r="F364" s="731" t="n"/>
      <c r="G364" s="731" t="n"/>
    </row>
    <row r="365" ht="15" customHeight="1">
      <c r="A365" s="1885" t="inlineStr">
        <is>
          <t>Advertising Expenses - Supplemental</t>
        </is>
      </c>
      <c r="B365" s="731" t="n"/>
      <c r="C365" s="731" t="n"/>
      <c r="D365" s="731" t="n"/>
      <c r="E365" s="731" t="n"/>
      <c r="F365" s="731" t="n"/>
      <c r="G365" s="731" t="n"/>
    </row>
    <row r="366" ht="15" customHeight="1">
      <c r="A366" s="1885" t="inlineStr">
        <is>
          <t>Exploration Expenses</t>
        </is>
      </c>
      <c r="B366" s="731" t="n"/>
      <c r="C366" s="731" t="n"/>
      <c r="D366" s="731" t="n"/>
      <c r="E366" s="731" t="n"/>
      <c r="F366" s="731" t="n"/>
      <c r="G366" s="731" t="n"/>
    </row>
    <row r="367" ht="15" customHeight="1">
      <c r="A367" s="1885" t="inlineStr">
        <is>
          <t>U.S. GAAP Adjustment</t>
        </is>
      </c>
      <c r="B367" s="731" t="n"/>
      <c r="C367" s="731" t="n"/>
      <c r="D367" s="731" t="n"/>
      <c r="E367" s="731" t="n"/>
      <c r="F367" s="731" t="n"/>
      <c r="G367" s="731" t="n"/>
    </row>
    <row r="368" ht="15" customHeight="1">
      <c r="A368" s="1885" t="inlineStr">
        <is>
          <t>Cost of Revenue including Operation &amp; Maintenance (Utility) - Total</t>
        </is>
      </c>
      <c r="B368" s="1807" t="n">
        <v>2059254000</v>
      </c>
      <c r="C368" s="1807" t="n">
        <v>2340173000</v>
      </c>
      <c r="D368" s="1807" t="n">
        <v>2914450000</v>
      </c>
      <c r="E368" s="1807" t="n">
        <v>3527754000</v>
      </c>
      <c r="F368" s="1807" t="n">
        <v>3996322000</v>
      </c>
      <c r="G368" s="1807" t="n">
        <v>4188377000</v>
      </c>
    </row>
    <row r="369" ht="15" customHeight="1">
      <c r="A369" s="1885" t="inlineStr">
        <is>
          <t>Cost of Revenues excluding Depreciation</t>
        </is>
      </c>
      <c r="B369" s="1807" t="n">
        <v>415240000</v>
      </c>
      <c r="C369" s="1807" t="n">
        <v>480354000</v>
      </c>
      <c r="D369" s="1807" t="n">
        <v>607770000</v>
      </c>
      <c r="E369" s="1807" t="n">
        <v>684486000</v>
      </c>
      <c r="F369" s="1807" t="n">
        <v>898595000</v>
      </c>
      <c r="G369" s="1807" t="n">
        <v>1115112000</v>
      </c>
    </row>
    <row r="370" ht="15" customHeight="1">
      <c r="A370" s="1885" t="inlineStr">
        <is>
          <t>Foreign Exchange Gain/(Loss)</t>
        </is>
      </c>
      <c r="B370" s="731" t="n"/>
      <c r="C370" s="731" t="n"/>
      <c r="D370" s="731" t="n"/>
      <c r="E370" s="731" t="n"/>
      <c r="F370" s="731" t="n"/>
      <c r="G370" s="731" t="n"/>
    </row>
    <row r="371" ht="15" customHeight="1">
      <c r="A371" s="1885" t="inlineStr">
        <is>
          <t>Generation Cost</t>
        </is>
      </c>
      <c r="B371" s="731" t="n"/>
      <c r="C371" s="731" t="n"/>
      <c r="D371" s="731" t="n"/>
      <c r="E371" s="731" t="n"/>
      <c r="F371" s="731" t="n"/>
      <c r="G371" s="731" t="n"/>
    </row>
    <row r="372" ht="15" customHeight="1">
      <c r="A372" s="1885" t="inlineStr">
        <is>
          <t>Interest Expense</t>
        </is>
      </c>
      <c r="B372" s="1807" t="n">
        <v>1084429000</v>
      </c>
      <c r="C372" s="1807" t="n">
        <v>1285318000</v>
      </c>
      <c r="D372" s="1807" t="n">
        <v>2309609000</v>
      </c>
      <c r="E372" s="1807" t="n">
        <v>2720138000</v>
      </c>
      <c r="F372" s="1807" t="n">
        <v>3025006000</v>
      </c>
      <c r="G372" s="1807" t="n">
        <v>2876067000</v>
      </c>
    </row>
    <row r="373" ht="15" customHeight="1">
      <c r="A373" s="1885" t="inlineStr">
        <is>
          <t>Operating Expenses</t>
        </is>
      </c>
      <c r="B373" s="1807" t="n">
        <v>2674726000</v>
      </c>
      <c r="C373" s="1807" t="n">
        <v>3214722000</v>
      </c>
      <c r="D373" s="1807" t="n">
        <v>3919536000</v>
      </c>
      <c r="E373" s="1807" t="n">
        <v>4590659000</v>
      </c>
      <c r="F373" s="1807" t="n">
        <v>5284386000</v>
      </c>
      <c r="G373" s="1807" t="n">
        <v>5477073000</v>
      </c>
    </row>
    <row r="374" ht="15" customHeight="1">
      <c r="A374" s="1885" t="inlineStr">
        <is>
          <t>Selling, General &amp; Administrative Expenses excluding Research &amp; Development Expenses</t>
        </is>
      </c>
      <c r="B374" s="1807" t="n">
        <v>592782000</v>
      </c>
      <c r="C374" s="1807" t="n">
        <v>707120000</v>
      </c>
      <c r="D374" s="1807" t="n">
        <v>916111000</v>
      </c>
      <c r="E374" s="1807" t="n">
        <v>1119731000</v>
      </c>
      <c r="F374" s="1807" t="n">
        <v>1217595000</v>
      </c>
      <c r="G374" s="1807" t="n">
        <v>1211640000</v>
      </c>
    </row>
  </sheetData>
  <pageMargins left="0.5" right="0.5" top="1" bottom="1" header="0.511811023622047" footer="0.511811023622047"/>
  <pageSetup orientation="portrait" fitToHeight="0" horizontalDpi="300" verticalDpi="300"/>
</worksheet>
</file>

<file path=xl/worksheets/sheet39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H47"/>
  <sheetViews>
    <sheetView zoomScaleNormal="100" workbookViewId="0">
      <selection activeCell="C31" sqref="C31"/>
    </sheetView>
  </sheetViews>
  <sheetFormatPr baseColWidth="8" defaultColWidth="8.7109375" defaultRowHeight="14.25" outlineLevelRow="1"/>
  <cols>
    <col width="85.7109375" customWidth="1" min="1" max="1"/>
    <col width="15.7109375" customWidth="1" min="2" max="8"/>
  </cols>
  <sheetData>
    <row r="1" ht="15" customHeight="1">
      <c r="A1" s="1872" t="inlineStr">
        <is>
          <t>Company Fundamentals - Segments</t>
        </is>
      </c>
      <c r="B1" s="1873" t="n"/>
      <c r="C1" s="1873" t="n"/>
      <c r="D1" s="1873" t="n"/>
      <c r="E1" s="1873" t="n"/>
      <c r="F1" s="1873" t="n"/>
      <c r="G1" s="1873" t="n"/>
      <c r="H1" s="1873" t="n"/>
    </row>
    <row r="2" ht="15" customHeight="1">
      <c r="A2" s="934" t="inlineStr">
        <is>
          <t>Company Name</t>
        </is>
      </c>
      <c r="B2" s="931" t="inlineStr">
        <is>
          <t>Sarana Menara Nusantara Tbk PT (TOWR.JK)</t>
        </is>
      </c>
    </row>
    <row r="3" ht="14.25" customHeight="1">
      <c r="A3" s="934" t="inlineStr">
        <is>
          <t>Country of Exchange</t>
        </is>
      </c>
      <c r="B3" s="934" t="inlineStr">
        <is>
          <t>Indonesia</t>
        </is>
      </c>
    </row>
    <row r="4" ht="14.25" customHeight="1">
      <c r="A4" s="934" t="inlineStr">
        <is>
          <t>Country of Headquarters</t>
        </is>
      </c>
      <c r="B4" s="934" t="inlineStr">
        <is>
          <t>Indonesia</t>
        </is>
      </c>
    </row>
    <row r="5" ht="14.25" customHeight="1">
      <c r="A5" s="934" t="inlineStr">
        <is>
          <t>TRBC Industry Group</t>
        </is>
      </c>
      <c r="B5" s="934" t="inlineStr">
        <is>
          <t>Telecommunications Services</t>
        </is>
      </c>
    </row>
    <row r="6" ht="14.25" customHeight="1">
      <c r="A6" s="934" t="inlineStr">
        <is>
          <t>CF Template</t>
        </is>
      </c>
      <c r="B6" s="934" t="inlineStr">
        <is>
          <t>IND</t>
        </is>
      </c>
    </row>
    <row r="7" ht="14.25" customHeight="1">
      <c r="A7" s="934" t="inlineStr">
        <is>
          <t>Consolidation Basis</t>
        </is>
      </c>
      <c r="B7" s="934" t="inlineStr">
        <is>
          <t>Consolidated</t>
        </is>
      </c>
    </row>
    <row r="8" ht="14.25" customHeight="1">
      <c r="A8" s="934" t="inlineStr">
        <is>
          <t>Scaling</t>
        </is>
      </c>
      <c r="B8" s="934" t="inlineStr">
        <is>
          <t>Thousands</t>
        </is>
      </c>
    </row>
    <row r="9" ht="14.25" customHeight="1">
      <c r="A9" s="934" t="inlineStr">
        <is>
          <t>Period</t>
        </is>
      </c>
      <c r="B9" s="934" t="inlineStr">
        <is>
          <t>Annual</t>
        </is>
      </c>
    </row>
    <row r="10" ht="14.25" customHeight="1">
      <c r="A10" s="934" t="inlineStr">
        <is>
          <t>Export Date</t>
        </is>
      </c>
      <c r="B10" s="1874" t="n">
        <v>46247.28126630787</v>
      </c>
    </row>
    <row r="11" ht="14.25" customHeight="1">
      <c r="A11" s="1875" t="inlineStr">
        <is>
          <t>Statement Data</t>
        </is>
      </c>
      <c r="B11" s="1882" t="n"/>
      <c r="C11" s="1876" t="inlineStr">
        <is>
          <t>2020</t>
        </is>
      </c>
      <c r="D11" s="1876" t="inlineStr">
        <is>
          <t>2021</t>
        </is>
      </c>
      <c r="E11" s="1876" t="inlineStr">
        <is>
          <t>2022</t>
        </is>
      </c>
      <c r="F11" s="1876" t="inlineStr">
        <is>
          <t>2023</t>
        </is>
      </c>
      <c r="G11" s="1876" t="inlineStr">
        <is>
          <t>2024</t>
        </is>
      </c>
      <c r="H11" s="1876" t="inlineStr">
        <is>
          <t>2025</t>
        </is>
      </c>
    </row>
    <row r="12" outlineLevel="1" ht="15" customHeight="1">
      <c r="A12" s="1877" t="inlineStr">
        <is>
          <t>Period End Date</t>
        </is>
      </c>
      <c r="C12" s="1878" t="n">
        <v>44196</v>
      </c>
      <c r="D12" s="1878" t="n">
        <v>44561</v>
      </c>
      <c r="E12" s="1878" t="n">
        <v>44926</v>
      </c>
      <c r="F12" s="1878" t="n">
        <v>45291</v>
      </c>
      <c r="G12" s="1878" t="n">
        <v>45657</v>
      </c>
      <c r="H12" s="1878" t="n">
        <v>46022</v>
      </c>
    </row>
    <row r="13" outlineLevel="1" ht="15" customHeight="1">
      <c r="A13" s="1877" t="inlineStr">
        <is>
          <t>Statement Date</t>
        </is>
      </c>
      <c r="C13" s="1878" t="n">
        <v>44196</v>
      </c>
      <c r="D13" s="1878" t="n">
        <v>44561</v>
      </c>
      <c r="E13" s="1878" t="n">
        <v>44926</v>
      </c>
      <c r="F13" s="1878" t="n">
        <v>45291</v>
      </c>
      <c r="G13" s="1878" t="n">
        <v>45657</v>
      </c>
      <c r="H13" s="1878" t="n">
        <v>46022</v>
      </c>
    </row>
    <row r="14" outlineLevel="1" ht="15" customHeight="1">
      <c r="A14" s="1877" t="inlineStr">
        <is>
          <t>Complete Statement</t>
        </is>
      </c>
      <c r="C14" s="1880" t="inlineStr">
        <is>
          <t>Complete</t>
        </is>
      </c>
      <c r="D14" s="1880" t="inlineStr">
        <is>
          <t>Complete</t>
        </is>
      </c>
      <c r="E14" s="1880" t="inlineStr">
        <is>
          <t>Complete</t>
        </is>
      </c>
      <c r="F14" s="1880" t="inlineStr">
        <is>
          <t>Complete</t>
        </is>
      </c>
      <c r="G14" s="1880" t="inlineStr">
        <is>
          <t>Complete</t>
        </is>
      </c>
      <c r="H14" s="1880" t="inlineStr">
        <is>
          <t>Complete</t>
        </is>
      </c>
    </row>
    <row r="15" outlineLevel="1" ht="15" customHeight="1">
      <c r="A15" s="1877" t="inlineStr">
        <is>
          <t>Consolidated</t>
        </is>
      </c>
      <c r="C15" s="1880" t="inlineStr">
        <is>
          <t>Consolidated</t>
        </is>
      </c>
      <c r="D15" s="1880" t="inlineStr">
        <is>
          <t>Consolidated</t>
        </is>
      </c>
      <c r="E15" s="1880" t="inlineStr">
        <is>
          <t>Consolidated</t>
        </is>
      </c>
      <c r="F15" s="1880" t="inlineStr">
        <is>
          <t>Consolidated</t>
        </is>
      </c>
      <c r="G15" s="1880" t="inlineStr">
        <is>
          <t>Consolidated</t>
        </is>
      </c>
      <c r="H15" s="1880" t="inlineStr">
        <is>
          <t>Consolidated</t>
        </is>
      </c>
    </row>
    <row r="16" outlineLevel="1" ht="15" customHeight="1">
      <c r="A16" s="1877" t="inlineStr">
        <is>
          <t>Accounting Standard</t>
        </is>
      </c>
      <c r="C16" s="1880" t="inlineStr">
        <is>
          <t>Indonesian</t>
        </is>
      </c>
      <c r="D16" s="1880" t="inlineStr">
        <is>
          <t>Indonesian</t>
        </is>
      </c>
      <c r="E16" s="1880" t="inlineStr">
        <is>
          <t>Indonesian</t>
        </is>
      </c>
      <c r="F16" s="1880" t="inlineStr">
        <is>
          <t>Indonesian</t>
        </is>
      </c>
      <c r="G16" s="1880" t="inlineStr">
        <is>
          <t>Indonesian</t>
        </is>
      </c>
      <c r="H16" s="1880" t="inlineStr">
        <is>
          <t>Indonesian</t>
        </is>
      </c>
    </row>
    <row r="18" ht="14.25" customHeight="1">
      <c r="A18" s="1881" t="inlineStr">
        <is>
          <t>Segments - Business Line By Segment (Currency: Indonesia Rupiah)</t>
        </is>
      </c>
      <c r="B18" s="1882" t="n"/>
      <c r="C18" s="1882" t="n"/>
      <c r="D18" s="1882" t="n"/>
      <c r="E18" s="1882" t="n"/>
      <c r="F18" s="1882" t="n"/>
      <c r="G18" s="1882" t="n"/>
      <c r="H18" s="1882" t="n"/>
    </row>
    <row r="19" ht="14.25" customHeight="1">
      <c r="A19" s="1881" t="inlineStr">
        <is>
          <t>Field Name</t>
        </is>
      </c>
      <c r="B19" s="1883" t="inlineStr">
        <is>
          <t>TRBC</t>
        </is>
      </c>
      <c r="C19" s="1883" t="inlineStr">
        <is>
          <t>31-12-2020</t>
        </is>
      </c>
      <c r="D19" s="1883" t="inlineStr">
        <is>
          <t>31-12-2021</t>
        </is>
      </c>
      <c r="E19" s="1883" t="inlineStr">
        <is>
          <t>31-12-2022</t>
        </is>
      </c>
      <c r="F19" s="1883" t="inlineStr">
        <is>
          <t>31-12-2023</t>
        </is>
      </c>
      <c r="G19" s="1883" t="inlineStr">
        <is>
          <t>31-12-2024</t>
        </is>
      </c>
      <c r="H19" s="1883" t="inlineStr">
        <is>
          <t>31-12-2025</t>
        </is>
      </c>
    </row>
    <row r="20" ht="15" customHeight="1">
      <c r="A20" s="1927" t="inlineStr">
        <is>
          <t>Tower Rental</t>
        </is>
      </c>
      <c r="B20" s="1928" t="n">
        <v>531190</v>
      </c>
      <c r="C20" s="728" t="n"/>
      <c r="D20" s="728" t="n"/>
      <c r="E20" s="728" t="n"/>
      <c r="F20" s="728" t="n"/>
      <c r="G20" s="728" t="n"/>
      <c r="H20" s="728" t="n"/>
    </row>
    <row r="21" ht="15" customHeight="1">
      <c r="A21" s="1886" t="inlineStr">
        <is>
          <t>External Revenue</t>
        </is>
      </c>
      <c r="B21" s="730" t="n"/>
      <c r="C21" s="1807" t="n">
        <v>6331603000</v>
      </c>
      <c r="D21" s="1807" t="n">
        <v>7101273000</v>
      </c>
      <c r="E21" s="1807" t="n">
        <v>8605930000</v>
      </c>
      <c r="F21" s="1807" t="n">
        <v>8346311000</v>
      </c>
      <c r="G21" s="1807" t="n">
        <v>8523045000</v>
      </c>
      <c r="H21" s="1807" t="n">
        <v>8725566000</v>
      </c>
    </row>
    <row r="22" ht="15" customHeight="1">
      <c r="A22" s="1886" t="inlineStr">
        <is>
          <t>Gross Profit</t>
        </is>
      </c>
      <c r="B22" s="730" t="n"/>
      <c r="C22" s="1807" t="n">
        <v>4901324000</v>
      </c>
      <c r="D22" s="1807" t="n">
        <v>5495851000</v>
      </c>
      <c r="E22" s="1807" t="n">
        <v>6664307000</v>
      </c>
      <c r="F22" s="1807" t="n">
        <v>6166804000</v>
      </c>
      <c r="G22" s="1807" t="n">
        <v>6252328000</v>
      </c>
      <c r="H22" s="1807" t="n">
        <v>6302980000</v>
      </c>
    </row>
    <row r="23" ht="15" customHeight="1">
      <c r="A23" s="1886" t="inlineStr">
        <is>
          <t>Income Taxes - Total</t>
        </is>
      </c>
      <c r="B23" s="730" t="n"/>
      <c r="C23" s="1807" t="n">
        <v>291417000</v>
      </c>
      <c r="D23" s="1807" t="n">
        <v>172677000</v>
      </c>
      <c r="E23" s="1807" t="n">
        <v>279509000</v>
      </c>
      <c r="F23" s="1807" t="n">
        <v>62308000</v>
      </c>
      <c r="G23" s="1807" t="n">
        <v>-85881000</v>
      </c>
      <c r="H23" s="1807" t="n">
        <v>-255460000</v>
      </c>
    </row>
    <row r="24" ht="15" customHeight="1">
      <c r="A24" s="1886" t="inlineStr">
        <is>
          <t>Net Income after Tax</t>
        </is>
      </c>
      <c r="B24" s="730" t="n"/>
      <c r="C24" s="1807" t="n">
        <v>2682713000</v>
      </c>
      <c r="D24" s="1807" t="n">
        <v>3049727000</v>
      </c>
      <c r="E24" s="1807" t="n">
        <v>2730458000</v>
      </c>
      <c r="F24" s="1807" t="n">
        <v>2419266000</v>
      </c>
      <c r="G24" s="1807" t="n">
        <v>2674946000</v>
      </c>
      <c r="H24" s="1807" t="n">
        <v>2948641000</v>
      </c>
    </row>
    <row r="25" ht="15" customHeight="1">
      <c r="A25" s="1886" t="inlineStr">
        <is>
          <t>Net Income before Tax</t>
        </is>
      </c>
      <c r="B25" s="730" t="n"/>
      <c r="C25" s="1807" t="n">
        <v>2974130000</v>
      </c>
      <c r="D25" s="1807" t="n">
        <v>3222404000</v>
      </c>
      <c r="E25" s="1807" t="n">
        <v>3009967000</v>
      </c>
      <c r="F25" s="1807" t="n">
        <v>2481574000</v>
      </c>
      <c r="G25" s="1807" t="n">
        <v>2589065000</v>
      </c>
      <c r="H25" s="1807" t="n">
        <v>2693181000</v>
      </c>
    </row>
    <row r="26" ht="15" customHeight="1">
      <c r="A26" s="1886" t="inlineStr">
        <is>
          <t>Operating Income/Loss</t>
        </is>
      </c>
      <c r="B26" s="730" t="n"/>
      <c r="C26" s="1807" t="n">
        <v>4231404000</v>
      </c>
      <c r="D26" s="1807" t="n">
        <v>4799982000</v>
      </c>
      <c r="E26" s="1807" t="n">
        <v>5662114000</v>
      </c>
      <c r="F26" s="1807" t="n">
        <v>5354095000</v>
      </c>
      <c r="G26" s="1807" t="n">
        <v>5361128000</v>
      </c>
      <c r="H26" s="1807" t="n">
        <v>5448812000</v>
      </c>
    </row>
    <row r="27" ht="15" customHeight="1">
      <c r="A27" s="1886" t="inlineStr">
        <is>
          <t>Total Assets</t>
        </is>
      </c>
      <c r="B27" s="730" t="n"/>
      <c r="C27" s="1807" t="n">
        <v>29610216000</v>
      </c>
      <c r="D27" s="1807" t="n">
        <v>59114373000</v>
      </c>
      <c r="E27" s="1807" t="n">
        <v>55548266000</v>
      </c>
      <c r="F27" s="1807" t="n">
        <v>55199706000</v>
      </c>
      <c r="G27" s="1807" t="n">
        <v>58393603000</v>
      </c>
      <c r="H27" s="1807" t="n">
        <v>57653627000</v>
      </c>
    </row>
    <row r="28" ht="15" customHeight="1">
      <c r="A28" s="1886" t="inlineStr">
        <is>
          <t>Total Liabilities including Debt - Short-Term &amp; Long-Term</t>
        </is>
      </c>
      <c r="B28" s="730" t="n"/>
      <c r="C28" s="1807" t="n">
        <v>20599894000</v>
      </c>
      <c r="D28" s="1807" t="n">
        <v>48775257000</v>
      </c>
      <c r="E28" s="1807" t="n">
        <v>41489123000</v>
      </c>
      <c r="F28" s="1807" t="n">
        <v>38559573000</v>
      </c>
      <c r="G28" s="1807" t="n">
        <v>39988147000</v>
      </c>
      <c r="H28" s="1807" t="n">
        <v>32235304000</v>
      </c>
    </row>
    <row r="29" ht="15" customHeight="1">
      <c r="A29" s="1927" t="inlineStr">
        <is>
          <t>MWIFO &amp; VSAT services</t>
        </is>
      </c>
      <c r="B29" s="1928" t="n">
        <v>517112</v>
      </c>
      <c r="C29" s="728" t="n"/>
      <c r="D29" s="728" t="n"/>
      <c r="E29" s="728" t="n"/>
      <c r="F29" s="728" t="n"/>
      <c r="G29" s="728" t="n"/>
      <c r="H29" s="728" t="n"/>
    </row>
    <row r="30" ht="15" customHeight="1">
      <c r="A30" s="1886" t="inlineStr">
        <is>
          <t>External Revenue</t>
        </is>
      </c>
      <c r="B30" s="730" t="n"/>
      <c r="C30" s="1807" t="n">
        <v>1113823000</v>
      </c>
      <c r="D30" s="1807" t="n">
        <v>1534073000</v>
      </c>
      <c r="E30" s="1807" t="n">
        <v>1606388000</v>
      </c>
      <c r="F30" s="1807" t="n">
        <v>2187736000</v>
      </c>
      <c r="G30" s="1807" t="n">
        <v>4212771000</v>
      </c>
      <c r="H30" s="1807" t="n">
        <v>4602341000</v>
      </c>
    </row>
    <row r="31" ht="15" customHeight="1">
      <c r="A31" s="1886" t="inlineStr">
        <is>
          <t>Gross Profit</t>
        </is>
      </c>
      <c r="B31" s="730" t="n"/>
      <c r="C31" s="1807" t="n">
        <v>484848000</v>
      </c>
      <c r="D31" s="1807" t="n">
        <v>799322000</v>
      </c>
      <c r="E31" s="1807" t="n">
        <v>1456893000</v>
      </c>
      <c r="F31" s="1807" t="n">
        <v>2045787000</v>
      </c>
      <c r="G31" s="1807" t="n">
        <v>2487165000</v>
      </c>
      <c r="H31" s="1807" t="n">
        <v>2836550000</v>
      </c>
    </row>
    <row r="32" ht="15" customHeight="1">
      <c r="A32" s="1886" t="inlineStr">
        <is>
          <t>Income Taxes - Total</t>
        </is>
      </c>
      <c r="B32" s="730" t="n"/>
      <c r="C32" s="1807" t="n">
        <v>48586000</v>
      </c>
      <c r="D32" s="1807" t="n">
        <v>95530000</v>
      </c>
      <c r="E32" s="1807" t="n">
        <v>171987000</v>
      </c>
      <c r="F32" s="1807" t="n">
        <v>179926000</v>
      </c>
      <c r="G32" s="1807" t="n">
        <v>257958000</v>
      </c>
      <c r="H32" s="1807" t="n">
        <v>261312000</v>
      </c>
    </row>
    <row r="33" ht="15" customHeight="1">
      <c r="A33" s="1886" t="inlineStr">
        <is>
          <t>Net Income after Tax</t>
        </is>
      </c>
      <c r="B33" s="730" t="n"/>
      <c r="C33" s="1807" t="n">
        <v>170904000</v>
      </c>
      <c r="D33" s="1807" t="n">
        <v>398148000</v>
      </c>
      <c r="E33" s="1807" t="n">
        <v>766077000</v>
      </c>
      <c r="F33" s="1807" t="n">
        <v>884376000</v>
      </c>
      <c r="G33" s="1807" t="n">
        <v>689660000</v>
      </c>
      <c r="H33" s="1807" t="n">
        <v>733607000</v>
      </c>
    </row>
    <row r="34" ht="15" customHeight="1">
      <c r="A34" s="1886" t="inlineStr">
        <is>
          <t>Net Income before Tax</t>
        </is>
      </c>
      <c r="B34" s="730" t="n"/>
      <c r="C34" s="1807" t="n">
        <v>219490000</v>
      </c>
      <c r="D34" s="1807" t="n">
        <v>493678000</v>
      </c>
      <c r="E34" s="1807" t="n">
        <v>938064000</v>
      </c>
      <c r="F34" s="1807" t="n">
        <v>1064302000</v>
      </c>
      <c r="G34" s="1807" t="n">
        <v>947618000</v>
      </c>
      <c r="H34" s="1807" t="n">
        <v>994919000</v>
      </c>
    </row>
    <row r="35" ht="15" customHeight="1">
      <c r="A35" s="1886" t="inlineStr">
        <is>
          <t>Operating Income/Loss</t>
        </is>
      </c>
      <c r="B35" s="730" t="n"/>
      <c r="C35" s="1807" t="n">
        <v>335223000</v>
      </c>
      <c r="D35" s="1807" t="n">
        <v>596567000</v>
      </c>
      <c r="E35" s="1807" t="n">
        <v>1165526000</v>
      </c>
      <c r="F35" s="1807" t="n">
        <v>1587207000</v>
      </c>
      <c r="G35" s="1807" t="n">
        <v>1904793000</v>
      </c>
      <c r="H35" s="1807" t="n">
        <v>2048883000</v>
      </c>
    </row>
    <row r="36" ht="15" customHeight="1">
      <c r="A36" s="1886" t="inlineStr">
        <is>
          <t>Total Assets</t>
        </is>
      </c>
      <c r="B36" s="730" t="n"/>
      <c r="C36" s="1807" t="n">
        <v>4639334000</v>
      </c>
      <c r="D36" s="1807" t="n">
        <v>6714297000</v>
      </c>
      <c r="E36" s="1807" t="n">
        <v>10076870000</v>
      </c>
      <c r="F36" s="1807" t="n">
        <v>13219240000</v>
      </c>
      <c r="G36" s="1807" t="n">
        <v>19434777000</v>
      </c>
      <c r="H36" s="1807" t="n">
        <v>19616065000</v>
      </c>
    </row>
    <row r="37" ht="15" customHeight="1">
      <c r="A37" s="1886" t="inlineStr">
        <is>
          <t>Total Liabilities including Debt - Short-Term &amp; Long-Term</t>
        </is>
      </c>
      <c r="B37" s="730" t="n"/>
      <c r="C37" s="1807" t="n">
        <v>3465608000</v>
      </c>
      <c r="D37" s="1807" t="n">
        <v>4991397000</v>
      </c>
      <c r="E37" s="1807" t="n">
        <v>9703679000</v>
      </c>
      <c r="F37" s="1807" t="n">
        <v>13347709000</v>
      </c>
      <c r="G37" s="1807" t="n">
        <v>18671024000</v>
      </c>
      <c r="H37" s="1807" t="n">
        <v>17951082000</v>
      </c>
    </row>
    <row r="38" ht="15" customHeight="1">
      <c r="A38" s="1927" t="inlineStr">
        <is>
          <t>Other Services</t>
        </is>
      </c>
      <c r="B38" s="727" t="n"/>
      <c r="C38" s="728" t="n"/>
      <c r="D38" s="728" t="n"/>
      <c r="E38" s="728" t="n"/>
      <c r="F38" s="728" t="n"/>
      <c r="G38" s="728" t="n"/>
      <c r="H38" s="728" t="n"/>
    </row>
    <row r="39" ht="15" customHeight="1">
      <c r="A39" s="1886" t="inlineStr">
        <is>
          <t>Gross Profit</t>
        </is>
      </c>
      <c r="B39" s="730" t="n"/>
      <c r="C39" s="1807" t="n">
        <v>5386172000</v>
      </c>
      <c r="D39" s="1807" t="n">
        <v>6295173000</v>
      </c>
      <c r="E39" s="1807" t="n">
        <v>8121200000</v>
      </c>
      <c r="F39" s="1807" t="n">
        <v>8212591000</v>
      </c>
      <c r="G39" s="1807" t="n">
        <v>8739493000</v>
      </c>
      <c r="H39" s="1807" t="n">
        <v>9139530000</v>
      </c>
    </row>
    <row r="40" ht="15" customHeight="1">
      <c r="A40" s="1886" t="inlineStr">
        <is>
          <t>Income Taxes - Total</t>
        </is>
      </c>
      <c r="B40" s="730" t="n"/>
      <c r="C40" s="1807" t="n">
        <v>340003000</v>
      </c>
      <c r="D40" s="1807" t="n">
        <v>268207000</v>
      </c>
      <c r="E40" s="1807" t="n">
        <v>451496000</v>
      </c>
      <c r="F40" s="1807" t="n">
        <v>242234000</v>
      </c>
      <c r="G40" s="1807" t="n">
        <v>172077000</v>
      </c>
      <c r="H40" s="1807" t="n">
        <v>5852000</v>
      </c>
    </row>
    <row r="41" ht="15" customHeight="1">
      <c r="A41" s="1886" t="inlineStr">
        <is>
          <t>Net Income after Tax</t>
        </is>
      </c>
      <c r="B41" s="730" t="n"/>
      <c r="C41" s="1807" t="n">
        <v>2853617000</v>
      </c>
      <c r="D41" s="1807" t="n">
        <v>3447875000</v>
      </c>
      <c r="E41" s="1807" t="n">
        <v>3496535000</v>
      </c>
      <c r="F41" s="1807" t="n">
        <v>3303642000</v>
      </c>
      <c r="G41" s="1807" t="n">
        <v>3364606000</v>
      </c>
      <c r="H41" s="1807" t="n">
        <v>3682248000</v>
      </c>
    </row>
    <row r="42" ht="15" customHeight="1">
      <c r="A42" s="1886" t="inlineStr">
        <is>
          <t>Net Income before Tax</t>
        </is>
      </c>
      <c r="B42" s="730" t="n"/>
      <c r="C42" s="1807" t="n">
        <v>3193620000</v>
      </c>
      <c r="D42" s="1807" t="n">
        <v>3716082000</v>
      </c>
      <c r="E42" s="1807" t="n">
        <v>3948031000</v>
      </c>
      <c r="F42" s="1807" t="n">
        <v>3545876000</v>
      </c>
      <c r="G42" s="1807" t="n">
        <v>3536683000</v>
      </c>
      <c r="H42" s="1807" t="n">
        <v>3688100000</v>
      </c>
    </row>
    <row r="43" ht="15" customHeight="1">
      <c r="A43" s="1886" t="inlineStr">
        <is>
          <t>Operating Income/Loss</t>
        </is>
      </c>
      <c r="B43" s="730" t="n"/>
      <c r="C43" s="1807" t="n">
        <v>4566627000</v>
      </c>
      <c r="D43" s="1807" t="n">
        <v>5396549000</v>
      </c>
      <c r="E43" s="1807" t="n">
        <v>6827640000</v>
      </c>
      <c r="F43" s="1807" t="n">
        <v>6941302000</v>
      </c>
      <c r="G43" s="1807" t="n">
        <v>7265921000</v>
      </c>
      <c r="H43" s="1807" t="n">
        <v>7497695000</v>
      </c>
    </row>
    <row r="44" ht="15" customHeight="1">
      <c r="A44" s="1886" t="inlineStr">
        <is>
          <t>Total Assets</t>
        </is>
      </c>
      <c r="B44" s="730" t="n"/>
      <c r="C44" s="1807" t="n">
        <v>34249550000</v>
      </c>
      <c r="D44" s="1807" t="n">
        <v>65828670000</v>
      </c>
      <c r="E44" s="1807" t="n">
        <v>65625136000</v>
      </c>
      <c r="F44" s="1807" t="n">
        <v>68418946000</v>
      </c>
      <c r="G44" s="1807" t="n">
        <v>77828380000</v>
      </c>
      <c r="H44" s="1807" t="n">
        <v>77269692000</v>
      </c>
    </row>
    <row r="45" ht="15" customHeight="1">
      <c r="A45" s="1886" t="inlineStr">
        <is>
          <t>Total Liabilities including Debt - Short-Term &amp; Long-Term</t>
        </is>
      </c>
      <c r="B45" s="730" t="n"/>
      <c r="C45" s="1807" t="n">
        <v>24065502000</v>
      </c>
      <c r="D45" s="1807" t="n">
        <v>53766654000</v>
      </c>
      <c r="E45" s="1807" t="n">
        <v>51192802000</v>
      </c>
      <c r="F45" s="1807" t="n">
        <v>51907282000</v>
      </c>
      <c r="G45" s="1807" t="n">
        <v>58659171000</v>
      </c>
      <c r="H45" s="1807" t="n">
        <v>50186386000</v>
      </c>
    </row>
    <row r="46" ht="15" customHeight="1">
      <c r="A46" s="1927" t="inlineStr">
        <is>
          <t>Total</t>
        </is>
      </c>
      <c r="B46" s="727" t="n"/>
      <c r="C46" s="728" t="n"/>
      <c r="D46" s="728" t="n"/>
      <c r="E46" s="728" t="n"/>
      <c r="F46" s="728" t="n"/>
      <c r="G46" s="728" t="n"/>
      <c r="H46" s="728" t="n"/>
    </row>
    <row r="47" ht="15" customHeight="1">
      <c r="A47" s="1886" t="inlineStr">
        <is>
          <t>External Revenue</t>
        </is>
      </c>
      <c r="B47" s="730" t="n"/>
      <c r="C47" s="1807" t="n">
        <v>7445426000</v>
      </c>
      <c r="D47" s="1807" t="n">
        <v>8635346000</v>
      </c>
      <c r="E47" s="1807" t="n">
        <v>10212318000</v>
      </c>
      <c r="F47" s="1807" t="n">
        <v>10534047000</v>
      </c>
      <c r="G47" s="1807" t="n">
        <v>12735816000</v>
      </c>
      <c r="H47" s="1807" t="n">
        <v>13327907000</v>
      </c>
    </row>
  </sheetData>
  <pageMargins left="0.5" right="0.5" top="1" bottom="1" header="0.511811023622047" footer="0.511811023622047"/>
  <pageSetup orientation="portrait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BIWS</dc:creator>
  <dcterms:created xmlns:dcterms="http://purl.org/dc/terms/" xmlns:xsi="http://www.w3.org/2001/XMLSchema-instance" xsi:type="dcterms:W3CDTF">2009-06-26T05:31:17Z</dcterms:created>
  <dcterms:modified xmlns:dcterms="http://purl.org/dc/terms/" xmlns:xsi="http://www.w3.org/2001/XMLSchema-instance" xsi:type="dcterms:W3CDTF">2026-09-18T10:46:24Z</dcterms:modified>
  <cp:revision>25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0x0101000CCA8BB624B2954295E2ADDADC15F4A4</vt:lpwstr>
  </property>
</Properties>
</file>