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KOrisnik\Desktop\Racunarske vestine\"/>
    </mc:Choice>
  </mc:AlternateContent>
  <xr:revisionPtr revIDLastSave="0" documentId="13_ncr:1_{475538D3-F4CF-42E8-A829-C4FAB37E4A26}" xr6:coauthVersionLast="47" xr6:coauthVersionMax="47" xr10:uidLastSave="{00000000-0000-0000-0000-000000000000}"/>
  <bookViews>
    <workbookView xWindow="-120" yWindow="-120" windowWidth="29040" windowHeight="15840" firstSheet="2" activeTab="12" xr2:uid="{E6E46007-66CE-4D63-9400-973F0F09A8B3}"/>
  </bookViews>
  <sheets>
    <sheet name="Prva-nedjelja" sheetId="13" r:id="rId1"/>
    <sheet name="Druga-nedjelja" sheetId="1" r:id="rId2"/>
    <sheet name="Treca-n." sheetId="2" r:id="rId3"/>
    <sheet name="Cetvrta-n." sheetId="3" r:id="rId4"/>
    <sheet name="Peta-n." sheetId="4" r:id="rId5"/>
    <sheet name="Sedma-n." sheetId="5" r:id="rId6"/>
    <sheet name="Osma-n." sheetId="6" r:id="rId7"/>
    <sheet name="Deveta-n." sheetId="7" r:id="rId8"/>
    <sheet name="Deseta-n." sheetId="8" r:id="rId9"/>
    <sheet name="Jedanaesta-n." sheetId="9" r:id="rId10"/>
    <sheet name="Dodatak" sheetId="10" r:id="rId11"/>
    <sheet name="Vezbalje" sheetId="18" r:id="rId12"/>
    <sheet name="Sheet1" sheetId="19" r:id="rId13"/>
  </sheets>
  <externalReferences>
    <externalReference r:id="rId14"/>
  </externalReferences>
  <definedNames>
    <definedName name="_xlnm._FilterDatabase" localSheetId="9" hidden="1">'Jedanaesta-n.'!$B$14:$G$26</definedName>
    <definedName name="blok1">'Treca-n.'!$B$146:$B$149</definedName>
    <definedName name="ffff">'Treca-n.'!$G$140:$H$140</definedName>
    <definedName name="ma">'Treca-n.'!$G$140:$H$140</definedName>
    <definedName name="Min">'Cetvrta-n.'!$B$203</definedName>
    <definedName name="Nagradna">'Cetvrta-n.'!$C$213</definedName>
    <definedName name="Planirano">'Cetvrta-n.'!$C$211</definedName>
    <definedName name="podaci1">'Treca-n.'!$B$149:$B$150</definedName>
    <definedName name="podaci2">'Treca-n.'!$E$149:$E$150</definedName>
    <definedName name="Provizija">'Cetvrta-n.'!$C$212</definedName>
    <definedName name="Tabela_2">'Treca-n.'!$E$149:$E$151</definedName>
    <definedName name="Tabela_5">'Treca-n.'!$B$149:$B$151</definedName>
  </definedNames>
  <calcPr calcId="181029"/>
</workbook>
</file>

<file path=xl/calcChain.xml><?xml version="1.0" encoding="utf-8"?>
<calcChain xmlns="http://schemas.openxmlformats.org/spreadsheetml/2006/main">
  <c r="D107" i="19" l="1"/>
  <c r="C109" i="19"/>
  <c r="C108" i="19"/>
  <c r="C107" i="19"/>
  <c r="B103" i="19"/>
  <c r="B101" i="19"/>
  <c r="B99" i="19"/>
  <c r="B96" i="19"/>
  <c r="B93" i="19"/>
  <c r="D92" i="19"/>
  <c r="C75" i="19"/>
  <c r="C69" i="19"/>
  <c r="C66" i="19"/>
  <c r="C62" i="19"/>
  <c r="B58" i="19"/>
  <c r="B56" i="19"/>
  <c r="D49" i="19"/>
  <c r="C50" i="19"/>
  <c r="B53" i="18"/>
  <c r="C53" i="18" s="1"/>
  <c r="C51" i="19"/>
  <c r="C49" i="19"/>
  <c r="B46" i="19"/>
  <c r="B44" i="19"/>
  <c r="B42" i="19"/>
  <c r="B39" i="19"/>
  <c r="B35" i="19"/>
  <c r="B33" i="19"/>
  <c r="L17" i="19"/>
  <c r="K17" i="19"/>
  <c r="C58" i="4"/>
  <c r="D8" i="19"/>
  <c r="C4" i="19"/>
  <c r="C2" i="19"/>
  <c r="E145" i="4"/>
  <c r="F137" i="4"/>
  <c r="F136" i="4"/>
  <c r="F126" i="4"/>
  <c r="F125" i="4"/>
  <c r="J113" i="4"/>
  <c r="M102" i="4"/>
  <c r="J90" i="4"/>
  <c r="F58" i="4"/>
  <c r="I67" i="4"/>
  <c r="K57" i="4"/>
  <c r="H45" i="4"/>
  <c r="G33" i="4"/>
  <c r="I23" i="4"/>
  <c r="I22" i="4"/>
  <c r="H13" i="4"/>
  <c r="D199" i="3"/>
  <c r="D218" i="3"/>
  <c r="D219" i="3"/>
  <c r="D220" i="3"/>
  <c r="D221" i="3"/>
  <c r="C218" i="3"/>
  <c r="C219" i="3"/>
  <c r="C220" i="3"/>
  <c r="C221" i="3"/>
  <c r="D201" i="3"/>
  <c r="D200" i="3"/>
  <c r="D198" i="3"/>
  <c r="D187" i="3"/>
  <c r="F189" i="3"/>
  <c r="F190" i="3"/>
  <c r="E189" i="3"/>
  <c r="E190" i="3"/>
  <c r="D189" i="3"/>
  <c r="D190" i="3"/>
  <c r="C189" i="3"/>
  <c r="C190" i="3"/>
  <c r="D188" i="3"/>
  <c r="E188" i="3"/>
  <c r="F188" i="3"/>
  <c r="C188" i="3"/>
  <c r="F187" i="3"/>
  <c r="E187" i="3"/>
  <c r="F176" i="3"/>
  <c r="F177" i="3"/>
  <c r="F178" i="3"/>
  <c r="F179" i="3"/>
  <c r="F180" i="3"/>
  <c r="F181" i="3"/>
  <c r="F175" i="3"/>
  <c r="K168" i="3"/>
  <c r="I169" i="3"/>
  <c r="I166" i="3"/>
  <c r="I168" i="3" s="1"/>
  <c r="J168" i="3"/>
  <c r="H166" i="3"/>
  <c r="D158" i="3"/>
  <c r="C158" i="3"/>
  <c r="H156" i="3"/>
  <c r="H151" i="3"/>
  <c r="H149" i="3"/>
  <c r="H148" i="3"/>
  <c r="N146" i="3"/>
  <c r="N145" i="3"/>
  <c r="N144" i="3"/>
  <c r="T142" i="3"/>
  <c r="R137" i="3"/>
  <c r="Q143" i="3"/>
  <c r="Q142" i="3"/>
  <c r="S138" i="3"/>
  <c r="S137" i="3"/>
  <c r="H137" i="3"/>
  <c r="J132" i="3"/>
  <c r="J131" i="3"/>
  <c r="H131" i="3"/>
  <c r="K129" i="3"/>
  <c r="J129" i="3"/>
  <c r="D123" i="3"/>
  <c r="G123" i="3"/>
  <c r="G122" i="3"/>
  <c r="G110" i="3"/>
  <c r="F105" i="3"/>
  <c r="L98" i="3"/>
  <c r="M98" i="3"/>
  <c r="L93" i="3"/>
  <c r="P81" i="3"/>
  <c r="O82" i="3"/>
  <c r="O81" i="3"/>
  <c r="L72" i="3"/>
  <c r="L69" i="3"/>
  <c r="T57" i="3"/>
  <c r="R47" i="3"/>
  <c r="T36" i="3"/>
  <c r="S36" i="3"/>
  <c r="S34" i="3"/>
  <c r="D167" i="3"/>
  <c r="J160" i="2"/>
  <c r="G78" i="2"/>
  <c r="F25" i="3"/>
  <c r="C20" i="3"/>
  <c r="G17" i="3"/>
  <c r="J9" i="3"/>
  <c r="E125" i="2"/>
  <c r="C62" i="18"/>
  <c r="C59" i="18"/>
  <c r="C54" i="18"/>
  <c r="C52" i="18"/>
  <c r="B54" i="18"/>
  <c r="B52" i="18"/>
  <c r="K35" i="4"/>
  <c r="C47" i="18"/>
  <c r="C45" i="18"/>
  <c r="I48" i="4"/>
  <c r="C38" i="18"/>
  <c r="C36" i="18"/>
  <c r="C30" i="18"/>
  <c r="J20" i="4"/>
  <c r="C28" i="18"/>
  <c r="C21" i="18"/>
  <c r="C15" i="18"/>
  <c r="C11" i="18"/>
  <c r="C8" i="18"/>
  <c r="B4" i="18"/>
  <c r="B2" i="18"/>
  <c r="I36" i="4"/>
  <c r="J16" i="4"/>
  <c r="H21" i="4"/>
  <c r="H58" i="4"/>
  <c r="C113" i="4"/>
  <c r="I101" i="4"/>
  <c r="F48" i="4"/>
  <c r="I35" i="4"/>
  <c r="C35" i="4"/>
  <c r="H140" i="4"/>
  <c r="C142" i="4"/>
  <c r="H134" i="4"/>
  <c r="H133" i="4"/>
  <c r="H124" i="4"/>
  <c r="H123" i="4"/>
  <c r="G113" i="4"/>
  <c r="I106" i="4"/>
  <c r="I90" i="4"/>
  <c r="G76" i="4"/>
  <c r="C76" i="4"/>
  <c r="H64" i="4"/>
  <c r="I56" i="4"/>
  <c r="H35" i="4"/>
  <c r="J27" i="4"/>
  <c r="J26" i="4"/>
  <c r="H16" i="4"/>
  <c r="K90" i="6"/>
  <c r="I56" i="6"/>
  <c r="C165" i="5"/>
  <c r="F63" i="5"/>
  <c r="N115" i="4"/>
  <c r="H107" i="4"/>
  <c r="H121" i="4"/>
  <c r="C143" i="4"/>
  <c r="C135" i="4"/>
  <c r="C134" i="4"/>
  <c r="F134" i="4"/>
  <c r="C126" i="4"/>
  <c r="F107" i="4"/>
  <c r="C92" i="4"/>
  <c r="F92" i="4"/>
  <c r="B81" i="4"/>
  <c r="C70" i="4"/>
  <c r="C68" i="4"/>
  <c r="F35" i="4"/>
  <c r="H28" i="4"/>
  <c r="H27" i="4"/>
  <c r="F16" i="4"/>
  <c r="L167" i="3"/>
  <c r="J166" i="3"/>
  <c r="L166" i="3"/>
  <c r="M159" i="3"/>
  <c r="E160" i="3"/>
  <c r="L157" i="3"/>
  <c r="D157" i="3"/>
  <c r="L161" i="3"/>
  <c r="D160" i="3"/>
  <c r="L159" i="3"/>
  <c r="K157" i="3"/>
  <c r="C157" i="3"/>
  <c r="K151" i="3"/>
  <c r="K150" i="3"/>
  <c r="J150" i="3"/>
  <c r="D141" i="3"/>
  <c r="J146" i="3"/>
  <c r="I147" i="3"/>
  <c r="I146" i="3"/>
  <c r="K143" i="3"/>
  <c r="I143" i="3"/>
  <c r="I141" i="3"/>
  <c r="I139" i="3"/>
  <c r="H139" i="3"/>
  <c r="H138" i="3"/>
  <c r="N132" i="3"/>
  <c r="P125" i="3"/>
  <c r="O125" i="3"/>
  <c r="M132" i="3"/>
  <c r="T125" i="3"/>
  <c r="S125" i="3"/>
  <c r="H128" i="3"/>
  <c r="A126" i="3"/>
  <c r="H127" i="3"/>
  <c r="A127" i="3"/>
  <c r="K119" i="3"/>
  <c r="J111" i="3"/>
  <c r="M105" i="3"/>
  <c r="J99" i="3"/>
  <c r="M89" i="3"/>
  <c r="L83" i="3"/>
  <c r="L82" i="3"/>
  <c r="I74" i="3"/>
  <c r="O57" i="3"/>
  <c r="N57" i="3"/>
  <c r="L47" i="3"/>
  <c r="J47" i="3"/>
  <c r="L39" i="3"/>
  <c r="M39" i="3" s="1"/>
  <c r="D28" i="3"/>
  <c r="M17" i="3"/>
  <c r="F16" i="3"/>
  <c r="J11" i="3"/>
  <c r="M187" i="2"/>
  <c r="M188" i="2" s="1"/>
  <c r="C175" i="2"/>
  <c r="L125" i="2"/>
  <c r="I127" i="2"/>
  <c r="P80" i="2"/>
  <c r="P81" i="2"/>
  <c r="P82" i="2"/>
  <c r="P83" i="2"/>
  <c r="E58" i="2"/>
  <c r="M58" i="2"/>
  <c r="E60" i="2"/>
  <c r="M60" i="2"/>
  <c r="F50" i="13"/>
  <c r="F46" i="13"/>
  <c r="F45" i="13"/>
  <c r="F47" i="13"/>
  <c r="F48" i="13"/>
  <c r="F49" i="13"/>
  <c r="F44" i="13"/>
  <c r="I119" i="3"/>
  <c r="K102" i="3"/>
  <c r="J91" i="3"/>
  <c r="J82" i="3"/>
  <c r="J83" i="3"/>
  <c r="I83" i="3"/>
  <c r="I82" i="3"/>
  <c r="F74" i="3"/>
  <c r="K59" i="3" l="1"/>
  <c r="H47" i="3"/>
  <c r="I29" i="3"/>
  <c r="I20" i="3"/>
  <c r="I9" i="3"/>
  <c r="J165" i="2" l="1"/>
  <c r="S158" i="2"/>
  <c r="M59" i="2"/>
  <c r="M61" i="2"/>
  <c r="T27" i="13" l="1"/>
  <c r="T26" i="13"/>
  <c r="T25" i="13"/>
  <c r="T24" i="13"/>
  <c r="T23" i="13"/>
  <c r="T22" i="13"/>
  <c r="O18" i="13"/>
  <c r="P13" i="13"/>
  <c r="D8" i="10" l="1"/>
  <c r="B150" i="9"/>
  <c r="F156" i="9"/>
  <c r="A63" i="5" l="1"/>
  <c r="C56" i="5"/>
  <c r="B56" i="5"/>
  <c r="C54" i="5"/>
  <c r="B54" i="5"/>
  <c r="C196" i="4" l="1"/>
  <c r="C197" i="4" s="1"/>
  <c r="C182" i="4"/>
  <c r="C124" i="4"/>
  <c r="I161" i="4"/>
  <c r="I162" i="4"/>
  <c r="J162" i="4"/>
  <c r="C48" i="4"/>
  <c r="D166" i="3" l="1"/>
  <c r="J133" i="3"/>
  <c r="J136" i="3"/>
  <c r="K136" i="3" s="1"/>
  <c r="J134" i="3"/>
  <c r="P128" i="3"/>
  <c r="O128" i="3"/>
  <c r="Q128" i="3" s="1"/>
  <c r="P127" i="3"/>
  <c r="O127" i="3"/>
  <c r="Q127" i="3" s="1"/>
  <c r="F83" i="3"/>
  <c r="I58" i="3"/>
  <c r="R127" i="3" l="1"/>
  <c r="R128" i="3"/>
  <c r="F106" i="1"/>
  <c r="A56" i="6" l="1"/>
  <c r="B47" i="3" l="1"/>
  <c r="B151" i="2" l="1"/>
  <c r="A150" i="3" l="1"/>
  <c r="A149" i="3"/>
  <c r="D149" i="3"/>
  <c r="C29" i="3"/>
  <c r="D217" i="3"/>
  <c r="C217" i="3"/>
  <c r="H173" i="3"/>
  <c r="I173" i="3"/>
  <c r="G173" i="3"/>
  <c r="D174" i="3"/>
  <c r="D175" i="3"/>
  <c r="D176" i="3"/>
  <c r="D177" i="3"/>
  <c r="D178" i="3"/>
  <c r="D179" i="3"/>
  <c r="D180" i="3"/>
  <c r="B166" i="3"/>
  <c r="E112" i="3"/>
  <c r="B203" i="3"/>
  <c r="C198" i="3" s="1"/>
  <c r="E218" i="3"/>
  <c r="E219" i="3"/>
  <c r="E220" i="3"/>
  <c r="E221" i="3"/>
  <c r="E217" i="3"/>
  <c r="D173" i="3"/>
  <c r="D147" i="3"/>
  <c r="E126" i="3"/>
  <c r="F126" i="3" s="1"/>
  <c r="E127" i="3"/>
  <c r="F127" i="3" s="1"/>
  <c r="F128" i="3"/>
  <c r="E128" i="3"/>
  <c r="A135" i="3"/>
  <c r="A136" i="3" s="1"/>
  <c r="C101" i="3"/>
  <c r="C187" i="3"/>
  <c r="A120" i="3"/>
  <c r="A121" i="3" s="1"/>
  <c r="D58" i="3"/>
  <c r="C105" i="3"/>
  <c r="A147" i="3"/>
  <c r="A146" i="3"/>
  <c r="A141" i="3"/>
  <c r="A137" i="3"/>
  <c r="C109" i="3"/>
  <c r="A93" i="3"/>
  <c r="B84" i="3"/>
  <c r="B83" i="3"/>
  <c r="B74" i="3"/>
  <c r="B58" i="3"/>
  <c r="B11" i="3"/>
  <c r="G15" i="8"/>
  <c r="H15" i="8" s="1"/>
  <c r="F165" i="7"/>
  <c r="F166" i="7"/>
  <c r="F167" i="7"/>
  <c r="F168" i="7"/>
  <c r="E169" i="7"/>
  <c r="D169" i="7"/>
  <c r="C169" i="7"/>
  <c r="B169" i="7"/>
  <c r="G16" i="9"/>
  <c r="G17" i="9"/>
  <c r="G18" i="9"/>
  <c r="G19" i="9"/>
  <c r="G20" i="9"/>
  <c r="G21" i="9"/>
  <c r="G22" i="9"/>
  <c r="G23" i="9"/>
  <c r="G24" i="9"/>
  <c r="G25" i="9"/>
  <c r="G26" i="9"/>
  <c r="G15" i="9"/>
  <c r="B119" i="9"/>
  <c r="B117" i="9"/>
  <c r="B109" i="9"/>
  <c r="B96" i="9"/>
  <c r="E90" i="6"/>
  <c r="C63" i="6"/>
  <c r="C107" i="4"/>
  <c r="C190" i="4"/>
  <c r="C185" i="4"/>
  <c r="C184" i="4"/>
  <c r="C173" i="4"/>
  <c r="C172" i="4"/>
  <c r="C191" i="4"/>
  <c r="C181" i="4"/>
  <c r="C27" i="4"/>
  <c r="C16" i="4"/>
  <c r="C125" i="4"/>
  <c r="C28" i="4"/>
  <c r="D87" i="5"/>
  <c r="B90" i="5" s="1"/>
  <c r="C176" i="5"/>
  <c r="B170" i="5"/>
  <c r="C144" i="5"/>
  <c r="C145" i="5"/>
  <c r="C146" i="5"/>
  <c r="B87" i="5"/>
  <c r="A65" i="5"/>
  <c r="E130" i="5"/>
  <c r="C63" i="5"/>
  <c r="E59" i="2"/>
  <c r="E61" i="2"/>
  <c r="G79" i="2"/>
  <c r="G80" i="2"/>
  <c r="G81" i="2"/>
  <c r="E151" i="2"/>
  <c r="I148" i="2" s="1"/>
  <c r="B125" i="2"/>
  <c r="F37" i="10"/>
  <c r="D29" i="10"/>
  <c r="B10" i="10"/>
  <c r="C199" i="3"/>
  <c r="C201" i="3"/>
  <c r="B115" i="9" l="1"/>
  <c r="C200" i="3"/>
  <c r="B113" i="9"/>
  <c r="B143" i="9"/>
  <c r="F157" i="9"/>
  <c r="B128" i="9"/>
  <c r="F158" i="9"/>
  <c r="B135" i="9"/>
  <c r="E87" i="5"/>
  <c r="B91" i="5" s="1"/>
  <c r="F169" i="7"/>
  <c r="D39" i="3"/>
  <c r="F3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eqgqfe</author>
    <author>JA</author>
  </authors>
  <commentList>
    <comment ref="A3" authorId="0" shapeId="0" xr:uid="{00000000-0006-0000-0000-000001000000}">
      <text>
        <r>
          <rPr>
            <b/>
            <sz val="10"/>
            <color indexed="81"/>
            <rFont val="Tahoma"/>
            <family val="2"/>
          </rPr>
          <t xml:space="preserve">1) Preko ikone 'Excel' na desktop-u, ako postoji;
2) Start / Programs / Microsoft Excel;
3) L.T.M. na ikonu My Computer  / ... / excel.exe </t>
        </r>
        <r>
          <rPr>
            <sz val="8"/>
            <color indexed="81"/>
            <rFont val="Tahoma"/>
            <family val="2"/>
          </rPr>
          <t xml:space="preserve">
</t>
        </r>
      </text>
    </comment>
    <comment ref="A5" authorId="0" shapeId="0" xr:uid="{00000000-0006-0000-0000-000002000000}">
      <text>
        <r>
          <rPr>
            <b/>
            <sz val="10"/>
            <color indexed="81"/>
            <rFont val="Tahoma"/>
            <family val="2"/>
          </rPr>
          <t>EXCEL 2003
Prvi monitorski red - naslovna linija;
Drugi - linija glavnog menija;
Treći (i četvrti - opciono) - palete alatki Standard i Formatting; 
Četvrti (peti) - polje za ime ćelije (adresa) i linija za formule (Formula bar);
Predzadnji - Informaciona linija (Status bar);</t>
        </r>
      </text>
    </comment>
    <comment ref="B5" authorId="1" shapeId="0" xr:uid="{00000000-0006-0000-0000-000003000000}">
      <text>
        <r>
          <rPr>
            <b/>
            <sz val="10"/>
            <color indexed="81"/>
            <rFont val="Tahoma"/>
            <family val="2"/>
          </rPr>
          <t xml:space="preserve">EXCEL 2010
1- naslovna traka
2 - alatna traka za brzi pristup ("Quick Access Toolbar")
3 - traka sa komandama ("Ribbon")
4 - traka formule
5 - prostor radnog lista
6 - dugmad za odabir prikaza
7 - zumiranje
8 - statusna traka
</t>
        </r>
      </text>
    </comment>
    <comment ref="E6" authorId="1" shapeId="0" xr:uid="{00000000-0006-0000-0000-000004000000}">
      <text>
        <r>
          <rPr>
            <b/>
            <sz val="10"/>
            <color indexed="81"/>
            <rFont val="Tahoma"/>
            <family val="2"/>
          </rPr>
          <t xml:space="preserve">EXCEL 2010
1- naslovna traka
2 - paleta alatki za brzi pristup ("Quick Access Toolbar")
3 - traka sa komandama ("Ribbon")
4 - traka formule
5 - prostor radnog lista
6 - dugmad za odabir prikaza
7 - zumiranje
8 - statusna traka
</t>
        </r>
      </text>
    </comment>
    <comment ref="A15" authorId="0" shapeId="0" xr:uid="{00000000-0006-0000-0000-000005000000}">
      <text>
        <r>
          <rPr>
            <b/>
            <sz val="10"/>
            <color indexed="81"/>
            <rFont val="Tahoma"/>
            <family val="2"/>
          </rPr>
          <t xml:space="preserve">a) Traka se minimizuje pritiskanjem strelice u gornjem desnom uglu ekrana.
Kada mišem jednom kliknete na naziv kartice na minimiziranoj traci na ekranu ce se prikazati odabrana kartica sa svim alatima.
Ponovni klik na strelicu Minimize the Ribbon prikazuje traku u cjelosti.
b) Dvaput pritisnite jezičak bilo koje kartice.
Kada vam traka ponovo zatreba pritisnite jezičak neke kartice i ona će se privremeno vratiti.
Da bi traka sa komandama ostala uključena dvaput pritisnite jezičak kartice.
</t>
        </r>
      </text>
    </comment>
    <comment ref="A18" authorId="0" shapeId="0" xr:uid="{00000000-0006-0000-0000-000006000000}">
      <text>
        <r>
          <rPr>
            <b/>
            <sz val="10"/>
            <color indexed="81"/>
            <rFont val="Tahoma"/>
            <family val="2"/>
          </rPr>
          <t>a) View / Formula bar - ukloniti ili postaviti štrik
b) View / Gridlines - ukloniti ili postaviti štrik
c) File / Options / Advanced / Display / Vertical (Horizontal) scroll bar - ukloniti ili postaviti štrik</t>
        </r>
      </text>
    </comment>
    <comment ref="A23" authorId="1" shapeId="0" xr:uid="{00000000-0006-0000-0000-000007000000}">
      <text>
        <r>
          <rPr>
            <b/>
            <sz val="10"/>
            <color indexed="81"/>
            <rFont val="Tahoma"/>
            <family val="2"/>
          </rPr>
          <t>Ako pritisnete strelicu nadolje desno od palete Quick Access vidjećete padajuci meni sa dodatnim komandama koje možete da postavite na tu paletu.
Paletu možete premjestiti ispod trake ako izaberete Show Below the Ribbon.</t>
        </r>
      </text>
    </comment>
    <comment ref="A25" authorId="0" shapeId="0" xr:uid="{00000000-0006-0000-0000-000008000000}">
      <text>
        <r>
          <rPr>
            <b/>
            <sz val="10"/>
            <color indexed="81"/>
            <rFont val="Tahoma"/>
            <family val="2"/>
          </rPr>
          <t xml:space="preserve">Izmjena u ćeliji se može izvršiti na sljedeće načine:
1)  2 x L.T.M.na željenu ćeliju,
2) Dovesti pokazivač na željenu ćeliju i pritisnuti funkcijski taster F2,
3) Dovesti pokazivač na željenu ćeliju i L.T.M. na liniju za formule (Formula bar)  </t>
        </r>
      </text>
    </comment>
    <comment ref="A29" authorId="0" shapeId="0" xr:uid="{00000000-0006-0000-0000-000009000000}">
      <text>
        <r>
          <rPr>
            <b/>
            <sz val="10"/>
            <color indexed="81"/>
            <rFont val="Tahoma"/>
            <family val="2"/>
          </rPr>
          <t xml:space="preserve">Kopiranje:
Home /Clipboard / Copy
Home /Clipboard /  Paste
ili
D.T.M /Copy
D.T.M / Paste
CTRL/C     
CTRL/V
Brisanje:
Markiramo željene ćelije, pa 
        1) taster delete,
                ili
        2) Home / Cells /Delete / Delete Cells
</t>
        </r>
      </text>
    </comment>
    <comment ref="A33" authorId="0" shapeId="0" xr:uid="{00000000-0006-0000-0000-00000A000000}">
      <text>
        <r>
          <rPr>
            <b/>
            <sz val="10"/>
            <color indexed="81"/>
            <rFont val="Tahoma"/>
            <family val="2"/>
          </rPr>
          <t>1) U ćeliju A5 upisati:
 =A1+A2+A3+A4
                ili
 =sum(A1:A4)
2) Dovesti pokazivač na ćeliju A5 i L.T.M. na Home / Editing / Auto Sum
3) Dovesti pokazivač na ćeliju A5 i L.T.M. na Formulas / Function Library / Auto Sum / Sum</t>
        </r>
      </text>
    </comment>
    <comment ref="A36" authorId="0" shapeId="0" xr:uid="{00000000-0006-0000-0000-00000B000000}">
      <text>
        <r>
          <rPr>
            <b/>
            <sz val="10"/>
            <color indexed="81"/>
            <rFont val="Tahoma"/>
            <family val="2"/>
          </rPr>
          <t>=A1*A2</t>
        </r>
        <r>
          <rPr>
            <sz val="8"/>
            <color indexed="81"/>
            <rFont val="Tahoma"/>
            <family val="2"/>
          </rPr>
          <t xml:space="preserve">
</t>
        </r>
      </text>
    </comment>
    <comment ref="F44" authorId="0" shapeId="0" xr:uid="{00000000-0006-0000-0000-00000C000000}">
      <text>
        <r>
          <rPr>
            <b/>
            <sz val="10"/>
            <color indexed="81"/>
            <rFont val="Tahoma"/>
            <family val="2"/>
          </rPr>
          <t>=D44*E44</t>
        </r>
      </text>
    </comment>
    <comment ref="F50" authorId="0" shapeId="0" xr:uid="{00000000-0006-0000-0000-00000D000000}">
      <text>
        <r>
          <rPr>
            <b/>
            <sz val="10"/>
            <color indexed="81"/>
            <rFont val="Tahoma"/>
            <family val="2"/>
          </rPr>
          <t>=sum(F44:F49)</t>
        </r>
        <r>
          <rPr>
            <sz val="8"/>
            <color indexed="81"/>
            <rFont val="Tahoma"/>
            <family val="2"/>
          </rPr>
          <t xml:space="preserve">
</t>
        </r>
      </text>
    </comment>
    <comment ref="A53" authorId="0" shapeId="0" xr:uid="{00000000-0006-0000-0000-00000E000000}">
      <text>
        <r>
          <rPr>
            <b/>
            <sz val="10"/>
            <color indexed="81"/>
            <rFont val="Tahoma"/>
            <family val="2"/>
          </rPr>
          <t>CTRL+strelica desno,
CTRL+strelica lijevo,
CTRL+strelica dolje,
CTRL+strlica  gore,
PgDn,
PgUp,
Alt+PgDn,
Alt+PgUp,
Ctrl+Home,
Ctrl+End,
U željenu ćeliju sa: CTRL+G 
(Home/Editing /Find&amp;Select / Go To / unijeti adresu)</t>
        </r>
      </text>
    </comment>
    <comment ref="A55" authorId="0" shapeId="0" xr:uid="{00000000-0006-0000-0000-00000F000000}">
      <text>
        <r>
          <rPr>
            <b/>
            <sz val="10"/>
            <color indexed="81"/>
            <rFont val="Tahoma"/>
            <family val="2"/>
          </rPr>
          <t>1) Home/Editing /Find&amp;Select / Go To / u polje: reference ukucati F1000
Pomoću tastature:  Alt, H, FD , G       
Skraćeno:    Ctrl+G     
ili
2) U polje Name Box (pored trake za formule) ukucati F1000.</t>
        </r>
        <r>
          <rPr>
            <b/>
            <sz val="8"/>
            <color indexed="81"/>
            <rFont val="Tahoma"/>
            <family val="2"/>
          </rPr>
          <t xml:space="preserve"> </t>
        </r>
        <r>
          <rPr>
            <sz val="8"/>
            <color indexed="81"/>
            <rFont val="Tahoma"/>
            <family val="2"/>
          </rPr>
          <t xml:space="preserve">
</t>
        </r>
      </text>
    </comment>
    <comment ref="A57" authorId="0" shapeId="0" xr:uid="{00000000-0006-0000-0000-000010000000}">
      <text>
        <r>
          <rPr>
            <b/>
            <sz val="10"/>
            <color indexed="81"/>
            <rFont val="Tahoma"/>
            <family val="2"/>
          </rPr>
          <t>File / Save
ili
Alt, F, S
ili
L.T.M. na ikonu za snimanje (paleta alatki Quick Access)</t>
        </r>
      </text>
    </comment>
    <comment ref="A59" authorId="0" shapeId="0" xr:uid="{00000000-0006-0000-0000-000011000000}">
      <text>
        <r>
          <rPr>
            <b/>
            <sz val="10"/>
            <color indexed="81"/>
            <rFont val="Tahoma"/>
            <family val="2"/>
          </rPr>
          <t>1)  File / Exit
                                ili
2)  L.T.M. na oznaku x u prvom monitorskom redu
                                ili
3)  Alt+F4
                                ili
4) Alt+Razmak, 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eqgqfe</author>
  </authors>
  <commentList>
    <comment ref="F7" authorId="0" shapeId="0" xr:uid="{00000000-0006-0000-0100-000001000000}">
      <text>
        <r>
          <rPr>
            <b/>
            <sz val="8"/>
            <color indexed="81"/>
            <rFont val="Tahoma"/>
            <family val="2"/>
          </rPr>
          <t>"-"  na num tastaturi ili taster sa oznakom "?"  - Engl. tastatura
Napomena: Samo kada dokumentacioni prozor nije maksimiziran</t>
        </r>
        <r>
          <rPr>
            <sz val="8"/>
            <color indexed="81"/>
            <rFont val="Tahoma"/>
            <family val="2"/>
          </rPr>
          <t xml:space="preserve">
</t>
        </r>
      </text>
    </comment>
    <comment ref="E18" authorId="0" shapeId="0" xr:uid="{00000000-0006-0000-0100-000002000000}">
      <text>
        <r>
          <rPr>
            <b/>
            <sz val="8"/>
            <color indexed="81"/>
            <rFont val="Tahoma"/>
            <family val="2"/>
          </rPr>
          <t>Samo kada dokumentacioni prozor nije maksimiziran</t>
        </r>
        <r>
          <rPr>
            <sz val="8"/>
            <color indexed="81"/>
            <rFont val="Tahoma"/>
            <family val="2"/>
          </rPr>
          <t xml:space="preserve">
</t>
        </r>
      </text>
    </comment>
    <comment ref="A37" authorId="1" shapeId="0" xr:uid="{00000000-0006-0000-0100-000003000000}">
      <text>
        <r>
          <rPr>
            <b/>
            <sz val="10"/>
            <color indexed="81"/>
            <rFont val="Tahoma"/>
            <family val="2"/>
          </rPr>
          <t>Window / New window - tri puta
Window / arrange / tiled
                             horizontal
                             vertical
                             cascade</t>
        </r>
        <r>
          <rPr>
            <sz val="8"/>
            <color indexed="81"/>
            <rFont val="Tahoma"/>
            <family val="2"/>
          </rPr>
          <t xml:space="preserve">
</t>
        </r>
      </text>
    </comment>
    <comment ref="A42" authorId="1" shapeId="0" xr:uid="{00000000-0006-0000-0100-000004000000}">
      <text>
        <r>
          <rPr>
            <b/>
            <sz val="10"/>
            <color indexed="81"/>
            <rFont val="Tahoma"/>
            <family val="2"/>
          </rPr>
          <t>Ako je otvoren samo jedan fajl sa samo jednim dokumentacionim prozorom:
Window / New window              ( otvoren drugi dok. prozor tog fajla)
File / New     (otvaranje jednog dokumentacionog prozora drugog fajla)
Window / New window (otvaranje drugog dokum. prozora drugog fajla)
a) Window / arrange / tiled   
      - ukloniti ček sa windows of active workbook ako postoji
b) Window / arrange / vertical   
     - postaviti ček na windows of active workbook</t>
        </r>
        <r>
          <rPr>
            <sz val="8"/>
            <color indexed="81"/>
            <rFont val="Tahoma"/>
            <family val="2"/>
          </rPr>
          <t xml:space="preserve">
</t>
        </r>
      </text>
    </comment>
    <comment ref="A54" authorId="1" shapeId="0" xr:uid="{00000000-0006-0000-0100-000005000000}">
      <text>
        <r>
          <rPr>
            <sz val="10"/>
            <color indexed="81"/>
            <rFont val="Tahoma"/>
            <family val="2"/>
          </rPr>
          <t>U ćeliju H16000 upisati:
=adresa jedne celije + adresa druge + adresa trece
tj.
=B2+C55+E155
View / Window / New window  - 3 puta
View / Window / Arrange All / npr. Tiled  (pa podesiti prikaz)</t>
        </r>
      </text>
    </comment>
    <comment ref="A84" authorId="0" shapeId="0" xr:uid="{00000000-0006-0000-0100-000006000000}">
      <text>
        <r>
          <rPr>
            <sz val="8"/>
            <color indexed="81"/>
            <rFont val="Tahoma"/>
            <family val="2"/>
          </rPr>
          <t>Postavljanje:
L.T.M na jezicak: Customize Quick Access Toobar/ Spelling
Uklanjanje: 
Ponoviti isti postupak ili:
D.T.M na ikonicu Spelling / Remove from Quick Access Toolbar
Napomena: 
L.T.M - Lijevi taster misa
D.T.M - Desni taster misa</t>
        </r>
      </text>
    </comment>
    <comment ref="A85" authorId="0" shapeId="0" xr:uid="{00000000-0006-0000-0100-000007000000}">
      <text>
        <r>
          <rPr>
            <sz val="8"/>
            <color indexed="81"/>
            <rFont val="Tahoma"/>
            <family val="2"/>
          </rPr>
          <t xml:space="preserve">
Postavljanje:
a) L.T.M na jezicak: Customize Quick Access Toobar/ More Comands/ L.T.M. na "cut" / Add / Ok
ili
b) File / Options / Quick Access Toobar / L.T.M. na "cut" / Add / Ok
ili
c) Home / D.T.M. na ikonicu "Cut" / Add to Quick Access Toolbar
Uklanjanje: 
Ponoviti isti postupak a) ili b) i koristiti Remove umjesto Add
ili
D.T.M. na ikonicu Cut iz palete za brzi pristup / Remove from Quick Access Toolbar</t>
        </r>
      </text>
    </comment>
    <comment ref="A87" authorId="0" shapeId="0" xr:uid="{00000000-0006-0000-0100-000008000000}">
      <text>
        <r>
          <rPr>
            <sz val="12"/>
            <color indexed="81"/>
            <rFont val="Tahoma"/>
            <family val="2"/>
          </rPr>
          <t>File / Options / Custimize Ribbon / ...</t>
        </r>
      </text>
    </comment>
    <comment ref="A88" authorId="0" shapeId="0" xr:uid="{00000000-0006-0000-0100-000009000000}">
      <text>
        <r>
          <rPr>
            <sz val="8"/>
            <color indexed="81"/>
            <rFont val="Tahoma"/>
            <family val="2"/>
          </rPr>
          <t>Formiranje:
File / Options / Custimize Ribbon / New Group / L.T.M na "Spelling" / Add / Ok
Uklanjanje:
File / Options / Custimize Ribbon / L.T.M. na New Group / Remove / Ok
ili
File / Options / Custimize Ribbon / Reset / Ok</t>
        </r>
      </text>
    </comment>
    <comment ref="A89" authorId="0" shapeId="0" xr:uid="{00000000-0006-0000-0100-00000A000000}">
      <text>
        <r>
          <rPr>
            <b/>
            <sz val="8"/>
            <color indexed="81"/>
            <rFont val="Tahoma"/>
            <family val="2"/>
          </rPr>
          <t>Formiranje:
File / Options / Custimize Ribbon / New Tab / L.T.M. na New Tab / Rename / Display name: ukucati "Proba" / Ok
Uklanjanje:
File / Options / Custimize Ribbon / L.T.M. na "Proba" / Remove /Ok
ili
File / Options / Custimize Ribbon / Reset / Ok</t>
        </r>
      </text>
    </comment>
    <comment ref="A93" authorId="1" shapeId="0" xr:uid="{00000000-0006-0000-0100-00000B000000}">
      <text>
        <r>
          <rPr>
            <b/>
            <sz val="10"/>
            <color indexed="81"/>
            <rFont val="Tahoma"/>
            <family val="2"/>
          </rPr>
          <t>F1 / shortcut  (ukucati) / search</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TanjaS</author>
    <author>eqgqfe</author>
    <author>Admin</author>
  </authors>
  <commentList>
    <comment ref="A67" authorId="0" shapeId="0" xr:uid="{00000000-0006-0000-0200-000001000000}">
      <text>
        <r>
          <rPr>
            <sz val="14"/>
            <color indexed="81"/>
            <rFont val="Tahoma"/>
            <family val="2"/>
          </rPr>
          <t xml:space="preserve">
Markirati bilo koju ćeliju iz kolone sa cijenom/
Home/Cells/Delete/Delete Sheet Columns</t>
        </r>
      </text>
    </comment>
    <comment ref="A68" authorId="0" shapeId="0" xr:uid="{00000000-0006-0000-0200-000002000000}">
      <text>
        <r>
          <rPr>
            <sz val="14"/>
            <color indexed="81"/>
            <rFont val="Tahoma"/>
            <family val="2"/>
          </rPr>
          <t>Markirati ćeliju sa brojem 23/
Home/Delete/Delete Cells/Shift cells up
Drugi način: D.T.M. / Delete / Shift cells up</t>
        </r>
      </text>
    </comment>
    <comment ref="B81" authorId="1" shapeId="0" xr:uid="{00000000-0006-0000-0200-000003000000}">
      <text>
        <r>
          <rPr>
            <b/>
            <sz val="10"/>
            <color indexed="81"/>
            <rFont val="Tahoma"/>
            <family val="2"/>
          </rPr>
          <t>Format cells /alignment
izabrati wrap text 
(ili alt+enter)</t>
        </r>
        <r>
          <rPr>
            <sz val="8"/>
            <color indexed="81"/>
            <rFont val="Tahoma"/>
            <family val="2"/>
          </rPr>
          <t xml:space="preserve">
</t>
        </r>
      </text>
    </comment>
    <comment ref="A83" authorId="1" shapeId="0" xr:uid="{00000000-0006-0000-0200-000004000000}">
      <text>
        <r>
          <rPr>
            <b/>
            <sz val="10"/>
            <color indexed="81"/>
            <rFont val="Tahoma"/>
            <family val="2"/>
          </rPr>
          <t>Markirati blok ćelija npr. A81:E81, pa
Format cells /alignment/
horizontal / fill</t>
        </r>
        <r>
          <rPr>
            <sz val="8"/>
            <color indexed="81"/>
            <rFont val="Tahoma"/>
            <family val="2"/>
          </rPr>
          <t xml:space="preserve">
</t>
        </r>
      </text>
    </comment>
    <comment ref="A93" authorId="1" shapeId="0" xr:uid="{00000000-0006-0000-0200-000005000000}">
      <text>
        <r>
          <rPr>
            <b/>
            <sz val="10"/>
            <color indexed="81"/>
            <rFont val="Tahoma"/>
            <family val="2"/>
          </rPr>
          <t>Markirati C85:D85, pa opcija left</t>
        </r>
        <r>
          <rPr>
            <sz val="8"/>
            <color indexed="81"/>
            <rFont val="Tahoma"/>
            <family val="2"/>
          </rPr>
          <t xml:space="preserve">
</t>
        </r>
      </text>
    </comment>
    <comment ref="A95" authorId="1" shapeId="0" xr:uid="{00000000-0006-0000-0200-000006000000}">
      <text>
        <r>
          <rPr>
            <b/>
            <sz val="10"/>
            <color indexed="81"/>
            <rFont val="Tahoma"/>
            <family val="2"/>
          </rPr>
          <t>Home / Editing / Fill / Series /Ok</t>
        </r>
        <r>
          <rPr>
            <sz val="10"/>
            <color indexed="81"/>
            <rFont val="Tahoma"/>
            <family val="2"/>
          </rPr>
          <t xml:space="preserve">
(prethodno markirati blok
ili bez markarinja u stop value upisati broj 4)
</t>
        </r>
      </text>
    </comment>
    <comment ref="A96" authorId="1" shapeId="0" xr:uid="{00000000-0006-0000-0200-000007000000}">
      <text>
        <r>
          <rPr>
            <b/>
            <sz val="10"/>
            <color indexed="81"/>
            <rFont val="Tahoma"/>
            <family val="2"/>
          </rPr>
          <t>Home / Editing / Fill / Series/ step value=2/Ok</t>
        </r>
        <r>
          <rPr>
            <sz val="10"/>
            <color indexed="81"/>
            <rFont val="Tahoma"/>
            <family val="2"/>
          </rPr>
          <t xml:space="preserve">
(prethodno markirati blok
ili bez markarinja u stop value upisati broj 13)</t>
        </r>
        <r>
          <rPr>
            <sz val="8"/>
            <color indexed="81"/>
            <rFont val="Tahoma"/>
            <family val="2"/>
          </rPr>
          <t xml:space="preserve">
</t>
        </r>
      </text>
    </comment>
    <comment ref="A98" authorId="2" shapeId="0" xr:uid="{00000000-0006-0000-0200-000008000000}">
      <text>
        <r>
          <rPr>
            <b/>
            <sz val="8"/>
            <color indexed="81"/>
            <rFont val="Tahoma"/>
            <family val="2"/>
          </rPr>
          <t xml:space="preserve">
Opcija: Justify</t>
        </r>
        <r>
          <rPr>
            <sz val="8"/>
            <color indexed="81"/>
            <rFont val="Tahoma"/>
            <family val="2"/>
          </rPr>
          <t xml:space="preserve">
Napomena: U ćeliju pored (u dvije kolone)
Data / Data Tools / Text to Columns</t>
        </r>
      </text>
    </comment>
    <comment ref="A114" authorId="2" shapeId="0" xr:uid="{00000000-0006-0000-0200-000009000000}">
      <text>
        <r>
          <rPr>
            <b/>
            <sz val="8"/>
            <color indexed="81"/>
            <rFont val="Tahoma"/>
            <family val="2"/>
          </rPr>
          <t xml:space="preserve">Napomene:
Zaštita se aktivira tek nakon koraka 2).
Sve ćilije (blokovi) za koje je čekirano Locked biće zaštićene od izmjena, a za one sa čekiranim Hidden eventualne formule u ćelijama biće prikrivene (nevidljive).
</t>
        </r>
        <r>
          <rPr>
            <sz val="8"/>
            <color indexed="81"/>
            <rFont val="Tahoma"/>
            <family val="2"/>
          </rPr>
          <t xml:space="preserve">
Prilikom otvaranja novog dokumenta u svim ćelijama čekirana je opcija Locked, a Hidden nije.
Slični efekti zaštite mogu se postići sa:
Review / Changes / Allow Users to Edit Ranges
Review / Changes / Protect Sheet</t>
        </r>
      </text>
    </comment>
    <comment ref="A118" authorId="1" shapeId="0" xr:uid="{00000000-0006-0000-0200-00000A000000}">
      <text>
        <r>
          <rPr>
            <b/>
            <sz val="10"/>
            <color indexed="81"/>
            <rFont val="Tahoma"/>
            <family val="2"/>
          </rPr>
          <t>Ctrl+A
Home /Cells / Format / Protection - izabrati locked
Tools / protection / protect sheet
(napomena: pod default-om je čekirano locked za sve ćelije pa može odmah posljednji korak)
Home /Cells / Format / Unprotect sheet</t>
        </r>
      </text>
    </comment>
    <comment ref="A127" authorId="1" shapeId="0" xr:uid="{00000000-0006-0000-0200-00000B000000}">
      <text>
        <r>
          <rPr>
            <b/>
            <sz val="10"/>
            <color indexed="81"/>
            <rFont val="Tahoma"/>
            <family val="2"/>
          </rPr>
          <t>Ctrl+A
Home /Cells /Format/ Protection /Format cells /Protection - ukloniti ček sa locked i sa hidden
Markirati tabelu, pa: 
Home /Cells / Format/ Protection /Format cells /Protection- čekirati locked
Home /Cells / Format / Protection / Protect sheet
Uklanjanje zaštite:
Home /Cells / Format / Protection / Unprotect sheet</t>
        </r>
        <r>
          <rPr>
            <b/>
            <sz val="8"/>
            <color indexed="81"/>
            <rFont val="Tahoma"/>
            <family val="2"/>
          </rPr>
          <t xml:space="preserve">
</t>
        </r>
      </text>
    </comment>
    <comment ref="A130" authorId="1" shapeId="0" xr:uid="{00000000-0006-0000-0200-00000C000000}">
      <text>
        <r>
          <rPr>
            <b/>
            <sz val="10"/>
            <color indexed="81"/>
            <rFont val="Tahoma"/>
            <family val="2"/>
          </rPr>
          <t>Ctrl+A
Home /Cells /Format/ Protection /Format Cells/Protection - ukloniti ček sa locked i hidden
Markirati tabelu, pa: 
Home /Cells / Format/ Protection/Format Cells/Protection - čekirati locked i hidden
Home /Cells / Format / Protection / Protect sheet
Uklanjanje zaštite:
Home /Cells / Format / Protection / Unprotect sheet</t>
        </r>
      </text>
    </comment>
    <comment ref="A134" authorId="1" shapeId="0" xr:uid="{00000000-0006-0000-0200-00000D000000}">
      <text>
        <r>
          <rPr>
            <b/>
            <sz val="10"/>
            <color indexed="81"/>
            <rFont val="Tahoma"/>
            <family val="2"/>
          </rPr>
          <t xml:space="preserve">Ctrl+A
Home /Cells /Format / Protection /Format Cells/Protection - ukloniti ček sa locked i hidden
Markirati ćelije u kojima se nalaze sume, pa: 
Home /Cells /Format / Protection/Format Cells/Protection - čekirati locked i hidden
Home/Cells /Format / Protection / Protect sheet
Uklanjanje zaštite:
Home/Cells /Format / Protection / Unprotect sheet
</t>
        </r>
      </text>
    </comment>
    <comment ref="A138" authorId="1" shapeId="0" xr:uid="{00000000-0006-0000-0200-00000E000000}">
      <text>
        <r>
          <rPr>
            <b/>
            <sz val="10"/>
            <color indexed="81"/>
            <rFont val="Tahoma"/>
            <family val="2"/>
          </rPr>
          <t xml:space="preserve">Ctrl+A
Home /Format /Cells / Protection/Format Cells/Protection - postaviti ček na locked i hidden
Markirati ćelije sa podacima iz Tabela 1 i 2, pa: 
Home/Format /Cells / Protection/Format cells/Protection - ukloniti ček sa locked i hidden
Home/Format /Cells / Protection /Protect sheet
Uklanjanje zaštite:
Home/Format /Cells / Protection /Unprotect sheet
</t>
        </r>
        <r>
          <rPr>
            <b/>
            <sz val="8"/>
            <color indexed="81"/>
            <rFont val="Tahoma"/>
            <family val="2"/>
          </rPr>
          <t xml:space="preserve">
</t>
        </r>
      </text>
    </comment>
    <comment ref="A157" authorId="1" shapeId="0" xr:uid="{00000000-0006-0000-0200-00000F000000}">
      <text>
        <r>
          <rPr>
            <b/>
            <sz val="10"/>
            <color indexed="81"/>
            <rFont val="Tahoma"/>
            <family val="2"/>
          </rPr>
          <t>Markirati tabelu pa:
Home / Copy
Na željeno mjesto:
Home / paste</t>
        </r>
        <r>
          <rPr>
            <sz val="8"/>
            <color indexed="81"/>
            <rFont val="Tahoma"/>
            <family val="2"/>
          </rPr>
          <t xml:space="preserve">
</t>
        </r>
      </text>
    </comment>
    <comment ref="A158" authorId="1" shapeId="0" xr:uid="{00000000-0006-0000-0200-000010000000}">
      <text>
        <r>
          <rPr>
            <b/>
            <sz val="10"/>
            <color indexed="81"/>
            <rFont val="Tahoma"/>
            <family val="2"/>
          </rPr>
          <t>Markirati tabelu pa:
Home / Copy
Na željeno mjesto:
Home / Paste  / Paste Values ili Paste Special i čekirati Values</t>
        </r>
        <r>
          <rPr>
            <sz val="8"/>
            <color indexed="81"/>
            <rFont val="Tahoma"/>
            <family val="2"/>
          </rPr>
          <t xml:space="preserve">
</t>
        </r>
      </text>
    </comment>
    <comment ref="A159" authorId="1" shapeId="0" xr:uid="{00000000-0006-0000-0200-000011000000}">
      <text>
        <r>
          <rPr>
            <b/>
            <sz val="10"/>
            <color indexed="81"/>
            <rFont val="Tahoma"/>
            <family val="2"/>
          </rPr>
          <t>Markirati tabelu pa:
Home / Copy
Na željeno mjesto:
Home / Paste / Paste Transpose ili Paste Special i čekirati Transpose</t>
        </r>
        <r>
          <rPr>
            <sz val="8"/>
            <color indexed="81"/>
            <rFont val="Tahoma"/>
            <family val="2"/>
          </rPr>
          <t xml:space="preserve">
</t>
        </r>
      </text>
    </comment>
    <comment ref="A160" authorId="1" shapeId="0" xr:uid="{00000000-0006-0000-0200-000012000000}">
      <text>
        <r>
          <rPr>
            <b/>
            <sz val="10"/>
            <color indexed="81"/>
            <rFont val="Tahoma"/>
            <family val="2"/>
          </rPr>
          <t>Markirati tabelu 1 pa: Home / Copy
Na željeno mjesto: Home/ Paste 
Markirati ćelije sa podacima iz Tabele 2, pa:
Home/ Copy
zatim postaviti pokazivač na prvi podatak tabele 1 i:
Home / Paste special / čekirati Add</t>
        </r>
      </text>
    </comment>
    <comment ref="A162" authorId="1" shapeId="0" xr:uid="{00000000-0006-0000-0200-000013000000}">
      <text>
        <r>
          <rPr>
            <b/>
            <sz val="10"/>
            <color indexed="81"/>
            <rFont val="Tahoma"/>
            <family val="2"/>
          </rPr>
          <t>Markirati tabelu pa:
Home / Cut  
Na željeno mjesto
Home / Paste
ili
prevući mišem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eqgqfe</author>
    <author>TanjaS</author>
    <author>Admin</author>
    <author>sse</author>
  </authors>
  <commentList>
    <comment ref="B11" authorId="0" shapeId="0" xr:uid="{00000000-0006-0000-0300-000001000000}">
      <text>
        <r>
          <rPr>
            <b/>
            <sz val="10"/>
            <color indexed="81"/>
            <rFont val="Tahoma"/>
            <family val="2"/>
          </rPr>
          <t>=((3/4)^2*5^8)^(1/3)</t>
        </r>
        <r>
          <rPr>
            <sz val="8"/>
            <color indexed="81"/>
            <rFont val="Tahoma"/>
            <family val="2"/>
          </rPr>
          <t xml:space="preserve">
</t>
        </r>
      </text>
    </comment>
    <comment ref="C20" authorId="0" shapeId="0" xr:uid="{00000000-0006-0000-0300-000002000000}">
      <text>
        <r>
          <rPr>
            <b/>
            <sz val="10"/>
            <color indexed="81"/>
            <rFont val="Tahoma"/>
            <family val="2"/>
          </rPr>
          <t>=(2*C16^2-3)^(1/2)/(3*C17+C18)</t>
        </r>
        <r>
          <rPr>
            <sz val="8"/>
            <color indexed="81"/>
            <rFont val="Tahoma"/>
            <family val="2"/>
          </rPr>
          <t xml:space="preserve">
</t>
        </r>
      </text>
    </comment>
    <comment ref="C29" authorId="1" shapeId="0" xr:uid="{00000000-0006-0000-0300-000003000000}">
      <text>
        <r>
          <rPr>
            <b/>
            <sz val="14"/>
            <color indexed="81"/>
            <rFont val="Tahoma"/>
            <family val="2"/>
          </rPr>
          <t>=5*D26-(D26^2-5)/(D27+D28^2)</t>
        </r>
      </text>
    </comment>
    <comment ref="I39" authorId="2" shapeId="0" xr:uid="{00000000-0006-0000-0300-000004000000}">
      <text>
        <r>
          <rPr>
            <b/>
            <sz val="8"/>
            <color indexed="81"/>
            <rFont val="Tahoma"/>
            <family val="2"/>
          </rPr>
          <t>Kružna (cirkularna) referenca:
u B39 upisati =F39/10</t>
        </r>
        <r>
          <rPr>
            <sz val="8"/>
            <color indexed="81"/>
            <rFont val="Tahoma"/>
            <family val="2"/>
          </rPr>
          <t xml:space="preserve">
(rezultat a=0)
u B39 upisati 1, pa =F39^0.5 
vise puta F9 - rezultat a=6
Napomena: 
File/Options/Formulas/Calculation Options / čekirati Enable iterative calculation</t>
        </r>
      </text>
    </comment>
    <comment ref="B58" authorId="0" shapeId="0" xr:uid="{00000000-0006-0000-0300-000005000000}">
      <text>
        <r>
          <rPr>
            <b/>
            <sz val="10"/>
            <color indexed="81"/>
            <rFont val="Tahoma"/>
            <family val="2"/>
          </rPr>
          <t>=A56&amp;"="&amp;B56</t>
        </r>
        <r>
          <rPr>
            <sz val="8"/>
            <color indexed="81"/>
            <rFont val="Tahoma"/>
            <family val="2"/>
          </rPr>
          <t xml:space="preserve">
</t>
        </r>
      </text>
    </comment>
    <comment ref="D58" authorId="0" shapeId="0" xr:uid="{00000000-0006-0000-0300-000006000000}">
      <text>
        <r>
          <rPr>
            <b/>
            <sz val="10"/>
            <color indexed="81"/>
            <rFont val="Tahoma"/>
            <family val="2"/>
          </rPr>
          <t>="x="&amp;B56</t>
        </r>
        <r>
          <rPr>
            <sz val="8"/>
            <color indexed="81"/>
            <rFont val="Tahoma"/>
            <family val="2"/>
          </rPr>
          <t xml:space="preserve">
</t>
        </r>
      </text>
    </comment>
    <comment ref="A93" authorId="0" shapeId="0" xr:uid="{00000000-0006-0000-0300-000007000000}">
      <text>
        <r>
          <rPr>
            <b/>
            <sz val="10"/>
            <color indexed="81"/>
            <rFont val="Tahoma"/>
            <family val="2"/>
          </rPr>
          <t>=AVERAGE(B89;C91;E90)</t>
        </r>
        <r>
          <rPr>
            <sz val="8"/>
            <color indexed="81"/>
            <rFont val="Tahoma"/>
            <family val="2"/>
          </rPr>
          <t xml:space="preserve">
</t>
        </r>
      </text>
    </comment>
    <comment ref="C101" authorId="0" shapeId="0" xr:uid="{00000000-0006-0000-0300-000008000000}">
      <text>
        <r>
          <rPr>
            <b/>
            <sz val="8"/>
            <color indexed="81"/>
            <rFont val="Tahoma"/>
            <family val="2"/>
          </rPr>
          <t xml:space="preserve">
</t>
        </r>
        <r>
          <rPr>
            <b/>
            <sz val="10"/>
            <color indexed="81"/>
            <rFont val="Tahoma"/>
            <family val="2"/>
          </rPr>
          <t xml:space="preserve">=IF(A100&gt;A101,"veće A100","A100 nije veće od A101")
</t>
        </r>
        <r>
          <rPr>
            <sz val="8"/>
            <color indexed="81"/>
            <rFont val="Tahoma"/>
            <family val="2"/>
          </rPr>
          <t xml:space="preserve">
</t>
        </r>
      </text>
    </comment>
    <comment ref="C105" authorId="0" shapeId="0" xr:uid="{00000000-0006-0000-0300-000009000000}">
      <text>
        <r>
          <rPr>
            <b/>
            <sz val="10"/>
            <color indexed="81"/>
            <rFont val="Arial"/>
            <family val="2"/>
          </rPr>
          <t>=IF(A105&gt;0,1,0)</t>
        </r>
      </text>
    </comment>
    <comment ref="C109" authorId="0" shapeId="0" xr:uid="{00000000-0006-0000-0300-00000A000000}">
      <text>
        <r>
          <rPr>
            <b/>
            <sz val="10"/>
            <color indexed="81"/>
            <rFont val="Tahoma"/>
            <family val="2"/>
          </rPr>
          <t>=IF(A109&gt;0,A111,IF(A109=0,A113,A112))</t>
        </r>
        <r>
          <rPr>
            <sz val="8"/>
            <color indexed="81"/>
            <rFont val="Tahoma"/>
            <family val="2"/>
          </rPr>
          <t xml:space="preserve">
</t>
        </r>
      </text>
    </comment>
    <comment ref="E112" authorId="3" shapeId="0" xr:uid="{00000000-0006-0000-0300-00000B000000}">
      <text>
        <r>
          <rPr>
            <b/>
            <sz val="9"/>
            <color indexed="81"/>
            <rFont val="Tahoma"/>
            <family val="2"/>
          </rPr>
          <t xml:space="preserve">
=IF(A109&lt;0;"broj negativan";IF(A109&gt;0;"broj pozitivan";"broj jednak nuli"))</t>
        </r>
      </text>
    </comment>
    <comment ref="A120" authorId="0" shapeId="0" xr:uid="{00000000-0006-0000-0300-00000C000000}">
      <text>
        <r>
          <rPr>
            <b/>
            <sz val="10"/>
            <color indexed="81"/>
            <rFont val="Tahoma"/>
            <family val="2"/>
          </rPr>
          <t>=MIN(A116:A118)</t>
        </r>
        <r>
          <rPr>
            <sz val="8"/>
            <color indexed="81"/>
            <rFont val="Tahoma"/>
            <family val="2"/>
          </rPr>
          <t xml:space="preserve">
</t>
        </r>
      </text>
    </comment>
    <comment ref="A121" authorId="0" shapeId="0" xr:uid="{00000000-0006-0000-0300-00000D000000}">
      <text>
        <r>
          <rPr>
            <b/>
            <sz val="10"/>
            <color indexed="81"/>
            <rFont val="Tahoma"/>
            <family val="2"/>
          </rPr>
          <t>=IF(A116=A120,"A116",IF(A117=A120,"A117","A118"))</t>
        </r>
        <r>
          <rPr>
            <sz val="8"/>
            <color indexed="81"/>
            <rFont val="Tahoma"/>
            <family val="2"/>
          </rPr>
          <t xml:space="preserve">
</t>
        </r>
      </text>
    </comment>
    <comment ref="A135" authorId="0" shapeId="0" xr:uid="{00000000-0006-0000-0300-00000E000000}">
      <text>
        <r>
          <rPr>
            <b/>
            <sz val="10"/>
            <color indexed="81"/>
            <rFont val="Tahoma"/>
            <family val="2"/>
          </rPr>
          <t>=DATE(98,5,15)</t>
        </r>
        <r>
          <rPr>
            <sz val="8"/>
            <color indexed="81"/>
            <rFont val="Tahoma"/>
            <family val="2"/>
          </rPr>
          <t xml:space="preserve">
</t>
        </r>
      </text>
    </comment>
    <comment ref="A136" authorId="0" shapeId="0" xr:uid="{00000000-0006-0000-0300-00000F000000}">
      <text>
        <r>
          <rPr>
            <b/>
            <sz val="10"/>
            <color indexed="81"/>
            <rFont val="Tahoma"/>
            <family val="2"/>
          </rPr>
          <t>=WEEKDAY(A135)</t>
        </r>
        <r>
          <rPr>
            <sz val="8"/>
            <color indexed="81"/>
            <rFont val="Tahoma"/>
            <family val="2"/>
          </rPr>
          <t xml:space="preserve">
</t>
        </r>
      </text>
    </comment>
    <comment ref="A137" authorId="0" shapeId="0" xr:uid="{00000000-0006-0000-0300-000010000000}">
      <text>
        <r>
          <rPr>
            <b/>
            <sz val="10"/>
            <color indexed="81"/>
            <rFont val="Tahoma"/>
            <family val="2"/>
          </rPr>
          <t>=WEEKDAY(DATE(98,5,15))</t>
        </r>
        <r>
          <rPr>
            <sz val="8"/>
            <color indexed="81"/>
            <rFont val="Tahoma"/>
            <family val="2"/>
          </rPr>
          <t xml:space="preserve">
</t>
        </r>
      </text>
    </comment>
    <comment ref="A141" authorId="0" shapeId="0" xr:uid="{00000000-0006-0000-0300-000011000000}">
      <text>
        <r>
          <rPr>
            <b/>
            <sz val="10"/>
            <color indexed="81"/>
            <rFont val="Tahoma"/>
            <family val="2"/>
          </rPr>
          <t>=DATE(2001,3,13)-DATE(1960,3,21)</t>
        </r>
        <r>
          <rPr>
            <sz val="8"/>
            <color indexed="81"/>
            <rFont val="Tahoma"/>
            <family val="2"/>
          </rPr>
          <t xml:space="preserve">
</t>
        </r>
      </text>
    </comment>
    <comment ref="A146" authorId="0" shapeId="0" xr:uid="{00000000-0006-0000-0300-000012000000}">
      <text>
        <r>
          <rPr>
            <b/>
            <sz val="10"/>
            <color indexed="81"/>
            <rFont val="Tahoma"/>
            <family val="2"/>
          </rPr>
          <t>=DEGREES(1)</t>
        </r>
        <r>
          <rPr>
            <sz val="8"/>
            <color indexed="81"/>
            <rFont val="Tahoma"/>
            <family val="2"/>
          </rPr>
          <t xml:space="preserve">
</t>
        </r>
      </text>
    </comment>
    <comment ref="A147" authorId="0" shapeId="0" xr:uid="{00000000-0006-0000-0300-000013000000}">
      <text>
        <r>
          <rPr>
            <b/>
            <sz val="10"/>
            <color indexed="81"/>
            <rFont val="Tahoma"/>
            <family val="2"/>
          </rPr>
          <t>=RADIANS(180)</t>
        </r>
        <r>
          <rPr>
            <sz val="8"/>
            <color indexed="81"/>
            <rFont val="Tahoma"/>
            <family val="2"/>
          </rPr>
          <t xml:space="preserve">
</t>
        </r>
      </text>
    </comment>
    <comment ref="D147" authorId="3" shapeId="0" xr:uid="{00000000-0006-0000-0300-000014000000}">
      <text>
        <r>
          <rPr>
            <b/>
            <sz val="10"/>
            <color indexed="81"/>
            <rFont val="Tahoma"/>
            <family val="2"/>
          </rPr>
          <t>=CONVERT(D146;"F";"C")</t>
        </r>
      </text>
    </comment>
    <comment ref="D173" authorId="0" shapeId="0" xr:uid="{00000000-0006-0000-0300-000015000000}">
      <text>
        <r>
          <rPr>
            <b/>
            <sz val="10"/>
            <color indexed="81"/>
            <rFont val="Tahoma"/>
            <family val="2"/>
          </rPr>
          <t xml:space="preserve">
  =B$172*C173^2+B$173*C173+B$174
</t>
        </r>
      </text>
    </comment>
    <comment ref="C187" authorId="0" shapeId="0" xr:uid="{00000000-0006-0000-0300-000016000000}">
      <text>
        <r>
          <rPr>
            <b/>
            <sz val="10"/>
            <color indexed="81"/>
            <rFont val="Tahoma"/>
            <family val="2"/>
          </rPr>
          <t xml:space="preserve">=$B187*C$186
</t>
        </r>
        <r>
          <rPr>
            <sz val="8"/>
            <color indexed="81"/>
            <rFont val="Tahoma"/>
            <family val="2"/>
          </rPr>
          <t xml:space="preserve">
</t>
        </r>
      </text>
    </comment>
    <comment ref="C198" authorId="3" shapeId="0" xr:uid="{00000000-0006-0000-0300-000017000000}">
      <text>
        <r>
          <rPr>
            <b/>
            <sz val="10"/>
            <color indexed="81"/>
            <rFont val="Tahoma"/>
            <family val="2"/>
          </rPr>
          <t xml:space="preserve">=IF(B198=$B$203;"Dobra";"Loša")
</t>
        </r>
      </text>
    </comment>
    <comment ref="B203" authorId="3" shapeId="0" xr:uid="{00000000-0006-0000-0300-000018000000}">
      <text>
        <r>
          <rPr>
            <b/>
            <sz val="10"/>
            <color indexed="81"/>
            <rFont val="Tahoma"/>
            <family val="2"/>
          </rPr>
          <t xml:space="preserve">=MIN(B198:B201)
</t>
        </r>
      </text>
    </comment>
    <comment ref="C217" authorId="3" shapeId="0" xr:uid="{00000000-0006-0000-0300-000019000000}">
      <text>
        <r>
          <rPr>
            <b/>
            <sz val="12"/>
            <color indexed="81"/>
            <rFont val="Tahoma"/>
            <family val="2"/>
          </rPr>
          <t xml:space="preserve">
 =IF(B217&gt;=Planirano;B217*Nagradna;B217*Provizija)
</t>
        </r>
      </text>
    </comment>
    <comment ref="D217" authorId="3" shapeId="0" xr:uid="{00000000-0006-0000-0300-00001A000000}">
      <text>
        <r>
          <rPr>
            <b/>
            <sz val="9"/>
            <color indexed="81"/>
            <rFont val="Tahoma"/>
            <family val="2"/>
          </rPr>
          <t>DRUGI NAČIN</t>
        </r>
        <r>
          <rPr>
            <b/>
            <sz val="12"/>
            <color indexed="81"/>
            <rFont val="Tahoma"/>
            <family val="2"/>
          </rPr>
          <t xml:space="preserve">
=IF(B217&gt;=$C$211;B217*$C$213;B217*$C$212)</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eqgqfe</author>
    <author>sse</author>
    <author>Admin</author>
  </authors>
  <commentList>
    <comment ref="C16" authorId="0" shapeId="0" xr:uid="{00000000-0006-0000-0400-000001000000}">
      <text>
        <r>
          <rPr>
            <b/>
            <sz val="10"/>
            <color indexed="81"/>
            <rFont val="Tahoma"/>
            <family val="2"/>
          </rPr>
          <t>=PV(0.5%,60,0,10000)</t>
        </r>
        <r>
          <rPr>
            <sz val="8"/>
            <color indexed="81"/>
            <rFont val="Tahoma"/>
            <family val="2"/>
          </rPr>
          <t xml:space="preserve">
</t>
        </r>
      </text>
    </comment>
    <comment ref="C27" authorId="0" shapeId="0" xr:uid="{00000000-0006-0000-0400-000002000000}">
      <text>
        <r>
          <rPr>
            <b/>
            <sz val="10"/>
            <color indexed="81"/>
            <rFont val="Tahoma"/>
            <family val="2"/>
          </rPr>
          <t>=PV(1%,12,-100,0,0)</t>
        </r>
      </text>
    </comment>
    <comment ref="C28" authorId="0" shapeId="0" xr:uid="{00000000-0006-0000-0400-000003000000}">
      <text>
        <r>
          <rPr>
            <b/>
            <sz val="10"/>
            <color indexed="81"/>
            <rFont val="Tahoma"/>
            <family val="2"/>
          </rPr>
          <t>=PV(1%,12,-100,0,1)</t>
        </r>
        <r>
          <rPr>
            <sz val="8"/>
            <color indexed="81"/>
            <rFont val="Tahoma"/>
            <family val="2"/>
          </rPr>
          <t xml:space="preserve">
</t>
        </r>
      </text>
    </comment>
    <comment ref="C92" authorId="1" shapeId="0" xr:uid="{00000000-0006-0000-0400-000004000000}">
      <text>
        <r>
          <rPr>
            <b/>
            <sz val="12"/>
            <color indexed="81"/>
            <rFont val="Tahoma"/>
            <family val="2"/>
          </rPr>
          <t xml:space="preserve">
=PMT(1%;5*12;10000;;0)</t>
        </r>
      </text>
    </comment>
    <comment ref="C107" authorId="1" shapeId="0" xr:uid="{00000000-0006-0000-0400-000005000000}">
      <text>
        <r>
          <rPr>
            <b/>
            <sz val="14"/>
            <color indexed="81"/>
            <rFont val="Tahoma"/>
            <family val="2"/>
          </rPr>
          <t xml:space="preserve">
=PMT(6%/12;18*12;;20000;1)</t>
        </r>
      </text>
    </comment>
    <comment ref="C124" authorId="1" shapeId="0" xr:uid="{00000000-0006-0000-0400-000006000000}">
      <text>
        <r>
          <rPr>
            <b/>
            <sz val="12"/>
            <color indexed="81"/>
            <rFont val="Tahoma"/>
            <family val="2"/>
          </rPr>
          <t xml:space="preserve">
=RATE(12;-500;5000)</t>
        </r>
      </text>
    </comment>
    <comment ref="C125" authorId="1" shapeId="0" xr:uid="{00000000-0006-0000-0400-000007000000}">
      <text>
        <r>
          <rPr>
            <b/>
            <sz val="14"/>
            <color indexed="81"/>
            <rFont val="Tahoma"/>
            <family val="2"/>
          </rPr>
          <t xml:space="preserve">
=RATE(12;-500;5000,,1)</t>
        </r>
      </text>
    </comment>
    <comment ref="J162" authorId="2" shapeId="0" xr:uid="{00000000-0006-0000-0400-000008000000}">
      <text>
        <r>
          <rPr>
            <b/>
            <sz val="8"/>
            <color indexed="81"/>
            <rFont val="Tahoma"/>
            <family val="2"/>
          </rPr>
          <t>Za nominalnu kamatnu stopu od 12 % godišnje efektivna je 12.68%</t>
        </r>
        <r>
          <rPr>
            <sz val="8"/>
            <color indexed="81"/>
            <rFont val="Tahoma"/>
            <family val="2"/>
          </rPr>
          <t xml:space="preserve">
</t>
        </r>
      </text>
    </comment>
    <comment ref="A179" authorId="2" shapeId="0" xr:uid="{00000000-0006-0000-0400-000009000000}">
      <text>
        <r>
          <rPr>
            <b/>
            <sz val="8"/>
            <color indexed="81"/>
            <rFont val="Tahoma"/>
            <family val="2"/>
          </rPr>
          <t>Napomena: primjer se odnosi na period značajne inflacije kada je sredstvo plaćanja bio dinar (generalno na bilo koju nekonvertibilnu valutu).</t>
        </r>
        <r>
          <rPr>
            <sz val="8"/>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sse</author>
    <author>eqgqfe</author>
    <author>Vladan V</author>
  </authors>
  <commentList>
    <comment ref="B29" authorId="0" shapeId="0" xr:uid="{00000000-0006-0000-0500-000001000000}">
      <text>
        <r>
          <rPr>
            <b/>
            <sz val="8"/>
            <color indexed="81"/>
            <rFont val="Tahoma"/>
            <family val="2"/>
          </rPr>
          <t>Odgovor:</t>
        </r>
        <r>
          <rPr>
            <b/>
            <sz val="10"/>
            <color indexed="81"/>
            <rFont val="Tahoma"/>
            <family val="2"/>
          </rPr>
          <t xml:space="preserve">
Home / Cells /Format /Format Cells/Number/Categorie/Number/(decimal places 2 i negative numbers - L.t.m. na broj crvene boje sa minusom)</t>
        </r>
      </text>
    </comment>
    <comment ref="A36" authorId="0" shapeId="0" xr:uid="{00000000-0006-0000-0500-000002000000}">
      <text>
        <r>
          <rPr>
            <b/>
            <sz val="10"/>
            <color indexed="81"/>
            <rFont val="Tahoma"/>
            <family val="2"/>
          </rPr>
          <t>Odgovor:
Home / Cells /Format/ Format Cells/Number/Categorie/Currency/(decimal places 2 ; negative numbers - L.t.m. na broj crvene boje sa  minusom;
Symbol -naci Eur)</t>
        </r>
      </text>
    </comment>
    <comment ref="A63" authorId="1" shapeId="0" xr:uid="{00000000-0006-0000-0500-000003000000}">
      <text>
        <r>
          <rPr>
            <b/>
            <sz val="10"/>
            <color indexed="81"/>
            <rFont val="Tahoma"/>
            <family val="2"/>
          </rPr>
          <t>=A62-A61</t>
        </r>
        <r>
          <rPr>
            <sz val="8"/>
            <color indexed="81"/>
            <rFont val="Tahoma"/>
            <family val="2"/>
          </rPr>
          <t xml:space="preserve">
</t>
        </r>
      </text>
    </comment>
    <comment ref="C63" authorId="1" shapeId="0" xr:uid="{00000000-0006-0000-0500-000004000000}">
      <text>
        <r>
          <rPr>
            <b/>
            <sz val="10"/>
            <color indexed="81"/>
            <rFont val="Tahoma"/>
            <family val="2"/>
          </rPr>
          <t>=C62-C61</t>
        </r>
      </text>
    </comment>
    <comment ref="C87" authorId="2" shapeId="0" xr:uid="{00000000-0006-0000-0500-000005000000}">
      <text>
        <r>
          <rPr>
            <sz val="12"/>
            <color indexed="81"/>
            <rFont val="Tahoma"/>
            <family val="2"/>
          </rPr>
          <t>Kopirati vrijeme t iz B87 i primijeniti opšti format</t>
        </r>
        <r>
          <rPr>
            <sz val="8"/>
            <color indexed="81"/>
            <rFont val="Tahoma"/>
            <family val="2"/>
          </rPr>
          <t xml:space="preserve">
</t>
        </r>
      </text>
    </comment>
    <comment ref="C144" authorId="1" shapeId="0" xr:uid="{00000000-0006-0000-0500-000006000000}">
      <text>
        <r>
          <rPr>
            <b/>
            <sz val="10"/>
            <color indexed="81"/>
            <rFont val="Tahoma"/>
            <family val="2"/>
          </rPr>
          <t>=A$143*B144</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vrs1</author>
    <author>MirkoPC</author>
    <author>eqgqfe</author>
    <author>Admin</author>
  </authors>
  <commentList>
    <comment ref="A46" authorId="0" shapeId="0" xr:uid="{00000000-0006-0000-0600-000001000000}">
      <text>
        <r>
          <rPr>
            <b/>
            <sz val="10"/>
            <color indexed="81"/>
            <rFont val="Tahoma"/>
            <family val="2"/>
          </rPr>
          <t>Crveni trougao je indikator komentara</t>
        </r>
        <r>
          <rPr>
            <sz val="8"/>
            <color indexed="81"/>
            <rFont val="Tahoma"/>
            <family val="2"/>
          </rPr>
          <t xml:space="preserve">
</t>
        </r>
      </text>
    </comment>
    <comment ref="I46" authorId="1" shapeId="0" xr:uid="{ECFDB02E-7D65-42DF-895F-09490422F444}">
      <text>
        <r>
          <rPr>
            <b/>
            <sz val="9"/>
            <color indexed="81"/>
            <rFont val="Tahoma"/>
            <family val="2"/>
          </rPr>
          <t>MirkoPC:</t>
        </r>
        <r>
          <rPr>
            <sz val="9"/>
            <color indexed="81"/>
            <rFont val="Tahoma"/>
            <family val="2"/>
          </rPr>
          <t xml:space="preserve">
Test
</t>
        </r>
      </text>
    </comment>
    <comment ref="A56" authorId="0" shapeId="0" xr:uid="{00000000-0006-0000-0600-000002000000}">
      <text>
        <r>
          <rPr>
            <b/>
            <sz val="10"/>
            <color indexed="81"/>
            <rFont val="Tahoma"/>
            <family val="2"/>
          </rPr>
          <t>Današnji datum</t>
        </r>
        <r>
          <rPr>
            <sz val="8"/>
            <color indexed="81"/>
            <rFont val="Tahoma"/>
            <family val="2"/>
          </rPr>
          <t xml:space="preserve">
</t>
        </r>
      </text>
    </comment>
    <comment ref="I56" authorId="1" shapeId="0" xr:uid="{667B4EEC-A2F8-46B5-B924-A32CAC3552B5}">
      <text>
        <r>
          <rPr>
            <b/>
            <sz val="9"/>
            <color indexed="81"/>
            <rFont val="Tahoma"/>
            <family val="2"/>
          </rPr>
          <t>MirkoPC:</t>
        </r>
        <r>
          <rPr>
            <sz val="9"/>
            <color indexed="81"/>
            <rFont val="Tahoma"/>
            <family val="2"/>
          </rPr>
          <t xml:space="preserve">
</t>
        </r>
      </text>
    </comment>
    <comment ref="K59" authorId="1" shapeId="0" xr:uid="{0548C9F0-48D2-4AA3-9A3A-840549757B9E}">
      <text>
        <r>
          <rPr>
            <b/>
            <sz val="9"/>
            <color indexed="81"/>
            <rFont val="Tahoma"/>
            <family val="2"/>
          </rPr>
          <t>MirkoPC:</t>
        </r>
        <r>
          <rPr>
            <sz val="9"/>
            <color indexed="81"/>
            <rFont val="Tahoma"/>
            <family val="2"/>
          </rPr>
          <t xml:space="preserve">
</t>
        </r>
      </text>
    </comment>
    <comment ref="A63" authorId="0" shapeId="0" xr:uid="{00000000-0006-0000-0600-000003000000}">
      <text>
        <r>
          <rPr>
            <b/>
            <sz val="8"/>
            <color indexed="81"/>
            <rFont val="Tahoma"/>
            <family val="2"/>
          </rPr>
          <t>a</t>
        </r>
        <r>
          <rPr>
            <sz val="8"/>
            <color indexed="81"/>
            <rFont val="Tahoma"/>
            <family val="2"/>
          </rPr>
          <t xml:space="preserve">
</t>
        </r>
      </text>
    </comment>
    <comment ref="B63" authorId="0" shapeId="0" xr:uid="{00000000-0006-0000-0600-000004000000}">
      <text>
        <r>
          <rPr>
            <b/>
            <sz val="8"/>
            <color indexed="81"/>
            <rFont val="Tahoma"/>
            <family val="2"/>
          </rPr>
          <t>b</t>
        </r>
        <r>
          <rPr>
            <sz val="8"/>
            <color indexed="81"/>
            <rFont val="Tahoma"/>
            <family val="2"/>
          </rPr>
          <t xml:space="preserve">
</t>
        </r>
      </text>
    </comment>
    <comment ref="C63" authorId="0" shapeId="0" xr:uid="{00000000-0006-0000-0600-000005000000}">
      <text>
        <r>
          <rPr>
            <b/>
            <sz val="8"/>
            <color indexed="81"/>
            <rFont val="Tahoma"/>
            <family val="2"/>
          </rPr>
          <t>2a+b</t>
        </r>
      </text>
    </comment>
    <comment ref="I63" authorId="1" shapeId="0" xr:uid="{316D8BCA-45C3-4A1B-8F96-900E918EE613}">
      <text>
        <r>
          <rPr>
            <b/>
            <sz val="9"/>
            <color indexed="81"/>
            <rFont val="Tahoma"/>
            <family val="2"/>
          </rPr>
          <t>a</t>
        </r>
      </text>
    </comment>
    <comment ref="J63" authorId="1" shapeId="0" xr:uid="{336346B6-5982-4C4F-A281-4DAD7E72D613}">
      <text>
        <r>
          <rPr>
            <b/>
            <sz val="9"/>
            <color indexed="81"/>
            <rFont val="Tahoma"/>
            <family val="2"/>
          </rPr>
          <t>b</t>
        </r>
      </text>
    </comment>
    <comment ref="K63" authorId="1" shapeId="0" xr:uid="{3CFBE9CC-329C-4E6E-AE77-CF4A3D8E192B}">
      <text>
        <r>
          <rPr>
            <b/>
            <sz val="9"/>
            <color indexed="81"/>
            <rFont val="Tahoma"/>
            <family val="2"/>
          </rPr>
          <t>2a+b</t>
        </r>
      </text>
    </comment>
    <comment ref="E90" authorId="2" shapeId="0" xr:uid="{00000000-0006-0000-0600-000006000000}">
      <text>
        <r>
          <rPr>
            <sz val="8"/>
            <color indexed="81"/>
            <rFont val="Tahoma"/>
            <family val="2"/>
          </rPr>
          <t xml:space="preserve">   </t>
        </r>
        <r>
          <rPr>
            <b/>
            <sz val="10"/>
            <color indexed="81"/>
            <rFont val="Times New Roman"/>
            <family val="1"/>
          </rPr>
          <t>y=a</t>
        </r>
        <r>
          <rPr>
            <b/>
            <vertAlign val="subscript"/>
            <sz val="10"/>
            <color indexed="81"/>
            <rFont val="Times New Roman"/>
            <family val="1"/>
          </rPr>
          <t>1</t>
        </r>
        <r>
          <rPr>
            <b/>
            <sz val="10"/>
            <color indexed="81"/>
            <rFont val="Times New Roman"/>
            <family val="1"/>
          </rPr>
          <t xml:space="preserve"> x</t>
        </r>
        <r>
          <rPr>
            <b/>
            <vertAlign val="superscript"/>
            <sz val="10"/>
            <color indexed="81"/>
            <rFont val="Times New Roman"/>
            <family val="1"/>
          </rPr>
          <t>2</t>
        </r>
        <r>
          <rPr>
            <b/>
            <sz val="10"/>
            <color indexed="81"/>
            <rFont val="Times New Roman"/>
            <family val="1"/>
          </rPr>
          <t xml:space="preserve"> + b</t>
        </r>
        <r>
          <rPr>
            <b/>
            <vertAlign val="subscript"/>
            <sz val="10"/>
            <color indexed="81"/>
            <rFont val="Times New Roman"/>
            <family val="1"/>
          </rPr>
          <t>1</t>
        </r>
      </text>
    </comment>
    <comment ref="F92" authorId="1" shapeId="0" xr:uid="{2DB3BA19-9412-40A8-994B-1C81C6318CA8}">
      <text/>
    </comment>
    <comment ref="A100" authorId="3" shapeId="0" xr:uid="{00000000-0006-0000-0600-000007000000}">
      <text>
        <r>
          <rPr>
            <b/>
            <sz val="8"/>
            <color indexed="81"/>
            <rFont val="Tahoma"/>
            <family val="2"/>
          </rPr>
          <t xml:space="preserve">Rješenje:
Markirati npr. blok A90:A93, pa
</t>
        </r>
        <r>
          <rPr>
            <sz val="8"/>
            <color indexed="81"/>
            <rFont val="Tahoma"/>
            <family val="2"/>
          </rPr>
          <t xml:space="preserve">
Home /Cells / Insert /Insert  Rows</t>
        </r>
      </text>
    </comment>
  </commentList>
</comments>
</file>

<file path=xl/sharedStrings.xml><?xml version="1.0" encoding="utf-8"?>
<sst xmlns="http://schemas.openxmlformats.org/spreadsheetml/2006/main" count="1691" uniqueCount="1337">
  <si>
    <t>Napomena: za otkrivanje je potrebno da bar jedna ćelija kolone</t>
  </si>
  <si>
    <t>prikrivene kolone; ili markiramo blok koji obuhvata ćelije lijevo i desno</t>
  </si>
  <si>
    <t xml:space="preserve">bude markirana (npr. sa Goto dovedemo pokazivač na jednu ćeliju </t>
  </si>
  <si>
    <t>od prikrivene kolone).</t>
  </si>
  <si>
    <t>Podešavanje za vrste:</t>
  </si>
  <si>
    <t xml:space="preserve"> - prikrivanje vrste ili više vrsta</t>
  </si>
  <si>
    <t>Zadatak: Istovremeno ubaciti četiri vrste između redova 90 i 91.</t>
  </si>
  <si>
    <t>Zadatak: Istovremeno ubaciti tri nove kolone između kolona B i C.</t>
  </si>
  <si>
    <t>ukucati broj indeksa. Zatim primijeniti automatsko podešavanje širine kolone.</t>
  </si>
  <si>
    <r>
      <t>Zadatak:</t>
    </r>
    <r>
      <rPr>
        <sz val="10"/>
        <rFont val="Arial"/>
        <family val="2"/>
      </rPr>
      <t xml:space="preserve"> Podesiti istovremeno širinu kolona A, D ,E na 20</t>
    </r>
  </si>
  <si>
    <r>
      <t>Zadatak:</t>
    </r>
    <r>
      <rPr>
        <sz val="10"/>
        <rFont val="Arial"/>
        <family val="2"/>
      </rPr>
      <t xml:space="preserve"> Podesiti da standardna širina kolona bude 10, a zatim vratiti na 8.43.</t>
    </r>
  </si>
  <si>
    <r>
      <t>Zadatak:</t>
    </r>
    <r>
      <rPr>
        <sz val="10"/>
        <rFont val="Arial"/>
        <family val="2"/>
      </rPr>
      <t xml:space="preserve"> U proizvoljnu ćeliju upisati svoje ime i prezime, a u susjednu ćeliju desno</t>
    </r>
  </si>
  <si>
    <r>
      <t>Zadatak:</t>
    </r>
    <r>
      <rPr>
        <sz val="10"/>
        <rFont val="Arial"/>
        <family val="2"/>
      </rPr>
      <t xml:space="preserve"> Prikriti kolonu E, a zatim istovremeno prikriti kolone A i C. Nakon toga</t>
    </r>
  </si>
  <si>
    <t>"otkriti" sve prikrivene kolone.</t>
  </si>
  <si>
    <r>
      <t>Zadatak:</t>
    </r>
    <r>
      <rPr>
        <sz val="10"/>
        <rFont val="Arial"/>
        <family val="2"/>
      </rPr>
      <t xml:space="preserve"> Podesiti istovremeno visinu vrsta 10,15,17 na 20. Zatim, na iste vrste</t>
    </r>
  </si>
  <si>
    <t>primijeniti automatsko podešavanje visine.</t>
  </si>
  <si>
    <r>
      <t>Zadatak:</t>
    </r>
    <r>
      <rPr>
        <sz val="10"/>
        <rFont val="Arial"/>
        <family val="2"/>
      </rPr>
      <t xml:space="preserve"> Prikriti vrstu 10, a zatim istovremeno prikriti vrste 15 i 17. Nakon toga</t>
    </r>
  </si>
  <si>
    <t>"otkriti" sve prikrivene vrste.</t>
  </si>
  <si>
    <r>
      <t>Zadatak:</t>
    </r>
    <r>
      <rPr>
        <sz val="10"/>
        <rFont val="Arial"/>
        <family val="2"/>
      </rPr>
      <t xml:space="preserve"> Prikriti odgovarajuće kolone i redove tako da se vidi samo blok A1:G68.</t>
    </r>
  </si>
  <si>
    <t>Zatim ponovo prikazati sve prikrivene redove i kolone.</t>
  </si>
  <si>
    <t>Primjer: U ćelije A1 i A2 sa sheet-a 1, A1 i A2 sa sheet-a 2 i A1 i A2 sa sheet-a 3</t>
  </si>
  <si>
    <t>upisati proizvoljne brojeve. Zatim u proizvoljnoj ćeliji na Sheet-u 1, naći njihovu sumu.</t>
  </si>
  <si>
    <t>Rješenje (Izraz iz proizvoljne ćelije Sheet-a 1):</t>
  </si>
  <si>
    <t xml:space="preserve"> =SUM(A1:A2,Sheet2!A1:A2,Sheet3!A1:A2)</t>
  </si>
  <si>
    <t xml:space="preserve"> =Sum(Sheet1:Sheet3!A1:A2)</t>
  </si>
  <si>
    <t>prethodnog primjera.</t>
  </si>
  <si>
    <t xml:space="preserve"> =SUM(A1*A2,Sheet2!A1*Sheet2!A2,Sheet3!A1*Sheet3!A2)</t>
  </si>
  <si>
    <t xml:space="preserve"> =A1*A2 + Sheet2!A1*Sheet2!A2 + Sheet3!A1*Sheet3!A2</t>
  </si>
  <si>
    <t xml:space="preserve"> =PRODUCT(A1:A2)+PRODUCT(Sheet2!A1:A2)+PRODUCT(Sheet3!A1:A2)</t>
  </si>
  <si>
    <t xml:space="preserve"> =SUM(PRODUCT(A1:A2),PRODUCT(Sheet2!A1:A2),PRODUCT(Sheet3!A1:A2))</t>
  </si>
  <si>
    <t>Moguća rješenja (Izraz iz proizvoljne ćelije Sheet-a 1):</t>
  </si>
  <si>
    <t>prethodnim rješenjima.</t>
  </si>
  <si>
    <t xml:space="preserve">Napomena: </t>
  </si>
  <si>
    <t>Promjenom imena Sheet-a automatski se mijenja njegovo ime u formulama i funkcijama</t>
  </si>
  <si>
    <t>Zadatak: Isprobati prethodno opisane opcije vezane za trodimenzionalnu tabelu.</t>
  </si>
  <si>
    <t>2) pomoću tastature: F8+strelice (Shift + strelica), Shift+F8, F8+strelice...</t>
  </si>
  <si>
    <t xml:space="preserve"> - isto što i taster DELETE</t>
  </si>
  <si>
    <t>P4</t>
  </si>
  <si>
    <t>a) Izbrisati čitavu tabelu (sadržaj i format), a zatim je sa komandom Undo vratiti.</t>
  </si>
  <si>
    <t>b) Izbrisati sadržaj tabele, a zatim ga sa komandom Undo vratiti.</t>
  </si>
  <si>
    <t>c) Izbrisati format tabele, a zatim ga sa komandom Undo vratiti.</t>
  </si>
  <si>
    <t>d) Ukloniti redove u kojima su P2 i P3, a zatim ih sa komandom Undo vratiti.</t>
  </si>
  <si>
    <t>e) Ukloniti kolonu sa Cijenom, a zatim je sa komandom Undo vratiti.</t>
  </si>
  <si>
    <t>f) Ukloniti ćeliju sa brojem 23, tako da se ista popuni brojem ispod (vratiti sa Undo)</t>
  </si>
  <si>
    <t>g) Ukloniti ćeliju sa brojem 23, tako da popunjavanje bude s desna (vratiti sa Undo)</t>
  </si>
  <si>
    <t>Tabela</t>
  </si>
  <si>
    <t>Marko Marković</t>
  </si>
  <si>
    <t>Primjer: Podesiti da Marković bude</t>
  </si>
  <si>
    <t>2)Ako su u ćelije C16,C17,C18 uneseni redom podaci x=3,y=6,z=15 u ćeliju</t>
  </si>
  <si>
    <t>C20 (koristeći adrese ćelija) izračunati izraz preko kojeg se može dobiti:</t>
  </si>
  <si>
    <t>3)Ako su u ćelije D26,D27,D28 uneseni redom podaci a=5, b=6, c=8 u ćeliju</t>
  </si>
  <si>
    <t>C29 ( koristeći adrese ćelija) upisati izraz preko kojeg se može izračunati</t>
  </si>
  <si>
    <t>ispod Marko u istoj ćeliji.</t>
  </si>
  <si>
    <t>Primjer: Kucanjem samo jednog znaka * podesiti da se prikaže kao ispod.</t>
  </si>
  <si>
    <t>Zadatak: isprobati opcije na tabeli:</t>
  </si>
  <si>
    <t xml:space="preserve">Procjep izmedju stubića i dubina grafikona: </t>
  </si>
  <si>
    <t>ZADATAK: Formirati linijski grafikon koji će prikazati zavisnost maksimalne brzine od snage tj.</t>
  </si>
  <si>
    <t>serija da bude maksimalna brzina, a po x-osi da budu vrijednosti za snagu.</t>
  </si>
  <si>
    <t>Postavljanje (ili uklanjanje) vrijednosti ili labele (oznake) na grafikonu:</t>
  </si>
  <si>
    <t>Napomena: Postavljanje vrijednosti ili labele samo za jednu seriju ili za jedan podatak:</t>
  </si>
  <si>
    <t>d) Prikazati račune koji su manji od 15 ili veći od 30.</t>
  </si>
  <si>
    <t>b) Prikazati samo one zapise sa računom većim od 25.</t>
  </si>
  <si>
    <t>c) Prikazati samo one zapise sa računom većim od 17, a manjim od 33.</t>
  </si>
  <si>
    <t>e) Prikazati Jankovice koji imaju račun veći od 22,5.</t>
  </si>
  <si>
    <t xml:space="preserve"> Napraviti trakasti grafikon.</t>
  </si>
  <si>
    <t>Promjena boje (sjenčenje) dijela grafikona: Prilikom formatiranja izabrati opciju Patterns:</t>
  </si>
  <si>
    <t>ili : dva puta L.T.M. na željeni dio</t>
  </si>
  <si>
    <t>Takođe, prikazati ocjene (labele) i njihove procente. Unijeti naslov Predmet1</t>
  </si>
  <si>
    <t xml:space="preserve"> e) Napraviti kružni dijagram za predmet 1, koji pokazuje koliko je studenata</t>
  </si>
  <si>
    <t>ploložilo a koliko palo (procentualno) . Povećati tačnost u procentima.</t>
  </si>
  <si>
    <r>
      <t xml:space="preserve">                   </t>
    </r>
    <r>
      <rPr>
        <u/>
        <sz val="10"/>
        <rFont val="Arial"/>
        <family val="2"/>
      </rPr>
      <t>Zadatak:</t>
    </r>
    <r>
      <rPr>
        <sz val="10"/>
        <rFont val="Arial"/>
        <family val="2"/>
      </rPr>
      <t xml:space="preserve"> Napraviti isti grafikon za Predmet 3.</t>
    </r>
  </si>
  <si>
    <t>Zadatak: Uraditi isto za Predmet3.</t>
  </si>
  <si>
    <t xml:space="preserve"> u odnosu na ukupan broj studenata (koristiti prstenasti "doughnut" grafikon).</t>
  </si>
  <si>
    <t>Proizvodnja za mjesece jan., feb., maj i jun.</t>
  </si>
  <si>
    <t>Za tabelu ispod:</t>
  </si>
  <si>
    <t>a) Napraviti linijski grafikon za proizvode 1 i 2.</t>
  </si>
  <si>
    <t xml:space="preserve">Zatim podesiti  minimum, maksimum na y osi (od 100  do 250), </t>
  </si>
  <si>
    <t>mijenjati boje podloge, linija i sl.</t>
  </si>
  <si>
    <t>b) Napraviti xy scatter grafikon za proizvod 1 i 2</t>
  </si>
  <si>
    <t>minimum i maksimum na x osi (od 1 do 6), mijenjati boje podloge, linija i sl.</t>
  </si>
  <si>
    <t xml:space="preserve">c) Na prethodnom grafikonu podesiti x osu od 1 do 10, pa ubaciti trend liniju tipa </t>
  </si>
  <si>
    <t>"linear" za Proizvod 2. Zatim nacrtati sličicu:</t>
  </si>
  <si>
    <t>i ubaciti je na mjesto markera za Proizvod 1.</t>
  </si>
  <si>
    <t>Uputstvo:</t>
  </si>
  <si>
    <t>d) Nacrtati sličicu ispod. Zatim napraviti kombinovani grafikon za proizvode 1 i 2</t>
  </si>
  <si>
    <t>(trakasti i linijski). Zatim na mjesto traka postaviti sličicu.</t>
  </si>
  <si>
    <t>Uputstvo: Ubacivanje sličice isto kao u prethodnom primjeru.</t>
  </si>
  <si>
    <t>Napomena: Moguće je umetnuti sliku iz proizvoljnog fajla na mjesto serije:</t>
  </si>
  <si>
    <t xml:space="preserve">Vježbati ubacivanje naziva X ,Y i Z ose, teksta, vrijednosti na stubićima, podešavanje mreže ... </t>
  </si>
  <si>
    <t xml:space="preserve">Primjer: Automatski podesiti da se Marković prebaci u ćeliju ispod Marko. </t>
  </si>
  <si>
    <t>General (Opšti format)</t>
  </si>
  <si>
    <t>(Postoji 12 kategorija formata.)</t>
  </si>
  <si>
    <t xml:space="preserve"> 121212121212 ,             1.888888,               1.88888888888 </t>
  </si>
  <si>
    <t>Analizirati rezultate.</t>
  </si>
  <si>
    <t xml:space="preserve">Primjer: a) Ukucati broj 123456 , pa podesiti da se prikaže sa dva decimalna </t>
  </si>
  <si>
    <t>mjesta i da se hiljade odvajaju zarezom.</t>
  </si>
  <si>
    <t xml:space="preserve">b) Broj 12.1237 formatirati tako da se prikaže u brojnom formatu sa </t>
  </si>
  <si>
    <t>tri decimalna mjesta.</t>
  </si>
  <si>
    <t>c) Opisati postupak formatiranja ćelije tipa Number sa jednim decimalnim mjestom,</t>
  </si>
  <si>
    <t>Rezultati:           a)</t>
  </si>
  <si>
    <t xml:space="preserve">                         b)</t>
  </si>
  <si>
    <t xml:space="preserve">                         c)</t>
  </si>
  <si>
    <t>tako da se eventualni negativan broj prikaže sa znakom minus i u crvenoj boji</t>
  </si>
  <si>
    <t>(Isprobati broj 123 i -123).</t>
  </si>
  <si>
    <t>Currency (Monetarni format)</t>
  </si>
  <si>
    <t xml:space="preserve">Primjer: Opisati postupak formatiranja ćelija tako da se podaci prikažu u </t>
  </si>
  <si>
    <t>monetarnom formatu sa dva decimalna mjesta i znakom za EURO na kraju</t>
  </si>
  <si>
    <t>( uraditi za brojeve 1234 i -1234).</t>
  </si>
  <si>
    <t>Accounting (Knjigovodstveni format)</t>
  </si>
  <si>
    <t>Primjer: Opisati postupak formatiranja ćelija u knjigovodstvenom formatu tako da</t>
  </si>
  <si>
    <t xml:space="preserve">se podaci prikazuju sa dva decimalna mjesta i znakom za EURO: a) iza broja </t>
  </si>
  <si>
    <t>b) ispred broja  ( za slučaj pod a) uraditi za broj -99, a za slučaj pod b) za 12351.</t>
  </si>
  <si>
    <t>a)</t>
  </si>
  <si>
    <t>b)</t>
  </si>
  <si>
    <t>Primjer: Prikazati brojeve 36981.5,     36981  i  36981.33 u datumskom formatu</t>
  </si>
  <si>
    <t>Time (Vremenski format)</t>
  </si>
  <si>
    <t>Primjer: Brojeve 0.5 i 0.542 prikazati u vremenskom formatu, a vrijeme 0:00:00</t>
  </si>
  <si>
    <t>i 24:00:00 prikazati u obliku brojeva (opšti format)</t>
  </si>
  <si>
    <t>Početak trke:</t>
  </si>
  <si>
    <t>Dana</t>
  </si>
  <si>
    <t>Sati</t>
  </si>
  <si>
    <t>Sekundi</t>
  </si>
  <si>
    <t>Percentage (Procentualni format)</t>
  </si>
  <si>
    <t>Fraction (Razlomački format)</t>
  </si>
  <si>
    <t>Primjer: Broj 1.234 prikazati u razlomačkom formatu, pri čemu se decimalni</t>
  </si>
  <si>
    <t>dio broja prikazuje u vidu: a) četvrtina,  b) šesnaestina, c) trocifrenog razlomka.</t>
  </si>
  <si>
    <t>Scientific (Naučni format)</t>
  </si>
  <si>
    <t>Prikazati brojeve 120 i 0.012 u naučnom formatu.</t>
  </si>
  <si>
    <t>Text (Tekstualni format)</t>
  </si>
  <si>
    <t>98</t>
  </si>
  <si>
    <t>Special ( Specijalni format)</t>
  </si>
  <si>
    <t>Posebni brojevi: npr telefonski, poštanski …</t>
  </si>
  <si>
    <t>Custom (Posebni format)</t>
  </si>
  <si>
    <t>i oznakom EUR posle broja.</t>
  </si>
  <si>
    <t>EUR</t>
  </si>
  <si>
    <t xml:space="preserve">Primjer: Pretvoriti vrijednosti 274,  1017  i 1458 eura u dolare, pri čemu je </t>
  </si>
  <si>
    <t>1EUR=1.07 dolara. Koristeći posebni format prikazati sve vrijednosti</t>
  </si>
  <si>
    <t>bez decimalnih mjesta, a da poslije brojeva stoje nazivi valuta ( eura, dolara).</t>
  </si>
  <si>
    <t>format tako da se kao rezultat dobije: 03.04.2001. god.</t>
  </si>
  <si>
    <t>Primjer: Unijeti u proizvoljnu ćeliju podatak: 03-Apr-2001, a zatim primijeniti posebni</t>
  </si>
  <si>
    <t xml:space="preserve">Primjer: Pomoću funkcije TODAY dobiti današnji datum, a zatim iskopirati </t>
  </si>
  <si>
    <t>format iz ćelije sa podatkom "03.04.2001. god."  iz prethodnog primjera.</t>
  </si>
  <si>
    <t xml:space="preserve">                 =TODAY()</t>
  </si>
  <si>
    <t xml:space="preserve">Primjer: Primijeniti brisanje formata na prethodni primjer. </t>
  </si>
  <si>
    <t xml:space="preserve">Rezultat:  </t>
  </si>
  <si>
    <t>Prikazivanje formula i funkcija:</t>
  </si>
  <si>
    <t>Primijeniti postupak za prikazivanje formula i funkcija, a zatim vratiti na prvobitno.</t>
  </si>
  <si>
    <t>parametara (Number, Alignment,...)</t>
  </si>
  <si>
    <t xml:space="preserve">Primjer:Opisati postupak kojim se formatiraju brojevi sa jednim decimalnim mjestom </t>
  </si>
  <si>
    <t>želji. Zatim ga primijeniti na proizvoljnu tabelu.</t>
  </si>
  <si>
    <t>Moguće rješenje:</t>
  </si>
  <si>
    <t>Zaštita bloka:</t>
  </si>
  <si>
    <t>1) Zaštiti čitav radni prostor (Sheet), a potom ukloniti zaštitu.</t>
  </si>
  <si>
    <t>Tabela 1</t>
  </si>
  <si>
    <t>Tabela 2</t>
  </si>
  <si>
    <t>2) Formirati Tabele 1 i 2 (vidi ispod), a zatim:</t>
  </si>
  <si>
    <t>Znak "=" potrebno staviti ispred formule ili funkcije</t>
  </si>
  <si>
    <t>Postoje tri vrste formula: matematičke, tekstualne i logičke</t>
  </si>
  <si>
    <t>Za matematičke formule: +, -, / , *, ^, () -za grupisanje</t>
  </si>
  <si>
    <t>Rješenje</t>
  </si>
  <si>
    <t>a</t>
  </si>
  <si>
    <t>b</t>
  </si>
  <si>
    <t>c</t>
  </si>
  <si>
    <t>Izmjena postupka računanja i lančana referenca</t>
  </si>
  <si>
    <t xml:space="preserve">Zatim staviti a=4 pa propratiti vrijednosti za b i c. Nakon toga preći na ručno </t>
  </si>
  <si>
    <t>Ručno računanje se izvršava sa F9</t>
  </si>
  <si>
    <t>računanje i staviti ponovo a=44 i izračunati b i c. Zatim preći na automat. računanje.</t>
  </si>
  <si>
    <t>Logičke formule: (&gt;, &lt; , &gt;=, &lt;=, &lt;&gt;)</t>
  </si>
  <si>
    <t>PMT - plaćanje (na početku ili kraju svakog perioda)</t>
  </si>
  <si>
    <t>FV - Future value (buduća vrijednost)</t>
  </si>
  <si>
    <t>1- (plaćanje na početku mjeseca)</t>
  </si>
  <si>
    <t xml:space="preserve">Primjer1. Koliko je potrebno da stediša stavi novca na banku pa da </t>
  </si>
  <si>
    <t>FV=10000EUR</t>
  </si>
  <si>
    <t>a pri tom može da uplaćuje na kraju svakog mjeseca po 100EUR,</t>
  </si>
  <si>
    <t>Rezultati</t>
  </si>
  <si>
    <t>Primjer 3.</t>
  </si>
  <si>
    <t>svakog mjeseca uplaćuje po 100EUR, pa da nakon 5 godina</t>
  </si>
  <si>
    <t>Funkcija FV - Future value (buduća vrijednost)</t>
  </si>
  <si>
    <t>Primjer 1.</t>
  </si>
  <si>
    <t>Koliko će štediša imati novca nakon 6 godina, ako uplaćuje 200EUR</t>
  </si>
  <si>
    <t>Koliko će štediša imati novca nakon godinu i šest mjeseci ako</t>
  </si>
  <si>
    <t>uloži 2000EUR i na kraju svakog mjeseca uplaćuje po 200EUR, pri</t>
  </si>
  <si>
    <t>FV i Type neobavezne</t>
  </si>
  <si>
    <t>Ako firma uzme kredit od banke na 5 godina, koliko treba da uplaćuje na</t>
  </si>
  <si>
    <t>Visina kredita je 10000EUR.</t>
  </si>
  <si>
    <t>Rate=1% mjesečno</t>
  </si>
  <si>
    <t>da bi njegovom tek rođenom djetetetu poklonio za 18-ti rođendan</t>
  </si>
  <si>
    <t>a) Koliko roditelj treba da ulaže (uplaćuje) na početku svakog mjeseca</t>
  </si>
  <si>
    <t>PMT=? Mjesečno</t>
  </si>
  <si>
    <t>mjesečno</t>
  </si>
  <si>
    <t>Rate=? Mjesečna</t>
  </si>
  <si>
    <t xml:space="preserve">b) Šta ako korisnik kredita mora na kraju da uplati još 1000EUR da bi otplatio </t>
  </si>
  <si>
    <t>kredit.</t>
  </si>
  <si>
    <t>Vježba:</t>
  </si>
  <si>
    <t xml:space="preserve">U ćelije B164 i B165 unijeti brojeve 30 i 20, a u ćeliju B166 naći njihov </t>
  </si>
  <si>
    <t>Paste link</t>
  </si>
  <si>
    <t>zbir.Zatim pomoću Paste link kopirati ćeliju sa sumom u D167.</t>
  </si>
  <si>
    <t>Funkcija PMT - Payment (plaćanje -uplata)</t>
  </si>
  <si>
    <t>ako je učešće 1000EUR.</t>
  </si>
  <si>
    <t>PV=4000</t>
  </si>
  <si>
    <t xml:space="preserve"> Ako dobijemo kredit od 5000EUR na godinu dana, s tim da otplaćujemo</t>
  </si>
  <si>
    <t>Primjer 4.</t>
  </si>
  <si>
    <t>Kamatni račun moguće je vršiti pomoću formula:</t>
  </si>
  <si>
    <t>slijedi:</t>
  </si>
  <si>
    <t>Mjeseč. kam:</t>
  </si>
  <si>
    <t>Kam. dnevna = (1+kamata mjesečna)^(1/30) - 1</t>
  </si>
  <si>
    <t>Kam. dnevna = (1+kamata godišnja)^(1/365) - 1</t>
  </si>
  <si>
    <t>Kamata mjesečna = (1+kamata godišnja)^(1/12)-1</t>
  </si>
  <si>
    <t>(1+kamata godišnja) = (1+kamata mjesečna)^12</t>
  </si>
  <si>
    <t>PV*(1+kamata godišnja) = PV*(1+kamata mjesečna)^12</t>
  </si>
  <si>
    <t>Dnevna:</t>
  </si>
  <si>
    <t>Godišnja</t>
  </si>
  <si>
    <t>PV=FV / (1+RATE)^Nper</t>
  </si>
  <si>
    <t>RATE= (FV / PV)^(1/Nper) - 1</t>
  </si>
  <si>
    <t>(preko funkcija)</t>
  </si>
  <si>
    <t>(preko formula)</t>
  </si>
  <si>
    <t>Npr. ako ulažemo 1000din na godinu dana koliko dobijamo u oba slučaja.</t>
  </si>
  <si>
    <t>Rezultat preko formule</t>
  </si>
  <si>
    <t>Rezultat preko funkcije</t>
  </si>
  <si>
    <t>Kam.dnev. = (1+kam.god.)^(1/365) - 1</t>
  </si>
  <si>
    <t>Broj dana</t>
  </si>
  <si>
    <t>ako je sadržaj ćelije B45 veći od sadržaja ćelije B46, a FALSE ako nije.</t>
  </si>
  <si>
    <t>Primjer: Koristeći tekstualne formule upisati u proizvoljnu ćeliju x=7, pri čemu je</t>
  </si>
  <si>
    <t>Položilo</t>
  </si>
  <si>
    <t>Nije pol.</t>
  </si>
  <si>
    <t>Nakon toga formirati sljedeće grafikone:</t>
  </si>
  <si>
    <t>a) Trakasti (column) za sve predmete i sve ocjene (bez Položilo i Nije pol.)</t>
  </si>
  <si>
    <t>b) Izmijeniti grafikon a) u 3-D, pa ga podesiti da izgleda kao na sljedećoj slici:</t>
  </si>
  <si>
    <t>Uputstvo za rad:</t>
  </si>
  <si>
    <t>7 vrijednost iz ćelije B56.</t>
  </si>
  <si>
    <t xml:space="preserve"> - ručno</t>
  </si>
  <si>
    <t>Naći sumu</t>
  </si>
  <si>
    <t>Cjelobrojna vrijednost količnika 123/23 (fun. Int)</t>
  </si>
  <si>
    <t>God.proiz</t>
  </si>
  <si>
    <t>Kubikaža</t>
  </si>
  <si>
    <t>koristeći funkcije INT i MOD.</t>
  </si>
  <si>
    <t>Funkcija AVERAGE  - (srednja vrijednost)</t>
  </si>
  <si>
    <t xml:space="preserve"> =AVERAGE(B89,C91,E90)</t>
  </si>
  <si>
    <t xml:space="preserve"> 'Broj negativan' ili 'Broj jednak nuli', u zavisnosti od vrijednosti broja iz A109. </t>
  </si>
  <si>
    <t>Rješenje: =IF(A105&gt;0,1,0)</t>
  </si>
  <si>
    <t>Rezultat:</t>
  </si>
  <si>
    <t>Rješenje:</t>
  </si>
  <si>
    <t>Rješenje: =B45&gt;B46</t>
  </si>
  <si>
    <t>Rezultat</t>
  </si>
  <si>
    <t>Rješenje: =IF(A109&gt;0,A111,IF(A109=0,A113,A112))</t>
  </si>
  <si>
    <t xml:space="preserve">Rješenje: </t>
  </si>
  <si>
    <t xml:space="preserve"> - Srednja vrijednost brojeva iz ćelija B89, E90, C91: </t>
  </si>
  <si>
    <t xml:space="preserve"> - minimum se nalazi u ćeliji sa ovom adresom</t>
  </si>
  <si>
    <t xml:space="preserve">  - minimum iz bloka A116:A118    - funkcija MIN</t>
  </si>
  <si>
    <t xml:space="preserve">Korišćenjem funkcije IF, u ćeliju ispod upisati adresu </t>
  </si>
  <si>
    <t>ćelije u kojoj se nalazi minimum.</t>
  </si>
  <si>
    <t>Prodao</t>
  </si>
  <si>
    <t>Primjer: Naći koji karakter odgovara ASCII kodu 65, a koji je ASCII kod slova 'b'.</t>
  </si>
  <si>
    <t>Primjer: Koji je dan bio 15.05.1998.</t>
  </si>
  <si>
    <t>Funkcije za datum i vrijeme.</t>
  </si>
  <si>
    <t xml:space="preserve"> =WEEKDAY(broj koji odgovara nekom datumu)</t>
  </si>
  <si>
    <t xml:space="preserve"> =DATE(Godina,mjesec,datum)</t>
  </si>
  <si>
    <t>(napomena: rezultat  1-nedelja, 7 - subota)</t>
  </si>
  <si>
    <t xml:space="preserve"> - Rezultat (petak)</t>
  </si>
  <si>
    <t xml:space="preserve"> - broj koji odgovara datumu 15.05.1998.</t>
  </si>
  <si>
    <t xml:space="preserve"> - rezultat</t>
  </si>
  <si>
    <t>Inženjerske funkcije (convert, degrees, radians)</t>
  </si>
  <si>
    <t>Primjer: Koliko stepeni ima 1 radijan, a koliko radijana ima 180 stepeni?</t>
  </si>
  <si>
    <t>Rezultati:</t>
  </si>
  <si>
    <t>stepeni</t>
  </si>
  <si>
    <t>radijani</t>
  </si>
  <si>
    <t>Analizirati rezultat.</t>
  </si>
  <si>
    <t xml:space="preserve"> - rezultat kopiranja</t>
  </si>
  <si>
    <t>Vrijednost</t>
  </si>
  <si>
    <t>Procenti</t>
  </si>
  <si>
    <t>Primjer: Naći 5%, 6%, 7% i 8% od zadatih vrijednosti (100, 200, 300, 400).</t>
  </si>
  <si>
    <t>Formirati prikazanu tabelu tako da se rezultati dobijaju prostim kopiranjem izraza</t>
  </si>
  <si>
    <t xml:space="preserve">dobiju ostale vrijednosti za y (vidi tabelu ispod), pri čemu važi: </t>
  </si>
  <si>
    <t>Razultat:</t>
  </si>
  <si>
    <t xml:space="preserve"> - Prvo naći minimum od ponuda</t>
  </si>
  <si>
    <t>upisanog u ćeliju C180.</t>
  </si>
  <si>
    <t xml:space="preserve">Primjer: Koji izraz je potrebno upisati u E166, tako da se prostim kopiranjem </t>
  </si>
  <si>
    <t>Rezultat na dva načina</t>
  </si>
  <si>
    <t>Upisati izraz za izračunavanje provizije za Branka tako da se prostim</t>
  </si>
  <si>
    <t>kopiranjem dobija provizija za ostale.</t>
  </si>
  <si>
    <t>Izraz upisati za ponudu 1, tako da se rezultat za ostale dobija prostim</t>
  </si>
  <si>
    <t>kopiranjem tog izraza.</t>
  </si>
  <si>
    <t xml:space="preserve">a) Zaštiti od izmjena samo Tabelu 1 tako da formule ostanu vidljive, a sve ostale </t>
  </si>
  <si>
    <t>ćelije na sheet-u budu dostupne za izmjene. Zatim ukloniti zaštitu.</t>
  </si>
  <si>
    <t>b) Zaštiti od izmjena Tabelu 2 tako da formule budu nevidljive,</t>
  </si>
  <si>
    <t>Red. br.</t>
  </si>
  <si>
    <t>Tip</t>
  </si>
  <si>
    <t>Snaga</t>
  </si>
  <si>
    <t>Max brzina</t>
  </si>
  <si>
    <t>Fiat</t>
  </si>
  <si>
    <t>Lada</t>
  </si>
  <si>
    <t>Opel</t>
  </si>
  <si>
    <t>Zastava</t>
  </si>
  <si>
    <t>a sve ostale ćelije na sheet-u budu dostupne za izmjene i eventualne formule vidljive.</t>
  </si>
  <si>
    <t>Zatim ukloniti zaštitu.</t>
  </si>
  <si>
    <t>c) Zaštiti ćelije sa sumom u obje tabele od izmjena i da formule budu prikrivene,</t>
  </si>
  <si>
    <t xml:space="preserve">d) Zaštiti sve ćelije Sheet-a od izmjena i prikriti formule, osim ćelija iz Tabela 1 i 2 </t>
  </si>
  <si>
    <t>u kojima se nalaze brojni podaci. Zatim ukloniti zaštitu.</t>
  </si>
  <si>
    <t>a da sve ostale ćelije budu dostupne za izmjene, a eventualne formule neprikrivene.</t>
  </si>
  <si>
    <t>Primjer: Definisati brojne podatke iz Tabele 1 kao 'podaci1', a iz Tabele 2 kao</t>
  </si>
  <si>
    <t>Kopiranje i premještanje</t>
  </si>
  <si>
    <t xml:space="preserve"> 'podaci2'. Zatim u proizvoljnim ćelijama ukucati: =sum(podaci1)  i  =sum(podaci2).</t>
  </si>
  <si>
    <t xml:space="preserve">Primjeri: </t>
  </si>
  <si>
    <t>1) Kopirati Tabelu 1</t>
  </si>
  <si>
    <t>2) Kopirati Tabelu 1 tako da se kopiraju samo vrijednosti.</t>
  </si>
  <si>
    <t>3) Kopirati Tabelu 1 tako da redovi i kolone zamijene svoja mjesta.</t>
  </si>
  <si>
    <t>4) Kopirati Tabelu 1, a zatim kopirati podatke iz Tabele 2 na mjesto podataka</t>
  </si>
  <si>
    <t>u Tabeli 1 tako da se kao rezultat kopiranja pojavi zbir odgovarajućih podataka.</t>
  </si>
  <si>
    <t>5) Prethodno formiranu tabelu pomjeriti za 3 mjesta u desno.</t>
  </si>
  <si>
    <t>Aplikacioni i dokumentacioni prozori</t>
  </si>
  <si>
    <t>Aplikacioni = Excel</t>
  </si>
  <si>
    <t>Dokumentacioni=odgovara fajlu</t>
  </si>
  <si>
    <t>Otvaranje novog fajla: File / New</t>
  </si>
  <si>
    <t>Promjena aktivnog prozora</t>
  </si>
  <si>
    <t xml:space="preserve">Zatvaranje prozora: </t>
  </si>
  <si>
    <t>Prikrivanje prozora:</t>
  </si>
  <si>
    <t xml:space="preserve"> - prikrivanje aktivnog prozora</t>
  </si>
  <si>
    <t>Podjela jednog prozora:</t>
  </si>
  <si>
    <t xml:space="preserve">Upravljanje programom Excel </t>
  </si>
  <si>
    <t>Komunikacija sa drugim programima:</t>
  </si>
  <si>
    <t>Podaci</t>
  </si>
  <si>
    <t>Suma:</t>
  </si>
  <si>
    <t>C3</t>
  </si>
  <si>
    <t>D3</t>
  </si>
  <si>
    <t>E3</t>
  </si>
  <si>
    <t>C3:E5</t>
  </si>
  <si>
    <t>C4</t>
  </si>
  <si>
    <t>D4</t>
  </si>
  <si>
    <t>E4</t>
  </si>
  <si>
    <t>C5</t>
  </si>
  <si>
    <t>D5</t>
  </si>
  <si>
    <t>E5</t>
  </si>
  <si>
    <t>Primjer1: Markirati istovremeno blokove: H11:H18, I16:I18, J11:J18</t>
  </si>
  <si>
    <t>Primjer2: Markirati istovremeno celije: E10, E13 i E17</t>
  </si>
  <si>
    <t>Primjer3: Markirati istovremeno redove 27, 29, 38</t>
  </si>
  <si>
    <t>Primjer4: Markirati istovremeno kolone: C,D, G</t>
  </si>
  <si>
    <t>Formats</t>
  </si>
  <si>
    <t>Contents</t>
  </si>
  <si>
    <t>Shift cells up</t>
  </si>
  <si>
    <t>Entire row</t>
  </si>
  <si>
    <t>Entire Column</t>
  </si>
  <si>
    <t>Proizvodi</t>
  </si>
  <si>
    <t>Cijena</t>
  </si>
  <si>
    <t>Komada</t>
  </si>
  <si>
    <t>Ukupno</t>
  </si>
  <si>
    <t>P1</t>
  </si>
  <si>
    <t>P2</t>
  </si>
  <si>
    <t>P3</t>
  </si>
  <si>
    <t xml:space="preserve">POZICIONIRANJE PODATAKA U BLOKU I </t>
  </si>
  <si>
    <t>POPUNJAVANJE BLOKA NIZOM ZNAKOVA</t>
  </si>
  <si>
    <t>Down</t>
  </si>
  <si>
    <t>Right</t>
  </si>
  <si>
    <t>left</t>
  </si>
  <si>
    <t>up</t>
  </si>
  <si>
    <t>justify</t>
  </si>
  <si>
    <t>series</t>
  </si>
  <si>
    <t>Imenovanje bloka</t>
  </si>
  <si>
    <t>Formule</t>
  </si>
  <si>
    <t>Primjer:</t>
  </si>
  <si>
    <t>a=</t>
  </si>
  <si>
    <t>b=</t>
  </si>
  <si>
    <t>c=</t>
  </si>
  <si>
    <t>x</t>
  </si>
  <si>
    <t>y</t>
  </si>
  <si>
    <t>y=ax^2+bx+c</t>
  </si>
  <si>
    <t>x=</t>
  </si>
  <si>
    <t>y=</t>
  </si>
  <si>
    <t>Tekstualne formule:</t>
  </si>
  <si>
    <t>Funkcije:</t>
  </si>
  <si>
    <t xml:space="preserve">Upisivanje funkcije: </t>
  </si>
  <si>
    <t xml:space="preserve"> - Shift+F3</t>
  </si>
  <si>
    <t>Funkcija IF(uslov,uslov ispunjen,uslov nije ispunjen)</t>
  </si>
  <si>
    <t>Broj pozitivan</t>
  </si>
  <si>
    <t>Broj negativan</t>
  </si>
  <si>
    <t>Broj jednak nuli</t>
  </si>
  <si>
    <t>Tekstualne funkcije:</t>
  </si>
  <si>
    <t>Ponuda1</t>
  </si>
  <si>
    <t>Ponuda2</t>
  </si>
  <si>
    <t>Ponuda3</t>
  </si>
  <si>
    <t>Ponuda4</t>
  </si>
  <si>
    <t>Min:</t>
  </si>
  <si>
    <t xml:space="preserve"> =pv(RATE,NPER,PMT,FV,TYPE)</t>
  </si>
  <si>
    <t>Nper - broj perioda</t>
  </si>
  <si>
    <t>Rate=0.5%</t>
  </si>
  <si>
    <t>Nper=5*12</t>
  </si>
  <si>
    <t>Ako kupac namjerava da kupi robu na kredit (na godinu dana),</t>
  </si>
  <si>
    <t>RATE=1%</t>
  </si>
  <si>
    <t>Nper=12</t>
  </si>
  <si>
    <t>Type=0</t>
  </si>
  <si>
    <t xml:space="preserve"> =FV(RATE,Nper,Pmt,PV,Type)</t>
  </si>
  <si>
    <t>PV i Type - neobavezne</t>
  </si>
  <si>
    <t>Nper=6</t>
  </si>
  <si>
    <t>2) pomoću kontrolnog menija (Alt + - / close)</t>
  </si>
  <si>
    <t>nalazi suma brojeva. Zatim ih sve "otkriti" tj. podesiti da opet svi postanu vidljivi.</t>
  </si>
  <si>
    <t>Maksimiziranje, minimiziranje i vraćanje na ranije podešenu veličinu prozora</t>
  </si>
  <si>
    <t>Vrši se pomoću ikona u gornjem desnom uglu:</t>
  </si>
  <si>
    <t>1) pomoću miša (ikona:         )</t>
  </si>
  <si>
    <t>Otvaranje postojećeg fajla: File / open</t>
  </si>
  <si>
    <t>1) Otvoriti četiri prozora istog fajla i izvršiti aranžiranje:</t>
  </si>
  <si>
    <t>2) Otvoriti po dva dokumentaciona prozora dva različita fajla i aranžirati:</t>
  </si>
  <si>
    <t>Zadaci:</t>
  </si>
  <si>
    <t xml:space="preserve">Zadatak: Formirati datu tabelu </t>
  </si>
  <si>
    <t>i kopirati je u word na razne načine.</t>
  </si>
  <si>
    <r>
      <t>Zadatak</t>
    </r>
    <r>
      <rPr>
        <sz val="10"/>
        <rFont val="Arial"/>
        <family val="2"/>
      </rPr>
      <t>: Markirati blok C4:F15</t>
    </r>
  </si>
  <si>
    <r>
      <t>Zadatak</t>
    </r>
    <r>
      <rPr>
        <sz val="10"/>
        <rFont val="Arial"/>
        <family val="2"/>
      </rPr>
      <t>: Markirati red 10.</t>
    </r>
  </si>
  <si>
    <t>Markiranje više susjednih redova istovremeno:</t>
  </si>
  <si>
    <t>Obelježavanje (markiranje) reda:</t>
  </si>
  <si>
    <t>Obelježavanje (markiranje) opsega ćelija (bloka):</t>
  </si>
  <si>
    <r>
      <t>Zadatak</t>
    </r>
    <r>
      <rPr>
        <sz val="10"/>
        <rFont val="Arial"/>
        <family val="2"/>
      </rPr>
      <t>: Markirati redove od 21 do 25.</t>
    </r>
  </si>
  <si>
    <t xml:space="preserve"> - slično kao markiranje redova samo se koristi: Ctrl+razmak</t>
  </si>
  <si>
    <t>Markiranje kolona:</t>
  </si>
  <si>
    <r>
      <t>Zadatak</t>
    </r>
    <r>
      <rPr>
        <sz val="10"/>
        <rFont val="Arial"/>
        <family val="2"/>
      </rPr>
      <t>: Markirati kolone C, D, E.</t>
    </r>
  </si>
  <si>
    <r>
      <t>Primjer</t>
    </r>
    <r>
      <rPr>
        <sz val="10"/>
        <rFont val="Arial"/>
        <family val="2"/>
      </rPr>
      <t xml:space="preserve">: Formirati tabelu ispod, a zatim: </t>
    </r>
  </si>
  <si>
    <t>Primjer: Ukucati u ćeliju D85 broj 1, pa kopirati taj broj u ćeliju C85 korišćenjem</t>
  </si>
  <si>
    <r>
      <t>Primjer</t>
    </r>
    <r>
      <rPr>
        <sz val="10"/>
        <rFont val="Arial"/>
        <family val="2"/>
      </rPr>
      <t>: Ako se u D85 nalazi broj 1, automatski popuniti blok D85:G85 nizom 1,2,3,4</t>
    </r>
  </si>
  <si>
    <t>Primjer: Ako se u D85 nalazi broj 1, automatski popuniti blok D85:D91 nizom 1,3,5,..</t>
  </si>
  <si>
    <t>Primjer 2: Naći cjelobrojnu vrijednost količnika 123/23, i ostatak prilikom dijeljenja,</t>
  </si>
  <si>
    <t>Primjer 1:</t>
  </si>
  <si>
    <t>Primjer2: Ako je broj u A105 veći od nule upisati u C105 "1" , a ako ne "0"</t>
  </si>
  <si>
    <t>Primjer3: Korišćenjem funkcije IF u ćeliju C109 upisati : 'Broj pozitivan',</t>
  </si>
  <si>
    <t>Primjer4: Upotrebom odgovarajuće funkcije naći minimum iz bloka A116:A118</t>
  </si>
  <si>
    <t>Primjer: Koliko prošlo dana od 21.03.1960. Do 13.03.2001.</t>
  </si>
  <si>
    <t xml:space="preserve"> =IF(A100&gt;A101,"veće A100","A100 nije veće od A101")</t>
  </si>
  <si>
    <t>PV - Present value (Sadašnja vrijednost)</t>
  </si>
  <si>
    <t>Rate=5%</t>
  </si>
  <si>
    <t>FV=?</t>
  </si>
  <si>
    <t>PV=0</t>
  </si>
  <si>
    <t xml:space="preserve">Rate=0.5% </t>
  </si>
  <si>
    <t>Nper=18</t>
  </si>
  <si>
    <t>Pv=</t>
  </si>
  <si>
    <t>Pmt=</t>
  </si>
  <si>
    <t>Type=</t>
  </si>
  <si>
    <t>Rate=</t>
  </si>
  <si>
    <t>Nper=</t>
  </si>
  <si>
    <t>FV=</t>
  </si>
  <si>
    <t xml:space="preserve"> =PMT(RATE,Nper,PV,FV,TYPE)</t>
  </si>
  <si>
    <t>Nper=5*12=60</t>
  </si>
  <si>
    <t>PMT=?</t>
  </si>
  <si>
    <t>PV=10000</t>
  </si>
  <si>
    <t>Nper=18*12</t>
  </si>
  <si>
    <t>FV=20000</t>
  </si>
  <si>
    <t>Rate=6%/12</t>
  </si>
  <si>
    <t>Type=1</t>
  </si>
  <si>
    <t>PV=-5000</t>
  </si>
  <si>
    <t xml:space="preserve"> =RATE(Nper,PMT,PV,FV,Type,Guess)</t>
  </si>
  <si>
    <t>FV, Type, Guess -neobavezne</t>
  </si>
  <si>
    <t>Primjer1:</t>
  </si>
  <si>
    <t>PV=5000</t>
  </si>
  <si>
    <t>PMT=-500</t>
  </si>
  <si>
    <t>FV=-1000</t>
  </si>
  <si>
    <t xml:space="preserve"> </t>
  </si>
  <si>
    <t>FV=PV*(1+RATE)^Nper</t>
  </si>
  <si>
    <t>FORMATIRANJE PODATAKA:</t>
  </si>
  <si>
    <t>Date (Datumski format)</t>
  </si>
  <si>
    <t>Kraj trke:</t>
  </si>
  <si>
    <t>km</t>
  </si>
  <si>
    <t>km/h</t>
  </si>
  <si>
    <t>m/s</t>
  </si>
  <si>
    <t>telefonski</t>
  </si>
  <si>
    <t>Dolari</t>
  </si>
  <si>
    <t>Kopiranje formata:</t>
  </si>
  <si>
    <t xml:space="preserve">Brisanje formata: </t>
  </si>
  <si>
    <t>pod 1</t>
  </si>
  <si>
    <t>pod 2</t>
  </si>
  <si>
    <t>pod 3</t>
  </si>
  <si>
    <t>Br.</t>
  </si>
  <si>
    <t>Naziv</t>
  </si>
  <si>
    <t>Priozvod 1</t>
  </si>
  <si>
    <t>Priozvod 2</t>
  </si>
  <si>
    <t>Priozvod 3</t>
  </si>
  <si>
    <t>IZMJENE PRIKAZA TABELE</t>
  </si>
  <si>
    <t>Edit directly in cells</t>
  </si>
  <si>
    <t>Komentari (primjedbe)</t>
  </si>
  <si>
    <t>Brisanje komentara:</t>
  </si>
  <si>
    <t>Formatiranje komentara</t>
  </si>
  <si>
    <t>Izmjene u tabelama</t>
  </si>
  <si>
    <t>Hide</t>
  </si>
  <si>
    <t>Unhide</t>
  </si>
  <si>
    <t xml:space="preserve"> - otkrivanje</t>
  </si>
  <si>
    <t>Trodimenzionalna tabela</t>
  </si>
  <si>
    <t>ili</t>
  </si>
  <si>
    <t>Page</t>
  </si>
  <si>
    <t>Margins</t>
  </si>
  <si>
    <t>Štampanje</t>
  </si>
  <si>
    <t>Štampanje dijela tabele:</t>
  </si>
  <si>
    <t xml:space="preserve"> -Standardno štampanje</t>
  </si>
  <si>
    <t>Podešavanja prilikom štampanja:</t>
  </si>
  <si>
    <t>Grafikoni</t>
  </si>
  <si>
    <t xml:space="preserve">Brzo dobijanje grafikona: </t>
  </si>
  <si>
    <t>1. Markiramo tabelu</t>
  </si>
  <si>
    <t>Proizvod</t>
  </si>
  <si>
    <t>I tromjesečje - Proizvodnja</t>
  </si>
  <si>
    <t>Primjer: Napraviti donju tabelu, pa najkraćim postupkom napraviti grafikon.</t>
  </si>
  <si>
    <t xml:space="preserve">Napomena: Proizvodi - kategorije,  mjeseci - serije </t>
  </si>
  <si>
    <t>CONVERT</t>
  </si>
  <si>
    <t>Data table</t>
  </si>
  <si>
    <t>Gridlines</t>
  </si>
  <si>
    <t>Primjer: Korišćenjem prethodne tabele napraviti sljedeći grafikon:</t>
  </si>
  <si>
    <t>Primjer: Na prethodno dobijenom grafikonu ukloniti seriju podataka P4, a zatim</t>
  </si>
  <si>
    <t>je ponovo ubaciti (ne koristiti komandu Undo).</t>
  </si>
  <si>
    <r>
      <t>Rješenje:</t>
    </r>
    <r>
      <rPr>
        <sz val="10"/>
        <rFont val="Arial"/>
        <family val="2"/>
      </rPr>
      <t xml:space="preserve">  Uklanjanje: Markirati seriju P4 na grafikonu, pa taster "delete";</t>
    </r>
  </si>
  <si>
    <t>Ubacivanje:</t>
  </si>
  <si>
    <r>
      <t>II način</t>
    </r>
    <r>
      <rPr>
        <sz val="10"/>
        <rFont val="Arial"/>
        <family val="2"/>
      </rPr>
      <t>: L.T.M. na grafikon pa:</t>
    </r>
  </si>
  <si>
    <t>g) Prikazati rezultate za stranku 1 i 4 tako da gradovi budu kategorije</t>
  </si>
  <si>
    <t>d) Sve gradove i sve stranke tako da kategorije budu gradovi</t>
  </si>
  <si>
    <t>c) Sve gradove i sve stranke tako da kategorije budu stranke</t>
  </si>
  <si>
    <t>b) Prikazati izbore u gradu 3 (bez ukupno)</t>
  </si>
  <si>
    <t>a) Prikazati izbore u gradu 1 (bez ukupno)</t>
  </si>
  <si>
    <t>Primjer: Za prethodnu tabelu formirati trakasti (Column) grafikon sa samo jednom</t>
  </si>
  <si>
    <t>serijom podataka (za mjesec februar), tako da grafikon izgleda:</t>
  </si>
  <si>
    <t>Number (Brojni format)</t>
  </si>
  <si>
    <t>Primjer: Izračunati kojom se prosječnom brzinom atletičar kretao u trci:</t>
  </si>
  <si>
    <t>Pr. Podesiti format (ispred broja stoji a=,...)</t>
  </si>
  <si>
    <t xml:space="preserve"> =B7*(1+B8)^B9</t>
  </si>
  <si>
    <t>Štednja</t>
  </si>
  <si>
    <t>Za koliku vrijednost broja "b" se dobija z=20 ?</t>
  </si>
  <si>
    <t>(matematički: b=(z-c)/a  )</t>
  </si>
  <si>
    <t>Naći nule funkcije pomocu Goal seek.</t>
  </si>
  <si>
    <t xml:space="preserve"> -jedno rješenje</t>
  </si>
  <si>
    <t>Goal seek = traženje cilja</t>
  </si>
  <si>
    <t xml:space="preserve"> =D26*D27+D28</t>
  </si>
  <si>
    <t>Rezultat: b=8</t>
  </si>
  <si>
    <t>(Rezultat=16.16%)</t>
  </si>
  <si>
    <t xml:space="preserve"> =F33*F36^2+F34*F36+F35</t>
  </si>
  <si>
    <t xml:space="preserve"> -drugo rješenje</t>
  </si>
  <si>
    <t>x2=1</t>
  </si>
  <si>
    <r>
      <t xml:space="preserve">Maximum change - </t>
    </r>
    <r>
      <rPr>
        <sz val="10"/>
        <rFont val="Arial"/>
        <family val="2"/>
      </rPr>
      <t>smanjimo</t>
    </r>
  </si>
  <si>
    <t xml:space="preserve">Drugo rješenje (x2) dobijamo kada promijenimo početnu vrijednost za x </t>
  </si>
  <si>
    <t>(za računanje x1 stavili smo 10),  npr. ako stavimo x= -3 dobijamo:</t>
  </si>
  <si>
    <t>1) Koliko je potrebno uložiti da bi se za 20 godina skupilo 20000?</t>
  </si>
  <si>
    <t>zatim markirati kolonu (vrstu) željene druge po redu kategorije,</t>
  </si>
  <si>
    <t xml:space="preserve"> -New point(s) kategorija -ovo čekirati;</t>
  </si>
  <si>
    <t xml:space="preserve"> -Values (y) in: rows ili columns  - podesiti u zavisnosti da li su</t>
  </si>
  <si>
    <t xml:space="preserve"> -podaci smješteni po različitim vrstama ili kolonama</t>
  </si>
  <si>
    <t xml:space="preserve"> -categories (xlabels) in first column - čekirati kada ste markirali</t>
  </si>
  <si>
    <t xml:space="preserve">    i naziv kategorije</t>
  </si>
  <si>
    <t>Zadatak: Napraviti datu tabelu, pa formirati tražene grafikone.</t>
  </si>
  <si>
    <t>Jan</t>
  </si>
  <si>
    <t>Feb</t>
  </si>
  <si>
    <t>Mar</t>
  </si>
  <si>
    <t>Proizv1</t>
  </si>
  <si>
    <t>Proizv2</t>
  </si>
  <si>
    <t>Legend</t>
  </si>
  <si>
    <t>Data labels</t>
  </si>
  <si>
    <t>Formirati grafikon sa jednom (prvom ) kategorijom,</t>
  </si>
  <si>
    <t>u komunikacionom bloku podesiti opcije:</t>
  </si>
  <si>
    <t>Broj glasova na izborima u 4 grada</t>
  </si>
  <si>
    <t>Izbori</t>
  </si>
  <si>
    <t>Grad1</t>
  </si>
  <si>
    <t>Grad2</t>
  </si>
  <si>
    <t>Grad3</t>
  </si>
  <si>
    <t>Grad4</t>
  </si>
  <si>
    <t>Stranka1</t>
  </si>
  <si>
    <t>Stranka2</t>
  </si>
  <si>
    <t>Stranka3</t>
  </si>
  <si>
    <t>Stranka4</t>
  </si>
  <si>
    <t>e) rezultate za stranku 1</t>
  </si>
  <si>
    <t>f) rezultate za stranku 3</t>
  </si>
  <si>
    <t xml:space="preserve"> Grad 3, Grad 4, Grad 2, Grad 1</t>
  </si>
  <si>
    <t>I) Prikazati ukupno za gradove</t>
  </si>
  <si>
    <t>j) Prikazati ukupno za stranke</t>
  </si>
  <si>
    <t>Stranka 4, Stranka 1, Stranka 3, Stranka 2</t>
  </si>
  <si>
    <t>bude: Stranka 3, Stranka 1</t>
  </si>
  <si>
    <t>Predmet1</t>
  </si>
  <si>
    <t>Predmet2</t>
  </si>
  <si>
    <t>Predmet3</t>
  </si>
  <si>
    <t>Predmet4</t>
  </si>
  <si>
    <t>Predmet5</t>
  </si>
  <si>
    <t>Predmet6</t>
  </si>
  <si>
    <t>BR. Stud.=</t>
  </si>
  <si>
    <t xml:space="preserve">Upotrijebiti funkciju IF za računanje provizije trgovca: Ako trgovac  </t>
  </si>
  <si>
    <t>proda manje od planiranog - proviziona stopa, a ako više- nagradna.</t>
  </si>
  <si>
    <r>
      <t>Baza podataka</t>
    </r>
    <r>
      <rPr>
        <sz val="10"/>
        <rFont val="Arial"/>
        <family val="2"/>
      </rPr>
      <t>=skup podataka organizovan tako da se lako mogu izdvojiti</t>
    </r>
  </si>
  <si>
    <t>Red. Br.</t>
  </si>
  <si>
    <t>Prezime</t>
  </si>
  <si>
    <t>Ime</t>
  </si>
  <si>
    <t>Telefon</t>
  </si>
  <si>
    <t>Br. Impulsa</t>
  </si>
  <si>
    <t>Racun</t>
  </si>
  <si>
    <t>Markovic</t>
  </si>
  <si>
    <t>Marko</t>
  </si>
  <si>
    <t>212-537</t>
  </si>
  <si>
    <t>Jankovic</t>
  </si>
  <si>
    <t>Janko</t>
  </si>
  <si>
    <t>211-789</t>
  </si>
  <si>
    <t>Petrovic</t>
  </si>
  <si>
    <t>Petar</t>
  </si>
  <si>
    <t>212-321</t>
  </si>
  <si>
    <t>Goranovic</t>
  </si>
  <si>
    <t>Goran</t>
  </si>
  <si>
    <t>213-489</t>
  </si>
  <si>
    <t>243-900</t>
  </si>
  <si>
    <t>632-657</t>
  </si>
  <si>
    <t>623-980</t>
  </si>
  <si>
    <t>632-345</t>
  </si>
  <si>
    <t>212-228</t>
  </si>
  <si>
    <t>54-987</t>
  </si>
  <si>
    <t>211-980</t>
  </si>
  <si>
    <t>625-593</t>
  </si>
  <si>
    <t>? - zamjenjuje jedan karakter</t>
  </si>
  <si>
    <t>* - zamjenjuje niz karaktera</t>
  </si>
  <si>
    <t>Filtrianje istaknutih zapisa:</t>
  </si>
  <si>
    <t>Funkcije za baze podataka</t>
  </si>
  <si>
    <t xml:space="preserve"> =Dfunkcija(database,field,criteria)</t>
  </si>
  <si>
    <t>Ulog</t>
  </si>
  <si>
    <t>God. Kam.</t>
  </si>
  <si>
    <t>Period</t>
  </si>
  <si>
    <t>Primjer 2.</t>
  </si>
  <si>
    <t>z=a*b+c</t>
  </si>
  <si>
    <t>z=</t>
  </si>
  <si>
    <t>Primjer3:</t>
  </si>
  <si>
    <t>(a=2, b=-12, c=10)</t>
  </si>
  <si>
    <t xml:space="preserve">Set cell: F37 </t>
  </si>
  <si>
    <t>to Value: 0</t>
  </si>
  <si>
    <t>By changing: F36</t>
  </si>
  <si>
    <t>x1=5</t>
  </si>
  <si>
    <t>Primjeri:</t>
  </si>
  <si>
    <r>
      <t>y = ax</t>
    </r>
    <r>
      <rPr>
        <vertAlign val="superscript"/>
        <sz val="10"/>
        <rFont val="Arial"/>
        <family val="2"/>
        <charset val="204"/>
      </rPr>
      <t>2</t>
    </r>
    <r>
      <rPr>
        <sz val="10"/>
        <rFont val="Arial"/>
        <family val="2"/>
      </rPr>
      <t>+bx+c</t>
    </r>
  </si>
  <si>
    <t>tri broja</t>
  </si>
  <si>
    <t>Suma</t>
  </si>
  <si>
    <t>Ostatak dijeljenja 123/23 (fun. Mod)</t>
  </si>
  <si>
    <t>provjera:</t>
  </si>
  <si>
    <t>*</t>
  </si>
  <si>
    <t xml:space="preserve"> - kopirati ovaj blok dolje</t>
  </si>
  <si>
    <t>Planiranana prodaja:</t>
  </si>
  <si>
    <t>Proviziona stopa:</t>
  </si>
  <si>
    <t>Nagradna stopa:</t>
  </si>
  <si>
    <t>Prodavac</t>
  </si>
  <si>
    <t>Provizija</t>
  </si>
  <si>
    <t>Branko</t>
  </si>
  <si>
    <t>Dusan</t>
  </si>
  <si>
    <t>Filip</t>
  </si>
  <si>
    <t>Ivan</t>
  </si>
  <si>
    <t>Rate=0.02% dnevno</t>
  </si>
  <si>
    <t>1) Navesti načine ulaska u program Excel.</t>
  </si>
  <si>
    <t>2) Šta se nalazi u pojedinim monitorskim redovima?</t>
  </si>
  <si>
    <t>4) Opisati postupak uklanjanja ili postavljanja:</t>
  </si>
  <si>
    <t>a) Formula Bar-a</t>
  </si>
  <si>
    <r>
      <t xml:space="preserve">ukucati - </t>
    </r>
    <r>
      <rPr>
        <sz val="10"/>
        <color indexed="10"/>
        <rFont val="Arial"/>
        <family val="2"/>
      </rPr>
      <t>marko</t>
    </r>
    <r>
      <rPr>
        <sz val="10"/>
        <rFont val="Arial"/>
        <family val="2"/>
      </rPr>
      <t xml:space="preserve">. Zatim, promijeniti navedeni broj u </t>
    </r>
    <r>
      <rPr>
        <sz val="10"/>
        <color indexed="10"/>
        <rFont val="Arial"/>
        <family val="2"/>
      </rPr>
      <t>25739</t>
    </r>
    <r>
      <rPr>
        <sz val="10"/>
        <rFont val="Arial"/>
        <family val="2"/>
      </rPr>
      <t>,</t>
    </r>
  </si>
  <si>
    <r>
      <t xml:space="preserve">a ime u </t>
    </r>
    <r>
      <rPr>
        <sz val="10"/>
        <color indexed="10"/>
        <rFont val="Arial"/>
        <family val="2"/>
      </rPr>
      <t>Marko</t>
    </r>
    <r>
      <rPr>
        <sz val="10"/>
        <rFont val="Arial"/>
        <family val="2"/>
      </rPr>
      <t>.</t>
    </r>
  </si>
  <si>
    <t xml:space="preserve">zatim izvršiti kopiranje u pet ćelija istovremeno, </t>
  </si>
  <si>
    <t>pa onda izbrisati sve ćelije sa imenom Marko.</t>
  </si>
  <si>
    <t>Otvaranje više prozora</t>
  </si>
  <si>
    <t>Automatski razmještaj prozora:</t>
  </si>
  <si>
    <t>željene informacije</t>
  </si>
  <si>
    <t>Sastoji se iz zapisa i polja</t>
  </si>
  <si>
    <t>zapis = redovi</t>
  </si>
  <si>
    <t>polja = kolone</t>
  </si>
  <si>
    <t>pa po abecednom redu imena.</t>
  </si>
  <si>
    <t>(tj. izvršiti filtriranje tabele tako da se prikazu samo Markovici)</t>
  </si>
  <si>
    <t>f) Prikazati samo zapise kod kojih brojevi telefona počinju sa 2.</t>
  </si>
  <si>
    <t>f) Prikazati samo zapise kod kojih brojevi telefona počinju sa 2 a predzadnji broj je 3.</t>
  </si>
  <si>
    <t>Napomena:</t>
  </si>
  <si>
    <t>Prikazati samo pet najvećih računa</t>
  </si>
  <si>
    <r>
      <t xml:space="preserve">Napomena:Radićemo samo neke i to: </t>
    </r>
    <r>
      <rPr>
        <b/>
        <sz val="10"/>
        <color indexed="10"/>
        <rFont val="Arial"/>
        <family val="2"/>
      </rPr>
      <t>Dsum, Dmin, Dmax, Daverage, Dcount</t>
    </r>
  </si>
  <si>
    <t>Sintaksa funkcije za bazu podataka (D-funkcije):</t>
  </si>
  <si>
    <r>
      <t>database</t>
    </r>
    <r>
      <rPr>
        <sz val="10"/>
        <rFont val="Arial"/>
        <family val="2"/>
      </rPr>
      <t xml:space="preserve"> = baza podataka - tačnije opseg baze podataka</t>
    </r>
  </si>
  <si>
    <r>
      <t>field</t>
    </r>
    <r>
      <rPr>
        <sz val="10"/>
        <rFont val="Arial"/>
        <family val="2"/>
      </rPr>
      <t xml:space="preserve"> = polje - adresa sa nazivom polja ili redni broj polja </t>
    </r>
  </si>
  <si>
    <t>ili pod znacima navoda naziv polja.</t>
  </si>
  <si>
    <r>
      <t xml:space="preserve">criteria </t>
    </r>
    <r>
      <rPr>
        <sz val="10"/>
        <rFont val="Arial"/>
        <family val="2"/>
      </rPr>
      <t>= kriterijum -(potrebno je kopirati prvi red tj. nazive polja na proizvoljno</t>
    </r>
  </si>
  <si>
    <t>mjesto i u redu ispod upisati kriterijum - kriterijum je opseg)</t>
  </si>
  <si>
    <t>Najveći r.:</t>
  </si>
  <si>
    <t>Najmanji r.:</t>
  </si>
  <si>
    <t>Ukupni r.:</t>
  </si>
  <si>
    <t>Min. imp.:</t>
  </si>
  <si>
    <t>Sred. vr.:</t>
  </si>
  <si>
    <t>&gt;20</t>
  </si>
  <si>
    <t xml:space="preserve"> Koliko ljudi ima račun veći 20 ?</t>
  </si>
  <si>
    <r>
      <t>Primjer:</t>
    </r>
    <r>
      <rPr>
        <sz val="10"/>
        <rFont val="Arial"/>
        <family val="2"/>
      </rPr>
      <t xml:space="preserve"> Koliko Petrovića ima račun manji od 30 ?</t>
    </r>
  </si>
  <si>
    <t>&lt;30</t>
  </si>
  <si>
    <t>Napomena: U kriterijumu se mogu koristiti znakovi: &gt;, &lt;, &gt;=, &lt;=, &lt;&gt;.</t>
  </si>
  <si>
    <t>Materijal za izvor napajanja KT-23</t>
  </si>
  <si>
    <t>Redni</t>
  </si>
  <si>
    <t>broj</t>
  </si>
  <si>
    <t>Dio</t>
  </si>
  <si>
    <t>Oznaka</t>
  </si>
  <si>
    <t>Broj</t>
  </si>
  <si>
    <t>komada</t>
  </si>
  <si>
    <t>Cijena po</t>
  </si>
  <si>
    <t>komadu</t>
  </si>
  <si>
    <t>Ukupna</t>
  </si>
  <si>
    <t>cijena</t>
  </si>
  <si>
    <t>Dioda</t>
  </si>
  <si>
    <t>Tranzistor</t>
  </si>
  <si>
    <t>Regulator</t>
  </si>
  <si>
    <t>Otpornik</t>
  </si>
  <si>
    <t>Rele</t>
  </si>
  <si>
    <t>Ukupno:</t>
  </si>
  <si>
    <t>AA131</t>
  </si>
  <si>
    <t>2n3055</t>
  </si>
  <si>
    <t>uA723</t>
  </si>
  <si>
    <t>2.2k</t>
  </si>
  <si>
    <t>33k</t>
  </si>
  <si>
    <t>KK56</t>
  </si>
  <si>
    <t>1) Minimizirati, a zatim maksimizirati aplikacioni prozor.</t>
  </si>
  <si>
    <t>2) Podesiti veličinu aplikacionog prozora da obuhvata donju polovinu ekrana,</t>
  </si>
  <si>
    <t>a zatim ga ponovo maksimizirati.</t>
  </si>
  <si>
    <t>3) Minimizirati, a zatim maksimizirati dokumentacioni prozor.</t>
  </si>
  <si>
    <t>4) Podesiti veličinu dokumentacionog prozora da obuhvata donju polovinu ekrana,</t>
  </si>
  <si>
    <t>a) tipa tiled ( u vidu pločica)</t>
  </si>
  <si>
    <t>b) tipa horizontal</t>
  </si>
  <si>
    <t>c) tipa vertical</t>
  </si>
  <si>
    <t>d) tipa cascade</t>
  </si>
  <si>
    <t>a) sva četiri dokumentaciona prozora tipa tiled.</t>
  </si>
  <si>
    <t>b) samo dokumentacione prozore jednog fajla tipa vertical.</t>
  </si>
  <si>
    <t>(window of active workbook - aranžira samo prozore trenutno aktivnog fajla)</t>
  </si>
  <si>
    <t>1) Pomoću miša</t>
  </si>
  <si>
    <t>2) pomoću tastature</t>
  </si>
  <si>
    <t>Primjer 1: U otvorenom fajlu upisati:</t>
  </si>
  <si>
    <t>u B2- broj 100</t>
  </si>
  <si>
    <t>u C55 - broj 200</t>
  </si>
  <si>
    <t>u E155 - broj 300</t>
  </si>
  <si>
    <t>u H16000 - naći sumu ova tri broja</t>
  </si>
  <si>
    <t xml:space="preserve">Otvoriti potreban broj prozora i aranžirati ih tako da se istovremeno vide sva četiri </t>
  </si>
  <si>
    <t>broja na ekranu.</t>
  </si>
  <si>
    <t>3) Ctrl+F4,   Ctrl+W</t>
  </si>
  <si>
    <t>2) Pomoću tastature: Alt + '-' / size (move) / Enter</t>
  </si>
  <si>
    <t>2) pomoću plivajućih menija (Desni taster miša = D.T.M.)</t>
  </si>
  <si>
    <t>3) pomoću komunikacionog bloka</t>
  </si>
  <si>
    <t>4) pomoću upozoravajućeg bloka</t>
  </si>
  <si>
    <t>6) pomoću funkcijskih tastera (F1, F2,… ) ili kombinacijom sa drugim tasterima</t>
  </si>
  <si>
    <t>Primjer 2: Prikriti sve prozore formirane u primjeru 1 osim prozora u kome se</t>
  </si>
  <si>
    <t>Primjer za funkcionalni taster:</t>
  </si>
  <si>
    <t>tastere.</t>
  </si>
  <si>
    <t>Aktivirati help pomoću funkcijskog tastera i naći objašnjenje u helpu za funkcijske</t>
  </si>
  <si>
    <t>Podatak1</t>
  </si>
  <si>
    <t>Podatak2</t>
  </si>
  <si>
    <t>Podatak3</t>
  </si>
  <si>
    <t>Podatak4</t>
  </si>
  <si>
    <t>Primjer komunikacije sa word-om</t>
  </si>
  <si>
    <t>Blokovi ćelija</t>
  </si>
  <si>
    <t xml:space="preserve"> - to je blok</t>
  </si>
  <si>
    <t>1) pomoću miša</t>
  </si>
  <si>
    <t xml:space="preserve">2) pomoću tastature: </t>
  </si>
  <si>
    <t>1) pomoću misa (kliknemo L.T.M. na broj reda)</t>
  </si>
  <si>
    <t>2) pomoću tastature : Shift+razmak</t>
  </si>
  <si>
    <t>1) markirati makar po jednu ćeliju iz svakog reda, pa Shift+razmak (tastatura)</t>
  </si>
  <si>
    <t>2) mišem prevučemo preko brojeva željenih vrsta</t>
  </si>
  <si>
    <t xml:space="preserve">Markiranje čitavog radnog prostora (sve ćelije): </t>
  </si>
  <si>
    <t>1) Ctrl+shift+razmak</t>
  </si>
  <si>
    <t>2) Ctrl+A</t>
  </si>
  <si>
    <t xml:space="preserve">3)  L.T.M. na polje iznad brojeva redova. </t>
  </si>
  <si>
    <t>Markiranje više blokova:</t>
  </si>
  <si>
    <t>1) pomoću miša: Ctrl+L.T.M.</t>
  </si>
  <si>
    <t>Podešavanje parametara programa i izgleda ekrana</t>
  </si>
  <si>
    <t xml:space="preserve"> - omogućava ili onemogućava direktno editovanje ćelije</t>
  </si>
  <si>
    <t xml:space="preserve"> - omogućava ili onemogućava premještanje pomoću miša</t>
  </si>
  <si>
    <t>Zadatak: Testirati opciju "Allow cell drag and drop" na proizvoljnom bloku ćelija.</t>
  </si>
  <si>
    <t>Zadatak: Isprobati navedene opcije iz podbloka General.</t>
  </si>
  <si>
    <t>Primjer: U proizvoljnu ćeliju smjestiti današnji datum korišćenjem funkcije TODAY.</t>
  </si>
  <si>
    <t>Zatim, unijeti komentar u tu ćeliju u kojem će pisati: Današnji datum.</t>
  </si>
  <si>
    <t>Isporbati opcije za prikazivanje ili neprikazivanje komentara i indikatora.</t>
  </si>
  <si>
    <t>Rezultat kada je pokazivač</t>
  </si>
  <si>
    <t xml:space="preserve">Prikazivanje komentara: </t>
  </si>
  <si>
    <t>NPER=114</t>
  </si>
  <si>
    <t>Zadatak: Prikazati sve komentare, a zatim vratiti na prvobitni prikaz.</t>
  </si>
  <si>
    <t xml:space="preserve">Komentar mora biti vidljiv , pa kad kliknemo na njega: </t>
  </si>
  <si>
    <r>
      <t xml:space="preserve">Tu imamo podblokove: </t>
    </r>
    <r>
      <rPr>
        <sz val="10"/>
        <color indexed="10"/>
        <rFont val="Arial"/>
        <family val="2"/>
      </rPr>
      <t>Font, Protection, Aligment</t>
    </r>
    <r>
      <rPr>
        <sz val="10"/>
        <rFont val="Arial"/>
        <family val="2"/>
      </rPr>
      <t xml:space="preserve"> ,…</t>
    </r>
  </si>
  <si>
    <r>
      <t>a</t>
    </r>
    <r>
      <rPr>
        <vertAlign val="subscript"/>
        <sz val="10"/>
        <rFont val="Arial"/>
        <family val="2"/>
      </rPr>
      <t>1</t>
    </r>
  </si>
  <si>
    <r>
      <t>b</t>
    </r>
    <r>
      <rPr>
        <vertAlign val="subscript"/>
        <sz val="10"/>
        <rFont val="Arial"/>
        <family val="2"/>
      </rPr>
      <t>1</t>
    </r>
  </si>
  <si>
    <t>komentaru treba da budu "Times New Roman", bold, veličine 12.</t>
  </si>
  <si>
    <r>
      <t>za y po formuli: y=a</t>
    </r>
    <r>
      <rPr>
        <vertAlign val="subscript"/>
        <sz val="10"/>
        <rFont val="Arial"/>
        <family val="2"/>
      </rPr>
      <t>1</t>
    </r>
    <r>
      <rPr>
        <sz val="10"/>
        <rFont val="Arial"/>
        <family val="2"/>
      </rPr>
      <t xml:space="preserve"> x</t>
    </r>
    <r>
      <rPr>
        <vertAlign val="superscript"/>
        <sz val="10"/>
        <rFont val="Arial"/>
        <family val="2"/>
      </rPr>
      <t>2</t>
    </r>
    <r>
      <rPr>
        <sz val="10"/>
        <rFont val="Arial"/>
        <family val="2"/>
      </rPr>
      <t xml:space="preserve"> + b</t>
    </r>
    <r>
      <rPr>
        <vertAlign val="subscript"/>
        <sz val="10"/>
        <rFont val="Arial"/>
        <family val="2"/>
      </rPr>
      <t>1</t>
    </r>
    <r>
      <rPr>
        <sz val="10"/>
        <rFont val="Arial"/>
        <family val="2"/>
      </rPr>
      <t xml:space="preserve">  i unijeti komentar koji prikazuje formulu. Slova u </t>
    </r>
  </si>
  <si>
    <r>
      <t>Primjer: Formirati tabelu ispod sa podacima za a</t>
    </r>
    <r>
      <rPr>
        <vertAlign val="subscript"/>
        <sz val="10"/>
        <rFont val="Arial"/>
        <family val="2"/>
      </rPr>
      <t>1</t>
    </r>
    <r>
      <rPr>
        <sz val="10"/>
        <rFont val="Arial"/>
        <family val="2"/>
      </rPr>
      <t>, b</t>
    </r>
    <r>
      <rPr>
        <vertAlign val="subscript"/>
        <sz val="10"/>
        <rFont val="Arial"/>
        <family val="2"/>
      </rPr>
      <t>1</t>
    </r>
    <r>
      <rPr>
        <sz val="10"/>
        <rFont val="Arial"/>
        <family val="2"/>
      </rPr>
      <t xml:space="preserve"> i x. Zatim izračunati vrijednost </t>
    </r>
  </si>
  <si>
    <t xml:space="preserve"> ( Napomena: uglavnom već rađeno)</t>
  </si>
  <si>
    <t>5) Kako prilagoditi paletu alatki Quick Access?</t>
  </si>
  <si>
    <r>
      <t xml:space="preserve">6) U proizvoljnu ćeliju ukucati broj </t>
    </r>
    <r>
      <rPr>
        <sz val="10"/>
        <color indexed="10"/>
        <rFont val="Arial"/>
        <family val="2"/>
      </rPr>
      <t>25839</t>
    </r>
    <r>
      <rPr>
        <sz val="10"/>
        <rFont val="Arial"/>
        <family val="2"/>
      </rPr>
      <t>, a u ćeliju ispod</t>
    </r>
  </si>
  <si>
    <t>7) Iskopirati ćeliju sa imenom Marko na proizvoljno mjesto,</t>
  </si>
  <si>
    <t xml:space="preserve">8) U ćelije A1 do A4 upisati brojeve 15, 35, 182 i 318, </t>
  </si>
  <si>
    <t>9) Naći proizvod brojeva upisanih u ćelije A1 i A2.</t>
  </si>
  <si>
    <t>10) Formirati sljedeću tabelu i kompletirati je.</t>
  </si>
  <si>
    <t>11) Kako se može brzo kretati po radnom prostoru?</t>
  </si>
  <si>
    <t>12) Dovesti pokazivač u ćeliju F1000.</t>
  </si>
  <si>
    <t>13) Opisati postupak za snimanje fajla.</t>
  </si>
  <si>
    <t>14) Opisati postupke za izlazak iz Excel-a.</t>
  </si>
  <si>
    <t>b) Linija izmedju redova i kolona - Gridlines</t>
  </si>
  <si>
    <t>c) Vertikalnog (horizontalnog) scroll bar-a.</t>
  </si>
  <si>
    <t>2) pomoću kontrolnog menija (izabrati close) ili Alt+F4</t>
  </si>
  <si>
    <t>Otvaranje više dokumentacionih prozora istog fajla:   View / Window / New window</t>
  </si>
  <si>
    <t>View / Window / Arrange All ( tiled, horizontal, vertical, cascade)</t>
  </si>
  <si>
    <t xml:space="preserve">3) View / Window / Switch Windows / čekiramo željeni prozor </t>
  </si>
  <si>
    <t>View / Window / Hide</t>
  </si>
  <si>
    <t>View / Window / Unhide - "otkrivanje" prikrivenog prozora</t>
  </si>
  <si>
    <t>View / Window / Split</t>
  </si>
  <si>
    <t>Sličan efekat se postiže sa: View / Window / Freeze panes  (Window / Unfreeze panes)</t>
  </si>
  <si>
    <t>View / Window / ponovo klik na Split   - uklanjanje podjele</t>
  </si>
  <si>
    <t>Comments</t>
  </si>
  <si>
    <r>
      <t>Brisanje Bloka</t>
    </r>
    <r>
      <rPr>
        <sz val="10"/>
        <rFont val="Arial"/>
        <family val="2"/>
      </rPr>
      <t xml:space="preserve">:              </t>
    </r>
    <r>
      <rPr>
        <sz val="10"/>
        <color rgb="FFFF0000"/>
        <rFont val="Arial"/>
        <family val="2"/>
      </rPr>
      <t xml:space="preserve"> Home</t>
    </r>
    <r>
      <rPr>
        <sz val="10"/>
        <color indexed="10"/>
        <rFont val="Arial"/>
        <family val="2"/>
      </rPr>
      <t xml:space="preserve"> / Editing / Clear / All</t>
    </r>
  </si>
  <si>
    <r>
      <t>Uklanjanje bloka</t>
    </r>
    <r>
      <rPr>
        <sz val="10"/>
        <rFont val="Arial"/>
        <family val="2"/>
      </rPr>
      <t xml:space="preserve">:         </t>
    </r>
    <r>
      <rPr>
        <sz val="10"/>
        <color indexed="10"/>
        <rFont val="Arial"/>
        <family val="2"/>
      </rPr>
      <t xml:space="preserve">  Home / Cells / Delete / Shift cells left</t>
    </r>
  </si>
  <si>
    <t>Home  / Alignment / Format Cells / Alignment</t>
  </si>
  <si>
    <r>
      <t xml:space="preserve">ili </t>
    </r>
    <r>
      <rPr>
        <sz val="10"/>
        <color rgb="FFFF0000"/>
        <rFont val="Arial"/>
        <family val="2"/>
      </rPr>
      <t>D. T. M. na ćeliju, pa Format Cells / Alignment</t>
    </r>
  </si>
  <si>
    <t xml:space="preserve">Home / Editing / Fill </t>
  </si>
  <si>
    <t>naredbe Home / Editing / Fill ...</t>
  </si>
  <si>
    <t>Zaštita radnog lista:</t>
  </si>
  <si>
    <t>Pojavljuje se prozor gdje ćemo unijeti lozinku i čekirati listu operacija koje dopuštamo da se i dalje koriste.</t>
  </si>
  <si>
    <t>Uklanjanje zaštite:  Review / Changes / Unprotect Sheet</t>
  </si>
  <si>
    <t xml:space="preserve">Review / Changes / Protect Sheet </t>
  </si>
  <si>
    <t>Zaštita radnog dokumenta:</t>
  </si>
  <si>
    <t>Review / Changes / Protect Workbook</t>
  </si>
  <si>
    <t>Možemo zaštiti Strukturu i Prozor radne knjige odgovarajućim čekiranjem i unijeti lozinku.</t>
  </si>
  <si>
    <t>Uklanjanje zaštite:  Review / Changes / Protect Workbook</t>
  </si>
  <si>
    <t>Da bismo skinuli zaštitu sa radnog dokumenta moramo unijeti tačnu lozinku koju će nam program tražiti.</t>
  </si>
  <si>
    <t>Home / (Copy, Paste, Paste Special, Cut)</t>
  </si>
  <si>
    <t xml:space="preserve">Formulas / Define  Name </t>
  </si>
  <si>
    <t>2) Home / Cells / Format / Protect sheet</t>
  </si>
  <si>
    <t>Uklanjanje zaštite: Home/ Cells / Format / Unprotect sheet</t>
  </si>
  <si>
    <t>Klik D.T.M. na izabrani blok, zatim izabrati Define Name</t>
  </si>
  <si>
    <t>File/Options/Formulas/ Calculation Options /(Manual ili Automatic)</t>
  </si>
  <si>
    <t>Primjer: Izračunati srednju vrijednost za tri broja iz ćelija B89, C91 i E90</t>
  </si>
  <si>
    <t xml:space="preserve"> =A157  i  =$A$157. Zatim, kopirati blok C157:D157 na proizvoljno mjesto.</t>
  </si>
  <si>
    <t>Home / Cells /Format /Format cells/Number / General</t>
  </si>
  <si>
    <t>Home / Cells / Format /Format Cells/Number / Number</t>
  </si>
  <si>
    <t>Home /Cells /Format/ Format cells/Number / Currency</t>
  </si>
  <si>
    <t>Home /Cells /Format /Format Cells/Number / Accounting</t>
  </si>
  <si>
    <t>Home /Cells / Format /Format Cells/Number / Date</t>
  </si>
  <si>
    <t>Home / Cells / Format /Format Cells/Number / Time</t>
  </si>
  <si>
    <t>Home /Cells /Format /Format Cells/Number / Percentage</t>
  </si>
  <si>
    <t>Home /Cells /Format / Format Cells/Number / Fraction</t>
  </si>
  <si>
    <t>Home /Cells / Format /Format cells/Number / Scientific</t>
  </si>
  <si>
    <t>Home / Cells Format /Format Cells/Number / Text</t>
  </si>
  <si>
    <t>Home /Cells /Format /Format cells/Number / Special</t>
  </si>
  <si>
    <t>Home / Cells / Format /Format Cells/Number / Custom</t>
  </si>
  <si>
    <r>
      <t>Odgovor:</t>
    </r>
    <r>
      <rPr>
        <sz val="10"/>
        <color indexed="10"/>
        <rFont val="Arial"/>
        <family val="2"/>
      </rPr>
      <t xml:space="preserve"> Home /Cells / Format / Format Cells/Number/ Custom / polje Type: 0.0 "EUR"</t>
    </r>
  </si>
  <si>
    <r>
      <t>Odgovor:</t>
    </r>
    <r>
      <rPr>
        <sz val="10"/>
        <color indexed="10"/>
        <rFont val="Arial"/>
        <family val="2"/>
      </rPr>
      <t xml:space="preserve"> Home / Cells / Format /Format Cells/Number/ Custom / polje Type: ;;;</t>
    </r>
  </si>
  <si>
    <t>Home/ Copy</t>
  </si>
  <si>
    <t>Home/ Paste / Paste Special / Formats</t>
  </si>
  <si>
    <t>ili Home / Format Painter</t>
  </si>
  <si>
    <t>Home /Editing / Clear / Clear Formats</t>
  </si>
  <si>
    <t xml:space="preserve">File / Options /Advanced /Display: </t>
  </si>
  <si>
    <r>
      <t>Indicators only, and comments on hover</t>
    </r>
    <r>
      <rPr>
        <sz val="10"/>
        <rFont val="Arial"/>
        <family val="2"/>
      </rPr>
      <t xml:space="preserve"> - prikazuje se samo indikator;</t>
    </r>
  </si>
  <si>
    <r>
      <t>No comments or indicators</t>
    </r>
    <r>
      <rPr>
        <sz val="10"/>
        <rFont val="Arial"/>
        <family val="2"/>
      </rPr>
      <t xml:space="preserve"> - ne prikazuje se ni komentar ni indikator komentara;</t>
    </r>
  </si>
  <si>
    <r>
      <t>Comments and indicators</t>
    </r>
    <r>
      <rPr>
        <sz val="10"/>
        <rFont val="Arial"/>
        <family val="2"/>
      </rPr>
      <t xml:space="preserve"> - prikazuju se i indikator i komentar;</t>
    </r>
  </si>
  <si>
    <t>Rezultat za 07.04.2003., opcija Indicator only, and comments on hover</t>
  </si>
  <si>
    <t>Home /Editing / Clear /Clear Comments</t>
  </si>
  <si>
    <t>ili D. T. M. - Delete Comment</t>
  </si>
  <si>
    <t>Home /Format /Format Comment</t>
  </si>
  <si>
    <t>ili D.T.M. - Format Comment</t>
  </si>
  <si>
    <t>ili Review /Comments/ Delete</t>
  </si>
  <si>
    <t xml:space="preserve">Review /Comments /Show/Hide Comment ili D.T.M. - Show/Hide Comments   </t>
  </si>
  <si>
    <r>
      <t>Ubacivanje redova:</t>
    </r>
    <r>
      <rPr>
        <sz val="10"/>
        <color rgb="FFFF0000"/>
        <rFont val="Arial"/>
        <family val="2"/>
      </rPr>
      <t>Home /Cells / Insert /Insert  Rows</t>
    </r>
  </si>
  <si>
    <r>
      <t>Ubacivanje kolona:</t>
    </r>
    <r>
      <rPr>
        <sz val="10"/>
        <color rgb="FFFF0000"/>
        <rFont val="Arial"/>
        <family val="2"/>
      </rPr>
      <t>Home /Cells /Insert / Insert  Columns</t>
    </r>
  </si>
  <si>
    <r>
      <t xml:space="preserve">Prikrivanje kolona: </t>
    </r>
    <r>
      <rPr>
        <sz val="10"/>
        <color rgb="FFFF0000"/>
        <rFont val="Arial"/>
        <family val="2"/>
      </rPr>
      <t xml:space="preserve">Home /Cells /Format /Visibility  / Hide  &amp; Unhide/Hide Column  </t>
    </r>
    <r>
      <rPr>
        <sz val="10"/>
        <rFont val="Arial"/>
        <family val="2"/>
      </rPr>
      <t xml:space="preserve">( opcija </t>
    </r>
    <r>
      <rPr>
        <sz val="10"/>
        <color rgb="FFFF0000"/>
        <rFont val="Arial"/>
        <family val="2"/>
      </rPr>
      <t>Unhide -"otkriva"-ponovo prikaz.)</t>
    </r>
  </si>
  <si>
    <t xml:space="preserve">Home /Cells /Format /Cell Size </t>
  </si>
  <si>
    <r>
      <t xml:space="preserve">Row Height </t>
    </r>
    <r>
      <rPr>
        <sz val="10"/>
        <rFont val="Arial"/>
        <family val="2"/>
      </rPr>
      <t>- visina vrste</t>
    </r>
  </si>
  <si>
    <r>
      <t xml:space="preserve">Autofit Row Height  </t>
    </r>
    <r>
      <rPr>
        <sz val="10"/>
        <color theme="1"/>
        <rFont val="Arial"/>
        <family val="2"/>
      </rPr>
      <t>- automatsko podešavanje visine vrste</t>
    </r>
  </si>
  <si>
    <r>
      <t>Podešavanje širine kolone:</t>
    </r>
    <r>
      <rPr>
        <sz val="10"/>
        <color rgb="FFFF0000"/>
        <rFont val="Arial"/>
        <family val="2"/>
      </rPr>
      <t xml:space="preserve"> Home / Cells /Format /Cell Size/ Column  Width</t>
    </r>
  </si>
  <si>
    <r>
      <t>Podešavanje standardne širine kolone:</t>
    </r>
    <r>
      <rPr>
        <sz val="10"/>
        <color rgb="FFFF0000"/>
        <rFont val="Arial"/>
        <family val="2"/>
      </rPr>
      <t xml:space="preserve"> Home /Cells /Format / Cell Size/Defaulth width</t>
    </r>
  </si>
  <si>
    <r>
      <t>Automatsko podešavanje širine kolone:</t>
    </r>
    <r>
      <rPr>
        <sz val="10"/>
        <color rgb="FFFF0000"/>
        <rFont val="Arial"/>
        <family val="2"/>
      </rPr>
      <t>Home /Cells /Format / Cell Size /Auto Fit Column Width</t>
    </r>
  </si>
  <si>
    <t>Home /Cells /Format /Visibility</t>
  </si>
  <si>
    <t>File/ Options/General/When creating new workbooks</t>
  </si>
  <si>
    <t>Allow fill handle and cell drag and drop</t>
  </si>
  <si>
    <r>
      <t>Include this many sheets</t>
    </r>
    <r>
      <rPr>
        <sz val="10"/>
        <rFont val="Arial"/>
        <family val="2"/>
      </rPr>
      <t xml:space="preserve"> - broj sheet-ova koji se pojavljuje u novom fajlu</t>
    </r>
  </si>
  <si>
    <t xml:space="preserve"> -uklanja ili postavlja Formula bar</t>
  </si>
  <si>
    <t>Opcije iz Chart Tools-a:</t>
  </si>
  <si>
    <t>Chart data range</t>
  </si>
  <si>
    <t>Chart Axes</t>
  </si>
  <si>
    <t>New sheet:</t>
  </si>
  <si>
    <t>Object in:</t>
  </si>
  <si>
    <t>Markirati grafikon pa:</t>
  </si>
  <si>
    <r>
      <t xml:space="preserve"> I način</t>
    </r>
    <r>
      <rPr>
        <sz val="10"/>
        <rFont val="Arial"/>
        <family val="2"/>
      </rPr>
      <t>: Markirati posljednji red u tabeli, pa: Home /Copy</t>
    </r>
  </si>
  <si>
    <t>pa L.T.M. na grafikon, Home / Paste.</t>
  </si>
  <si>
    <r>
      <t>Rješenje</t>
    </r>
    <r>
      <rPr>
        <sz val="10"/>
        <rFont val="Arial"/>
        <family val="2"/>
      </rPr>
      <t>:  - markiramo prvu i treću kolonu tabele: Insert / Chart / Column</t>
    </r>
  </si>
  <si>
    <r>
      <t xml:space="preserve">zatim </t>
    </r>
    <r>
      <rPr>
        <sz val="10"/>
        <color rgb="FFFF0000"/>
        <rFont val="Arial"/>
        <family val="2"/>
      </rPr>
      <t>Home</t>
    </r>
    <r>
      <rPr>
        <sz val="10"/>
        <color indexed="10"/>
        <rFont val="Arial"/>
        <family val="2"/>
      </rPr>
      <t>/Copy</t>
    </r>
    <r>
      <rPr>
        <sz val="10"/>
        <rFont val="Arial"/>
        <family val="2"/>
      </rPr>
      <t xml:space="preserve">, pa na grafikon </t>
    </r>
    <r>
      <rPr>
        <sz val="10"/>
        <color rgb="FFFF0000"/>
        <rFont val="Arial"/>
        <family val="2"/>
      </rPr>
      <t>Home</t>
    </r>
    <r>
      <rPr>
        <sz val="10"/>
        <color indexed="10"/>
        <rFont val="Arial"/>
        <family val="2"/>
      </rPr>
      <t xml:space="preserve">/Paste Special </t>
    </r>
    <r>
      <rPr>
        <sz val="10"/>
        <rFont val="Arial"/>
        <family val="2"/>
      </rPr>
      <t xml:space="preserve">/ </t>
    </r>
  </si>
  <si>
    <t>Data / Sort &amp; Filter /Sort</t>
  </si>
  <si>
    <t>… Telefon / Number Filters/Equal/ equal 2????3?</t>
  </si>
  <si>
    <t>Date / Date Tools/ What if Analysis/Goal seek</t>
  </si>
  <si>
    <t>Date /Date Tools/What if Analysis /Goal seek/ set cell B10 / to value 20000/ By changing cell B7</t>
  </si>
  <si>
    <r>
      <t>Povećanje tačnosti:</t>
    </r>
    <r>
      <rPr>
        <sz val="10"/>
        <color indexed="10"/>
        <rFont val="Arial"/>
        <family val="2"/>
      </rPr>
      <t xml:space="preserve"> File /Options/Formulas/Calculation Options/ maximum iteration  - </t>
    </r>
    <r>
      <rPr>
        <sz val="10"/>
        <rFont val="Arial"/>
        <family val="2"/>
      </rPr>
      <t>povećamo</t>
    </r>
  </si>
  <si>
    <r>
      <t>(za trodimemnzionalni grafikon još i na:</t>
    </r>
    <r>
      <rPr>
        <sz val="10"/>
        <color rgb="FFFF0000"/>
        <rFont val="Arial"/>
        <family val="2"/>
      </rPr>
      <t xml:space="preserve"> Chart Tools/ F</t>
    </r>
    <r>
      <rPr>
        <sz val="10"/>
        <color indexed="10"/>
        <rFont val="Arial"/>
        <family val="2"/>
      </rPr>
      <t>ormat/Format selection…/shape</t>
    </r>
    <r>
      <rPr>
        <sz val="10"/>
        <rFont val="Arial"/>
        <family val="2"/>
      </rPr>
      <t>)</t>
    </r>
  </si>
  <si>
    <r>
      <t>Kliknemo na jednu seriju pa:</t>
    </r>
    <r>
      <rPr>
        <b/>
        <sz val="10"/>
        <color rgb="FFFF0000"/>
        <rFont val="Arial"/>
        <family val="2"/>
      </rPr>
      <t xml:space="preserve"> Chart Tools/ Format/Format Selection/Gap Depth ili Gap Width</t>
    </r>
  </si>
  <si>
    <t>Chart Tools / Layout / Data Labels</t>
  </si>
  <si>
    <r>
      <t xml:space="preserve">Markirati seriju ili stubić (podatak), pa: </t>
    </r>
    <r>
      <rPr>
        <sz val="10"/>
        <color indexed="10"/>
        <rFont val="Arial"/>
        <family val="2"/>
      </rPr>
      <t>Format / Layout/Data Labels</t>
    </r>
  </si>
  <si>
    <r>
      <t xml:space="preserve"> Na formiranom grafikonu markiramo seriju zatim:</t>
    </r>
    <r>
      <rPr>
        <sz val="10"/>
        <color rgb="FFFF0000"/>
        <rFont val="Arial"/>
        <family val="2"/>
      </rPr>
      <t xml:space="preserve"> Design </t>
    </r>
    <r>
      <rPr>
        <sz val="10"/>
        <color indexed="10"/>
        <rFont val="Arial"/>
        <family val="2"/>
      </rPr>
      <t xml:space="preserve">/Type /Change Chart Type </t>
    </r>
    <r>
      <rPr>
        <sz val="10"/>
        <rFont val="Arial"/>
        <family val="2"/>
      </rPr>
      <t>- promijenimo tip.</t>
    </r>
  </si>
  <si>
    <r>
      <t xml:space="preserve">Formatiranje dijela grafikona: Markirati željeni dio grafikona pa: </t>
    </r>
    <r>
      <rPr>
        <sz val="10"/>
        <color indexed="10"/>
        <rFont val="Arial"/>
        <family val="2"/>
      </rPr>
      <t>Format /Current selection /Format Selection</t>
    </r>
    <r>
      <rPr>
        <sz val="10"/>
        <rFont val="Arial"/>
        <family val="2"/>
      </rPr>
      <t>…</t>
    </r>
  </si>
  <si>
    <t>ili: D.T.M. na željeni dio / Format Data Series</t>
  </si>
  <si>
    <r>
      <t xml:space="preserve">( </t>
    </r>
    <r>
      <rPr>
        <sz val="10"/>
        <color indexed="10"/>
        <rFont val="Arial"/>
        <family val="2"/>
      </rPr>
      <t>Format /Current Selection/Format Selection.../ Pattern fill</t>
    </r>
    <r>
      <rPr>
        <sz val="10"/>
        <rFont val="Arial"/>
        <family val="2"/>
      </rPr>
      <t>).</t>
    </r>
  </si>
  <si>
    <t>Proizvod 1, zatim : Home/ Paste.</t>
  </si>
  <si>
    <t>Ubacivanje trend linije: Chart tools/Layout/Analysis/Trendline/Linear trendline</t>
  </si>
  <si>
    <t>Ubacivanje sličice na mjesto markera: Home / Copy na sličicu, pa markirati seriju</t>
  </si>
  <si>
    <r>
      <t>Markirati seriju, zatim:</t>
    </r>
    <r>
      <rPr>
        <sz val="10"/>
        <color indexed="10"/>
        <rFont val="Arial"/>
        <family val="2"/>
      </rPr>
      <t>Insert / Illustration/ Picture / Insert picture from file</t>
    </r>
  </si>
  <si>
    <t>(Elementi MS Excel 2010 radnog prozora)</t>
  </si>
  <si>
    <t xml:space="preserve">    da bi povećali prikaz radnog lista?</t>
  </si>
  <si>
    <t xml:space="preserve">3) Kako minimizirati traku s komandama ("Ribbon") </t>
  </si>
  <si>
    <t>MS Excel 2010</t>
  </si>
  <si>
    <t>Primjer2: Postaviti, a potom ukloniti ikonicu "cut"</t>
  </si>
  <si>
    <t xml:space="preserve">Primjer2: Formirati novu karticu "Proba" , a zatim je ukloniti. </t>
  </si>
  <si>
    <t>Promjena veličine i položaja prozora kada nije maksimiziran</t>
  </si>
  <si>
    <t>(kontrolni meni aplikacionog prozora)</t>
  </si>
  <si>
    <t>(kontrolni meni dokumentacionog prozora)</t>
  </si>
  <si>
    <t>Alt + Razmak (space) / size (move) / Enter</t>
  </si>
  <si>
    <t>ili pozivanjem kontrolnog menija aplik. Ili dokum. prozora / minimize (maximize , restore)</t>
  </si>
  <si>
    <t xml:space="preserve"> - zatvaranje aplikacionog prozora (izlazak iz Excela)</t>
  </si>
  <si>
    <t xml:space="preserve"> - zatvaranje aktivnog dokumentacionog prozora</t>
  </si>
  <si>
    <t>Tastatura: Ctrl+F5 (restore), Ctrl+F9 (minimize) i Ctrl+F10 (maximize,restore)-  za dokumentacioni prozor</t>
  </si>
  <si>
    <t>1) Pomoću glavnog menija (trake s komandama, pritiskom na ikonice)</t>
  </si>
  <si>
    <t>5) pomoću ikonica i menija iz Quick Access Toolbara</t>
  </si>
  <si>
    <t>Primjeri uređenja Quck Access Toolbara:</t>
  </si>
  <si>
    <t>Primjeri dodavanja alatki u traci s komandama</t>
  </si>
  <si>
    <t xml:space="preserve">Primjer1: U okviru kartice "Home" formirati novu grupu i u nju postaviti ikonicu "Spelling", a zatim je ukloniti. </t>
  </si>
  <si>
    <t>Ctrl+F6   (ili  Ctrl+Shift+F6)</t>
  </si>
  <si>
    <t>Primjer1: Postaviti, a potom ukloniti ikonicu "Spelling"</t>
  </si>
  <si>
    <t>U Excelu: Home / Clipboard / Copy</t>
  </si>
  <si>
    <t>U Wordu : Home / Clipboard / Paste / Paste Special  (i odabrati odgovarajuću opciju)</t>
  </si>
  <si>
    <t>funkcijski taster F8 ili Shift + strelica</t>
  </si>
  <si>
    <t>Home/Cells/Format/Format Cells</t>
  </si>
  <si>
    <t>1) Home / Cells / Format / Format Cells /  Protection   - izaberemo Locked i/ili Hidden za prethodno markirani blok</t>
  </si>
  <si>
    <t>ili  Review / Changes / Unprotect Sheet</t>
  </si>
  <si>
    <t>Primjer spajanja imena i prezimena:</t>
  </si>
  <si>
    <t>Petrović</t>
  </si>
  <si>
    <t xml:space="preserve"> - pomoću Insert function:</t>
  </si>
  <si>
    <t xml:space="preserve"> - na ikonu fx u liniji za formule</t>
  </si>
  <si>
    <t xml:space="preserve"> - Formulas / Insert Function      ili      Formulas / Function Library / željena kategorija</t>
  </si>
  <si>
    <t>Primjeri korišćenja</t>
  </si>
  <si>
    <t xml:space="preserve">funkcija: </t>
  </si>
  <si>
    <t>Indeks</t>
  </si>
  <si>
    <t>Godina</t>
  </si>
  <si>
    <t>21/2011</t>
  </si>
  <si>
    <t>Jankovic Janko</t>
  </si>
  <si>
    <t>Left, Right,Find, Len</t>
  </si>
  <si>
    <t>Nedjelja</t>
  </si>
  <si>
    <t>Ponedljeljak</t>
  </si>
  <si>
    <t>Utorak</t>
  </si>
  <si>
    <t>Srijeda</t>
  </si>
  <si>
    <t>Četvrtak</t>
  </si>
  <si>
    <t>Petak</t>
  </si>
  <si>
    <t>Subota</t>
  </si>
  <si>
    <t>Funkcija Today():</t>
  </si>
  <si>
    <t>Funkcija Now():</t>
  </si>
  <si>
    <t>Današnji dan:</t>
  </si>
  <si>
    <t>Kopiranje i premještanje formula i funkcija</t>
  </si>
  <si>
    <t>Copy / Enter ili Paste</t>
  </si>
  <si>
    <t>Pored najbolje ponude treba da piše "Dobra" a pored ostalih "Loša"</t>
  </si>
  <si>
    <t xml:space="preserve">Primjer1:U ćelije A100 i A101 unijeti proizvoljne brojeve. U C101napisati izraz </t>
  </si>
  <si>
    <t xml:space="preserve"> koji će kao rezultat dati tekst "veće A100" ako je broj iz A100 veći od broja iz</t>
  </si>
  <si>
    <t>A101, a ako nije veći kao rezultat dati tekst "A100 nije veće od A101".</t>
  </si>
  <si>
    <t>FINANSIJSKE FUNKCIJE</t>
  </si>
  <si>
    <t>RATE-kamatna stopa</t>
  </si>
  <si>
    <t>za 5 godina ima 10000 EUR? Mjesečna kamatna stopa je 0.5%.</t>
  </si>
  <si>
    <t xml:space="preserve">koliki je maksimalni mogući iznos kredita, ako mjesečna kamatna stopa iznosi 1%? </t>
  </si>
  <si>
    <t>može da podigne 10000EUR. Mjesečna kam. stopa je 1%.</t>
  </si>
  <si>
    <t xml:space="preserve">Koliko štediša treba da uloži novca ako namjerava da na kraju </t>
  </si>
  <si>
    <t>PMT=-100</t>
  </si>
  <si>
    <t>Type - 0 (plaćanje na kraju mjeseca, odnosno nekog perioda)</t>
  </si>
  <si>
    <t>(Uplata na početku mjeseca)</t>
  </si>
  <si>
    <t>Koliko će štediša imati novca nakon 6 godina ako uloži 1000EUR</t>
  </si>
  <si>
    <t>čemu je mjesečna kamat. stopa 0.5%.</t>
  </si>
  <si>
    <t>Primjer 4. Prethodni primjer uraditi korišćenjem adresa iz bloka B75:B79</t>
  </si>
  <si>
    <t>PV=-1000</t>
  </si>
  <si>
    <t>Pmt=-200</t>
  </si>
  <si>
    <t>PV=-2000</t>
  </si>
  <si>
    <t>PMT=-200</t>
  </si>
  <si>
    <t>kraju svakog mjeseca, ako je kamatna stopa na mjesečnom nivou 1% .</t>
  </si>
  <si>
    <t>na početku svake godine. Kamatna stopa na godišnjem nivou iznosi 5%.</t>
  </si>
  <si>
    <t>20000EUR? Kamata se obračunava po stopi od 6% godišnje.</t>
  </si>
  <si>
    <t>b) Šta ako roditelj na startu uloži 5000 EUR?</t>
  </si>
  <si>
    <t>Funkcija RATE - kamatna stopa</t>
  </si>
  <si>
    <t>Guess- pretpostavka (očekivana kamatna stopa)</t>
  </si>
  <si>
    <t>Pr. 12% god. je mjesečno:</t>
  </si>
  <si>
    <t>Pr. 1% mjesečno je godišnje:</t>
  </si>
  <si>
    <t>mjesečno po 500EUR na kraju svakog mjeseca, kolika je mjesečna kam. stopa?</t>
  </si>
  <si>
    <t>a) Ako je klijent banke podigao kredit od 5000EUR na godinu dana, s tim da otplaćuje</t>
  </si>
  <si>
    <t>mjesečno po 500EUR na kraju svakog mjeseca, kolika je mjesečna kam. stopa,</t>
  </si>
  <si>
    <t>Veza između godišnje i mjesečne kamatne stope (složena kamata):</t>
  </si>
  <si>
    <t>Na sličan način se dobija veza između dnevne i godišnje kam. stope:</t>
  </si>
  <si>
    <t>Na sličan način se dobija veza između dnevne i mjesečne kam. stope:</t>
  </si>
  <si>
    <t>Primjer: Ako je godišnja kam. stopa 12% izračunati mjesečnu i dnevnu.</t>
  </si>
  <si>
    <t>Je li isto kam. stopa 365% godišnje ili 1% dnevno.</t>
  </si>
  <si>
    <t>Kam. stopa 365% godišnje:</t>
  </si>
  <si>
    <t>Kam. stopa 1% dnevno:</t>
  </si>
  <si>
    <t xml:space="preserve">Koliko je stvarno dnevna kam. stopa ako je godišnja 365%? </t>
  </si>
  <si>
    <t>Pv=-10000</t>
  </si>
  <si>
    <t xml:space="preserve">Primjer: Firma je oročila slobodna novčana sredstva u visini od 10 000 EUR </t>
  </si>
  <si>
    <t xml:space="preserve">na period od 10.11.2014. do 04.03.2015. godine, uz dnevnu kam. stopu od 0.02%. </t>
  </si>
  <si>
    <t xml:space="preserve">Koliko novca je firma imala raspolaganju nakon isteka perioda oročenja? </t>
  </si>
  <si>
    <t>Godišnja kamatna stopa za oročene uloge u banci iznosi 5%.</t>
  </si>
  <si>
    <t>ILI</t>
  </si>
  <si>
    <t>Home / Number / Format cells: Number</t>
  </si>
  <si>
    <t>Home / Cells /Format / Format cells / Number</t>
  </si>
  <si>
    <t xml:space="preserve">Primjer: U blok ćelija D12:D15 upisati redom brojeve: 1212121212,   </t>
  </si>
  <si>
    <t xml:space="preserve"> - Locale (loacation): Serbian (Latin, Serbia and Montenegro (former))</t>
  </si>
  <si>
    <t>c)</t>
  </si>
  <si>
    <t>d)</t>
  </si>
  <si>
    <t>Primjer: Primjenom datumskog formata izračunati broj dana od 12.05.2000. do  02.04.2001.</t>
  </si>
  <si>
    <t>Primjer: Opisati postupak za formatiranje ćelija u datumskom formatu tako da  prikaz bude tipa:</t>
  </si>
  <si>
    <t xml:space="preserve">    c) 14.mart 2001     d) 14.03.2001 </t>
  </si>
  <si>
    <t>(Ukucati prvo broj 41212 pa ga prikazati u traženim formatima)</t>
  </si>
  <si>
    <t>Opšti format:</t>
  </si>
  <si>
    <t>(brzina = put / vrijeme)</t>
  </si>
  <si>
    <t>v = s / t</t>
  </si>
  <si>
    <r>
      <t>Trajanje trke (</t>
    </r>
    <r>
      <rPr>
        <sz val="10"/>
        <color rgb="FFFF0000"/>
        <rFont val="Arial"/>
        <family val="2"/>
      </rPr>
      <t>t</t>
    </r>
    <r>
      <rPr>
        <sz val="10"/>
        <rFont val="Arial"/>
        <family val="2"/>
      </rPr>
      <t>):</t>
    </r>
  </si>
  <si>
    <r>
      <t>Dužina staze (</t>
    </r>
    <r>
      <rPr>
        <sz val="10"/>
        <color rgb="FFFF0000"/>
        <rFont val="Arial"/>
        <family val="2"/>
      </rPr>
      <t>s</t>
    </r>
    <r>
      <rPr>
        <sz val="10"/>
        <rFont val="Arial"/>
        <family val="2"/>
      </rPr>
      <t>):</t>
    </r>
  </si>
  <si>
    <t xml:space="preserve">Primjer: U ćeliju A97 upisati broj 5. Zatim, primijeniti na blok A97:A98 procentualni </t>
  </si>
  <si>
    <t>format sa dva decimalna mjesta. Nakon toga u A98 unijeti broj 5.</t>
  </si>
  <si>
    <t xml:space="preserve">U ćeliju A143 upisati vrijednost za 1EUR (1.07) pa primijeniti posebni format </t>
  </si>
  <si>
    <t>tako da se kao rezultat pojavi: 1EUR=1.07dolara, gdje je 1.07 vrijednost iz A143.</t>
  </si>
  <si>
    <t>Primjer: Upisati u ćeliju B155 broj 9485 pa ga prikriti koristeći posebni format.</t>
  </si>
  <si>
    <t>prikrivajući format</t>
  </si>
  <si>
    <t>Formulas / Forumula Auditing / Show Formulas</t>
  </si>
  <si>
    <t>Primjer: U ćeliju C176 upisati izraz za sabiranje sadržaja ćelija A176 i B176.</t>
  </si>
  <si>
    <t xml:space="preserve"> =A176+B176</t>
  </si>
  <si>
    <t>Formatni stilovi ćelija:</t>
  </si>
  <si>
    <t>Formatni stilovi tabela:</t>
  </si>
  <si>
    <t>Home / Style / Cell Styles</t>
  </si>
  <si>
    <t>/ izabere se neki od ugrađenih ili posebnih (custom) stilova za markirani blok ćelija</t>
  </si>
  <si>
    <r>
      <t xml:space="preserve">/ New Cell Style / u style name upišemo ime; pomoću opcije </t>
    </r>
    <r>
      <rPr>
        <b/>
        <sz val="10"/>
        <color indexed="10"/>
        <rFont val="Arial"/>
        <family val="2"/>
      </rPr>
      <t xml:space="preserve">Format </t>
    </r>
    <r>
      <rPr>
        <sz val="10"/>
        <color indexed="10"/>
        <rFont val="Arial"/>
        <family val="2"/>
      </rPr>
      <t xml:space="preserve">mijenjamo 6 formatnih </t>
    </r>
  </si>
  <si>
    <t>Vrsta podatka</t>
  </si>
  <si>
    <t xml:space="preserve">Home / Styles / Format as Table / </t>
  </si>
  <si>
    <t>Strelice moguće ukloniti pomoću:</t>
  </si>
  <si>
    <t>Data / Sort&amp;Filter / Filter</t>
  </si>
  <si>
    <t>Napomena</t>
  </si>
  <si>
    <t>Formiranje posebnog (custom) stila tabele:</t>
  </si>
  <si>
    <r>
      <t xml:space="preserve">/ New Table Style / u name upišemo ime; pomoću opcije </t>
    </r>
    <r>
      <rPr>
        <b/>
        <sz val="10"/>
        <color indexed="10"/>
        <rFont val="Arial"/>
        <family val="2"/>
      </rPr>
      <t xml:space="preserve">Format </t>
    </r>
    <r>
      <rPr>
        <sz val="10"/>
        <color indexed="10"/>
        <rFont val="Arial"/>
        <family val="2"/>
      </rPr>
      <t xml:space="preserve">podešavamo 3 formatna </t>
    </r>
  </si>
  <si>
    <t>parametra (Font, Border, Fill) čitave tabele (izborom Whole table unutar Table Element) ili njenih djelova</t>
  </si>
  <si>
    <t>(zaglavlja vrsta i kolona, traka kolona ili vrsta ...)</t>
  </si>
  <si>
    <t>Izmjena posebnog stila tabele:</t>
  </si>
  <si>
    <t>/ D.T.M na željeni custom stil / Modify ...</t>
  </si>
  <si>
    <t xml:space="preserve">     a) 14-Mar-01        b) 3/14/01 </t>
  </si>
  <si>
    <t xml:space="preserve"> - Locale (loacation): English (U.S.)</t>
  </si>
  <si>
    <t>tipa: 3/14/01 13:30</t>
  </si>
  <si>
    <t>Primjer: U ćelije B118 i B119 upisati redom 98 i a, pa primijeniti tekstualni format.</t>
  </si>
  <si>
    <t xml:space="preserve">Obuhvata sve formate. </t>
  </si>
  <si>
    <t>br. 1</t>
  </si>
  <si>
    <t>br. 2</t>
  </si>
  <si>
    <t>br. 3</t>
  </si>
  <si>
    <t>Red. br. proizv.</t>
  </si>
  <si>
    <r>
      <t xml:space="preserve">Nakon toga u: </t>
    </r>
    <r>
      <rPr>
        <sz val="10"/>
        <color rgb="FFFF0000"/>
        <rFont val="Arial"/>
        <family val="2"/>
      </rPr>
      <t>Design / Table Style Options</t>
    </r>
    <r>
      <rPr>
        <sz val="10"/>
        <rFont val="Arial"/>
        <family val="2"/>
      </rPr>
      <t xml:space="preserve">    - čekiranjem pojedinih opcija podesiti konačan izgled</t>
    </r>
  </si>
  <si>
    <t>(stil: "Proba")</t>
  </si>
  <si>
    <t>Primjer posebnog stila tabele (custom "Probni stil tabele"):</t>
  </si>
  <si>
    <t>Formiranje posebnog stila ćelije:</t>
  </si>
  <si>
    <t>Izmjena posebnog stila ćelije:</t>
  </si>
  <si>
    <t>Primjer: Formirati stil ćelije sa svojim imenom i podesiti ga prema sopstvenoj</t>
  </si>
  <si>
    <t>(kad je onemugućeno editovanje, upisivanje moguće samo u 4. mon. redu.- formula baru)</t>
  </si>
  <si>
    <t>/ Display</t>
  </si>
  <si>
    <t>Isprobati razne opcije iz:</t>
  </si>
  <si>
    <t>/ Display options for this worksheet</t>
  </si>
  <si>
    <t>/ Display options for this worbook</t>
  </si>
  <si>
    <t>/ Editing options</t>
  </si>
  <si>
    <r>
      <t xml:space="preserve">Napomena: isti efekti se postižu i sa: </t>
    </r>
    <r>
      <rPr>
        <sz val="10"/>
        <color indexed="10"/>
        <rFont val="Arial"/>
        <family val="2"/>
      </rPr>
      <t>View / Show / Formula bar</t>
    </r>
  </si>
  <si>
    <t xml:space="preserve"> . . . / Advance / Display / Formula bar</t>
  </si>
  <si>
    <t>/Advance</t>
  </si>
  <si>
    <t>File / Options / …</t>
  </si>
  <si>
    <t>. . . / Advance / Display options for this worksheet /</t>
  </si>
  <si>
    <t>. . . / Advance / Editing Options /</t>
  </si>
  <si>
    <t>. . . / Advance / Display options for this worbook /</t>
  </si>
  <si>
    <t>show horizontal scroll bar</t>
  </si>
  <si>
    <t xml:space="preserve"> - uklanjanje ili postavljanje horiz. klizača</t>
  </si>
  <si>
    <t>Show row and column headers</t>
  </si>
  <si>
    <t>Show gridlines</t>
  </si>
  <si>
    <t>Zadatak: Isprobati sljedeće opcije:</t>
  </si>
  <si>
    <t>Show page breaks</t>
  </si>
  <si>
    <t>View / Show / Headings</t>
  </si>
  <si>
    <t>View / Show / Gridlines</t>
  </si>
  <si>
    <t>. . . / Formulas / Working with formulas</t>
  </si>
  <si>
    <r>
      <t xml:space="preserve">R1C1 reference style </t>
    </r>
    <r>
      <rPr>
        <sz val="10"/>
        <rFont val="Arial"/>
        <family val="2"/>
      </rPr>
      <t>- prelazi se na označavanje kolona sa 1, 2, itd.</t>
    </r>
  </si>
  <si>
    <t>. . . / General / When creating new workbooks</t>
  </si>
  <si>
    <r>
      <rPr>
        <sz val="10"/>
        <color rgb="FFFF0000"/>
        <rFont val="Arial"/>
        <family val="2"/>
      </rPr>
      <t>Font size</t>
    </r>
    <r>
      <rPr>
        <sz val="10"/>
        <rFont val="Arial"/>
        <family val="2"/>
      </rPr>
      <t xml:space="preserve"> - definiše se veličina standardnog fonta</t>
    </r>
  </si>
  <si>
    <t>Review / Comments / New Comment       ili       D. T. M. / Insert Comment</t>
  </si>
  <si>
    <r>
      <t xml:space="preserve">Pomoću tastature: </t>
    </r>
    <r>
      <rPr>
        <b/>
        <sz val="10"/>
        <color indexed="10"/>
        <rFont val="Arial"/>
        <family val="2"/>
      </rPr>
      <t>Shift+F2</t>
    </r>
  </si>
  <si>
    <t xml:space="preserve">U ćelije A63 i B63 redom upisati brojeve 34 i 56. Zatim u ćeliji C63 sabrati </t>
  </si>
  <si>
    <t>dvostruku vrijednost iz ćelije A63 sa vrijednošću iz ćelije B63.</t>
  </si>
  <si>
    <t>Unijeti komentare redom u ćelije A63, B63 i C63 : "a" , "b" i "2a+b".</t>
  </si>
  <si>
    <t>na ćeliji C63.</t>
  </si>
  <si>
    <t>Zadatak: Izbrisati komentar iz ćelije C63.</t>
  </si>
  <si>
    <t>Editovanje komentara (izmjene u komentarima):</t>
  </si>
  <si>
    <t>Review / Edit Comment    ili    D.T.M. - Edit Comment</t>
  </si>
  <si>
    <t>Zadatak: Izmijeniti komentare iz ćelija A63 i B63 tako da komentari budu "x" i "y".</t>
  </si>
  <si>
    <t>(za markiranu ćeliju s komentarom)</t>
  </si>
  <si>
    <t xml:space="preserve">Review /Comments /Show/ Show All Comments   </t>
  </si>
  <si>
    <t>(prikaz svih komentara)</t>
  </si>
  <si>
    <t>ili D.T.M na postojeće ime / rename</t>
  </si>
  <si>
    <r>
      <t>Ubacivanje novog Sheet-a:</t>
    </r>
    <r>
      <rPr>
        <sz val="10"/>
        <color rgb="FFFF0000"/>
        <rFont val="Arial"/>
        <family val="2"/>
      </rPr>
      <t xml:space="preserve"> Home / Cells / Insert  sheet</t>
    </r>
  </si>
  <si>
    <r>
      <t xml:space="preserve">Istovremeni prikaz više sheet-ova: </t>
    </r>
    <r>
      <rPr>
        <sz val="10"/>
        <color rgb="FFFF0000"/>
        <rFont val="Arial"/>
        <family val="2"/>
      </rPr>
      <t>View / Window / New window</t>
    </r>
    <r>
      <rPr>
        <sz val="10"/>
        <rFont val="Arial"/>
        <family val="2"/>
      </rPr>
      <t xml:space="preserve">  - nekoliko puta, a zatim:</t>
    </r>
  </si>
  <si>
    <r>
      <rPr>
        <sz val="10"/>
        <color rgb="FFFF0000"/>
        <rFont val="Arial"/>
        <family val="2"/>
      </rPr>
      <t xml:space="preserve"> View / Window / Arrange All</t>
    </r>
    <r>
      <rPr>
        <sz val="10"/>
        <rFont val="Arial"/>
        <family val="2"/>
      </rPr>
      <t xml:space="preserve"> - u svakom prozoru izaberemo različit sheet.</t>
    </r>
  </si>
  <si>
    <t xml:space="preserve">Broj sheet-ova (radnih listova) u novom fajlu se podesava preko: </t>
  </si>
  <si>
    <r>
      <rPr>
        <sz val="10"/>
        <rFont val="Arial"/>
        <family val="2"/>
      </rPr>
      <t>Uklanjanje Sheet-a:</t>
    </r>
    <r>
      <rPr>
        <sz val="10"/>
        <color rgb="FFFF0000"/>
        <rFont val="Arial"/>
        <family val="2"/>
      </rPr>
      <t xml:space="preserve"> Home / Cells / Delete/Delete sheet</t>
    </r>
  </si>
  <si>
    <r>
      <t>Izmjena imena sheet-a</t>
    </r>
    <r>
      <rPr>
        <sz val="10"/>
        <color rgb="FFFF0000"/>
        <rFont val="Arial"/>
        <family val="2"/>
      </rPr>
      <t>: Home/ Cells / Format / Organize Sheets / Rename Sheet</t>
    </r>
  </si>
  <si>
    <r>
      <rPr>
        <sz val="10"/>
        <rFont val="Arial"/>
        <family val="2"/>
      </rPr>
      <t>ili</t>
    </r>
    <r>
      <rPr>
        <sz val="10"/>
        <color rgb="FFFF0000"/>
        <rFont val="Arial"/>
        <family val="2"/>
      </rPr>
      <t xml:space="preserve"> Dva puta L.T.M. na postojeće ime , pa ukucati novo ime</t>
    </r>
  </si>
  <si>
    <r>
      <t xml:space="preserve">ili  </t>
    </r>
    <r>
      <rPr>
        <sz val="10"/>
        <color rgb="FFFF0000"/>
        <rFont val="Arial"/>
        <family val="2"/>
      </rPr>
      <t>D.T.M. na ime lista ipred kojeg želimo da ubacimo novi / insert / worksheet</t>
    </r>
  </si>
  <si>
    <t xml:space="preserve">Primjer: Naći sumu međusobnih proizvoda brojeva iz A1 i A2 sa 3 Sheet-a iz  </t>
  </si>
  <si>
    <t xml:space="preserve">Primjer: Promijeniti ime Sheet-a 2 u "Strana 2", pa posmatrati promjene u </t>
  </si>
  <si>
    <r>
      <t xml:space="preserve">Skraćeno: </t>
    </r>
    <r>
      <rPr>
        <sz val="10"/>
        <color indexed="10"/>
        <rFont val="Arial"/>
        <family val="2"/>
      </rPr>
      <t>CTRL+shift+F12</t>
    </r>
    <r>
      <rPr>
        <sz val="10"/>
        <rFont val="Arial"/>
        <family val="2"/>
      </rPr>
      <t xml:space="preserve">        ili  </t>
    </r>
    <r>
      <rPr>
        <sz val="10"/>
        <color indexed="10"/>
        <rFont val="Arial"/>
        <family val="2"/>
      </rPr>
      <t>CTRL+p</t>
    </r>
  </si>
  <si>
    <t xml:space="preserve">        File / Print / Print</t>
  </si>
  <si>
    <t>Zatim:</t>
  </si>
  <si>
    <t>(File / Print / Page Setup)</t>
  </si>
  <si>
    <r>
      <t>2.</t>
    </r>
    <r>
      <rPr>
        <sz val="10"/>
        <color indexed="10"/>
        <rFont val="Arial"/>
        <family val="2"/>
      </rPr>
      <t xml:space="preserve"> Insert / Charts    / Ok</t>
    </r>
  </si>
  <si>
    <r>
      <t xml:space="preserve">( </t>
    </r>
    <r>
      <rPr>
        <sz val="10"/>
        <rFont val="Arial"/>
        <family val="2"/>
      </rPr>
      <t>2.</t>
    </r>
    <r>
      <rPr>
        <sz val="10"/>
        <color indexed="10"/>
        <rFont val="Arial"/>
        <family val="2"/>
      </rPr>
      <t xml:space="preserve"> Insert /Charts / Column / 2D Coulmn / Clustered column)</t>
    </r>
  </si>
  <si>
    <r>
      <t xml:space="preserve">Markirati grafikon. Pojavljuje se </t>
    </r>
    <r>
      <rPr>
        <sz val="10"/>
        <color rgb="FFFF0000"/>
        <rFont val="Arial"/>
        <family val="2"/>
      </rPr>
      <t>Chart Tools  (Design, Layout, Format).</t>
    </r>
  </si>
  <si>
    <r>
      <t xml:space="preserve">2) Markirati želeni blok pa: </t>
    </r>
    <r>
      <rPr>
        <sz val="10"/>
        <color rgb="FFFF0000"/>
        <rFont val="Arial"/>
        <family val="2"/>
      </rPr>
      <t>Page Layout / Page Setup / Print Area / Set Print Area</t>
    </r>
  </si>
  <si>
    <r>
      <t xml:space="preserve">1) Markira se blok pa: </t>
    </r>
    <r>
      <rPr>
        <sz val="10"/>
        <color indexed="10"/>
        <rFont val="Arial"/>
        <family val="2"/>
      </rPr>
      <t>File / Print / Settings / Print Selection</t>
    </r>
  </si>
  <si>
    <t>File / Print / Print</t>
  </si>
  <si>
    <r>
      <t xml:space="preserve">3) </t>
    </r>
    <r>
      <rPr>
        <sz val="10"/>
        <color rgb="FFFF0000"/>
        <rFont val="Arial"/>
        <family val="2"/>
      </rPr>
      <t>Page Layout / Page setup     / Sheet / u print area</t>
    </r>
    <r>
      <rPr>
        <sz val="10"/>
        <rFont val="Arial"/>
        <family val="2"/>
      </rPr>
      <t xml:space="preserve"> - upisati opseg / </t>
    </r>
    <r>
      <rPr>
        <sz val="10"/>
        <color indexed="10"/>
        <rFont val="Arial"/>
        <family val="2"/>
      </rPr>
      <t>print</t>
    </r>
  </si>
  <si>
    <t xml:space="preserve"> - biramo (naknadno mijenjamo) tip grafikona</t>
  </si>
  <si>
    <t xml:space="preserve"> - čuvamo kao šablon za druge grafikone</t>
  </si>
  <si>
    <t xml:space="preserve">Design / Data / Switched Row-Column  </t>
  </si>
  <si>
    <t>Design / Type   / Change Chart Type</t>
  </si>
  <si>
    <t xml:space="preserve">       ... / Save as Template</t>
  </si>
  <si>
    <t xml:space="preserve"> - zamjena serija i kategorija</t>
  </si>
  <si>
    <t xml:space="preserve">     ... / Select Data</t>
  </si>
  <si>
    <t xml:space="preserve"> - opseg podataka za prikaz (tabela)</t>
  </si>
  <si>
    <r>
      <t xml:space="preserve">Add, Edit, Remove   </t>
    </r>
    <r>
      <rPr>
        <sz val="10"/>
        <rFont val="Arial"/>
        <family val="2"/>
      </rPr>
      <t>- dodavanje, izmjene ili uklanjanje serija</t>
    </r>
  </si>
  <si>
    <t xml:space="preserve"> - promjena redosljeda serija</t>
  </si>
  <si>
    <t xml:space="preserve">Legend Entries (Series): </t>
  </si>
  <si>
    <t xml:space="preserve">Horizontal (Category) axes labels:  </t>
  </si>
  <si>
    <r>
      <rPr>
        <sz val="10"/>
        <color rgb="FFFF0000"/>
        <rFont val="Arial"/>
        <family val="2"/>
      </rPr>
      <t>Edit</t>
    </r>
    <r>
      <rPr>
        <sz val="10"/>
        <rFont val="Arial"/>
        <family val="2"/>
      </rPr>
      <t xml:space="preserve"> - Izmjena naziva za kategorije</t>
    </r>
  </si>
  <si>
    <t>Design / Chart Layouts</t>
  </si>
  <si>
    <t>Design / Chart Styles</t>
  </si>
  <si>
    <t xml:space="preserve"> - izbor nekog od ponuđenih stilova grafikona</t>
  </si>
  <si>
    <t xml:space="preserve"> - izbor prikaza naziva i vrijednosti podataka na grafikonu</t>
  </si>
  <si>
    <t>Design / Location / Move Chart</t>
  </si>
  <si>
    <t xml:space="preserve"> - promjena lokacije grafikona</t>
  </si>
  <si>
    <t xml:space="preserve"> - na posebnoj stranici (poseban sheet)</t>
  </si>
  <si>
    <t xml:space="preserve"> - kao objekat na željenoj stranici </t>
  </si>
  <si>
    <r>
      <t>Layout / Current Selection  -</t>
    </r>
    <r>
      <rPr>
        <sz val="10"/>
        <rFont val="Arial"/>
        <family val="2"/>
      </rPr>
      <t xml:space="preserve"> Selektovanje i formatiranje dijela grafikona</t>
    </r>
  </si>
  <si>
    <t xml:space="preserve"> - naslov</t>
  </si>
  <si>
    <r>
      <t>Layout /Labels</t>
    </r>
    <r>
      <rPr>
        <sz val="10"/>
        <rFont val="Arial"/>
        <family val="2"/>
      </rPr>
      <t xml:space="preserve"> - Postavljanje, izbor položaja ili uklanjanje: naslova, naziva osa, oznaka, ...</t>
    </r>
  </si>
  <si>
    <t>Chart Title</t>
  </si>
  <si>
    <t xml:space="preserve"> - nazivi za x i y osu</t>
  </si>
  <si>
    <t xml:space="preserve"> -  legenda (da li se prikazuje i njena pozicija)</t>
  </si>
  <si>
    <t xml:space="preserve"> - moguće je prikazati podatke zajedno sa stubićima (trakama)</t>
  </si>
  <si>
    <t xml:space="preserve"> - moguć prikaz tabele zajedno sa grafikonom</t>
  </si>
  <si>
    <t>Axes</t>
  </si>
  <si>
    <t xml:space="preserve"> - prikaz naziva  kategorija,  prikaz x i y ose</t>
  </si>
  <si>
    <r>
      <t xml:space="preserve">Layout / Background  </t>
    </r>
    <r>
      <rPr>
        <sz val="10"/>
        <rFont val="Arial"/>
        <family val="2"/>
      </rPr>
      <t xml:space="preserve">- podešavanje izgleda pozadine </t>
    </r>
  </si>
  <si>
    <t xml:space="preserve">Layout / Axes / </t>
  </si>
  <si>
    <t xml:space="preserve"> - promjena trodimenzionalnog izgleda (samo za 3D grafikon)</t>
  </si>
  <si>
    <r>
      <t xml:space="preserve">Layout / Analysis / Trendline  </t>
    </r>
    <r>
      <rPr>
        <sz val="10"/>
        <rFont val="Arial"/>
        <family val="2"/>
      </rPr>
      <t xml:space="preserve">- ubacivanje trend linije </t>
    </r>
  </si>
  <si>
    <t xml:space="preserve">Design / Select Data / L.T.M. na neki od naziva serije / Move Up ili Move Down </t>
  </si>
  <si>
    <t xml:space="preserve">Design / Select Data / Legend Entries (Series) / Add       - dodavanje nove serije  </t>
  </si>
  <si>
    <t>/ Horizontal (Category) axes labels / Edit /</t>
  </si>
  <si>
    <t>Axis label range:</t>
  </si>
  <si>
    <t>Napomena: Za izmjene na grafikonu može se koristiti i plivajući meni (D.T.M.)</t>
  </si>
  <si>
    <t>Page Layout / Page Setup      /</t>
  </si>
  <si>
    <t>Header/Footer</t>
  </si>
  <si>
    <t>Sheet</t>
  </si>
  <si>
    <t xml:space="preserve"> - postavljanje ili uklanjanje mreže (horizontalnih i/ili vertikalnih linija)</t>
  </si>
  <si>
    <t xml:space="preserve">          / 3-D Rotation</t>
  </si>
  <si>
    <t>Promjena redosljeda serija:</t>
  </si>
  <si>
    <t>Series name :  =B34  ili   P4,</t>
  </si>
  <si>
    <t>Series values:  =C34: E34</t>
  </si>
  <si>
    <t xml:space="preserve"> =C30:E30</t>
  </si>
  <si>
    <t>Dodavanje kategorija i podešavanje redosljeda kategorija:</t>
  </si>
  <si>
    <t>Redosljed ubacivanja kategorija odgovara redosljedu kategorija na grafikonu.</t>
  </si>
  <si>
    <t>h) Prikazati sve stranke i gradove tako da redosljed serija bude</t>
  </si>
  <si>
    <t>k) Prikazati sve stranke i gradove tako da redosljed serija bude</t>
  </si>
  <si>
    <t>l) Prikazati rezultate za stranke 1 i 3 tako da redosljed kategorija</t>
  </si>
  <si>
    <r>
      <t xml:space="preserve"> (Pomoću  </t>
    </r>
    <r>
      <rPr>
        <sz val="10"/>
        <color rgb="FFFF0000"/>
        <rFont val="Arial"/>
        <family val="2"/>
      </rPr>
      <t>File / Print / Page Setup / Sheet / …</t>
    </r>
    <r>
      <rPr>
        <sz val="10"/>
        <rFont val="Arial"/>
        <family val="2"/>
      </rPr>
      <t xml:space="preserve">   nije moguće mijenjati opseg )</t>
    </r>
  </si>
  <si>
    <r>
      <t>Primjer:</t>
    </r>
    <r>
      <rPr>
        <sz val="10"/>
        <rFont val="Arial"/>
        <family val="2"/>
      </rPr>
      <t xml:space="preserve"> Napraviti i dopuniti tabelu ispod, koja prikazuje rezultate ispitnog roka na SPR.</t>
    </r>
  </si>
  <si>
    <t>Rezultati ispitnog roka na SPR</t>
  </si>
  <si>
    <t>SPR</t>
  </si>
  <si>
    <t>Ocjena E</t>
  </si>
  <si>
    <t>Ocjena D</t>
  </si>
  <si>
    <t>Ocjena C</t>
  </si>
  <si>
    <t>Ocjena B</t>
  </si>
  <si>
    <t>Ocjena A</t>
  </si>
  <si>
    <r>
      <t xml:space="preserve">Rotacija 3D grafikona:  </t>
    </r>
    <r>
      <rPr>
        <b/>
        <sz val="10"/>
        <color rgb="FFFF0000"/>
        <rFont val="Arial"/>
        <family val="2"/>
      </rPr>
      <t xml:space="preserve">Chart Tools/Layout/ Background/ 3D-Rotation... </t>
    </r>
  </si>
  <si>
    <t>VRSTE GRAFIKONA I USAVRŠAVANJE GRAFIKONA</t>
  </si>
  <si>
    <t>(Column, Line, Pie, Bar, Area, XY Scatter, Stock,  Surface, Doughnut, Bubble, Radar)</t>
  </si>
  <si>
    <r>
      <t xml:space="preserve">Vrsta grafikona može se izabirati prilkom njegovog stvaranja: </t>
    </r>
    <r>
      <rPr>
        <b/>
        <sz val="10"/>
        <color rgb="FFFF0000"/>
        <rFont val="Arial"/>
        <family val="2"/>
      </rPr>
      <t xml:space="preserve">Insert / Charts </t>
    </r>
  </si>
  <si>
    <r>
      <t>Naknadno mijenjanje vrste ili podvrste grafikona (nakon markiranja grafikona):</t>
    </r>
    <r>
      <rPr>
        <sz val="10"/>
        <color rgb="FFFF0000"/>
        <rFont val="Arial"/>
        <family val="2"/>
      </rPr>
      <t xml:space="preserve"> </t>
    </r>
  </si>
  <si>
    <t>Chart Tools/Design/ Type /Change Chart Type</t>
  </si>
  <si>
    <t>( npr. za trakasti : 3-D-Column)</t>
  </si>
  <si>
    <t>3D grafikon se dobija kada se izabere odgovarajući 3D tip (podvrsta) za izabranu vrstu grafikona</t>
  </si>
  <si>
    <r>
      <t>Izgled stubića označene serije</t>
    </r>
    <r>
      <rPr>
        <b/>
        <sz val="10"/>
        <rFont val="Arial"/>
        <family val="2"/>
      </rPr>
      <t xml:space="preserve">: </t>
    </r>
    <r>
      <rPr>
        <b/>
        <sz val="10"/>
        <color rgb="FFFF0000"/>
        <rFont val="Arial"/>
        <family val="2"/>
      </rPr>
      <t>Chart Tools/ Format/Format Selection/Shape</t>
    </r>
  </si>
  <si>
    <r>
      <t xml:space="preserve">Postavljanje naslova : </t>
    </r>
    <r>
      <rPr>
        <b/>
        <sz val="10"/>
        <color rgb="FFFF0000"/>
        <rFont val="Arial"/>
        <family val="2"/>
      </rPr>
      <t>Chart Tools/ Layout / Labels / Chart Title / ...</t>
    </r>
  </si>
  <si>
    <r>
      <t xml:space="preserve">Postavljanje naziva za x, y ili z osu: </t>
    </r>
    <r>
      <rPr>
        <b/>
        <sz val="10"/>
        <color rgb="FFFF0000"/>
        <rFont val="Arial"/>
        <family val="2"/>
      </rPr>
      <t>Chart Tools/ Layout / Labels / Axis Titles</t>
    </r>
  </si>
  <si>
    <r>
      <t xml:space="preserve">Postavljanje teksta na grafikonu: </t>
    </r>
    <r>
      <rPr>
        <b/>
        <sz val="10"/>
        <color rgb="FFFF0000"/>
        <rFont val="Arial"/>
        <family val="2"/>
      </rPr>
      <t>Layout / Insert / Tex Box</t>
    </r>
  </si>
  <si>
    <t>Postavljanje / uklanjanje glavne (Major) i/ili pomoćne (Minor) mreže:</t>
  </si>
  <si>
    <t>Chart Tools / Layout / Axes / Gridlines / ...</t>
  </si>
  <si>
    <t>Podešavanje boja, vrste linija i sl. :</t>
  </si>
  <si>
    <t>2 x L.T.M. na neku od linija mreže / ...</t>
  </si>
  <si>
    <r>
      <t>(ili nakon selekcije:</t>
    </r>
    <r>
      <rPr>
        <sz val="10"/>
        <color rgb="FFFF0000"/>
        <rFont val="Arial"/>
        <family val="2"/>
      </rPr>
      <t xml:space="preserve"> D.T.M. / Format Gridlines / ...</t>
    </r>
    <r>
      <rPr>
        <sz val="10"/>
        <rFont val="Arial"/>
        <family val="2"/>
      </rPr>
      <t>)</t>
    </r>
  </si>
  <si>
    <t>Podešavanje mreže (Gridlines):</t>
  </si>
  <si>
    <r>
      <t>(ili nakon selekcije:</t>
    </r>
    <r>
      <rPr>
        <sz val="10"/>
        <color rgb="FFFF0000"/>
        <rFont val="Arial"/>
        <family val="2"/>
      </rPr>
      <t xml:space="preserve"> Format / Current Selection / Format Selection / ...</t>
    </r>
    <r>
      <rPr>
        <sz val="10"/>
        <rFont val="Arial"/>
        <family val="2"/>
      </rPr>
      <t>)</t>
    </r>
  </si>
  <si>
    <r>
      <t>(ili nakon selekcije:</t>
    </r>
    <r>
      <rPr>
        <sz val="10"/>
        <color rgb="FFFF0000"/>
        <rFont val="Arial"/>
        <family val="2"/>
      </rPr>
      <t xml:space="preserve"> D.T.M. / Format Axis / ...</t>
    </r>
    <r>
      <rPr>
        <sz val="10"/>
        <rFont val="Arial"/>
        <family val="2"/>
      </rPr>
      <t>)</t>
    </r>
  </si>
  <si>
    <r>
      <t xml:space="preserve">2 x L.T.M. na vrijednosti u osi / Axis Options / </t>
    </r>
    <r>
      <rPr>
        <sz val="10"/>
        <color rgb="FFFF0000"/>
        <rFont val="Arial"/>
        <family val="2"/>
      </rPr>
      <t>(Minimum, Maximum, Major unit, Minor unit)</t>
    </r>
  </si>
  <si>
    <t>Podešavanje minimuma i maksimuma ose sa brojnim vrijednostima i gustine odgovarajućih linija mreže:</t>
  </si>
  <si>
    <t>d) Kružni grafikon (pie=pita) za Predmet1. Izvući udio sa ocjenom A.</t>
  </si>
  <si>
    <t xml:space="preserve"> f) Prikazati koliko je za Predmet 1 procentualno dobilo ocjenu A,B,C,D i E i koliko palo,</t>
  </si>
  <si>
    <t>g) 3D kružni grafikon na kojem će se prikazati Ocjena A za sve predmete u procentima.</t>
  </si>
  <si>
    <t xml:space="preserve">c) Kombinovani grafikon (ocjene E, D i B linijski, a  C i A trakasti) </t>
  </si>
  <si>
    <t xml:space="preserve">     i osjenčiti ga (obojiti ga) po želji.</t>
  </si>
  <si>
    <t xml:space="preserve">     Naknadno i/ili dodatno podešavanje omogućuje se izborom: </t>
  </si>
  <si>
    <t xml:space="preserve">Layout / Labels / Data Labels / More Data Labels Options / ... </t>
  </si>
  <si>
    <r>
      <t xml:space="preserve">(ili </t>
    </r>
    <r>
      <rPr>
        <sz val="10"/>
        <color rgb="FFFF0000"/>
        <rFont val="Arial"/>
        <family val="2"/>
      </rPr>
      <t>D.T.M. / Format Data Labels</t>
    </r>
    <r>
      <rPr>
        <sz val="10"/>
        <rFont val="Arial"/>
        <family val="2"/>
      </rPr>
      <t>)</t>
    </r>
  </si>
  <si>
    <t xml:space="preserve"> Napomena:  Prikazivanje labela i vrijednosti može se postići izborom iz: Chart / Design Layouts</t>
  </si>
  <si>
    <r>
      <t xml:space="preserve">Napomena: Broj decimalnih mjesta za procente podešava se u podbloku </t>
    </r>
    <r>
      <rPr>
        <sz val="10"/>
        <color rgb="FFFF0000"/>
        <rFont val="Arial"/>
        <family val="2"/>
      </rPr>
      <t>Number</t>
    </r>
    <r>
      <rPr>
        <sz val="10"/>
        <rFont val="Arial"/>
        <family val="2"/>
      </rPr>
      <t xml:space="preserve"> nakon  </t>
    </r>
  </si>
  <si>
    <r>
      <t xml:space="preserve">   </t>
    </r>
    <r>
      <rPr>
        <sz val="10"/>
        <color rgb="FFFF0000"/>
        <rFont val="Arial"/>
        <family val="2"/>
      </rPr>
      <t xml:space="preserve">D.T.M. / Format Data Labels </t>
    </r>
    <r>
      <rPr>
        <sz val="10"/>
        <rFont val="Arial"/>
        <family val="2"/>
      </rPr>
      <t>/</t>
    </r>
  </si>
  <si>
    <r>
      <t xml:space="preserve">Nakon markiranja: .../Trendline /  </t>
    </r>
    <r>
      <rPr>
        <sz val="10"/>
        <color rgb="FFFF0000"/>
        <rFont val="Arial"/>
        <family val="2"/>
      </rPr>
      <t>More Trendline Options</t>
    </r>
    <r>
      <rPr>
        <sz val="10"/>
        <rFont val="Arial"/>
        <family val="2"/>
      </rPr>
      <t xml:space="preserve"> - podesiti forward 4 periods</t>
    </r>
  </si>
  <si>
    <t xml:space="preserve">            (ili : Format /Current selection/ Format selection /Trendline options )</t>
  </si>
  <si>
    <t>Za vježbu: Formirati razne varijante linijskog i XY grafikona koristeći datu tabelu:</t>
  </si>
  <si>
    <t>Stvaranje i izmjene baze podataka = formiranje tabele, izmjene, dopune</t>
  </si>
  <si>
    <t>Cijena impulsa =</t>
  </si>
  <si>
    <r>
      <t>Zadatak:</t>
    </r>
    <r>
      <rPr>
        <sz val="10"/>
        <rFont val="Arial"/>
        <family val="2"/>
      </rPr>
      <t xml:space="preserve"> Napraviti sljedeću tabelu - bazu podataka (Racun = Br. Impulsa * Cijena impulsa). </t>
    </r>
  </si>
  <si>
    <t>Sortiranje podataka (zapisa):</t>
  </si>
  <si>
    <t>SORTIRANJE I FILTRIRANJE PODATAKA, FUNKCIJE ZA BAZE PODATAKA</t>
  </si>
  <si>
    <t>a) Sortirati tabelu (zapise) po dva ključa, prvo po abecednom redu prezimena,</t>
  </si>
  <si>
    <t>b) Sortirati tabelu po veličini računa tako da redosljed bude od većih ka manjim.</t>
  </si>
  <si>
    <r>
      <t xml:space="preserve">   </t>
    </r>
    <r>
      <rPr>
        <b/>
        <sz val="10"/>
        <color rgb="FFFF0000"/>
        <rFont val="Arial"/>
        <family val="2"/>
      </rPr>
      <t>/</t>
    </r>
    <r>
      <rPr>
        <sz val="10"/>
        <rFont val="Arial"/>
        <family val="2"/>
      </rPr>
      <t xml:space="preserve"> </t>
    </r>
    <r>
      <rPr>
        <b/>
        <sz val="10"/>
        <color rgb="FFFF0000"/>
        <rFont val="Arial"/>
        <family val="2"/>
      </rPr>
      <t>Add Level / Then by:</t>
    </r>
    <r>
      <rPr>
        <sz val="10"/>
        <rFont val="Arial"/>
        <family val="2"/>
      </rPr>
      <t xml:space="preserve"> </t>
    </r>
    <r>
      <rPr>
        <b/>
        <sz val="10"/>
        <color rgb="FFFF0000"/>
        <rFont val="Arial"/>
        <family val="2"/>
      </rPr>
      <t>Ime  - Values -  A to Z</t>
    </r>
  </si>
  <si>
    <r>
      <t xml:space="preserve">Data / Sort / </t>
    </r>
    <r>
      <rPr>
        <b/>
        <sz val="10"/>
        <color rgb="FFFF0000"/>
        <rFont val="Arial"/>
        <family val="2"/>
      </rPr>
      <t>Sort by:</t>
    </r>
    <r>
      <rPr>
        <b/>
        <sz val="10"/>
        <color indexed="10"/>
        <rFont val="Arial"/>
        <family val="2"/>
      </rPr>
      <t xml:space="preserve"> Prezime - Values -  A to Z</t>
    </r>
  </si>
  <si>
    <r>
      <t xml:space="preserve">Data / Sort / </t>
    </r>
    <r>
      <rPr>
        <b/>
        <sz val="10"/>
        <color rgb="FFFF0000"/>
        <rFont val="Arial"/>
        <family val="2"/>
      </rPr>
      <t>Sort by:</t>
    </r>
    <r>
      <rPr>
        <b/>
        <sz val="10"/>
        <rFont val="Arial"/>
        <family val="2"/>
      </rPr>
      <t xml:space="preserve"> </t>
    </r>
    <r>
      <rPr>
        <b/>
        <sz val="10"/>
        <color indexed="10"/>
        <rFont val="Arial"/>
        <family val="2"/>
      </rPr>
      <t>Racun - Values - Largest to Smallest</t>
    </r>
  </si>
  <si>
    <t>a) Pomoću automatskog filtriranja (Filter) izdvojiti samo Markovice</t>
  </si>
  <si>
    <t>Filtriranje podataka (prikazivanje samo zapisa koji ispunjavaju uslov):</t>
  </si>
  <si>
    <t>Data / Sort &amp; Filter / Filter (zatim klikom na        u zaglavlju izabrati uslov)</t>
  </si>
  <si>
    <t>Data / Sort &amp; Filter / Filter / Prezime / čekirati: Markovic</t>
  </si>
  <si>
    <t>... / Racun / Number Filters /  Greater than / is greater than 25</t>
  </si>
  <si>
    <t>.../ Racun / Number Filters / Less than / is less than 15 /</t>
  </si>
  <si>
    <t>.../ Racun / Number Filters /Greater than / is greater than 17  /</t>
  </si>
  <si>
    <t xml:space="preserve">         AND     /  is less than 33</t>
  </si>
  <si>
    <t xml:space="preserve">         OR    / is greater than 30</t>
  </si>
  <si>
    <t xml:space="preserve">... / Prezime / čekirati Jankovic </t>
  </si>
  <si>
    <t xml:space="preserve">     Racun / Number Filters / is greater than 22,5</t>
  </si>
  <si>
    <t xml:space="preserve">(Napomena: ponovnim klikom na dugme Filter vraća se prikaz originalne tabele) </t>
  </si>
  <si>
    <t>… Telefon / Text Filters / Begins With: 2</t>
  </si>
  <si>
    <t xml:space="preserve">     ( ili:  Custom Filter / begins with: 2 )</t>
  </si>
  <si>
    <t xml:space="preserve">  (ili:   2*3?  )</t>
  </si>
  <si>
    <t>… Racun / Number Filters/ Top 10 / Top , 5, Items</t>
  </si>
  <si>
    <t>Data / Sort &amp; Filter / (izbor polja u zaglavlju) / Number Filter / top10</t>
  </si>
  <si>
    <t xml:space="preserve"> =DCOUNT(B14:G26, B14, B93:G94)</t>
  </si>
  <si>
    <t xml:space="preserve"> =DCOUNT(B14:G26, , B93:G94)</t>
  </si>
  <si>
    <t>Napomena: za funkciju Dcount polje je naziv iz zaglavlja bilo koje kolone koja sadrži samo brojeve.</t>
  </si>
  <si>
    <t>Može i bez unosa:</t>
  </si>
  <si>
    <t xml:space="preserve"> Za Jankoviće naći: sumu računa, maksimalni pojedinačni račun, minimalni pojedinačni račun,</t>
  </si>
  <si>
    <t xml:space="preserve"> minimalni pojedinačni broj impulsa i prosječan broj potrošenih impulsa.</t>
  </si>
  <si>
    <t xml:space="preserve"> =DCOUNT(B14:G26, B132, B132:G133)</t>
  </si>
  <si>
    <t xml:space="preserve"> =DSUM(B14:G26, G14, B106:G107)</t>
  </si>
  <si>
    <t xml:space="preserve"> =DSUM(B14:G26, "Racun", B106:G107)</t>
  </si>
  <si>
    <t xml:space="preserve"> =DSUM(B14:G26, 6, B106:G107)</t>
  </si>
  <si>
    <t xml:space="preserve"> =DMAX(B14:G26, "Racun", B106:G107)</t>
  </si>
  <si>
    <t xml:space="preserve"> =DMIN(B14:G26, "Racun", B106:G107)</t>
  </si>
  <si>
    <t xml:space="preserve"> =DMIN(B14:G26, F106, B106:G107)</t>
  </si>
  <si>
    <t xml:space="preserve"> =DAVERAGE(B14:G26, F106, B106:G107)</t>
  </si>
  <si>
    <t xml:space="preserve"> =DCOUNT(B14:G26, G125, B125:G126)</t>
  </si>
  <si>
    <t xml:space="preserve"> =DCOUNT(B14:G26, , B132:G133)</t>
  </si>
  <si>
    <t>Primjer: Koliko ljudi se zove Marko?</t>
  </si>
  <si>
    <t xml:space="preserve">        Broj korisnika čije je ime Marko:</t>
  </si>
  <si>
    <t xml:space="preserve">        Suma računa za Jankoviće:</t>
  </si>
  <si>
    <t xml:space="preserve"> =COUNTIF(D15:D26,"Marko")</t>
  </si>
  <si>
    <t xml:space="preserve"> =SUMIF(C15:C26,"Jankovic",G15:G26)</t>
  </si>
  <si>
    <t>Npr.</t>
  </si>
  <si>
    <t xml:space="preserve">   Pojedini rezultati mogu se dobiti koršćenjem standardnih funkcija (countif, sumif, ...) </t>
  </si>
  <si>
    <t xml:space="preserve">        Broj korisnika sa računom &gt;20:</t>
  </si>
  <si>
    <t xml:space="preserve"> =COUNTIF(G15:G26,"&gt;20")</t>
  </si>
  <si>
    <t>2*</t>
  </si>
  <si>
    <t xml:space="preserve">Primjer: Koliko ima ukupno Petrovića i Jankovića čiji telefon počinje sa 2 ? </t>
  </si>
  <si>
    <r>
      <t>Primjer:</t>
    </r>
    <r>
      <rPr>
        <sz val="10"/>
        <rFont val="Arial"/>
        <family val="2"/>
      </rPr>
      <t xml:space="preserve"> Za koliko Petrovića je iznos račun između 20 i 50 ?</t>
    </r>
  </si>
  <si>
    <t>&lt;50</t>
  </si>
  <si>
    <t xml:space="preserve"> =DCOUNT(B14:G26,B140,B140:H141)</t>
  </si>
  <si>
    <t xml:space="preserve"> =DCOUNT(B14:G26,B147,B147:G149)</t>
  </si>
  <si>
    <t>3) Koliko bi trebalo da iznosi kamatna stopa da bi za uloženih 1000 nakon 20 god. imali 20000?</t>
  </si>
  <si>
    <t>(Ulog=6236.09)</t>
  </si>
  <si>
    <t>2) Ako uložimo 1000 posle koliko godina ćemo imati preko 2000?</t>
  </si>
  <si>
    <t>Date/ Date Tools/ What if Analysis /Goal seek/ set cell B10 / to value 2000/ By changing cell B9</t>
  </si>
  <si>
    <t>(Rezultat = 11,896  tj. 12 godina)</t>
  </si>
  <si>
    <t>a u ćeliji A5 prikazati sumu brojeva iz ćelija A1 do A4.</t>
  </si>
  <si>
    <t>Redni broj</t>
  </si>
  <si>
    <t>Broj komada</t>
  </si>
  <si>
    <t>Cijena po komadu</t>
  </si>
  <si>
    <t>Ukupna cijena</t>
  </si>
  <si>
    <t>Dio1</t>
  </si>
  <si>
    <t>Dio2</t>
  </si>
  <si>
    <t>Dio3</t>
  </si>
  <si>
    <t>Dio4</t>
  </si>
  <si>
    <t>Dio5</t>
  </si>
  <si>
    <t>AA1</t>
  </si>
  <si>
    <t>AA2</t>
  </si>
  <si>
    <t>AA3</t>
  </si>
  <si>
    <t>AA4</t>
  </si>
  <si>
    <t>AA5</t>
  </si>
  <si>
    <t>Treci koren</t>
  </si>
  <si>
    <t>Nadjen!</t>
  </si>
  <si>
    <t>Nadjen</t>
  </si>
  <si>
    <t>1) Naći treći korijen od: (3/4)2 . 58</t>
  </si>
  <si>
    <t>Uradjen!</t>
  </si>
  <si>
    <t xml:space="preserve">Primjer: Ako je   c=3b,  b=2a,  a=43,  izračunati vrijednosti za b i c. </t>
  </si>
  <si>
    <t>Primjer: U ćeliju B47 upisati logičku formulu tako da se kao rezultat pojavi TRUE,</t>
  </si>
  <si>
    <t>INT(a/b)</t>
  </si>
  <si>
    <t>MOD(A;B)</t>
  </si>
  <si>
    <t>average(a;b;c) or (a:c)</t>
  </si>
  <si>
    <t>DVOSTRUKA IF PETLJICA</t>
  </si>
  <si>
    <t>pronadjen minimum</t>
  </si>
  <si>
    <t xml:space="preserve">CODE </t>
  </si>
  <si>
    <t>CHAR</t>
  </si>
  <si>
    <t>DAN U NEDELJI</t>
  </si>
  <si>
    <t>datum</t>
  </si>
  <si>
    <t>REZULTAT WEEKDAY</t>
  </si>
  <si>
    <t>RADIANS(UGAO)</t>
  </si>
  <si>
    <t>DEGREES(RADIJAN)</t>
  </si>
  <si>
    <t>Vježba: U ćeliju A157 unijeti broj 1. U ćelije C157 i D157 unijeti redom:</t>
  </si>
  <si>
    <t>234586</t>
  </si>
  <si>
    <t>a1</t>
  </si>
  <si>
    <t>b1</t>
  </si>
  <si>
    <t>Početak meseca</t>
  </si>
  <si>
    <t>PMT(6%/12;18*12;-5000;20000;1)</t>
  </si>
  <si>
    <t>PMT(6%/12;18*12;-7000;30000;1)</t>
  </si>
  <si>
    <t xml:space="preserve">Soba 1 </t>
  </si>
  <si>
    <t>Soba 2</t>
  </si>
  <si>
    <t>Soba 3</t>
  </si>
  <si>
    <t>Soba 4</t>
  </si>
  <si>
    <t>Hemijska olovka</t>
  </si>
  <si>
    <t>Podmetač</t>
  </si>
  <si>
    <t>Polica</t>
  </si>
  <si>
    <t>CD</t>
  </si>
  <si>
    <t>DVD</t>
  </si>
  <si>
    <t>1.</t>
  </si>
  <si>
    <t>2.</t>
  </si>
  <si>
    <t>3.</t>
  </si>
  <si>
    <t>4.</t>
  </si>
  <si>
    <t>5.</t>
  </si>
  <si>
    <t>6.</t>
  </si>
  <si>
    <t>7.</t>
  </si>
  <si>
    <t>8.</t>
  </si>
  <si>
    <t>MOD(A1;A2)</t>
  </si>
  <si>
    <t>9.</t>
  </si>
  <si>
    <t>10.</t>
  </si>
  <si>
    <t>11.</t>
  </si>
  <si>
    <t>12.</t>
  </si>
  <si>
    <t>14.</t>
  </si>
  <si>
    <t>PMT</t>
  </si>
  <si>
    <t>Roditelj</t>
  </si>
  <si>
    <t>15.</t>
  </si>
  <si>
    <t>MOD(C1;C2)</t>
  </si>
  <si>
    <t>16.</t>
  </si>
  <si>
    <t>17.</t>
  </si>
  <si>
    <t>18.</t>
  </si>
  <si>
    <t>19.</t>
  </si>
  <si>
    <t>20.</t>
  </si>
  <si>
    <t>21.</t>
  </si>
  <si>
    <t>22.</t>
  </si>
  <si>
    <t>eeeee</t>
  </si>
  <si>
    <t>Knjiga</t>
  </si>
  <si>
    <t>Soba 1</t>
  </si>
  <si>
    <t>T1</t>
  </si>
  <si>
    <t>13.</t>
  </si>
  <si>
    <t>A</t>
  </si>
  <si>
    <t>B</t>
  </si>
  <si>
    <t>C</t>
  </si>
  <si>
    <t>D</t>
  </si>
  <si>
    <t>Hem. Olovka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</si>
</sst>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9">
    <numFmt numFmtId="8" formatCode="#,##0.00\ &quot;€&quot;;[Red]\-#,##0.00\ &quot;€&quot;"/>
    <numFmt numFmtId="44" formatCode="_-* #,##0.00\ &quot;€&quot;_-;\-* #,##0.00\ &quot;€&quot;_-;_-* &quot;-&quot;??\ &quot;€&quot;_-;_-@_-"/>
    <numFmt numFmtId="164" formatCode="&quot;$&quot;#,##0.00_);[Red]\(&quot;$&quot;#,##0.00\)"/>
    <numFmt numFmtId="165" formatCode="#,##0.00\ &quot;Din.&quot;;[Red]\-#,##0.00\ &quot;Din.&quot;"/>
    <numFmt numFmtId="166" formatCode="&quot;£&quot;#,##0.00;[Red]\-&quot;£&quot;#,##0.00"/>
    <numFmt numFmtId="167" formatCode="#,##0.00\ &quot;dm&quot;_);[Red]\(#,##0.00\ &quot;dm&quot;\)"/>
    <numFmt numFmtId="168" formatCode="0.000"/>
    <numFmt numFmtId="169" formatCode="#\ ???/???"/>
    <numFmt numFmtId="170" formatCode="[&lt;=9999999]###\-####;\(###\)\ ###\-####"/>
    <numFmt numFmtId="171" formatCode="0\ &quot;dolara&quot;"/>
    <numFmt numFmtId="172" formatCode="#\ ????/????"/>
    <numFmt numFmtId="173" formatCode="dd/mm/yyyy/\ &quot;god.&quot;"/>
    <numFmt numFmtId="174" formatCode=";;;"/>
    <numFmt numFmtId="175" formatCode="#,##0.00\ [$€-1]"/>
    <numFmt numFmtId="176" formatCode="#,##0.00\ [$€-1];[Red]\-#,##0.00\ [$€-1]"/>
    <numFmt numFmtId="177" formatCode="#,##0.00\ [$Din.-81A];[Red]\-#,##0.00\ [$Din.-81A]"/>
    <numFmt numFmtId="178" formatCode="0.0000%"/>
    <numFmt numFmtId="179" formatCode="00000"/>
    <numFmt numFmtId="180" formatCode="&quot;a=&quot;General"/>
    <numFmt numFmtId="181" formatCode="&quot;b=&quot;General"/>
    <numFmt numFmtId="182" formatCode="&quot;a+b=&quot;General"/>
    <numFmt numFmtId="183" formatCode="_-[$EUR]\ * #,##0.00_-;\-[$EUR]\ * #,##0.00_-;_-[$EUR]\ * &quot;-&quot;??_-;_-@_-"/>
    <numFmt numFmtId="184" formatCode="_-* #,##0.00\ [$€-1]_-;\-* #,##0.00\ [$€-1]_-;_-* &quot;-&quot;??\ [$€-1]_-;_-@_-"/>
    <numFmt numFmtId="185" formatCode="0.0_ ;[Red]\-0.0\ "/>
    <numFmt numFmtId="186" formatCode="mmmm\ d\,\ yyyy"/>
    <numFmt numFmtId="187" formatCode="#\ ??/16"/>
    <numFmt numFmtId="188" formatCode="0.0\ &quot;EUR&quot;"/>
    <numFmt numFmtId="189" formatCode="0\ &quot;eura&quot;"/>
    <numFmt numFmtId="190" formatCode="dd\.mm\.yyyy\.\ &quot;god.&quot;"/>
    <numFmt numFmtId="191" formatCode="\(\("/>
    <numFmt numFmtId="192" formatCode="0.00000%"/>
    <numFmt numFmtId="193" formatCode="_-[$€-2]\ * #,##0.00_-;\-[$€-2]\ * #,##0.00_-;_-[$€-2]\ * &quot;-&quot;??_-;_-@_-"/>
    <numFmt numFmtId="194" formatCode="&quot;1Euro=&quot;\ 0.00\ &quot;dolara&quot;\ "/>
    <numFmt numFmtId="195" formatCode="d\-mmm\-yyyy"/>
    <numFmt numFmtId="196" formatCode="#,##0.00\ [$€-408];[Red]#,##0.00\ [$€-408]"/>
    <numFmt numFmtId="197" formatCode="_-* #,##0.00\ [$EUR]_-;\-* #,##0.00\ [$EUR]_-;_-* &quot;-&quot;??\ [$EUR]_-;_-@_-"/>
    <numFmt numFmtId="198" formatCode="[$-409]d\-mmm\-yy;@"/>
    <numFmt numFmtId="199" formatCode="m/d/yy;@"/>
    <numFmt numFmtId="200" formatCode="m/d/yy\ h:mm;@"/>
    <numFmt numFmtId="201" formatCode="[$-409]mmmm\ d\,\ yyyy;@"/>
    <numFmt numFmtId="202" formatCode="[$-81A]d\.\ mmmm\ yyyy;@"/>
    <numFmt numFmtId="203" formatCode="dd\.mm\.yyyy;@"/>
    <numFmt numFmtId="204" formatCode="#,##0.00\ &quot;eura&quot;"/>
    <numFmt numFmtId="205" formatCode="#,##0.00\ [$€-1];[Red]#,##0.00\ [$€-1]"/>
    <numFmt numFmtId="206" formatCode="_-* ###,000\ [$EUR]_-;\-* ###,000\ [$EUR]_-;_-* &quot;-&quot;??\ [$EUR]_-;_-@_-"/>
    <numFmt numFmtId="207" formatCode="0.00000E+00"/>
    <numFmt numFmtId="208" formatCode="0.000000"/>
    <numFmt numFmtId="209" formatCode="0.000000000"/>
    <numFmt numFmtId="210" formatCode="0.0"/>
    <numFmt numFmtId="211" formatCode="#,##0.00\ &quot;€&quot;"/>
    <numFmt numFmtId="212" formatCode="[$EUR]\ \ \ \ \ \ #,##0.00;\-#,##0.00\ [$EUR]"/>
    <numFmt numFmtId="213" formatCode="dd\-mmm\-yy"/>
    <numFmt numFmtId="214" formatCode="m\/dd\/yy"/>
    <numFmt numFmtId="215" formatCode="d/mmm/yyyy"/>
    <numFmt numFmtId="216" formatCode="[$-81A]d/\ mmmm\ yyyy;@"/>
    <numFmt numFmtId="217" formatCode="mm/dd/yy"/>
    <numFmt numFmtId="218" formatCode="m/d/yy\ hh:mm"/>
    <numFmt numFmtId="219" formatCode="d/m/yy\ h:mm"/>
    <numFmt numFmtId="220" formatCode="[$-F400]h:mm:ss\ AM/PM"/>
    <numFmt numFmtId="221" formatCode="h:mm:ss;@"/>
    <numFmt numFmtId="222" formatCode="_-* ###,000\ [$EUR]_-;\-* #,##0.00\ [$EUR]_-;_-* &quot;-&quot;??\ [$EUR]_-;_-@_-"/>
    <numFmt numFmtId="224" formatCode="###,000\ &quot;€&quot;;[Red]\-#,##0.00\ &quot;€&quot;"/>
    <numFmt numFmtId="225" formatCode="m\/dd\/yy\ hh:mm"/>
    <numFmt numFmtId="226" formatCode="###,000\ &quot;€&quot;"/>
    <numFmt numFmtId="227" formatCode="[$-409]h:mm:ss\ AM/PM;@"/>
    <numFmt numFmtId="232" formatCode="d\/m\/yyyy"/>
    <numFmt numFmtId="235" formatCode="#,##0.000"/>
    <numFmt numFmtId="238" formatCode="[$-409]h:mm:ss\ AM/PM;@"/>
    <numFmt numFmtId="240" formatCode="#,##0\ [$EUR];\-#,##0\ [$EUR]"/>
  </numFmts>
  <fonts count="56">
    <font>
      <sz val="10"/>
      <name val="Arial"/>
      <charset val="238"/>
    </font>
    <font>
      <sz val="10"/>
      <name val="Arial"/>
      <family val="2"/>
    </font>
    <font>
      <b/>
      <sz val="10"/>
      <name val="Arial"/>
      <family val="2"/>
      <charset val="238"/>
    </font>
    <font>
      <b/>
      <u/>
      <sz val="10"/>
      <name val="Arial"/>
      <family val="2"/>
      <charset val="238"/>
    </font>
    <font>
      <u/>
      <sz val="14"/>
      <name val="Arial"/>
      <family val="2"/>
      <charset val="238"/>
    </font>
    <font>
      <b/>
      <sz val="10"/>
      <color indexed="10"/>
      <name val="Arial"/>
      <family val="2"/>
      <charset val="238"/>
    </font>
    <font>
      <sz val="10"/>
      <name val="Arial"/>
      <family val="2"/>
      <charset val="238"/>
    </font>
    <font>
      <u/>
      <sz val="10"/>
      <name val="Arial"/>
      <family val="2"/>
      <charset val="238"/>
    </font>
    <font>
      <sz val="10"/>
      <color indexed="10"/>
      <name val="Arial"/>
      <family val="2"/>
      <charset val="204"/>
    </font>
    <font>
      <b/>
      <sz val="10"/>
      <name val="Dutch"/>
    </font>
    <font>
      <b/>
      <sz val="8"/>
      <color indexed="81"/>
      <name val="Tahoma"/>
      <family val="2"/>
    </font>
    <font>
      <sz val="8"/>
      <color indexed="81"/>
      <name val="Tahoma"/>
      <family val="2"/>
    </font>
    <font>
      <b/>
      <i/>
      <u/>
      <sz val="10"/>
      <name val="Arial"/>
      <family val="2"/>
      <charset val="238"/>
    </font>
    <font>
      <vertAlign val="superscript"/>
      <sz val="10"/>
      <name val="Arial"/>
      <family val="2"/>
      <charset val="204"/>
    </font>
    <font>
      <sz val="10"/>
      <color indexed="10"/>
      <name val="Arial"/>
      <family val="2"/>
    </font>
    <font>
      <sz val="10"/>
      <color indexed="9"/>
      <name val="Arial"/>
      <family val="2"/>
    </font>
    <font>
      <sz val="10"/>
      <name val="Arial"/>
      <family val="2"/>
    </font>
    <font>
      <b/>
      <sz val="10"/>
      <color indexed="10"/>
      <name val="Arial"/>
      <family val="2"/>
    </font>
    <font>
      <b/>
      <u/>
      <sz val="10"/>
      <name val="Arial"/>
      <family val="2"/>
    </font>
    <font>
      <b/>
      <sz val="10"/>
      <color indexed="81"/>
      <name val="Tahoma"/>
      <family val="2"/>
    </font>
    <font>
      <sz val="10"/>
      <color indexed="81"/>
      <name val="Tahoma"/>
      <family val="2"/>
    </font>
    <font>
      <b/>
      <sz val="10"/>
      <color indexed="81"/>
      <name val="Arial"/>
      <family val="2"/>
    </font>
    <font>
      <b/>
      <u/>
      <sz val="12"/>
      <name val="Arial"/>
      <family val="2"/>
    </font>
    <font>
      <b/>
      <u/>
      <sz val="14"/>
      <name val="Arial"/>
      <family val="2"/>
    </font>
    <font>
      <b/>
      <sz val="14"/>
      <color indexed="10"/>
      <name val="Arial"/>
      <family val="2"/>
    </font>
    <font>
      <u/>
      <sz val="10"/>
      <color indexed="10"/>
      <name val="Arial"/>
      <family val="2"/>
    </font>
    <font>
      <u/>
      <sz val="10"/>
      <name val="Arial"/>
      <family val="2"/>
    </font>
    <font>
      <vertAlign val="subscript"/>
      <sz val="10"/>
      <name val="Arial"/>
      <family val="2"/>
    </font>
    <font>
      <b/>
      <sz val="10"/>
      <color indexed="81"/>
      <name val="Times New Roman"/>
      <family val="1"/>
    </font>
    <font>
      <b/>
      <vertAlign val="subscript"/>
      <sz val="10"/>
      <color indexed="81"/>
      <name val="Times New Roman"/>
      <family val="1"/>
    </font>
    <font>
      <b/>
      <vertAlign val="superscript"/>
      <sz val="10"/>
      <color indexed="81"/>
      <name val="Times New Roman"/>
      <family val="1"/>
    </font>
    <font>
      <vertAlign val="superscript"/>
      <sz val="10"/>
      <name val="Arial"/>
      <family val="2"/>
    </font>
    <font>
      <b/>
      <sz val="10"/>
      <name val="Arial"/>
      <family val="2"/>
    </font>
    <font>
      <b/>
      <u/>
      <sz val="12"/>
      <color indexed="10"/>
      <name val="Arial"/>
      <family val="2"/>
    </font>
    <font>
      <b/>
      <sz val="9"/>
      <color indexed="81"/>
      <name val="Tahoma"/>
      <family val="2"/>
    </font>
    <font>
      <b/>
      <sz val="12"/>
      <color indexed="81"/>
      <name val="Tahoma"/>
      <family val="2"/>
    </font>
    <font>
      <b/>
      <sz val="14"/>
      <color indexed="81"/>
      <name val="Tahoma"/>
      <family val="2"/>
    </font>
    <font>
      <sz val="14"/>
      <color indexed="81"/>
      <name val="Tahoma"/>
      <family val="2"/>
    </font>
    <font>
      <sz val="10"/>
      <color rgb="FFFF0000"/>
      <name val="Arial"/>
      <family val="2"/>
    </font>
    <font>
      <u/>
      <sz val="14"/>
      <name val="Arial"/>
      <family val="2"/>
    </font>
    <font>
      <sz val="10"/>
      <color rgb="FFC00000"/>
      <name val="Arial"/>
      <family val="2"/>
    </font>
    <font>
      <sz val="10"/>
      <color theme="1"/>
      <name val="Arial"/>
      <family val="2"/>
    </font>
    <font>
      <b/>
      <sz val="10"/>
      <color rgb="FFFF0000"/>
      <name val="Arial"/>
      <family val="2"/>
    </font>
    <font>
      <sz val="12"/>
      <color indexed="81"/>
      <name val="Tahoma"/>
      <family val="2"/>
    </font>
    <font>
      <sz val="10"/>
      <name val="Arial"/>
      <family val="2"/>
    </font>
    <font>
      <sz val="10"/>
      <color rgb="FF00B050"/>
      <name val="Arial"/>
      <family val="2"/>
    </font>
    <font>
      <sz val="10"/>
      <color rgb="FF00B0F0"/>
      <name val="Arial"/>
      <family val="2"/>
    </font>
    <font>
      <b/>
      <sz val="10"/>
      <color theme="1"/>
      <name val="Arial"/>
      <family val="2"/>
    </font>
    <font>
      <b/>
      <sz val="10"/>
      <color theme="0"/>
      <name val="Arial"/>
      <family val="2"/>
    </font>
    <font>
      <sz val="10"/>
      <color theme="0"/>
      <name val="Arial"/>
      <family val="2"/>
    </font>
    <font>
      <sz val="11"/>
      <color rgb="FF9C5700"/>
      <name val="Calibri"/>
      <family val="2"/>
      <charset val="238"/>
      <scheme val="minor"/>
    </font>
    <font>
      <b/>
      <sz val="11"/>
      <color rgb="FFFA7D00"/>
      <name val="Calibri"/>
      <family val="2"/>
      <charset val="238"/>
      <scheme val="minor"/>
    </font>
    <font>
      <b/>
      <sz val="11"/>
      <color theme="0"/>
      <name val="Calibri"/>
      <family val="2"/>
      <charset val="238"/>
      <scheme val="minor"/>
    </font>
    <font>
      <sz val="11"/>
      <color theme="0"/>
      <name val="Calibri"/>
      <family val="2"/>
      <charset val="238"/>
      <scheme val="minor"/>
    </font>
    <font>
      <sz val="9"/>
      <color indexed="81"/>
      <name val="Tahoma"/>
      <family val="2"/>
    </font>
    <font>
      <sz val="8"/>
      <name val="Arial"/>
      <family val="2"/>
    </font>
  </fonts>
  <fills count="23">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10"/>
        <bgColor indexed="64"/>
      </patternFill>
    </fill>
    <fill>
      <patternFill patternType="solid">
        <fgColor indexed="15"/>
        <bgColor indexed="64"/>
      </patternFill>
    </fill>
    <fill>
      <patternFill patternType="solid">
        <fgColor indexed="41"/>
        <bgColor indexed="64"/>
      </patternFill>
    </fill>
    <fill>
      <patternFill patternType="solid">
        <fgColor indexed="44"/>
        <bgColor indexed="64"/>
      </patternFill>
    </fill>
    <fill>
      <patternFill patternType="solid">
        <fgColor indexed="42"/>
        <bgColor indexed="64"/>
      </patternFill>
    </fill>
    <fill>
      <patternFill patternType="solid">
        <fgColor rgb="FFFFFF00"/>
        <bgColor indexed="64"/>
      </patternFill>
    </fill>
    <fill>
      <patternFill patternType="solid">
        <fgColor rgb="FF00B0F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EA6464"/>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rgb="FFFFFF99"/>
        <bgColor indexed="64"/>
      </patternFill>
    </fill>
    <fill>
      <patternFill patternType="solid">
        <fgColor rgb="FFFFEB9C"/>
      </patternFill>
    </fill>
    <fill>
      <patternFill patternType="solid">
        <fgColor rgb="FFF2F2F2"/>
      </patternFill>
    </fill>
    <fill>
      <patternFill patternType="solid">
        <fgColor rgb="FFA5A5A5"/>
      </patternFill>
    </fill>
    <fill>
      <patternFill patternType="solid">
        <fgColor theme="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7">
    <xf numFmtId="0" fontId="0" fillId="0" borderId="0"/>
    <xf numFmtId="204" fontId="9" fillId="2" borderId="1"/>
    <xf numFmtId="9" fontId="44" fillId="0" borderId="0" applyFont="0" applyFill="0" applyBorder="0" applyAlignment="0" applyProtection="0"/>
    <xf numFmtId="0" fontId="50" fillId="19" borderId="0" applyNumberFormat="0" applyBorder="0" applyAlignment="0" applyProtection="0"/>
    <xf numFmtId="0" fontId="51" fillId="20" borderId="24" applyNumberFormat="0" applyAlignment="0" applyProtection="0"/>
    <xf numFmtId="0" fontId="52" fillId="21" borderId="25" applyNumberFormat="0" applyAlignment="0" applyProtection="0"/>
    <xf numFmtId="0" fontId="53" fillId="22" borderId="0" applyNumberFormat="0" applyBorder="0" applyAlignment="0" applyProtection="0"/>
  </cellStyleXfs>
  <cellXfs count="267">
    <xf numFmtId="0" fontId="0" fillId="0" borderId="0" xfId="0"/>
    <xf numFmtId="0" fontId="2" fillId="0" borderId="0" xfId="0" applyFont="1"/>
    <xf numFmtId="0" fontId="3" fillId="0" borderId="0" xfId="0" applyFont="1"/>
    <xf numFmtId="0" fontId="0" fillId="0" borderId="1" xfId="0" applyBorder="1"/>
    <xf numFmtId="0" fontId="0" fillId="0" borderId="0" xfId="0" applyProtection="1">
      <protection hidden="1"/>
    </xf>
    <xf numFmtId="0" fontId="7" fillId="0" borderId="0" xfId="0" applyFont="1"/>
    <xf numFmtId="167" fontId="0" fillId="0" borderId="0" xfId="0" applyNumberFormat="1"/>
    <xf numFmtId="10" fontId="0" fillId="0" borderId="0" xfId="0" applyNumberFormat="1"/>
    <xf numFmtId="14" fontId="0" fillId="0" borderId="0" xfId="0" applyNumberFormat="1"/>
    <xf numFmtId="3" fontId="0" fillId="0" borderId="0" xfId="0" applyNumberFormat="1"/>
    <xf numFmtId="4" fontId="0" fillId="0" borderId="0" xfId="0" applyNumberFormat="1"/>
    <xf numFmtId="168" fontId="0" fillId="0" borderId="0" xfId="0" applyNumberFormat="1"/>
    <xf numFmtId="15" fontId="0" fillId="0" borderId="0" xfId="0" applyNumberFormat="1"/>
    <xf numFmtId="46" fontId="0" fillId="0" borderId="0" xfId="0" applyNumberFormat="1"/>
    <xf numFmtId="21" fontId="0" fillId="0" borderId="0" xfId="0" applyNumberFormat="1"/>
    <xf numFmtId="0" fontId="0" fillId="0" borderId="0" xfId="0" applyAlignment="1">
      <alignment horizontal="right"/>
    </xf>
    <xf numFmtId="12" fontId="0" fillId="0" borderId="0" xfId="0" applyNumberFormat="1"/>
    <xf numFmtId="169" fontId="0" fillId="0" borderId="0" xfId="0" applyNumberFormat="1"/>
    <xf numFmtId="11" fontId="0" fillId="0" borderId="0" xfId="0" applyNumberFormat="1"/>
    <xf numFmtId="49" fontId="0" fillId="0" borderId="0" xfId="0" applyNumberFormat="1"/>
    <xf numFmtId="170" fontId="0" fillId="0" borderId="0" xfId="0" applyNumberFormat="1"/>
    <xf numFmtId="171" fontId="0" fillId="0" borderId="0" xfId="0" applyNumberFormat="1"/>
    <xf numFmtId="172" fontId="0" fillId="0" borderId="0" xfId="0" applyNumberFormat="1"/>
    <xf numFmtId="173" fontId="0" fillId="0" borderId="0" xfId="0" applyNumberFormat="1"/>
    <xf numFmtId="174" fontId="0" fillId="0" borderId="0" xfId="0" applyNumberFormat="1"/>
    <xf numFmtId="204" fontId="9" fillId="2" borderId="1" xfId="1"/>
    <xf numFmtId="0" fontId="6" fillId="0" borderId="0" xfId="0" applyFont="1"/>
    <xf numFmtId="0" fontId="12" fillId="0" borderId="0" xfId="0" applyFont="1"/>
    <xf numFmtId="0" fontId="0" fillId="3" borderId="1" xfId="0" applyFill="1" applyBorder="1"/>
    <xf numFmtId="0" fontId="0" fillId="4" borderId="1" xfId="0" applyFill="1" applyBorder="1"/>
    <xf numFmtId="0" fontId="0" fillId="5" borderId="1" xfId="0" applyFill="1" applyBorder="1"/>
    <xf numFmtId="0" fontId="3" fillId="0" borderId="2" xfId="0" applyFont="1" applyBorder="1"/>
    <xf numFmtId="0" fontId="3" fillId="0" borderId="3" xfId="0" applyFont="1" applyBorder="1"/>
    <xf numFmtId="0" fontId="3" fillId="0" borderId="4" xfId="0" applyFont="1" applyBorder="1"/>
    <xf numFmtId="0" fontId="0" fillId="0" borderId="5" xfId="0" applyBorder="1"/>
    <xf numFmtId="0" fontId="0" fillId="0" borderId="6" xfId="0" applyBorder="1"/>
    <xf numFmtId="0" fontId="0" fillId="0" borderId="7" xfId="0" applyBorder="1"/>
    <xf numFmtId="0" fontId="0" fillId="0" borderId="0" xfId="0" applyAlignment="1">
      <alignment horizontal="left"/>
    </xf>
    <xf numFmtId="0" fontId="8" fillId="0" borderId="0" xfId="0" applyFont="1"/>
    <xf numFmtId="0" fontId="0" fillId="3" borderId="0" xfId="0" applyFill="1"/>
    <xf numFmtId="0" fontId="0" fillId="3" borderId="1" xfId="0" applyFill="1" applyBorder="1" applyAlignment="1">
      <alignment horizontal="center"/>
    </xf>
    <xf numFmtId="0" fontId="0" fillId="0" borderId="0" xfId="0" applyAlignment="1">
      <alignment horizontal="fill"/>
    </xf>
    <xf numFmtId="0" fontId="0" fillId="5" borderId="0" xfId="0" applyFill="1"/>
    <xf numFmtId="0" fontId="0" fillId="0" borderId="0" xfId="0" applyAlignment="1">
      <alignment horizontal="center"/>
    </xf>
    <xf numFmtId="166" fontId="0" fillId="0" borderId="0" xfId="0" applyNumberFormat="1"/>
    <xf numFmtId="0" fontId="0" fillId="0" borderId="1" xfId="0" applyBorder="1" applyAlignment="1">
      <alignment horizontal="center"/>
    </xf>
    <xf numFmtId="0" fontId="0" fillId="6" borderId="1" xfId="0" applyFill="1" applyBorder="1" applyAlignment="1">
      <alignment horizontal="center"/>
    </xf>
    <xf numFmtId="0" fontId="15" fillId="0" borderId="0" xfId="0" applyFont="1"/>
    <xf numFmtId="0" fontId="15" fillId="4" borderId="1" xfId="0" applyFont="1" applyFill="1" applyBorder="1" applyAlignment="1">
      <alignment horizontal="center"/>
    </xf>
    <xf numFmtId="0" fontId="16" fillId="6" borderId="1" xfId="0" applyFont="1" applyFill="1" applyBorder="1" applyAlignment="1">
      <alignment horizontal="center"/>
    </xf>
    <xf numFmtId="0" fontId="14" fillId="0" borderId="0" xfId="0" applyFont="1"/>
    <xf numFmtId="0" fontId="16" fillId="0" borderId="0" xfId="0" applyFont="1"/>
    <xf numFmtId="0" fontId="17" fillId="0" borderId="0" xfId="0" applyFont="1"/>
    <xf numFmtId="0" fontId="14" fillId="3" borderId="1" xfId="0" applyFont="1" applyFill="1" applyBorder="1"/>
    <xf numFmtId="0" fontId="18" fillId="0" borderId="0" xfId="0" applyFont="1"/>
    <xf numFmtId="0" fontId="14" fillId="0" borderId="0" xfId="0" applyFont="1" applyAlignment="1">
      <alignment horizontal="center"/>
    </xf>
    <xf numFmtId="0" fontId="14" fillId="0" borderId="0" xfId="0" applyFont="1" applyAlignment="1">
      <alignment horizontal="right"/>
    </xf>
    <xf numFmtId="9" fontId="0" fillId="0" borderId="1" xfId="0" applyNumberFormat="1" applyBorder="1"/>
    <xf numFmtId="10" fontId="0" fillId="0" borderId="0" xfId="0" applyNumberFormat="1" applyAlignment="1">
      <alignment horizontal="center"/>
    </xf>
    <xf numFmtId="176" fontId="0" fillId="0" borderId="0" xfId="0" applyNumberFormat="1" applyAlignment="1">
      <alignment horizontal="center"/>
    </xf>
    <xf numFmtId="177" fontId="0" fillId="0" borderId="0" xfId="0" applyNumberFormat="1"/>
    <xf numFmtId="178" fontId="0" fillId="0" borderId="0" xfId="0" applyNumberFormat="1"/>
    <xf numFmtId="9" fontId="0" fillId="0" borderId="0" xfId="0" applyNumberFormat="1"/>
    <xf numFmtId="179" fontId="0" fillId="0" borderId="0" xfId="0" applyNumberFormat="1"/>
    <xf numFmtId="182" fontId="0" fillId="0" borderId="0" xfId="0" applyNumberFormat="1"/>
    <xf numFmtId="175" fontId="0" fillId="0" borderId="0" xfId="0" applyNumberFormat="1"/>
    <xf numFmtId="176" fontId="0" fillId="0" borderId="0" xfId="0" applyNumberFormat="1"/>
    <xf numFmtId="183" fontId="0" fillId="0" borderId="0" xfId="0" applyNumberFormat="1"/>
    <xf numFmtId="184" fontId="0" fillId="0" borderId="0" xfId="0" applyNumberFormat="1" applyAlignment="1">
      <alignment horizontal="center"/>
    </xf>
    <xf numFmtId="0" fontId="22" fillId="0" borderId="0" xfId="0" applyFont="1"/>
    <xf numFmtId="0" fontId="23" fillId="0" borderId="0" xfId="0" applyFont="1"/>
    <xf numFmtId="0" fontId="24" fillId="0" borderId="0" xfId="0" applyFont="1"/>
    <xf numFmtId="3" fontId="14" fillId="0" borderId="0" xfId="0" applyNumberFormat="1" applyFont="1"/>
    <xf numFmtId="185" fontId="0" fillId="0" borderId="0" xfId="0" applyNumberFormat="1"/>
    <xf numFmtId="186" fontId="0" fillId="0" borderId="0" xfId="0" applyNumberFormat="1"/>
    <xf numFmtId="20" fontId="0" fillId="0" borderId="0" xfId="0" applyNumberFormat="1"/>
    <xf numFmtId="45" fontId="14" fillId="0" borderId="0" xfId="0" applyNumberFormat="1" applyFont="1"/>
    <xf numFmtId="187" fontId="0" fillId="0" borderId="0" xfId="0" applyNumberFormat="1"/>
    <xf numFmtId="188" fontId="0" fillId="0" borderId="0" xfId="0" applyNumberFormat="1"/>
    <xf numFmtId="0" fontId="25" fillId="0" borderId="0" xfId="0" applyFont="1"/>
    <xf numFmtId="189" fontId="0" fillId="0" borderId="0" xfId="0" applyNumberFormat="1"/>
    <xf numFmtId="190" fontId="0" fillId="0" borderId="0" xfId="0" applyNumberFormat="1"/>
    <xf numFmtId="191" fontId="0" fillId="0" borderId="0" xfId="0" applyNumberFormat="1"/>
    <xf numFmtId="14" fontId="14" fillId="0" borderId="0" xfId="0" applyNumberFormat="1" applyFont="1"/>
    <xf numFmtId="0" fontId="26" fillId="0" borderId="0" xfId="0" applyFont="1"/>
    <xf numFmtId="0" fontId="0" fillId="5" borderId="8" xfId="0" applyFill="1" applyBorder="1"/>
    <xf numFmtId="0" fontId="0" fillId="3" borderId="9" xfId="0" applyFill="1" applyBorder="1" applyAlignment="1">
      <alignment horizontal="center"/>
    </xf>
    <xf numFmtId="0" fontId="3" fillId="0" borderId="1" xfId="0" applyFont="1" applyBorder="1"/>
    <xf numFmtId="0" fontId="32" fillId="0" borderId="0" xfId="0" applyFont="1"/>
    <xf numFmtId="0" fontId="33" fillId="0" borderId="0" xfId="0" applyFont="1"/>
    <xf numFmtId="0" fontId="0" fillId="6" borderId="10" xfId="0" applyFill="1" applyBorder="1" applyAlignment="1">
      <alignment horizontal="center"/>
    </xf>
    <xf numFmtId="0" fontId="0" fillId="3" borderId="11"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3" borderId="14" xfId="0" applyFill="1" applyBorder="1" applyAlignment="1">
      <alignment horizontal="center"/>
    </xf>
    <xf numFmtId="0" fontId="0" fillId="3" borderId="15" xfId="0" applyFill="1" applyBorder="1" applyAlignment="1">
      <alignment horizontal="center"/>
    </xf>
    <xf numFmtId="0" fontId="0" fillId="3" borderId="16" xfId="0" applyFill="1" applyBorder="1" applyAlignment="1">
      <alignment horizontal="center"/>
    </xf>
    <xf numFmtId="0" fontId="0" fillId="3" borderId="17" xfId="0" applyFill="1" applyBorder="1"/>
    <xf numFmtId="0" fontId="0" fillId="8" borderId="1" xfId="0" applyFill="1" applyBorder="1" applyAlignment="1">
      <alignment horizontal="center"/>
    </xf>
    <xf numFmtId="0" fontId="0" fillId="8" borderId="1" xfId="0" applyFill="1" applyBorder="1"/>
    <xf numFmtId="2" fontId="0" fillId="0" borderId="0" xfId="0" applyNumberFormat="1"/>
    <xf numFmtId="193" fontId="0" fillId="0" borderId="0" xfId="0" applyNumberFormat="1"/>
    <xf numFmtId="194" fontId="0" fillId="0" borderId="0" xfId="0" applyNumberFormat="1"/>
    <xf numFmtId="195" fontId="0" fillId="0" borderId="0" xfId="0" applyNumberFormat="1"/>
    <xf numFmtId="0" fontId="26" fillId="0" borderId="0" xfId="0" applyFont="1" applyProtection="1">
      <protection locked="0"/>
    </xf>
    <xf numFmtId="0" fontId="0" fillId="0" borderId="0" xfId="0" applyProtection="1">
      <protection locked="0"/>
    </xf>
    <xf numFmtId="165" fontId="0" fillId="0" borderId="0" xfId="0" applyNumberFormat="1"/>
    <xf numFmtId="2" fontId="0" fillId="0" borderId="0" xfId="0" applyNumberFormat="1" applyAlignment="1">
      <alignment horizontal="left"/>
    </xf>
    <xf numFmtId="0" fontId="1" fillId="0" borderId="0" xfId="0" applyFont="1"/>
    <xf numFmtId="164" fontId="0" fillId="0" borderId="0" xfId="0" applyNumberFormat="1"/>
    <xf numFmtId="196" fontId="0" fillId="0" borderId="0" xfId="0" applyNumberFormat="1"/>
    <xf numFmtId="0" fontId="38" fillId="0" borderId="0" xfId="0" applyFont="1"/>
    <xf numFmtId="14" fontId="1" fillId="0" borderId="0" xfId="0" applyNumberFormat="1" applyFont="1"/>
    <xf numFmtId="0" fontId="40" fillId="0" borderId="0" xfId="0" applyFont="1"/>
    <xf numFmtId="0" fontId="14" fillId="0" borderId="0" xfId="0" quotePrefix="1" applyFont="1"/>
    <xf numFmtId="0" fontId="0" fillId="9" borderId="0" xfId="0" applyFill="1"/>
    <xf numFmtId="0" fontId="0" fillId="9" borderId="1" xfId="0" applyFill="1" applyBorder="1"/>
    <xf numFmtId="22" fontId="0" fillId="0" borderId="0" xfId="0" applyNumberFormat="1"/>
    <xf numFmtId="10" fontId="0" fillId="9" borderId="11" xfId="0" applyNumberFormat="1" applyFill="1" applyBorder="1"/>
    <xf numFmtId="10" fontId="0" fillId="10" borderId="19" xfId="2" applyNumberFormat="1" applyFont="1" applyFill="1" applyBorder="1"/>
    <xf numFmtId="10" fontId="0" fillId="10" borderId="20" xfId="2" applyNumberFormat="1" applyFont="1" applyFill="1" applyBorder="1"/>
    <xf numFmtId="10" fontId="0" fillId="0" borderId="17" xfId="0" applyNumberFormat="1" applyBorder="1"/>
    <xf numFmtId="178" fontId="0" fillId="0" borderId="0" xfId="2" applyNumberFormat="1" applyFont="1"/>
    <xf numFmtId="192" fontId="1" fillId="0" borderId="0" xfId="0" applyNumberFormat="1" applyFont="1"/>
    <xf numFmtId="197" fontId="0" fillId="0" borderId="0" xfId="0" applyNumberFormat="1"/>
    <xf numFmtId="0" fontId="0" fillId="11" borderId="20" xfId="0" applyFill="1" applyBorder="1"/>
    <xf numFmtId="0" fontId="1" fillId="11" borderId="0" xfId="0" applyFont="1" applyFill="1"/>
    <xf numFmtId="0" fontId="0" fillId="11" borderId="0" xfId="0" applyFill="1"/>
    <xf numFmtId="0" fontId="0" fillId="12" borderId="20" xfId="0" applyFill="1" applyBorder="1"/>
    <xf numFmtId="0" fontId="1" fillId="12" borderId="0" xfId="0" applyFont="1" applyFill="1"/>
    <xf numFmtId="0" fontId="1" fillId="11" borderId="18" xfId="0" applyFont="1" applyFill="1" applyBorder="1"/>
    <xf numFmtId="0" fontId="1" fillId="12" borderId="18" xfId="0" applyFont="1" applyFill="1" applyBorder="1"/>
    <xf numFmtId="198" fontId="0" fillId="0" borderId="0" xfId="0" applyNumberFormat="1"/>
    <xf numFmtId="199" fontId="0" fillId="0" borderId="0" xfId="0" applyNumberFormat="1"/>
    <xf numFmtId="14" fontId="45" fillId="0" borderId="0" xfId="0" applyNumberFormat="1" applyFont="1" applyAlignment="1">
      <alignment horizontal="right"/>
    </xf>
    <xf numFmtId="200" fontId="0" fillId="0" borderId="0" xfId="0" applyNumberFormat="1"/>
    <xf numFmtId="186" fontId="1" fillId="0" borderId="0" xfId="0" applyNumberFormat="1" applyFont="1"/>
    <xf numFmtId="173" fontId="1" fillId="0" borderId="0" xfId="0" applyNumberFormat="1" applyFont="1"/>
    <xf numFmtId="0" fontId="46" fillId="0" borderId="23" xfId="0" applyFont="1" applyBorder="1"/>
    <xf numFmtId="174" fontId="0" fillId="0" borderId="17" xfId="0" applyNumberFormat="1" applyBorder="1"/>
    <xf numFmtId="201" fontId="0" fillId="0" borderId="0" xfId="0" applyNumberFormat="1"/>
    <xf numFmtId="202" fontId="0" fillId="0" borderId="0" xfId="0" applyNumberFormat="1"/>
    <xf numFmtId="15" fontId="1" fillId="0" borderId="0" xfId="0" applyNumberFormat="1" applyFont="1"/>
    <xf numFmtId="203" fontId="0" fillId="0" borderId="0" xfId="0" applyNumberFormat="1"/>
    <xf numFmtId="180" fontId="0" fillId="0" borderId="0" xfId="0" applyNumberFormat="1" applyAlignment="1">
      <alignment horizontal="right"/>
    </xf>
    <xf numFmtId="181" fontId="0" fillId="0" borderId="0" xfId="0" applyNumberFormat="1" applyAlignment="1">
      <alignment horizontal="right"/>
    </xf>
    <xf numFmtId="0" fontId="42" fillId="0" borderId="0" xfId="0" applyFont="1"/>
    <xf numFmtId="0" fontId="3" fillId="0" borderId="0" xfId="0" applyFont="1" applyAlignment="1">
      <alignment horizontal="center"/>
    </xf>
    <xf numFmtId="0" fontId="0" fillId="0" borderId="17" xfId="0" applyBorder="1"/>
    <xf numFmtId="0" fontId="17" fillId="0" borderId="0" xfId="0" applyFont="1" applyAlignment="1">
      <alignment horizontal="left"/>
    </xf>
    <xf numFmtId="0" fontId="1" fillId="0" borderId="0" xfId="0" applyFont="1" applyAlignment="1">
      <alignment horizontal="right"/>
    </xf>
    <xf numFmtId="0" fontId="1" fillId="0" borderId="1" xfId="0" applyFont="1" applyBorder="1"/>
    <xf numFmtId="205" fontId="0" fillId="0" borderId="0" xfId="0" applyNumberFormat="1"/>
    <xf numFmtId="0" fontId="48" fillId="13" borderId="0" xfId="0" applyFont="1" applyFill="1" applyAlignment="1">
      <alignment horizontal="center" vertical="center" wrapText="1"/>
    </xf>
    <xf numFmtId="0" fontId="48" fillId="13" borderId="0" xfId="0" applyFont="1" applyFill="1" applyAlignment="1">
      <alignment horizontal="center" vertical="center"/>
    </xf>
    <xf numFmtId="0" fontId="49" fillId="13" borderId="0" xfId="0" applyFont="1" applyFill="1"/>
    <xf numFmtId="0" fontId="48" fillId="14" borderId="0" xfId="0" applyFont="1" applyFill="1"/>
    <xf numFmtId="0" fontId="41" fillId="12" borderId="0" xfId="0" applyFont="1" applyFill="1"/>
    <xf numFmtId="0" fontId="47" fillId="12" borderId="0" xfId="0" applyFont="1" applyFill="1"/>
    <xf numFmtId="0" fontId="47" fillId="12" borderId="0" xfId="0" applyFont="1" applyFill="1" applyAlignment="1">
      <alignment horizontal="center"/>
    </xf>
    <xf numFmtId="0" fontId="49" fillId="16" borderId="0" xfId="0" applyFont="1" applyFill="1"/>
    <xf numFmtId="0" fontId="48" fillId="16" borderId="0" xfId="0" applyFont="1" applyFill="1"/>
    <xf numFmtId="0" fontId="50" fillId="19" borderId="0" xfId="3" applyProtection="1">
      <protection hidden="1"/>
    </xf>
    <xf numFmtId="0" fontId="0" fillId="3" borderId="1" xfId="0" applyFill="1" applyBorder="1" applyProtection="1">
      <protection locked="0"/>
    </xf>
    <xf numFmtId="0" fontId="1" fillId="0" borderId="0" xfId="0" applyFont="1" applyProtection="1">
      <protection locked="0"/>
    </xf>
    <xf numFmtId="0" fontId="0" fillId="18" borderId="1" xfId="0" applyFill="1" applyBorder="1" applyProtection="1">
      <protection locked="0"/>
    </xf>
    <xf numFmtId="0" fontId="0" fillId="3" borderId="1" xfId="0" applyFill="1" applyBorder="1" applyAlignment="1" applyProtection="1">
      <alignment horizontal="right"/>
      <protection locked="0"/>
    </xf>
    <xf numFmtId="0" fontId="1" fillId="18" borderId="1" xfId="0" applyFont="1" applyFill="1" applyBorder="1" applyProtection="1">
      <protection locked="0"/>
    </xf>
    <xf numFmtId="0" fontId="50" fillId="19" borderId="0" xfId="3"/>
    <xf numFmtId="0" fontId="50" fillId="19" borderId="0" xfId="3" applyAlignment="1">
      <alignment horizontal="left"/>
    </xf>
    <xf numFmtId="0" fontId="50" fillId="19" borderId="0" xfId="3" applyAlignment="1">
      <alignment horizontal="right"/>
    </xf>
    <xf numFmtId="204" fontId="50" fillId="19" borderId="1" xfId="3" applyNumberFormat="1" applyBorder="1"/>
    <xf numFmtId="0" fontId="51" fillId="20" borderId="24" xfId="4"/>
    <xf numFmtId="0" fontId="52" fillId="21" borderId="25" xfId="5"/>
    <xf numFmtId="0" fontId="50" fillId="19" borderId="0" xfId="3" quotePrefix="1"/>
    <xf numFmtId="204" fontId="52" fillId="21" borderId="25" xfId="5" applyNumberFormat="1"/>
    <xf numFmtId="0" fontId="50" fillId="19" borderId="0" xfId="3" applyAlignment="1">
      <alignment horizontal="fill"/>
    </xf>
    <xf numFmtId="0" fontId="1" fillId="9" borderId="17" xfId="0" applyFont="1" applyFill="1" applyBorder="1"/>
    <xf numFmtId="8" fontId="0" fillId="0" borderId="0" xfId="0" applyNumberFormat="1"/>
    <xf numFmtId="206" fontId="0" fillId="0" borderId="0" xfId="0" applyNumberFormat="1"/>
    <xf numFmtId="207" fontId="0" fillId="0" borderId="0" xfId="0" applyNumberFormat="1"/>
    <xf numFmtId="208" fontId="0" fillId="0" borderId="0" xfId="0" applyNumberFormat="1"/>
    <xf numFmtId="209" fontId="0" fillId="0" borderId="0" xfId="0" applyNumberFormat="1"/>
    <xf numFmtId="210" fontId="0" fillId="0" borderId="0" xfId="0" applyNumberFormat="1"/>
    <xf numFmtId="211" fontId="0" fillId="0" borderId="0" xfId="0" applyNumberFormat="1"/>
    <xf numFmtId="44" fontId="0" fillId="0" borderId="0" xfId="0" applyNumberFormat="1"/>
    <xf numFmtId="212" fontId="0" fillId="0" borderId="0" xfId="0" applyNumberFormat="1"/>
    <xf numFmtId="213" fontId="0" fillId="0" borderId="0" xfId="0" applyNumberFormat="1"/>
    <xf numFmtId="214" fontId="0" fillId="0" borderId="0" xfId="0" applyNumberFormat="1"/>
    <xf numFmtId="215" fontId="0" fillId="0" borderId="0" xfId="0" applyNumberFormat="1"/>
    <xf numFmtId="216" fontId="0" fillId="0" borderId="0" xfId="0" applyNumberFormat="1"/>
    <xf numFmtId="217" fontId="0" fillId="0" borderId="0" xfId="0" applyNumberFormat="1"/>
    <xf numFmtId="0" fontId="0" fillId="0" borderId="0" xfId="0" applyNumberFormat="1"/>
    <xf numFmtId="218" fontId="0" fillId="0" borderId="0" xfId="0" applyNumberFormat="1"/>
    <xf numFmtId="219" fontId="0" fillId="0" borderId="0" xfId="0" applyNumberFormat="1"/>
    <xf numFmtId="221" fontId="1" fillId="0" borderId="0" xfId="0" applyNumberFormat="1" applyFont="1"/>
    <xf numFmtId="221" fontId="0" fillId="0" borderId="0" xfId="0" applyNumberFormat="1"/>
    <xf numFmtId="220" fontId="0" fillId="0" borderId="0" xfId="0" applyNumberFormat="1"/>
    <xf numFmtId="49" fontId="1" fillId="0" borderId="0" xfId="0" applyNumberFormat="1" applyFont="1"/>
    <xf numFmtId="170" fontId="1" fillId="0" borderId="0" xfId="0" applyNumberFormat="1" applyFont="1"/>
    <xf numFmtId="224" fontId="0" fillId="0" borderId="0" xfId="0" applyNumberFormat="1"/>
    <xf numFmtId="225" fontId="1" fillId="0" borderId="6" xfId="0" applyNumberFormat="1" applyFont="1" applyBorder="1"/>
    <xf numFmtId="226" fontId="0" fillId="0" borderId="0" xfId="0" applyNumberFormat="1"/>
    <xf numFmtId="227" fontId="1" fillId="0" borderId="0" xfId="0" applyNumberFormat="1" applyFont="1"/>
    <xf numFmtId="222" fontId="0" fillId="0" borderId="0" xfId="0" applyNumberFormat="1"/>
    <xf numFmtId="0" fontId="14" fillId="0" borderId="0" xfId="0" applyFont="1" applyAlignment="1">
      <alignment horizontal="center"/>
    </xf>
    <xf numFmtId="0" fontId="1" fillId="0" borderId="0" xfId="0" applyFont="1" applyAlignment="1">
      <alignment horizontal="center"/>
    </xf>
    <xf numFmtId="0" fontId="0" fillId="0" borderId="1" xfId="0" applyBorder="1" applyAlignment="1">
      <alignment horizontal="center"/>
    </xf>
    <xf numFmtId="0" fontId="51" fillId="20" borderId="24" xfId="4" applyAlignment="1">
      <alignment horizontal="center"/>
    </xf>
    <xf numFmtId="0" fontId="1" fillId="9" borderId="21" xfId="0" applyFont="1" applyFill="1" applyBorder="1" applyAlignment="1">
      <alignment horizontal="right"/>
    </xf>
    <xf numFmtId="0" fontId="1" fillId="9" borderId="22" xfId="0" applyFont="1" applyFill="1" applyBorder="1" applyAlignment="1">
      <alignment horizontal="right"/>
    </xf>
    <xf numFmtId="0" fontId="1" fillId="10" borderId="18" xfId="0" applyFont="1" applyFill="1" applyBorder="1" applyAlignment="1">
      <alignment horizontal="right"/>
    </xf>
    <xf numFmtId="0" fontId="1" fillId="10" borderId="19" xfId="0" applyFont="1" applyFill="1" applyBorder="1" applyAlignment="1">
      <alignment horizontal="right"/>
    </xf>
    <xf numFmtId="0" fontId="0" fillId="0" borderId="0" xfId="0" applyAlignment="1">
      <alignment horizontal="center"/>
    </xf>
    <xf numFmtId="0" fontId="0" fillId="0" borderId="6" xfId="0" applyBorder="1" applyAlignment="1">
      <alignment horizontal="center"/>
    </xf>
    <xf numFmtId="0" fontId="32" fillId="0" borderId="6" xfId="0" applyFont="1" applyBorder="1" applyAlignment="1">
      <alignment horizontal="center"/>
    </xf>
    <xf numFmtId="0" fontId="4" fillId="0" borderId="0" xfId="0" applyFont="1" applyProtection="1">
      <protection hidden="1"/>
    </xf>
    <xf numFmtId="0" fontId="0" fillId="3" borderId="1" xfId="0" applyFill="1" applyBorder="1" applyProtection="1">
      <protection hidden="1"/>
    </xf>
    <xf numFmtId="0" fontId="14" fillId="0" borderId="0" xfId="0" applyFont="1" applyProtection="1">
      <protection hidden="1"/>
    </xf>
    <xf numFmtId="0" fontId="26" fillId="0" borderId="0" xfId="0" applyFont="1" applyProtection="1">
      <protection hidden="1"/>
    </xf>
    <xf numFmtId="0" fontId="1" fillId="0" borderId="0" xfId="0" applyFont="1" applyProtection="1">
      <protection hidden="1"/>
    </xf>
    <xf numFmtId="0" fontId="5" fillId="3" borderId="1" xfId="0" applyFont="1" applyFill="1" applyBorder="1" applyAlignment="1" applyProtection="1">
      <alignment horizontal="center"/>
      <protection hidden="1"/>
    </xf>
    <xf numFmtId="0" fontId="49" fillId="16" borderId="0" xfId="0" applyFont="1" applyFill="1" applyAlignment="1" applyProtection="1">
      <alignment horizontal="center" vertical="center"/>
      <protection hidden="1"/>
    </xf>
    <xf numFmtId="0" fontId="50" fillId="19" borderId="1" xfId="3" applyBorder="1" applyProtection="1">
      <protection hidden="1"/>
    </xf>
    <xf numFmtId="0" fontId="0" fillId="7" borderId="1" xfId="0" applyFill="1" applyBorder="1" applyAlignment="1" applyProtection="1">
      <alignment horizontal="center"/>
      <protection hidden="1"/>
    </xf>
    <xf numFmtId="0" fontId="1" fillId="15" borderId="0" xfId="0" applyFont="1" applyFill="1" applyAlignment="1" applyProtection="1">
      <alignment horizontal="center" vertical="center"/>
      <protection hidden="1"/>
    </xf>
    <xf numFmtId="0" fontId="0" fillId="15" borderId="0" xfId="0" applyFill="1" applyAlignment="1" applyProtection="1">
      <alignment horizontal="center" vertical="center"/>
      <protection hidden="1"/>
    </xf>
    <xf numFmtId="0" fontId="41" fillId="17" borderId="0" xfId="0" applyFont="1" applyFill="1" applyAlignment="1" applyProtection="1">
      <alignment horizontal="center" vertical="center"/>
      <protection hidden="1"/>
    </xf>
    <xf numFmtId="0" fontId="53" fillId="22" borderId="1" xfId="6" applyBorder="1" applyAlignment="1" applyProtection="1">
      <alignment horizontal="center"/>
      <protection hidden="1"/>
    </xf>
    <xf numFmtId="0" fontId="1" fillId="0" borderId="0" xfId="0" applyFont="1" applyAlignment="1" applyProtection="1">
      <alignment horizontal="right"/>
      <protection hidden="1"/>
    </xf>
    <xf numFmtId="0" fontId="38" fillId="0" borderId="0" xfId="0" applyFont="1" applyProtection="1">
      <protection hidden="1"/>
    </xf>
    <xf numFmtId="0" fontId="0" fillId="0" borderId="6" xfId="0" applyBorder="1" applyAlignment="1" applyProtection="1">
      <alignment horizontal="center"/>
      <protection hidden="1"/>
    </xf>
    <xf numFmtId="0" fontId="5" fillId="3" borderId="1" xfId="0" applyFont="1" applyFill="1" applyBorder="1" applyAlignment="1" applyProtection="1">
      <alignment horizontal="center" readingOrder="2"/>
      <protection hidden="1"/>
    </xf>
    <xf numFmtId="0" fontId="0" fillId="7" borderId="1" xfId="0" applyFill="1" applyBorder="1" applyAlignment="1" applyProtection="1">
      <alignment horizontal="center" readingOrder="2"/>
      <protection hidden="1"/>
    </xf>
    <xf numFmtId="0" fontId="0" fillId="7" borderId="1" xfId="0" applyFill="1" applyBorder="1" applyAlignment="1" applyProtection="1">
      <alignment horizontal="center" vertical="top" readingOrder="2"/>
      <protection hidden="1"/>
    </xf>
    <xf numFmtId="0" fontId="0" fillId="0" borderId="0" xfId="0" applyAlignment="1" applyProtection="1">
      <alignment horizontal="center" wrapText="1"/>
      <protection hidden="1"/>
    </xf>
    <xf numFmtId="0" fontId="1" fillId="0" borderId="0" xfId="0" applyFont="1" applyAlignment="1" applyProtection="1">
      <alignment horizontal="center" wrapText="1"/>
      <protection hidden="1"/>
    </xf>
    <xf numFmtId="0" fontId="1" fillId="0" borderId="0" xfId="0" applyFont="1" applyAlignment="1" applyProtection="1">
      <alignment horizontal="fill"/>
      <protection hidden="1"/>
    </xf>
    <xf numFmtId="0" fontId="0" fillId="0" borderId="0" xfId="0" applyAlignment="1" applyProtection="1">
      <alignment horizontal="fill"/>
      <protection hidden="1"/>
    </xf>
    <xf numFmtId="0" fontId="0" fillId="0" borderId="0" xfId="0" applyAlignment="1" applyProtection="1">
      <alignment wrapText="1"/>
      <protection hidden="1"/>
    </xf>
    <xf numFmtId="0" fontId="16" fillId="0" borderId="0" xfId="0" applyFont="1" applyProtection="1">
      <protection hidden="1"/>
    </xf>
    <xf numFmtId="0" fontId="39" fillId="0" borderId="0" xfId="0" applyFont="1" applyProtection="1">
      <protection hidden="1"/>
    </xf>
    <xf numFmtId="0" fontId="0" fillId="18" borderId="1" xfId="0" applyFill="1" applyBorder="1" applyProtection="1">
      <protection hidden="1"/>
    </xf>
    <xf numFmtId="0" fontId="0" fillId="3" borderId="1" xfId="0" applyFill="1" applyBorder="1" applyAlignment="1" applyProtection="1">
      <alignment horizontal="right"/>
      <protection hidden="1"/>
    </xf>
    <xf numFmtId="0" fontId="1" fillId="18" borderId="1" xfId="0" applyFont="1" applyFill="1" applyBorder="1" applyProtection="1">
      <protection hidden="1"/>
    </xf>
    <xf numFmtId="0" fontId="50" fillId="19" borderId="0" xfId="3" applyAlignment="1" applyProtection="1">
      <alignment horizontal="right"/>
      <protection hidden="1"/>
    </xf>
    <xf numFmtId="0" fontId="50" fillId="19" borderId="0" xfId="3" applyAlignment="1" applyProtection="1">
      <alignment horizontal="left"/>
      <protection hidden="1"/>
    </xf>
    <xf numFmtId="0" fontId="0" fillId="0" borderId="0" xfId="0" applyAlignment="1" applyProtection="1">
      <alignment horizontal="left"/>
      <protection hidden="1"/>
    </xf>
    <xf numFmtId="0" fontId="0" fillId="0" borderId="0" xfId="0" applyAlignment="1" applyProtection="1">
      <alignment horizontal="right"/>
      <protection hidden="1"/>
    </xf>
    <xf numFmtId="0" fontId="18" fillId="0" borderId="0" xfId="0" applyFont="1" applyProtection="1">
      <protection hidden="1"/>
    </xf>
    <xf numFmtId="0" fontId="32" fillId="0" borderId="0" xfId="0" applyFont="1" applyProtection="1">
      <protection hidden="1"/>
    </xf>
    <xf numFmtId="204" fontId="0" fillId="0" borderId="0" xfId="0" applyNumberFormat="1"/>
    <xf numFmtId="232" fontId="0" fillId="0" borderId="0" xfId="0" applyNumberFormat="1"/>
    <xf numFmtId="2" fontId="0" fillId="0" borderId="0" xfId="0" applyNumberFormat="1" applyProtection="1">
      <protection hidden="1"/>
    </xf>
    <xf numFmtId="8" fontId="0" fillId="0" borderId="0" xfId="0" applyNumberFormat="1" applyProtection="1">
      <protection hidden="1"/>
    </xf>
    <xf numFmtId="235" fontId="0" fillId="0" borderId="0" xfId="0" applyNumberFormat="1" applyProtection="1">
      <protection hidden="1"/>
    </xf>
    <xf numFmtId="3" fontId="0" fillId="0" borderId="0" xfId="0" applyNumberFormat="1" applyProtection="1">
      <protection hidden="1"/>
    </xf>
    <xf numFmtId="225" fontId="0" fillId="0" borderId="0" xfId="0" applyNumberFormat="1" applyProtection="1">
      <protection hidden="1"/>
    </xf>
    <xf numFmtId="0" fontId="0" fillId="0" borderId="1" xfId="0" applyBorder="1" applyProtection="1">
      <protection hidden="1"/>
    </xf>
    <xf numFmtId="0" fontId="1" fillId="0" borderId="1" xfId="0" applyFont="1" applyBorder="1" applyProtection="1">
      <protection hidden="1"/>
    </xf>
    <xf numFmtId="211" fontId="0" fillId="0" borderId="0" xfId="0" applyNumberFormat="1" applyProtection="1">
      <protection hidden="1"/>
    </xf>
    <xf numFmtId="224" fontId="0" fillId="0" borderId="0" xfId="0" applyNumberFormat="1" applyProtection="1">
      <protection hidden="1"/>
    </xf>
    <xf numFmtId="238" fontId="1" fillId="0" borderId="0" xfId="0" applyNumberFormat="1" applyFont="1" applyProtection="1">
      <protection hidden="1"/>
    </xf>
    <xf numFmtId="10" fontId="0" fillId="0" borderId="0" xfId="0" applyNumberFormat="1" applyProtection="1">
      <protection hidden="1"/>
    </xf>
    <xf numFmtId="240" fontId="0" fillId="0" borderId="0" xfId="0" applyNumberFormat="1" applyProtection="1">
      <protection hidden="1"/>
    </xf>
    <xf numFmtId="168" fontId="0" fillId="0" borderId="0" xfId="0" applyNumberFormat="1" applyProtection="1">
      <protection hidden="1"/>
    </xf>
    <xf numFmtId="44" fontId="0" fillId="0" borderId="0" xfId="0" applyNumberFormat="1" applyProtection="1">
      <protection hidden="1"/>
    </xf>
  </cellXfs>
  <cellStyles count="7">
    <cellStyle name="Accent1" xfId="6" builtinId="29"/>
    <cellStyle name="Calculation" xfId="4" builtinId="22"/>
    <cellStyle name="Check Cell" xfId="5" builtinId="23"/>
    <cellStyle name="Neutral" xfId="3" builtinId="28"/>
    <cellStyle name="Normal" xfId="0" builtinId="0"/>
    <cellStyle name="Percent" xfId="2" builtinId="5"/>
    <cellStyle name="proba" xfId="1" xr:uid="{00000000-0005-0000-0000-000002000000}"/>
  </cellStyles>
  <dxfs count="5">
    <dxf>
      <font>
        <b/>
        <i/>
        <color rgb="FFFF0000"/>
      </font>
    </dxf>
    <dxf>
      <font>
        <b/>
        <i val="0"/>
        <color theme="3" tint="0.39991454817346722"/>
      </font>
    </dxf>
    <dxf>
      <fill>
        <patternFill>
          <bgColor rgb="FFFFFF00"/>
        </patternFill>
      </fill>
    </dxf>
    <dxf>
      <fill>
        <patternFill>
          <bgColor theme="9" tint="0.79998168889431442"/>
        </patternFill>
      </fill>
    </dxf>
    <dxf>
      <font>
        <color auto="1"/>
      </font>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Probni stil tabele" pivot="0" count="5" xr9:uid="{00000000-0011-0000-FFFF-FFFF00000000}">
      <tableStyleElement type="wholeTable" dxfId="4"/>
      <tableStyleElement type="firstRowStripe" dxfId="3"/>
      <tableStyleElement type="secondRowStripe" dxfId="2"/>
      <tableStyleElement type="firstColumnStripe" dxfId="1"/>
      <tableStyleElement type="secondColumnStripe" dxfId="0"/>
    </tableStyle>
  </tableStyles>
  <colors>
    <mruColors>
      <color rgb="FFFFFF99"/>
      <color rgb="FFEA6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image" Target="../media/image7.png"/></Relationships>
</file>

<file path=xl/charts/_rels/chart14.xml.rels><?xml version="1.0" encoding="UTF-8" standalone="yes"?>
<Relationships xmlns="http://schemas.openxmlformats.org/package/2006/relationships"><Relationship Id="rId1" Type="http://schemas.openxmlformats.org/officeDocument/2006/relationships/image" Target="../media/image8.png"/></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5.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591836734693877"/>
          <c:y val="0.20000075120474461"/>
          <c:w val="0.57959183673469383"/>
          <c:h val="0.4538478585030743"/>
        </c:manualLayout>
      </c:layout>
      <c:barChart>
        <c:barDir val="col"/>
        <c:grouping val="clustered"/>
        <c:varyColors val="0"/>
        <c:ser>
          <c:idx val="3"/>
          <c:order val="0"/>
          <c:tx>
            <c:strRef>
              <c:f>'Deveta-n.'!$B$34</c:f>
              <c:strCache>
                <c:ptCount val="1"/>
                <c:pt idx="0">
                  <c:v>P4</c:v>
                </c:pt>
              </c:strCache>
            </c:strRef>
          </c:tx>
          <c:invertIfNegative val="0"/>
          <c:cat>
            <c:strRef>
              <c:f>'Deveta-n.'!$C$30:$E$30</c:f>
              <c:strCache>
                <c:ptCount val="3"/>
                <c:pt idx="0">
                  <c:v>Jan</c:v>
                </c:pt>
                <c:pt idx="1">
                  <c:v>Feb</c:v>
                </c:pt>
                <c:pt idx="2">
                  <c:v>Mar</c:v>
                </c:pt>
              </c:strCache>
            </c:strRef>
          </c:cat>
          <c:val>
            <c:numRef>
              <c:f>'Deveta-n.'!$C$34:$E$34</c:f>
              <c:numCache>
                <c:formatCode>General</c:formatCode>
                <c:ptCount val="3"/>
                <c:pt idx="0">
                  <c:v>567</c:v>
                </c:pt>
                <c:pt idx="1">
                  <c:v>444</c:v>
                </c:pt>
                <c:pt idx="2">
                  <c:v>476</c:v>
                </c:pt>
              </c:numCache>
            </c:numRef>
          </c:val>
          <c:extLst>
            <c:ext xmlns:c16="http://schemas.microsoft.com/office/drawing/2014/chart" uri="{C3380CC4-5D6E-409C-BE32-E72D297353CC}">
              <c16:uniqueId val="{00000000-97D0-40FA-8368-3377CBA2EABC}"/>
            </c:ext>
          </c:extLst>
        </c:ser>
        <c:ser>
          <c:idx val="2"/>
          <c:order val="1"/>
          <c:tx>
            <c:strRef>
              <c:f>'Deveta-n.'!$B$33</c:f>
              <c:strCache>
                <c:ptCount val="1"/>
                <c:pt idx="0">
                  <c:v>P3</c:v>
                </c:pt>
              </c:strCache>
            </c:strRef>
          </c:tx>
          <c:invertIfNegative val="0"/>
          <c:cat>
            <c:strRef>
              <c:f>'Deveta-n.'!$C$30:$E$30</c:f>
              <c:strCache>
                <c:ptCount val="3"/>
                <c:pt idx="0">
                  <c:v>Jan</c:v>
                </c:pt>
                <c:pt idx="1">
                  <c:v>Feb</c:v>
                </c:pt>
                <c:pt idx="2">
                  <c:v>Mar</c:v>
                </c:pt>
              </c:strCache>
            </c:strRef>
          </c:cat>
          <c:val>
            <c:numRef>
              <c:f>'Deveta-n.'!$C$33:$E$33</c:f>
              <c:numCache>
                <c:formatCode>General</c:formatCode>
                <c:ptCount val="3"/>
                <c:pt idx="0">
                  <c:v>456</c:v>
                </c:pt>
                <c:pt idx="1">
                  <c:v>333</c:v>
                </c:pt>
                <c:pt idx="2">
                  <c:v>428</c:v>
                </c:pt>
              </c:numCache>
            </c:numRef>
          </c:val>
          <c:extLst>
            <c:ext xmlns:c16="http://schemas.microsoft.com/office/drawing/2014/chart" uri="{C3380CC4-5D6E-409C-BE32-E72D297353CC}">
              <c16:uniqueId val="{00000001-97D0-40FA-8368-3377CBA2EABC}"/>
            </c:ext>
          </c:extLst>
        </c:ser>
        <c:ser>
          <c:idx val="1"/>
          <c:order val="2"/>
          <c:tx>
            <c:strRef>
              <c:f>'Deveta-n.'!$B$32</c:f>
              <c:strCache>
                <c:ptCount val="1"/>
                <c:pt idx="0">
                  <c:v>P2</c:v>
                </c:pt>
              </c:strCache>
            </c:strRef>
          </c:tx>
          <c:invertIfNegative val="0"/>
          <c:cat>
            <c:strRef>
              <c:f>'Deveta-n.'!$C$30:$E$30</c:f>
              <c:strCache>
                <c:ptCount val="3"/>
                <c:pt idx="0">
                  <c:v>Jan</c:v>
                </c:pt>
                <c:pt idx="1">
                  <c:v>Feb</c:v>
                </c:pt>
                <c:pt idx="2">
                  <c:v>Mar</c:v>
                </c:pt>
              </c:strCache>
            </c:strRef>
          </c:cat>
          <c:val>
            <c:numRef>
              <c:f>'Deveta-n.'!$C$32:$E$32</c:f>
              <c:numCache>
                <c:formatCode>General</c:formatCode>
                <c:ptCount val="3"/>
                <c:pt idx="0">
                  <c:v>234</c:v>
                </c:pt>
                <c:pt idx="1">
                  <c:v>254</c:v>
                </c:pt>
                <c:pt idx="2">
                  <c:v>260</c:v>
                </c:pt>
              </c:numCache>
            </c:numRef>
          </c:val>
          <c:extLst>
            <c:ext xmlns:c16="http://schemas.microsoft.com/office/drawing/2014/chart" uri="{C3380CC4-5D6E-409C-BE32-E72D297353CC}">
              <c16:uniqueId val="{00000002-97D0-40FA-8368-3377CBA2EABC}"/>
            </c:ext>
          </c:extLst>
        </c:ser>
        <c:ser>
          <c:idx val="0"/>
          <c:order val="3"/>
          <c:tx>
            <c:strRef>
              <c:f>'Deveta-n.'!$B$31</c:f>
              <c:strCache>
                <c:ptCount val="1"/>
                <c:pt idx="0">
                  <c:v>P1</c:v>
                </c:pt>
              </c:strCache>
            </c:strRef>
          </c:tx>
          <c:invertIfNegative val="0"/>
          <c:cat>
            <c:strRef>
              <c:f>'Deveta-n.'!$C$30:$E$30</c:f>
              <c:strCache>
                <c:ptCount val="3"/>
                <c:pt idx="0">
                  <c:v>Jan</c:v>
                </c:pt>
                <c:pt idx="1">
                  <c:v>Feb</c:v>
                </c:pt>
                <c:pt idx="2">
                  <c:v>Mar</c:v>
                </c:pt>
              </c:strCache>
            </c:strRef>
          </c:cat>
          <c:val>
            <c:numRef>
              <c:f>'Deveta-n.'!$C$31:$E$31</c:f>
              <c:numCache>
                <c:formatCode>General</c:formatCode>
                <c:ptCount val="3"/>
                <c:pt idx="0">
                  <c:v>327</c:v>
                </c:pt>
                <c:pt idx="1">
                  <c:v>311</c:v>
                </c:pt>
                <c:pt idx="2">
                  <c:v>315</c:v>
                </c:pt>
              </c:numCache>
            </c:numRef>
          </c:val>
          <c:extLst>
            <c:ext xmlns:c16="http://schemas.microsoft.com/office/drawing/2014/chart" uri="{C3380CC4-5D6E-409C-BE32-E72D297353CC}">
              <c16:uniqueId val="{00000003-97D0-40FA-8368-3377CBA2EABC}"/>
            </c:ext>
          </c:extLst>
        </c:ser>
        <c:dLbls>
          <c:showLegendKey val="0"/>
          <c:showVal val="0"/>
          <c:showCatName val="0"/>
          <c:showSerName val="0"/>
          <c:showPercent val="0"/>
          <c:showBubbleSize val="0"/>
        </c:dLbls>
        <c:gapWidth val="150"/>
        <c:axId val="102147584"/>
        <c:axId val="102149120"/>
      </c:barChart>
      <c:catAx>
        <c:axId val="102147584"/>
        <c:scaling>
          <c:orientation val="minMax"/>
        </c:scaling>
        <c:delete val="0"/>
        <c:axPos val="b"/>
        <c:numFmt formatCode="General" sourceLinked="1"/>
        <c:majorTickMark val="out"/>
        <c:minorTickMark val="none"/>
        <c:tickLblPos val="nextTo"/>
        <c:txPr>
          <a:bodyPr rot="0" vert="horz"/>
          <a:lstStyle/>
          <a:p>
            <a:pPr>
              <a:defRPr/>
            </a:pPr>
            <a:endParaRPr lang="sr-Latn-RS"/>
          </a:p>
        </c:txPr>
        <c:crossAx val="102149120"/>
        <c:crosses val="autoZero"/>
        <c:auto val="1"/>
        <c:lblAlgn val="ctr"/>
        <c:lblOffset val="100"/>
        <c:noMultiLvlLbl val="0"/>
      </c:catAx>
      <c:valAx>
        <c:axId val="102149120"/>
        <c:scaling>
          <c:orientation val="minMax"/>
        </c:scaling>
        <c:delete val="0"/>
        <c:axPos val="l"/>
        <c:majorGridlines/>
        <c:numFmt formatCode="General" sourceLinked="1"/>
        <c:majorTickMark val="out"/>
        <c:minorTickMark val="none"/>
        <c:tickLblPos val="nextTo"/>
        <c:txPr>
          <a:bodyPr rot="0" vert="horz"/>
          <a:lstStyle/>
          <a:p>
            <a:pPr>
              <a:defRPr/>
            </a:pPr>
            <a:endParaRPr lang="sr-Latn-RS"/>
          </a:p>
        </c:txPr>
        <c:crossAx val="102147584"/>
        <c:crosses val="autoZero"/>
        <c:crossBetween val="between"/>
      </c:valAx>
    </c:plotArea>
    <c:legend>
      <c:legendPos val="r"/>
      <c:layout>
        <c:manualLayout>
          <c:xMode val="edge"/>
          <c:yMode val="edge"/>
          <c:x val="0.82040816326530608"/>
          <c:y val="0.17692388451443569"/>
          <c:w val="0.14043578788104802"/>
          <c:h val="0.64060612070846312"/>
        </c:manualLayout>
      </c:layout>
      <c:overlay val="0"/>
    </c:legend>
    <c:plotVisOnly val="1"/>
    <c:dispBlanksAs val="gap"/>
    <c:showDLblsOverMax val="0"/>
  </c:chart>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Kombinovani: linijski i trakasti</a:t>
            </a:r>
          </a:p>
        </c:rich>
      </c:tx>
      <c:layout>
        <c:manualLayout>
          <c:xMode val="edge"/>
          <c:yMode val="edge"/>
          <c:x val="0.195822454308094"/>
          <c:y val="4.6153846153846156E-2"/>
        </c:manualLayout>
      </c:layout>
      <c:overlay val="0"/>
    </c:title>
    <c:autoTitleDeleted val="0"/>
    <c:plotArea>
      <c:layout>
        <c:manualLayout>
          <c:layoutTarget val="inner"/>
          <c:xMode val="edge"/>
          <c:yMode val="edge"/>
          <c:x val="0.12532637075718014"/>
          <c:y val="0.30256561781659563"/>
          <c:w val="0.61357702349869447"/>
          <c:h val="0.46666900375102038"/>
        </c:manualLayout>
      </c:layout>
      <c:barChart>
        <c:barDir val="col"/>
        <c:grouping val="clustered"/>
        <c:varyColors val="0"/>
        <c:ser>
          <c:idx val="1"/>
          <c:order val="0"/>
          <c:tx>
            <c:strRef>
              <c:f>'Deseta-n.'!$A$203</c:f>
              <c:strCache>
                <c:ptCount val="1"/>
                <c:pt idx="0">
                  <c:v>Proizv1</c:v>
                </c:pt>
              </c:strCache>
            </c:strRef>
          </c:tx>
          <c:spPr>
            <a:blipFill>
              <a:blip xmlns:r="http://schemas.openxmlformats.org/officeDocument/2006/relationships" r:embed="rId1"/>
              <a:stretch>
                <a:fillRect/>
              </a:stretch>
            </a:blipFill>
          </c:spPr>
          <c:invertIfNegative val="0"/>
          <c:cat>
            <c:numRef>
              <c:f>'Deseta-n.'!$B$202:$E$202</c:f>
              <c:numCache>
                <c:formatCode>General</c:formatCode>
                <c:ptCount val="4"/>
                <c:pt idx="0">
                  <c:v>1</c:v>
                </c:pt>
                <c:pt idx="1">
                  <c:v>2</c:v>
                </c:pt>
                <c:pt idx="2">
                  <c:v>5</c:v>
                </c:pt>
                <c:pt idx="3">
                  <c:v>6</c:v>
                </c:pt>
              </c:numCache>
            </c:numRef>
          </c:cat>
          <c:val>
            <c:numRef>
              <c:f>'Deseta-n.'!$B$203:$E$203</c:f>
              <c:numCache>
                <c:formatCode>General</c:formatCode>
                <c:ptCount val="4"/>
                <c:pt idx="0">
                  <c:v>220</c:v>
                </c:pt>
                <c:pt idx="1">
                  <c:v>250</c:v>
                </c:pt>
                <c:pt idx="2">
                  <c:v>180</c:v>
                </c:pt>
                <c:pt idx="3">
                  <c:v>170</c:v>
                </c:pt>
              </c:numCache>
            </c:numRef>
          </c:val>
          <c:extLst>
            <c:ext xmlns:c16="http://schemas.microsoft.com/office/drawing/2014/chart" uri="{C3380CC4-5D6E-409C-BE32-E72D297353CC}">
              <c16:uniqueId val="{00000000-3AB4-4AE0-856E-0059BD52D606}"/>
            </c:ext>
          </c:extLst>
        </c:ser>
        <c:dLbls>
          <c:showLegendKey val="0"/>
          <c:showVal val="0"/>
          <c:showCatName val="0"/>
          <c:showSerName val="0"/>
          <c:showPercent val="0"/>
          <c:showBubbleSize val="0"/>
        </c:dLbls>
        <c:gapWidth val="150"/>
        <c:axId val="101813632"/>
        <c:axId val="101823616"/>
      </c:barChart>
      <c:lineChart>
        <c:grouping val="standard"/>
        <c:varyColors val="0"/>
        <c:ser>
          <c:idx val="2"/>
          <c:order val="1"/>
          <c:tx>
            <c:strRef>
              <c:f>'Deseta-n.'!$A$204</c:f>
              <c:strCache>
                <c:ptCount val="1"/>
                <c:pt idx="0">
                  <c:v>Proizv2</c:v>
                </c:pt>
              </c:strCache>
            </c:strRef>
          </c:tx>
          <c:cat>
            <c:numRef>
              <c:f>'Deseta-n.'!$B$202:$E$202</c:f>
              <c:numCache>
                <c:formatCode>General</c:formatCode>
                <c:ptCount val="4"/>
                <c:pt idx="0">
                  <c:v>1</c:v>
                </c:pt>
                <c:pt idx="1">
                  <c:v>2</c:v>
                </c:pt>
                <c:pt idx="2">
                  <c:v>5</c:v>
                </c:pt>
                <c:pt idx="3">
                  <c:v>6</c:v>
                </c:pt>
              </c:numCache>
            </c:numRef>
          </c:cat>
          <c:val>
            <c:numRef>
              <c:f>'Deseta-n.'!$B$204:$E$204</c:f>
              <c:numCache>
                <c:formatCode>General</c:formatCode>
                <c:ptCount val="4"/>
                <c:pt idx="0">
                  <c:v>100</c:v>
                </c:pt>
                <c:pt idx="1">
                  <c:v>110</c:v>
                </c:pt>
                <c:pt idx="2">
                  <c:v>140</c:v>
                </c:pt>
                <c:pt idx="3">
                  <c:v>150</c:v>
                </c:pt>
              </c:numCache>
            </c:numRef>
          </c:val>
          <c:smooth val="0"/>
          <c:extLst>
            <c:ext xmlns:c16="http://schemas.microsoft.com/office/drawing/2014/chart" uri="{C3380CC4-5D6E-409C-BE32-E72D297353CC}">
              <c16:uniqueId val="{00000001-3AB4-4AE0-856E-0059BD52D606}"/>
            </c:ext>
          </c:extLst>
        </c:ser>
        <c:dLbls>
          <c:showLegendKey val="0"/>
          <c:showVal val="0"/>
          <c:showCatName val="0"/>
          <c:showSerName val="0"/>
          <c:showPercent val="0"/>
          <c:showBubbleSize val="0"/>
        </c:dLbls>
        <c:marker val="1"/>
        <c:smooth val="0"/>
        <c:axId val="101813632"/>
        <c:axId val="101823616"/>
      </c:lineChart>
      <c:catAx>
        <c:axId val="101813632"/>
        <c:scaling>
          <c:orientation val="minMax"/>
        </c:scaling>
        <c:delete val="0"/>
        <c:axPos val="b"/>
        <c:numFmt formatCode="General" sourceLinked="1"/>
        <c:majorTickMark val="out"/>
        <c:minorTickMark val="none"/>
        <c:tickLblPos val="nextTo"/>
        <c:txPr>
          <a:bodyPr rot="0" vert="horz"/>
          <a:lstStyle/>
          <a:p>
            <a:pPr>
              <a:defRPr/>
            </a:pPr>
            <a:endParaRPr lang="sr-Latn-RS"/>
          </a:p>
        </c:txPr>
        <c:crossAx val="101823616"/>
        <c:crosses val="autoZero"/>
        <c:auto val="1"/>
        <c:lblAlgn val="ctr"/>
        <c:lblOffset val="100"/>
        <c:tickLblSkip val="1"/>
        <c:tickMarkSkip val="1"/>
        <c:noMultiLvlLbl val="0"/>
      </c:catAx>
      <c:valAx>
        <c:axId val="101823616"/>
        <c:scaling>
          <c:orientation val="minMax"/>
          <c:max val="250"/>
          <c:min val="100"/>
        </c:scaling>
        <c:delete val="0"/>
        <c:axPos val="l"/>
        <c:majorGridlines/>
        <c:numFmt formatCode="General" sourceLinked="1"/>
        <c:majorTickMark val="out"/>
        <c:minorTickMark val="none"/>
        <c:tickLblPos val="nextTo"/>
        <c:txPr>
          <a:bodyPr rot="0" vert="horz"/>
          <a:lstStyle/>
          <a:p>
            <a:pPr>
              <a:defRPr/>
            </a:pPr>
            <a:endParaRPr lang="sr-Latn-RS"/>
          </a:p>
        </c:txPr>
        <c:crossAx val="101813632"/>
        <c:crosses val="autoZero"/>
        <c:crossBetween val="between"/>
      </c:valAx>
    </c:plotArea>
    <c:legend>
      <c:legendPos val="r"/>
      <c:layout>
        <c:manualLayout>
          <c:xMode val="edge"/>
          <c:yMode val="edge"/>
          <c:x val="0.77806788511749347"/>
          <c:y val="0.37436058954169188"/>
          <c:w val="0.21148825065274146"/>
          <c:h val="0.28718110236220468"/>
        </c:manualLayout>
      </c:layout>
      <c:overlay val="0"/>
    </c:legend>
    <c:plotVisOnly val="1"/>
    <c:dispBlanksAs val="gap"/>
    <c:showDLblsOverMax val="0"/>
  </c:chart>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39537132371556"/>
          <c:y val="8.0188679245283015E-2"/>
          <c:w val="0.60987801378764894"/>
          <c:h val="0.62264150943396224"/>
        </c:manualLayout>
      </c:layout>
      <c:barChart>
        <c:barDir val="col"/>
        <c:grouping val="clustered"/>
        <c:varyColors val="0"/>
        <c:ser>
          <c:idx val="0"/>
          <c:order val="0"/>
          <c:tx>
            <c:strRef>
              <c:f>'Deseta-n.'!$B$14</c:f>
              <c:strCache>
                <c:ptCount val="1"/>
                <c:pt idx="0">
                  <c:v>Ocjena E</c:v>
                </c:pt>
              </c:strCache>
            </c:strRef>
          </c:tx>
          <c:invertIfNegative val="0"/>
          <c:cat>
            <c:strRef>
              <c:f>'Deseta-n.'!$A$15:$A$20</c:f>
              <c:strCache>
                <c:ptCount val="6"/>
                <c:pt idx="0">
                  <c:v>Predmet1</c:v>
                </c:pt>
                <c:pt idx="1">
                  <c:v>Predmet2</c:v>
                </c:pt>
                <c:pt idx="2">
                  <c:v>Predmet3</c:v>
                </c:pt>
                <c:pt idx="3">
                  <c:v>Predmet4</c:v>
                </c:pt>
                <c:pt idx="4">
                  <c:v>Predmet5</c:v>
                </c:pt>
                <c:pt idx="5">
                  <c:v>Predmet6</c:v>
                </c:pt>
              </c:strCache>
            </c:strRef>
          </c:cat>
          <c:val>
            <c:numRef>
              <c:f>'Deseta-n.'!$B$15:$B$20</c:f>
              <c:numCache>
                <c:formatCode>General</c:formatCode>
                <c:ptCount val="6"/>
                <c:pt idx="0">
                  <c:v>14</c:v>
                </c:pt>
                <c:pt idx="1">
                  <c:v>13</c:v>
                </c:pt>
                <c:pt idx="2">
                  <c:v>19</c:v>
                </c:pt>
                <c:pt idx="3">
                  <c:v>5</c:v>
                </c:pt>
                <c:pt idx="4">
                  <c:v>11</c:v>
                </c:pt>
                <c:pt idx="5">
                  <c:v>8</c:v>
                </c:pt>
              </c:numCache>
            </c:numRef>
          </c:val>
          <c:extLst>
            <c:ext xmlns:c16="http://schemas.microsoft.com/office/drawing/2014/chart" uri="{C3380CC4-5D6E-409C-BE32-E72D297353CC}">
              <c16:uniqueId val="{00000000-BB0C-47DA-8935-754B492D30DA}"/>
            </c:ext>
          </c:extLst>
        </c:ser>
        <c:ser>
          <c:idx val="1"/>
          <c:order val="1"/>
          <c:tx>
            <c:strRef>
              <c:f>'Deseta-n.'!$C$14</c:f>
              <c:strCache>
                <c:ptCount val="1"/>
                <c:pt idx="0">
                  <c:v>Ocjena D</c:v>
                </c:pt>
              </c:strCache>
            </c:strRef>
          </c:tx>
          <c:invertIfNegative val="0"/>
          <c:cat>
            <c:strRef>
              <c:f>'Deseta-n.'!$A$15:$A$20</c:f>
              <c:strCache>
                <c:ptCount val="6"/>
                <c:pt idx="0">
                  <c:v>Predmet1</c:v>
                </c:pt>
                <c:pt idx="1">
                  <c:v>Predmet2</c:v>
                </c:pt>
                <c:pt idx="2">
                  <c:v>Predmet3</c:v>
                </c:pt>
                <c:pt idx="3">
                  <c:v>Predmet4</c:v>
                </c:pt>
                <c:pt idx="4">
                  <c:v>Predmet5</c:v>
                </c:pt>
                <c:pt idx="5">
                  <c:v>Predmet6</c:v>
                </c:pt>
              </c:strCache>
            </c:strRef>
          </c:cat>
          <c:val>
            <c:numRef>
              <c:f>'Deseta-n.'!$C$15:$C$20</c:f>
              <c:numCache>
                <c:formatCode>General</c:formatCode>
                <c:ptCount val="6"/>
                <c:pt idx="0">
                  <c:v>21</c:v>
                </c:pt>
                <c:pt idx="1">
                  <c:v>17</c:v>
                </c:pt>
                <c:pt idx="2">
                  <c:v>26</c:v>
                </c:pt>
                <c:pt idx="3">
                  <c:v>9</c:v>
                </c:pt>
                <c:pt idx="4">
                  <c:v>26</c:v>
                </c:pt>
                <c:pt idx="5">
                  <c:v>13</c:v>
                </c:pt>
              </c:numCache>
            </c:numRef>
          </c:val>
          <c:extLst>
            <c:ext xmlns:c16="http://schemas.microsoft.com/office/drawing/2014/chart" uri="{C3380CC4-5D6E-409C-BE32-E72D297353CC}">
              <c16:uniqueId val="{00000001-BB0C-47DA-8935-754B492D30DA}"/>
            </c:ext>
          </c:extLst>
        </c:ser>
        <c:ser>
          <c:idx val="2"/>
          <c:order val="2"/>
          <c:tx>
            <c:strRef>
              <c:f>'Deseta-n.'!$D$14</c:f>
              <c:strCache>
                <c:ptCount val="1"/>
                <c:pt idx="0">
                  <c:v>Ocjena C</c:v>
                </c:pt>
              </c:strCache>
            </c:strRef>
          </c:tx>
          <c:invertIfNegative val="0"/>
          <c:cat>
            <c:strRef>
              <c:f>'Deseta-n.'!$A$15:$A$20</c:f>
              <c:strCache>
                <c:ptCount val="6"/>
                <c:pt idx="0">
                  <c:v>Predmet1</c:v>
                </c:pt>
                <c:pt idx="1">
                  <c:v>Predmet2</c:v>
                </c:pt>
                <c:pt idx="2">
                  <c:v>Predmet3</c:v>
                </c:pt>
                <c:pt idx="3">
                  <c:v>Predmet4</c:v>
                </c:pt>
                <c:pt idx="4">
                  <c:v>Predmet5</c:v>
                </c:pt>
                <c:pt idx="5">
                  <c:v>Predmet6</c:v>
                </c:pt>
              </c:strCache>
            </c:strRef>
          </c:cat>
          <c:val>
            <c:numRef>
              <c:f>'Deseta-n.'!$D$15:$D$20</c:f>
              <c:numCache>
                <c:formatCode>General</c:formatCode>
                <c:ptCount val="6"/>
                <c:pt idx="0">
                  <c:v>17</c:v>
                </c:pt>
                <c:pt idx="1">
                  <c:v>19</c:v>
                </c:pt>
                <c:pt idx="2">
                  <c:v>31</c:v>
                </c:pt>
                <c:pt idx="3">
                  <c:v>26</c:v>
                </c:pt>
                <c:pt idx="4">
                  <c:v>21</c:v>
                </c:pt>
                <c:pt idx="5">
                  <c:v>29</c:v>
                </c:pt>
              </c:numCache>
            </c:numRef>
          </c:val>
          <c:extLst>
            <c:ext xmlns:c16="http://schemas.microsoft.com/office/drawing/2014/chart" uri="{C3380CC4-5D6E-409C-BE32-E72D297353CC}">
              <c16:uniqueId val="{00000002-BB0C-47DA-8935-754B492D30DA}"/>
            </c:ext>
          </c:extLst>
        </c:ser>
        <c:ser>
          <c:idx val="3"/>
          <c:order val="3"/>
          <c:tx>
            <c:strRef>
              <c:f>'Deseta-n.'!$E$14</c:f>
              <c:strCache>
                <c:ptCount val="1"/>
                <c:pt idx="0">
                  <c:v>Ocjena B</c:v>
                </c:pt>
              </c:strCache>
            </c:strRef>
          </c:tx>
          <c:invertIfNegative val="0"/>
          <c:cat>
            <c:strRef>
              <c:f>'Deseta-n.'!$A$15:$A$20</c:f>
              <c:strCache>
                <c:ptCount val="6"/>
                <c:pt idx="0">
                  <c:v>Predmet1</c:v>
                </c:pt>
                <c:pt idx="1">
                  <c:v>Predmet2</c:v>
                </c:pt>
                <c:pt idx="2">
                  <c:v>Predmet3</c:v>
                </c:pt>
                <c:pt idx="3">
                  <c:v>Predmet4</c:v>
                </c:pt>
                <c:pt idx="4">
                  <c:v>Predmet5</c:v>
                </c:pt>
                <c:pt idx="5">
                  <c:v>Predmet6</c:v>
                </c:pt>
              </c:strCache>
            </c:strRef>
          </c:cat>
          <c:val>
            <c:numRef>
              <c:f>'Deseta-n.'!$E$15:$E$20</c:f>
              <c:numCache>
                <c:formatCode>General</c:formatCode>
                <c:ptCount val="6"/>
                <c:pt idx="0">
                  <c:v>15</c:v>
                </c:pt>
                <c:pt idx="1">
                  <c:v>11</c:v>
                </c:pt>
                <c:pt idx="2">
                  <c:v>4</c:v>
                </c:pt>
                <c:pt idx="3">
                  <c:v>24</c:v>
                </c:pt>
                <c:pt idx="4">
                  <c:v>15</c:v>
                </c:pt>
                <c:pt idx="5">
                  <c:v>21</c:v>
                </c:pt>
              </c:numCache>
            </c:numRef>
          </c:val>
          <c:extLst>
            <c:ext xmlns:c16="http://schemas.microsoft.com/office/drawing/2014/chart" uri="{C3380CC4-5D6E-409C-BE32-E72D297353CC}">
              <c16:uniqueId val="{00000003-BB0C-47DA-8935-754B492D30DA}"/>
            </c:ext>
          </c:extLst>
        </c:ser>
        <c:ser>
          <c:idx val="4"/>
          <c:order val="4"/>
          <c:tx>
            <c:strRef>
              <c:f>'Deseta-n.'!$F$14</c:f>
              <c:strCache>
                <c:ptCount val="1"/>
                <c:pt idx="0">
                  <c:v>Ocjena A</c:v>
                </c:pt>
              </c:strCache>
            </c:strRef>
          </c:tx>
          <c:invertIfNegative val="0"/>
          <c:cat>
            <c:strRef>
              <c:f>'Deseta-n.'!$A$15:$A$20</c:f>
              <c:strCache>
                <c:ptCount val="6"/>
                <c:pt idx="0">
                  <c:v>Predmet1</c:v>
                </c:pt>
                <c:pt idx="1">
                  <c:v>Predmet2</c:v>
                </c:pt>
                <c:pt idx="2">
                  <c:v>Predmet3</c:v>
                </c:pt>
                <c:pt idx="3">
                  <c:v>Predmet4</c:v>
                </c:pt>
                <c:pt idx="4">
                  <c:v>Predmet5</c:v>
                </c:pt>
                <c:pt idx="5">
                  <c:v>Predmet6</c:v>
                </c:pt>
              </c:strCache>
            </c:strRef>
          </c:cat>
          <c:val>
            <c:numRef>
              <c:f>'Deseta-n.'!$F$15:$F$20</c:f>
              <c:numCache>
                <c:formatCode>General</c:formatCode>
                <c:ptCount val="6"/>
                <c:pt idx="0">
                  <c:v>6</c:v>
                </c:pt>
                <c:pt idx="1">
                  <c:v>3</c:v>
                </c:pt>
                <c:pt idx="2">
                  <c:v>3</c:v>
                </c:pt>
                <c:pt idx="3">
                  <c:v>20</c:v>
                </c:pt>
                <c:pt idx="4">
                  <c:v>12</c:v>
                </c:pt>
                <c:pt idx="5">
                  <c:v>15</c:v>
                </c:pt>
              </c:numCache>
            </c:numRef>
          </c:val>
          <c:extLst>
            <c:ext xmlns:c16="http://schemas.microsoft.com/office/drawing/2014/chart" uri="{C3380CC4-5D6E-409C-BE32-E72D297353CC}">
              <c16:uniqueId val="{00000004-BB0C-47DA-8935-754B492D30DA}"/>
            </c:ext>
          </c:extLst>
        </c:ser>
        <c:dLbls>
          <c:showLegendKey val="0"/>
          <c:showVal val="0"/>
          <c:showCatName val="0"/>
          <c:showSerName val="0"/>
          <c:showPercent val="0"/>
          <c:showBubbleSize val="0"/>
        </c:dLbls>
        <c:gapWidth val="150"/>
        <c:axId val="107323776"/>
        <c:axId val="107325312"/>
      </c:barChart>
      <c:catAx>
        <c:axId val="107323776"/>
        <c:scaling>
          <c:orientation val="minMax"/>
        </c:scaling>
        <c:delete val="0"/>
        <c:axPos val="b"/>
        <c:numFmt formatCode="General" sourceLinked="1"/>
        <c:majorTickMark val="out"/>
        <c:minorTickMark val="none"/>
        <c:tickLblPos val="nextTo"/>
        <c:txPr>
          <a:bodyPr rot="-2700000" vert="horz"/>
          <a:lstStyle/>
          <a:p>
            <a:pPr>
              <a:defRPr/>
            </a:pPr>
            <a:endParaRPr lang="sr-Latn-RS"/>
          </a:p>
        </c:txPr>
        <c:crossAx val="107325312"/>
        <c:crosses val="autoZero"/>
        <c:auto val="1"/>
        <c:lblAlgn val="ctr"/>
        <c:lblOffset val="100"/>
        <c:tickLblSkip val="1"/>
        <c:tickMarkSkip val="1"/>
        <c:noMultiLvlLbl val="0"/>
      </c:catAx>
      <c:valAx>
        <c:axId val="107325312"/>
        <c:scaling>
          <c:orientation val="minMax"/>
        </c:scaling>
        <c:delete val="0"/>
        <c:axPos val="l"/>
        <c:majorGridlines/>
        <c:numFmt formatCode="General" sourceLinked="1"/>
        <c:majorTickMark val="out"/>
        <c:minorTickMark val="none"/>
        <c:tickLblPos val="nextTo"/>
        <c:txPr>
          <a:bodyPr rot="0" vert="horz"/>
          <a:lstStyle/>
          <a:p>
            <a:pPr>
              <a:defRPr/>
            </a:pPr>
            <a:endParaRPr lang="sr-Latn-RS"/>
          </a:p>
        </c:txPr>
        <c:crossAx val="107323776"/>
        <c:crosses val="autoZero"/>
        <c:crossBetween val="between"/>
      </c:valAx>
    </c:plotArea>
    <c:legend>
      <c:legendPos val="r"/>
      <c:layout>
        <c:manualLayout>
          <c:xMode val="edge"/>
          <c:yMode val="edge"/>
          <c:x val="0.79506354298305304"/>
          <c:y val="0.35377358490566035"/>
          <c:w val="0.19506224684877349"/>
          <c:h val="0.5"/>
        </c:manualLayout>
      </c:layout>
      <c:overlay val="0"/>
    </c:legend>
    <c:plotVisOnly val="1"/>
    <c:dispBlanksAs val="gap"/>
    <c:showDLblsOverMax val="0"/>
  </c:chart>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8141160239585437"/>
          <c:y val="4.8192771084337352E-2"/>
        </c:manualLayout>
      </c:layout>
      <c:overlay val="0"/>
    </c:title>
    <c:autoTitleDeleted val="0"/>
    <c:plotArea>
      <c:layout>
        <c:manualLayout>
          <c:layoutTarget val="inner"/>
          <c:xMode val="edge"/>
          <c:yMode val="edge"/>
          <c:x val="0.1654476552318834"/>
          <c:y val="0.27661521498374825"/>
          <c:w val="0.36287693614372685"/>
          <c:h val="0.54515715539434229"/>
        </c:manualLayout>
      </c:layout>
      <c:pieChart>
        <c:varyColors val="1"/>
        <c:ser>
          <c:idx val="0"/>
          <c:order val="0"/>
          <c:tx>
            <c:strRef>
              <c:f>'Deseta-n.'!$A$15</c:f>
              <c:strCache>
                <c:ptCount val="1"/>
                <c:pt idx="0">
                  <c:v>Predmet1</c:v>
                </c:pt>
              </c:strCache>
            </c:strRef>
          </c:tx>
          <c:dPt>
            <c:idx val="0"/>
            <c:bubble3D val="0"/>
            <c:extLst>
              <c:ext xmlns:c16="http://schemas.microsoft.com/office/drawing/2014/chart" uri="{C3380CC4-5D6E-409C-BE32-E72D297353CC}">
                <c16:uniqueId val="{00000000-7969-4E98-B81B-FD7CFD39697A}"/>
              </c:ext>
            </c:extLst>
          </c:dPt>
          <c:dPt>
            <c:idx val="1"/>
            <c:bubble3D val="0"/>
            <c:extLst>
              <c:ext xmlns:c16="http://schemas.microsoft.com/office/drawing/2014/chart" uri="{C3380CC4-5D6E-409C-BE32-E72D297353CC}">
                <c16:uniqueId val="{00000001-7969-4E98-B81B-FD7CFD39697A}"/>
              </c:ext>
            </c:extLst>
          </c:dPt>
          <c:dLbls>
            <c:dLbl>
              <c:idx val="0"/>
              <c:layout>
                <c:manualLayout>
                  <c:x val="7.4208809588034969E-2"/>
                  <c:y val="-8.409471989503167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969-4E98-B81B-FD7CFD39697A}"/>
                </c:ext>
              </c:extLst>
            </c:dLbl>
            <c:dLbl>
              <c:idx val="1"/>
              <c:layout>
                <c:manualLayout>
                  <c:x val="-3.24973718145818E-3"/>
                  <c:y val="-2.9231097281638338E-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969-4E98-B81B-FD7CFD39697A}"/>
                </c:ext>
              </c:extLst>
            </c:dLbl>
            <c:numFmt formatCode="0.00%" sourceLinked="0"/>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'Deseta-n.'!$G$14:$H$14</c:f>
              <c:strCache>
                <c:ptCount val="2"/>
                <c:pt idx="0">
                  <c:v>Položilo</c:v>
                </c:pt>
                <c:pt idx="1">
                  <c:v>Nije pol.</c:v>
                </c:pt>
              </c:strCache>
            </c:strRef>
          </c:cat>
          <c:val>
            <c:numRef>
              <c:f>'Deseta-n.'!$G$15:$H$15</c:f>
              <c:numCache>
                <c:formatCode>General</c:formatCode>
                <c:ptCount val="2"/>
                <c:pt idx="0">
                  <c:v>73</c:v>
                </c:pt>
                <c:pt idx="1">
                  <c:v>18</c:v>
                </c:pt>
              </c:numCache>
            </c:numRef>
          </c:val>
          <c:extLst>
            <c:ext xmlns:c16="http://schemas.microsoft.com/office/drawing/2014/chart" uri="{C3380CC4-5D6E-409C-BE32-E72D297353CC}">
              <c16:uniqueId val="{00000002-7969-4E98-B81B-FD7CFD39697A}"/>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70192543239787342"/>
          <c:y val="0.36144704803465832"/>
          <c:w val="0.26282118581331182"/>
          <c:h val="0.29518135534263035"/>
        </c:manualLayout>
      </c:layout>
      <c:overlay val="0"/>
    </c:legend>
    <c:plotVisOnly val="1"/>
    <c:dispBlanksAs val="zero"/>
    <c:showDLblsOverMax val="0"/>
  </c:chart>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XY Scatter grafikon</a:t>
            </a:r>
          </a:p>
        </c:rich>
      </c:tx>
      <c:overlay val="0"/>
    </c:title>
    <c:autoTitleDeleted val="0"/>
    <c:plotArea>
      <c:layout>
        <c:manualLayout>
          <c:layoutTarget val="inner"/>
          <c:xMode val="edge"/>
          <c:yMode val="edge"/>
          <c:x val="0.16775634820165314"/>
          <c:y val="0.2"/>
          <c:w val="0.56427135304192422"/>
          <c:h val="0.54500000000000004"/>
        </c:manualLayout>
      </c:layout>
      <c:scatterChart>
        <c:scatterStyle val="smoothMarker"/>
        <c:varyColors val="0"/>
        <c:ser>
          <c:idx val="0"/>
          <c:order val="0"/>
          <c:tx>
            <c:strRef>
              <c:f>'Deseta-n.'!$A$203</c:f>
              <c:strCache>
                <c:ptCount val="1"/>
                <c:pt idx="0">
                  <c:v>Proizv1</c:v>
                </c:pt>
              </c:strCache>
            </c:strRef>
          </c:tx>
          <c:xVal>
            <c:numRef>
              <c:f>'Deseta-n.'!$B$202:$E$202</c:f>
              <c:numCache>
                <c:formatCode>General</c:formatCode>
                <c:ptCount val="4"/>
                <c:pt idx="0">
                  <c:v>1</c:v>
                </c:pt>
                <c:pt idx="1">
                  <c:v>2</c:v>
                </c:pt>
                <c:pt idx="2">
                  <c:v>5</c:v>
                </c:pt>
                <c:pt idx="3">
                  <c:v>6</c:v>
                </c:pt>
              </c:numCache>
            </c:numRef>
          </c:xVal>
          <c:yVal>
            <c:numRef>
              <c:f>'Deseta-n.'!$B$203:$E$203</c:f>
              <c:numCache>
                <c:formatCode>General</c:formatCode>
                <c:ptCount val="4"/>
                <c:pt idx="0">
                  <c:v>220</c:v>
                </c:pt>
                <c:pt idx="1">
                  <c:v>250</c:v>
                </c:pt>
                <c:pt idx="2">
                  <c:v>180</c:v>
                </c:pt>
                <c:pt idx="3">
                  <c:v>170</c:v>
                </c:pt>
              </c:numCache>
            </c:numRef>
          </c:yVal>
          <c:smooth val="1"/>
          <c:extLst>
            <c:ext xmlns:c16="http://schemas.microsoft.com/office/drawing/2014/chart" uri="{C3380CC4-5D6E-409C-BE32-E72D297353CC}">
              <c16:uniqueId val="{00000000-967B-4D9D-BA6B-219E9EDA28A1}"/>
            </c:ext>
          </c:extLst>
        </c:ser>
        <c:ser>
          <c:idx val="1"/>
          <c:order val="1"/>
          <c:tx>
            <c:strRef>
              <c:f>'Deseta-n.'!$A$204</c:f>
              <c:strCache>
                <c:ptCount val="1"/>
                <c:pt idx="0">
                  <c:v>Proizv2</c:v>
                </c:pt>
              </c:strCache>
            </c:strRef>
          </c:tx>
          <c:xVal>
            <c:numRef>
              <c:f>'Deseta-n.'!$B$202:$E$202</c:f>
              <c:numCache>
                <c:formatCode>General</c:formatCode>
                <c:ptCount val="4"/>
                <c:pt idx="0">
                  <c:v>1</c:v>
                </c:pt>
                <c:pt idx="1">
                  <c:v>2</c:v>
                </c:pt>
                <c:pt idx="2">
                  <c:v>5</c:v>
                </c:pt>
                <c:pt idx="3">
                  <c:v>6</c:v>
                </c:pt>
              </c:numCache>
            </c:numRef>
          </c:xVal>
          <c:yVal>
            <c:numRef>
              <c:f>'Deseta-n.'!$B$204:$E$204</c:f>
              <c:numCache>
                <c:formatCode>General</c:formatCode>
                <c:ptCount val="4"/>
                <c:pt idx="0">
                  <c:v>100</c:v>
                </c:pt>
                <c:pt idx="1">
                  <c:v>110</c:v>
                </c:pt>
                <c:pt idx="2">
                  <c:v>140</c:v>
                </c:pt>
                <c:pt idx="3">
                  <c:v>150</c:v>
                </c:pt>
              </c:numCache>
            </c:numRef>
          </c:yVal>
          <c:smooth val="1"/>
          <c:extLst>
            <c:ext xmlns:c16="http://schemas.microsoft.com/office/drawing/2014/chart" uri="{C3380CC4-5D6E-409C-BE32-E72D297353CC}">
              <c16:uniqueId val="{00000001-967B-4D9D-BA6B-219E9EDA28A1}"/>
            </c:ext>
          </c:extLst>
        </c:ser>
        <c:dLbls>
          <c:showLegendKey val="0"/>
          <c:showVal val="0"/>
          <c:showCatName val="0"/>
          <c:showSerName val="0"/>
          <c:showPercent val="0"/>
          <c:showBubbleSize val="0"/>
        </c:dLbls>
        <c:axId val="107640320"/>
        <c:axId val="107642240"/>
      </c:scatterChart>
      <c:valAx>
        <c:axId val="107640320"/>
        <c:scaling>
          <c:orientation val="minMax"/>
          <c:max val="6"/>
          <c:min val="1"/>
        </c:scaling>
        <c:delete val="0"/>
        <c:axPos val="b"/>
        <c:majorGridlines/>
        <c:title>
          <c:tx>
            <c:rich>
              <a:bodyPr/>
              <a:lstStyle/>
              <a:p>
                <a:pPr>
                  <a:defRPr/>
                </a:pPr>
                <a:r>
                  <a:rPr lang="en-US"/>
                  <a:t>Mjeseci</a:t>
                </a:r>
              </a:p>
            </c:rich>
          </c:tx>
          <c:layout>
            <c:manualLayout>
              <c:xMode val="edge"/>
              <c:yMode val="edge"/>
              <c:x val="0.39869372537583125"/>
              <c:y val="0.875"/>
            </c:manualLayout>
          </c:layout>
          <c:overlay val="0"/>
        </c:title>
        <c:numFmt formatCode="General" sourceLinked="1"/>
        <c:majorTickMark val="out"/>
        <c:minorTickMark val="none"/>
        <c:tickLblPos val="nextTo"/>
        <c:txPr>
          <a:bodyPr rot="0" vert="horz"/>
          <a:lstStyle/>
          <a:p>
            <a:pPr>
              <a:defRPr/>
            </a:pPr>
            <a:endParaRPr lang="sr-Latn-RS"/>
          </a:p>
        </c:txPr>
        <c:crossAx val="107642240"/>
        <c:crosses val="autoZero"/>
        <c:crossBetween val="midCat"/>
        <c:minorUnit val="0.2"/>
      </c:valAx>
      <c:valAx>
        <c:axId val="107642240"/>
        <c:scaling>
          <c:orientation val="minMax"/>
          <c:max val="250"/>
          <c:min val="100"/>
        </c:scaling>
        <c:delete val="0"/>
        <c:axPos val="l"/>
        <c:majorGridlines/>
        <c:title>
          <c:tx>
            <c:rich>
              <a:bodyPr/>
              <a:lstStyle/>
              <a:p>
                <a:pPr>
                  <a:defRPr/>
                </a:pPr>
                <a:r>
                  <a:rPr lang="en-US"/>
                  <a:t>Proizvodnja</a:t>
                </a:r>
              </a:p>
            </c:rich>
          </c:tx>
          <c:layout>
            <c:manualLayout>
              <c:xMode val="edge"/>
              <c:yMode val="edge"/>
              <c:x val="5.4466459666397911E-2"/>
              <c:y val="0.33"/>
            </c:manualLayout>
          </c:layout>
          <c:overlay val="0"/>
        </c:title>
        <c:numFmt formatCode="General" sourceLinked="1"/>
        <c:majorTickMark val="out"/>
        <c:minorTickMark val="none"/>
        <c:tickLblPos val="nextTo"/>
        <c:txPr>
          <a:bodyPr rot="0" vert="horz"/>
          <a:lstStyle/>
          <a:p>
            <a:pPr>
              <a:defRPr/>
            </a:pPr>
            <a:endParaRPr lang="sr-Latn-RS"/>
          </a:p>
        </c:txPr>
        <c:crossAx val="107640320"/>
        <c:crosses val="autoZero"/>
        <c:crossBetween val="midCat"/>
        <c:majorUnit val="50"/>
      </c:valAx>
    </c:plotArea>
    <c:legend>
      <c:legendPos val="r"/>
      <c:layout>
        <c:manualLayout>
          <c:xMode val="edge"/>
          <c:yMode val="edge"/>
          <c:x val="0.83006718931375401"/>
          <c:y val="0.36499999999999999"/>
          <c:w val="0.16122027230256353"/>
          <c:h val="0.19499999999999995"/>
        </c:manualLayout>
      </c:layout>
      <c:overlay val="0"/>
    </c:legend>
    <c:plotVisOnly val="1"/>
    <c:dispBlanksAs val="gap"/>
    <c:showDLblsOverMax val="0"/>
  </c:chart>
  <c:printSettings>
    <c:headerFooter alignWithMargins="0"/>
    <c:pageMargins b="1" l="0.75" r="0.75" t="1" header="0.5" footer="0.5"/>
    <c:pageSetup paperSize="9" orientation="landscape" horizontalDpi="300" verticalDpi="300"/>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XY scatter sa trend linijom</a:t>
            </a:r>
          </a:p>
        </c:rich>
      </c:tx>
      <c:layout>
        <c:manualLayout>
          <c:xMode val="edge"/>
          <c:yMode val="edge"/>
          <c:x val="0.27345872650637165"/>
          <c:y val="4.6242774566473986E-2"/>
        </c:manualLayout>
      </c:layout>
      <c:overlay val="0"/>
    </c:title>
    <c:autoTitleDeleted val="0"/>
    <c:plotArea>
      <c:layout>
        <c:manualLayout>
          <c:layoutTarget val="inner"/>
          <c:xMode val="edge"/>
          <c:yMode val="edge"/>
          <c:x val="0.11528165225166022"/>
          <c:y val="0.31791907514450868"/>
          <c:w val="0.57372729260128574"/>
          <c:h val="0.44508670520231214"/>
        </c:manualLayout>
      </c:layout>
      <c:scatterChart>
        <c:scatterStyle val="smoothMarker"/>
        <c:varyColors val="0"/>
        <c:ser>
          <c:idx val="0"/>
          <c:order val="0"/>
          <c:tx>
            <c:strRef>
              <c:f>'Deseta-n.'!$A$203</c:f>
              <c:strCache>
                <c:ptCount val="1"/>
                <c:pt idx="0">
                  <c:v>Proizv1</c:v>
                </c:pt>
              </c:strCache>
            </c:strRef>
          </c:tx>
          <c:marker>
            <c:symbol val="picture"/>
            <c:spPr>
              <a:blipFill>
                <a:blip xmlns:r="http://schemas.openxmlformats.org/officeDocument/2006/relationships" r:embed="rId1"/>
                <a:stretch>
                  <a:fillRect/>
                </a:stretch>
              </a:blipFill>
              <a:ln w="9525">
                <a:noFill/>
              </a:ln>
            </c:spPr>
          </c:marker>
          <c:trendline>
            <c:trendlineType val="linear"/>
            <c:dispRSqr val="0"/>
            <c:dispEq val="0"/>
          </c:trendline>
          <c:xVal>
            <c:numRef>
              <c:f>'Deseta-n.'!$B$202:$E$202</c:f>
              <c:numCache>
                <c:formatCode>General</c:formatCode>
                <c:ptCount val="4"/>
                <c:pt idx="0">
                  <c:v>1</c:v>
                </c:pt>
                <c:pt idx="1">
                  <c:v>2</c:v>
                </c:pt>
                <c:pt idx="2">
                  <c:v>5</c:v>
                </c:pt>
                <c:pt idx="3">
                  <c:v>6</c:v>
                </c:pt>
              </c:numCache>
            </c:numRef>
          </c:xVal>
          <c:yVal>
            <c:numRef>
              <c:f>'Deseta-n.'!$B$203:$E$203</c:f>
              <c:numCache>
                <c:formatCode>General</c:formatCode>
                <c:ptCount val="4"/>
                <c:pt idx="0">
                  <c:v>220</c:v>
                </c:pt>
                <c:pt idx="1">
                  <c:v>250</c:v>
                </c:pt>
                <c:pt idx="2">
                  <c:v>180</c:v>
                </c:pt>
                <c:pt idx="3">
                  <c:v>170</c:v>
                </c:pt>
              </c:numCache>
            </c:numRef>
          </c:yVal>
          <c:smooth val="1"/>
          <c:extLst>
            <c:ext xmlns:c16="http://schemas.microsoft.com/office/drawing/2014/chart" uri="{C3380CC4-5D6E-409C-BE32-E72D297353CC}">
              <c16:uniqueId val="{00000001-2525-4D22-943A-D5612329D4D1}"/>
            </c:ext>
          </c:extLst>
        </c:ser>
        <c:ser>
          <c:idx val="1"/>
          <c:order val="1"/>
          <c:tx>
            <c:strRef>
              <c:f>'Deseta-n.'!$A$204</c:f>
              <c:strCache>
                <c:ptCount val="1"/>
                <c:pt idx="0">
                  <c:v>Proizv2</c:v>
                </c:pt>
              </c:strCache>
            </c:strRef>
          </c:tx>
          <c:trendline>
            <c:trendlineType val="linear"/>
            <c:forward val="4"/>
            <c:dispRSqr val="0"/>
            <c:dispEq val="0"/>
          </c:trendline>
          <c:xVal>
            <c:numRef>
              <c:f>'Deseta-n.'!$B$202:$E$202</c:f>
              <c:numCache>
                <c:formatCode>General</c:formatCode>
                <c:ptCount val="4"/>
                <c:pt idx="0">
                  <c:v>1</c:v>
                </c:pt>
                <c:pt idx="1">
                  <c:v>2</c:v>
                </c:pt>
                <c:pt idx="2">
                  <c:v>5</c:v>
                </c:pt>
                <c:pt idx="3">
                  <c:v>6</c:v>
                </c:pt>
              </c:numCache>
            </c:numRef>
          </c:xVal>
          <c:yVal>
            <c:numRef>
              <c:f>'Deseta-n.'!$B$204:$E$204</c:f>
              <c:numCache>
                <c:formatCode>General</c:formatCode>
                <c:ptCount val="4"/>
                <c:pt idx="0">
                  <c:v>100</c:v>
                </c:pt>
                <c:pt idx="1">
                  <c:v>110</c:v>
                </c:pt>
                <c:pt idx="2">
                  <c:v>140</c:v>
                </c:pt>
                <c:pt idx="3">
                  <c:v>150</c:v>
                </c:pt>
              </c:numCache>
            </c:numRef>
          </c:yVal>
          <c:smooth val="1"/>
          <c:extLst>
            <c:ext xmlns:c16="http://schemas.microsoft.com/office/drawing/2014/chart" uri="{C3380CC4-5D6E-409C-BE32-E72D297353CC}">
              <c16:uniqueId val="{00000003-2525-4D22-943A-D5612329D4D1}"/>
            </c:ext>
          </c:extLst>
        </c:ser>
        <c:dLbls>
          <c:showLegendKey val="0"/>
          <c:showVal val="0"/>
          <c:showCatName val="0"/>
          <c:showSerName val="0"/>
          <c:showPercent val="0"/>
          <c:showBubbleSize val="0"/>
        </c:dLbls>
        <c:axId val="107424000"/>
        <c:axId val="107429888"/>
      </c:scatterChart>
      <c:valAx>
        <c:axId val="107424000"/>
        <c:scaling>
          <c:orientation val="minMax"/>
          <c:max val="10"/>
          <c:min val="1"/>
        </c:scaling>
        <c:delete val="0"/>
        <c:axPos val="b"/>
        <c:majorGridlines/>
        <c:numFmt formatCode="General" sourceLinked="1"/>
        <c:majorTickMark val="out"/>
        <c:minorTickMark val="none"/>
        <c:tickLblPos val="nextTo"/>
        <c:txPr>
          <a:bodyPr rot="0" vert="horz"/>
          <a:lstStyle/>
          <a:p>
            <a:pPr>
              <a:defRPr/>
            </a:pPr>
            <a:endParaRPr lang="sr-Latn-RS"/>
          </a:p>
        </c:txPr>
        <c:crossAx val="107429888"/>
        <c:crosses val="autoZero"/>
        <c:crossBetween val="midCat"/>
        <c:majorUnit val="1"/>
      </c:valAx>
      <c:valAx>
        <c:axId val="107429888"/>
        <c:scaling>
          <c:orientation val="minMax"/>
        </c:scaling>
        <c:delete val="0"/>
        <c:axPos val="l"/>
        <c:majorGridlines/>
        <c:numFmt formatCode="General" sourceLinked="1"/>
        <c:majorTickMark val="out"/>
        <c:minorTickMark val="none"/>
        <c:tickLblPos val="nextTo"/>
        <c:txPr>
          <a:bodyPr rot="0" vert="horz"/>
          <a:lstStyle/>
          <a:p>
            <a:pPr>
              <a:defRPr/>
            </a:pPr>
            <a:endParaRPr lang="sr-Latn-RS"/>
          </a:p>
        </c:txPr>
        <c:crossAx val="107424000"/>
        <c:crosses val="autoZero"/>
        <c:crossBetween val="midCat"/>
      </c:valAx>
    </c:plotArea>
    <c:legend>
      <c:legendPos val="r"/>
      <c:layout>
        <c:manualLayout>
          <c:xMode val="edge"/>
          <c:yMode val="edge"/>
          <c:x val="0.73994722509552258"/>
          <c:y val="0.26589595375722541"/>
          <c:w val="0.2386061795894816"/>
          <c:h val="0.64739884393063585"/>
        </c:manualLayout>
      </c:layout>
      <c:overlay val="0"/>
    </c:legend>
    <c:plotVisOnly val="1"/>
    <c:dispBlanksAs val="gap"/>
    <c:showDLblsOverMax val="0"/>
  </c:chart>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0116279069767441"/>
          <c:y val="4.8128342245989303E-2"/>
        </c:manualLayout>
      </c:layout>
      <c:overlay val="0"/>
    </c:title>
    <c:autoTitleDeleted val="0"/>
    <c:plotArea>
      <c:layout>
        <c:manualLayout>
          <c:layoutTarget val="inner"/>
          <c:xMode val="edge"/>
          <c:yMode val="edge"/>
          <c:x val="0.13953488372093023"/>
          <c:y val="0.2994660225863307"/>
          <c:w val="0.5058139534883721"/>
          <c:h val="0.48128467915660289"/>
        </c:manualLayout>
      </c:layout>
      <c:lineChart>
        <c:grouping val="standard"/>
        <c:varyColors val="0"/>
        <c:ser>
          <c:idx val="0"/>
          <c:order val="0"/>
          <c:tx>
            <c:strRef>
              <c:f>'Deseta-n.'!$D$282</c:f>
              <c:strCache>
                <c:ptCount val="1"/>
                <c:pt idx="0">
                  <c:v>Max brzina</c:v>
                </c:pt>
              </c:strCache>
            </c:strRef>
          </c:tx>
          <c:cat>
            <c:numRef>
              <c:f>'Deseta-n.'!$C$283:$C$292</c:f>
              <c:numCache>
                <c:formatCode>General</c:formatCode>
                <c:ptCount val="10"/>
                <c:pt idx="0">
                  <c:v>95</c:v>
                </c:pt>
                <c:pt idx="1">
                  <c:v>75</c:v>
                </c:pt>
                <c:pt idx="2">
                  <c:v>75</c:v>
                </c:pt>
                <c:pt idx="3">
                  <c:v>55</c:v>
                </c:pt>
                <c:pt idx="4">
                  <c:v>70</c:v>
                </c:pt>
                <c:pt idx="5">
                  <c:v>55</c:v>
                </c:pt>
                <c:pt idx="6">
                  <c:v>45</c:v>
                </c:pt>
                <c:pt idx="7">
                  <c:v>55</c:v>
                </c:pt>
                <c:pt idx="8">
                  <c:v>65</c:v>
                </c:pt>
                <c:pt idx="9">
                  <c:v>80</c:v>
                </c:pt>
              </c:numCache>
            </c:numRef>
          </c:cat>
          <c:val>
            <c:numRef>
              <c:f>'Deseta-n.'!$D$283:$D$292</c:f>
              <c:numCache>
                <c:formatCode>General</c:formatCode>
                <c:ptCount val="10"/>
                <c:pt idx="0">
                  <c:v>190</c:v>
                </c:pt>
                <c:pt idx="1">
                  <c:v>160</c:v>
                </c:pt>
                <c:pt idx="2">
                  <c:v>170</c:v>
                </c:pt>
                <c:pt idx="3">
                  <c:v>145</c:v>
                </c:pt>
                <c:pt idx="4">
                  <c:v>170</c:v>
                </c:pt>
                <c:pt idx="5">
                  <c:v>155</c:v>
                </c:pt>
                <c:pt idx="6">
                  <c:v>135</c:v>
                </c:pt>
                <c:pt idx="7">
                  <c:v>145</c:v>
                </c:pt>
                <c:pt idx="8">
                  <c:v>165</c:v>
                </c:pt>
                <c:pt idx="9">
                  <c:v>165</c:v>
                </c:pt>
              </c:numCache>
            </c:numRef>
          </c:val>
          <c:smooth val="0"/>
          <c:extLst>
            <c:ext xmlns:c16="http://schemas.microsoft.com/office/drawing/2014/chart" uri="{C3380CC4-5D6E-409C-BE32-E72D297353CC}">
              <c16:uniqueId val="{00000000-90A1-4E14-8F56-05AA640A0EE4}"/>
            </c:ext>
          </c:extLst>
        </c:ser>
        <c:dLbls>
          <c:showLegendKey val="0"/>
          <c:showVal val="0"/>
          <c:showCatName val="0"/>
          <c:showSerName val="0"/>
          <c:showPercent val="0"/>
          <c:showBubbleSize val="0"/>
        </c:dLbls>
        <c:marker val="1"/>
        <c:smooth val="0"/>
        <c:axId val="107450368"/>
        <c:axId val="107451904"/>
      </c:lineChart>
      <c:catAx>
        <c:axId val="107450368"/>
        <c:scaling>
          <c:orientation val="minMax"/>
        </c:scaling>
        <c:delete val="0"/>
        <c:axPos val="b"/>
        <c:majorGridlines/>
        <c:numFmt formatCode="General" sourceLinked="1"/>
        <c:majorTickMark val="out"/>
        <c:minorTickMark val="none"/>
        <c:tickLblPos val="nextTo"/>
        <c:txPr>
          <a:bodyPr rot="0" vert="horz"/>
          <a:lstStyle/>
          <a:p>
            <a:pPr>
              <a:defRPr/>
            </a:pPr>
            <a:endParaRPr lang="sr-Latn-RS"/>
          </a:p>
        </c:txPr>
        <c:crossAx val="107451904"/>
        <c:crosses val="autoZero"/>
        <c:auto val="1"/>
        <c:lblAlgn val="ctr"/>
        <c:lblOffset val="100"/>
        <c:tickLblSkip val="1"/>
        <c:tickMarkSkip val="1"/>
        <c:noMultiLvlLbl val="0"/>
      </c:catAx>
      <c:valAx>
        <c:axId val="107451904"/>
        <c:scaling>
          <c:orientation val="minMax"/>
        </c:scaling>
        <c:delete val="0"/>
        <c:axPos val="l"/>
        <c:majorGridlines/>
        <c:numFmt formatCode="General" sourceLinked="1"/>
        <c:majorTickMark val="out"/>
        <c:minorTickMark val="none"/>
        <c:tickLblPos val="nextTo"/>
        <c:txPr>
          <a:bodyPr rot="0" vert="horz"/>
          <a:lstStyle/>
          <a:p>
            <a:pPr>
              <a:defRPr/>
            </a:pPr>
            <a:endParaRPr lang="sr-Latn-RS"/>
          </a:p>
        </c:txPr>
        <c:crossAx val="107450368"/>
        <c:crosses val="autoZero"/>
        <c:crossBetween val="between"/>
      </c:valAx>
    </c:plotArea>
    <c:legend>
      <c:legendPos val="r"/>
      <c:layout>
        <c:manualLayout>
          <c:xMode val="edge"/>
          <c:yMode val="edge"/>
          <c:x val="0.67732558139534882"/>
          <c:y val="0.48128454531418863"/>
          <c:w val="0.29941860465116277"/>
          <c:h val="0.11764762025067721"/>
        </c:manualLayout>
      </c:layout>
      <c:overlay val="0"/>
    </c:legend>
    <c:plotVisOnly val="1"/>
    <c:dispBlanksAs val="gap"/>
    <c:showDLblsOverMax val="0"/>
  </c:chart>
  <c:printSettings>
    <c:headerFooter alignWithMargins="0"/>
    <c:pageMargins b="1" l="0.75" r="0.75" t="1" header="0.5" footer="0.5"/>
    <c:pageSetup orientation="landscape"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'Deveta-n.'!$D$30</c:f>
              <c:strCache>
                <c:ptCount val="1"/>
                <c:pt idx="0">
                  <c:v>Feb</c:v>
                </c:pt>
              </c:strCache>
            </c:strRef>
          </c:tx>
          <c:invertIfNegative val="0"/>
          <c:cat>
            <c:strRef>
              <c:f>'Deveta-n.'!$B$31:$B$34</c:f>
              <c:strCache>
                <c:ptCount val="4"/>
                <c:pt idx="0">
                  <c:v>P1</c:v>
                </c:pt>
                <c:pt idx="1">
                  <c:v>P2</c:v>
                </c:pt>
                <c:pt idx="2">
                  <c:v>P3</c:v>
                </c:pt>
                <c:pt idx="3">
                  <c:v>P4</c:v>
                </c:pt>
              </c:strCache>
            </c:strRef>
          </c:cat>
          <c:val>
            <c:numRef>
              <c:f>'Deveta-n.'!$D$31:$D$34</c:f>
              <c:numCache>
                <c:formatCode>General</c:formatCode>
                <c:ptCount val="4"/>
                <c:pt idx="0">
                  <c:v>311</c:v>
                </c:pt>
                <c:pt idx="1">
                  <c:v>254</c:v>
                </c:pt>
                <c:pt idx="2">
                  <c:v>333</c:v>
                </c:pt>
                <c:pt idx="3">
                  <c:v>444</c:v>
                </c:pt>
              </c:numCache>
            </c:numRef>
          </c:val>
          <c:extLst>
            <c:ext xmlns:c16="http://schemas.microsoft.com/office/drawing/2014/chart" uri="{C3380CC4-5D6E-409C-BE32-E72D297353CC}">
              <c16:uniqueId val="{00000000-552C-4BE8-BC4C-DF0A199181CF}"/>
            </c:ext>
          </c:extLst>
        </c:ser>
        <c:dLbls>
          <c:showLegendKey val="0"/>
          <c:showVal val="0"/>
          <c:showCatName val="0"/>
          <c:showSerName val="0"/>
          <c:showPercent val="0"/>
          <c:showBubbleSize val="0"/>
        </c:dLbls>
        <c:gapWidth val="150"/>
        <c:axId val="102439552"/>
        <c:axId val="102441344"/>
      </c:barChart>
      <c:catAx>
        <c:axId val="102439552"/>
        <c:scaling>
          <c:orientation val="minMax"/>
        </c:scaling>
        <c:delete val="0"/>
        <c:axPos val="b"/>
        <c:numFmt formatCode="General" sourceLinked="1"/>
        <c:majorTickMark val="none"/>
        <c:minorTickMark val="none"/>
        <c:tickLblPos val="nextTo"/>
        <c:txPr>
          <a:bodyPr rot="0" vert="horz"/>
          <a:lstStyle/>
          <a:p>
            <a:pPr>
              <a:defRPr/>
            </a:pPr>
            <a:endParaRPr lang="sr-Latn-RS"/>
          </a:p>
        </c:txPr>
        <c:crossAx val="102441344"/>
        <c:crosses val="autoZero"/>
        <c:auto val="1"/>
        <c:lblAlgn val="ctr"/>
        <c:lblOffset val="100"/>
        <c:tickLblSkip val="1"/>
        <c:tickMarkSkip val="1"/>
        <c:noMultiLvlLbl val="0"/>
      </c:catAx>
      <c:valAx>
        <c:axId val="102441344"/>
        <c:scaling>
          <c:orientation val="minMax"/>
        </c:scaling>
        <c:delete val="0"/>
        <c:axPos val="l"/>
        <c:majorGridlines/>
        <c:numFmt formatCode="General" sourceLinked="1"/>
        <c:majorTickMark val="none"/>
        <c:minorTickMark val="none"/>
        <c:tickLblPos val="nextTo"/>
        <c:txPr>
          <a:bodyPr rot="0" vert="horz"/>
          <a:lstStyle/>
          <a:p>
            <a:pPr>
              <a:defRPr/>
            </a:pPr>
            <a:endParaRPr lang="sr-Latn-RS"/>
          </a:p>
        </c:txPr>
        <c:crossAx val="102439552"/>
        <c:crosses val="autoZero"/>
        <c:crossBetween val="between"/>
      </c:valAx>
    </c:plotArea>
    <c:legend>
      <c:legendPos val="r"/>
      <c:overlay val="0"/>
    </c:legend>
    <c:plotVisOnly val="1"/>
    <c:dispBlanksAs val="gap"/>
    <c:showDLblsOverMax val="0"/>
  </c:chart>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barChart>
        <c:barDir val="col"/>
        <c:grouping val="clustered"/>
        <c:varyColors val="0"/>
        <c:ser>
          <c:idx val="0"/>
          <c:order val="0"/>
          <c:tx>
            <c:strRef>
              <c:f>'Deveta-n.'!$C$30</c:f>
              <c:strCache>
                <c:ptCount val="1"/>
                <c:pt idx="0">
                  <c:v>Jan</c:v>
                </c:pt>
              </c:strCache>
            </c:strRef>
          </c:tx>
          <c:invertIfNegative val="0"/>
          <c:cat>
            <c:strRef>
              <c:f>'Deveta-n.'!$B$31:$B$34</c:f>
              <c:strCache>
                <c:ptCount val="4"/>
                <c:pt idx="0">
                  <c:v>P1</c:v>
                </c:pt>
                <c:pt idx="1">
                  <c:v>P2</c:v>
                </c:pt>
                <c:pt idx="2">
                  <c:v>P3</c:v>
                </c:pt>
                <c:pt idx="3">
                  <c:v>P4</c:v>
                </c:pt>
              </c:strCache>
            </c:strRef>
          </c:cat>
          <c:val>
            <c:numRef>
              <c:f>'Deveta-n.'!$C$31:$C$34</c:f>
              <c:numCache>
                <c:formatCode>General</c:formatCode>
                <c:ptCount val="4"/>
                <c:pt idx="0">
                  <c:v>327</c:v>
                </c:pt>
                <c:pt idx="1">
                  <c:v>234</c:v>
                </c:pt>
                <c:pt idx="2">
                  <c:v>456</c:v>
                </c:pt>
                <c:pt idx="3">
                  <c:v>567</c:v>
                </c:pt>
              </c:numCache>
            </c:numRef>
          </c:val>
          <c:extLst>
            <c:ext xmlns:c16="http://schemas.microsoft.com/office/drawing/2014/chart" uri="{C3380CC4-5D6E-409C-BE32-E72D297353CC}">
              <c16:uniqueId val="{00000000-3CB2-404E-928D-B6F47C757121}"/>
            </c:ext>
          </c:extLst>
        </c:ser>
        <c:ser>
          <c:idx val="1"/>
          <c:order val="1"/>
          <c:tx>
            <c:strRef>
              <c:f>'Deveta-n.'!$D$30</c:f>
              <c:strCache>
                <c:ptCount val="1"/>
                <c:pt idx="0">
                  <c:v>Feb</c:v>
                </c:pt>
              </c:strCache>
            </c:strRef>
          </c:tx>
          <c:invertIfNegative val="0"/>
          <c:cat>
            <c:strRef>
              <c:f>'Deveta-n.'!$B$31:$B$34</c:f>
              <c:strCache>
                <c:ptCount val="4"/>
                <c:pt idx="0">
                  <c:v>P1</c:v>
                </c:pt>
                <c:pt idx="1">
                  <c:v>P2</c:v>
                </c:pt>
                <c:pt idx="2">
                  <c:v>P3</c:v>
                </c:pt>
                <c:pt idx="3">
                  <c:v>P4</c:v>
                </c:pt>
              </c:strCache>
            </c:strRef>
          </c:cat>
          <c:val>
            <c:numRef>
              <c:f>'Deveta-n.'!$D$31:$D$34</c:f>
              <c:numCache>
                <c:formatCode>General</c:formatCode>
                <c:ptCount val="4"/>
                <c:pt idx="0">
                  <c:v>311</c:v>
                </c:pt>
                <c:pt idx="1">
                  <c:v>254</c:v>
                </c:pt>
                <c:pt idx="2">
                  <c:v>333</c:v>
                </c:pt>
                <c:pt idx="3">
                  <c:v>444</c:v>
                </c:pt>
              </c:numCache>
            </c:numRef>
          </c:val>
          <c:extLst>
            <c:ext xmlns:c16="http://schemas.microsoft.com/office/drawing/2014/chart" uri="{C3380CC4-5D6E-409C-BE32-E72D297353CC}">
              <c16:uniqueId val="{00000001-3CB2-404E-928D-B6F47C757121}"/>
            </c:ext>
          </c:extLst>
        </c:ser>
        <c:ser>
          <c:idx val="2"/>
          <c:order val="2"/>
          <c:tx>
            <c:strRef>
              <c:f>'Deveta-n.'!$E$30</c:f>
              <c:strCache>
                <c:ptCount val="1"/>
                <c:pt idx="0">
                  <c:v>Mar</c:v>
                </c:pt>
              </c:strCache>
            </c:strRef>
          </c:tx>
          <c:invertIfNegative val="0"/>
          <c:cat>
            <c:strRef>
              <c:f>'Deveta-n.'!$B$31:$B$34</c:f>
              <c:strCache>
                <c:ptCount val="4"/>
                <c:pt idx="0">
                  <c:v>P1</c:v>
                </c:pt>
                <c:pt idx="1">
                  <c:v>P2</c:v>
                </c:pt>
                <c:pt idx="2">
                  <c:v>P3</c:v>
                </c:pt>
                <c:pt idx="3">
                  <c:v>P4</c:v>
                </c:pt>
              </c:strCache>
            </c:strRef>
          </c:cat>
          <c:val>
            <c:numRef>
              <c:f>'Deveta-n.'!$E$31:$E$34</c:f>
              <c:numCache>
                <c:formatCode>General</c:formatCode>
                <c:ptCount val="4"/>
                <c:pt idx="0">
                  <c:v>315</c:v>
                </c:pt>
                <c:pt idx="1">
                  <c:v>260</c:v>
                </c:pt>
                <c:pt idx="2">
                  <c:v>428</c:v>
                </c:pt>
                <c:pt idx="3">
                  <c:v>476</c:v>
                </c:pt>
              </c:numCache>
            </c:numRef>
          </c:val>
          <c:extLst>
            <c:ext xmlns:c16="http://schemas.microsoft.com/office/drawing/2014/chart" uri="{C3380CC4-5D6E-409C-BE32-E72D297353CC}">
              <c16:uniqueId val="{00000002-3CB2-404E-928D-B6F47C757121}"/>
            </c:ext>
          </c:extLst>
        </c:ser>
        <c:dLbls>
          <c:showLegendKey val="0"/>
          <c:showVal val="0"/>
          <c:showCatName val="0"/>
          <c:showSerName val="0"/>
          <c:showPercent val="0"/>
          <c:showBubbleSize val="0"/>
        </c:dLbls>
        <c:gapWidth val="150"/>
        <c:axId val="102373248"/>
        <c:axId val="102374784"/>
      </c:barChart>
      <c:catAx>
        <c:axId val="102373248"/>
        <c:scaling>
          <c:orientation val="minMax"/>
        </c:scaling>
        <c:delete val="0"/>
        <c:axPos val="b"/>
        <c:numFmt formatCode="General" sourceLinked="0"/>
        <c:majorTickMark val="out"/>
        <c:minorTickMark val="none"/>
        <c:tickLblPos val="nextTo"/>
        <c:crossAx val="102374784"/>
        <c:crosses val="autoZero"/>
        <c:auto val="1"/>
        <c:lblAlgn val="ctr"/>
        <c:lblOffset val="100"/>
        <c:noMultiLvlLbl val="0"/>
      </c:catAx>
      <c:valAx>
        <c:axId val="102374784"/>
        <c:scaling>
          <c:orientation val="minMax"/>
        </c:scaling>
        <c:delete val="0"/>
        <c:axPos val="l"/>
        <c:majorGridlines/>
        <c:numFmt formatCode="General" sourceLinked="1"/>
        <c:majorTickMark val="out"/>
        <c:minorTickMark val="none"/>
        <c:tickLblPos val="nextTo"/>
        <c:crossAx val="1023732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3-D  Grafikon</a:t>
            </a:r>
          </a:p>
        </c:rich>
      </c:tx>
      <c:layout>
        <c:manualLayout>
          <c:xMode val="edge"/>
          <c:yMode val="edge"/>
          <c:x val="1.3043478260869565E-2"/>
          <c:y val="4.3307086614173228E-2"/>
        </c:manualLayout>
      </c:layout>
      <c:overlay val="0"/>
    </c:title>
    <c:autoTitleDeleted val="0"/>
    <c:view3D>
      <c:rotX val="20"/>
      <c:hPercent val="100"/>
      <c:rotY val="30"/>
      <c:depthPercent val="320"/>
      <c:rAngAx val="0"/>
      <c:perspective val="44"/>
    </c:view3D>
    <c:floor>
      <c:thickness val="0"/>
    </c:floor>
    <c:sideWall>
      <c:thickness val="0"/>
    </c:sideWall>
    <c:backWall>
      <c:thickness val="0"/>
    </c:backWall>
    <c:plotArea>
      <c:layout>
        <c:manualLayout>
          <c:layoutTarget val="inner"/>
          <c:xMode val="edge"/>
          <c:yMode val="edge"/>
          <c:x val="5.0000053074105252E-2"/>
          <c:y val="1.5748031496062992E-2"/>
          <c:w val="0.79782693383463599"/>
          <c:h val="0.75590551181102361"/>
        </c:manualLayout>
      </c:layout>
      <c:bar3DChart>
        <c:barDir val="col"/>
        <c:grouping val="standard"/>
        <c:varyColors val="0"/>
        <c:ser>
          <c:idx val="0"/>
          <c:order val="0"/>
          <c:tx>
            <c:strRef>
              <c:f>'Deseta-n.'!$B$14</c:f>
              <c:strCache>
                <c:ptCount val="1"/>
                <c:pt idx="0">
                  <c:v>Ocjena E</c:v>
                </c:pt>
              </c:strCache>
            </c:strRef>
          </c:tx>
          <c:invertIfNegative val="0"/>
          <c:cat>
            <c:strRef>
              <c:f>'Deseta-n.'!$A$15:$A$20</c:f>
              <c:strCache>
                <c:ptCount val="6"/>
                <c:pt idx="0">
                  <c:v>Predmet1</c:v>
                </c:pt>
                <c:pt idx="1">
                  <c:v>Predmet2</c:v>
                </c:pt>
                <c:pt idx="2">
                  <c:v>Predmet3</c:v>
                </c:pt>
                <c:pt idx="3">
                  <c:v>Predmet4</c:v>
                </c:pt>
                <c:pt idx="4">
                  <c:v>Predmet5</c:v>
                </c:pt>
                <c:pt idx="5">
                  <c:v>Predmet6</c:v>
                </c:pt>
              </c:strCache>
            </c:strRef>
          </c:cat>
          <c:val>
            <c:numRef>
              <c:f>'Deseta-n.'!$B$15:$B$20</c:f>
              <c:numCache>
                <c:formatCode>General</c:formatCode>
                <c:ptCount val="6"/>
                <c:pt idx="0">
                  <c:v>14</c:v>
                </c:pt>
                <c:pt idx="1">
                  <c:v>13</c:v>
                </c:pt>
                <c:pt idx="2">
                  <c:v>19</c:v>
                </c:pt>
                <c:pt idx="3">
                  <c:v>5</c:v>
                </c:pt>
                <c:pt idx="4">
                  <c:v>11</c:v>
                </c:pt>
                <c:pt idx="5">
                  <c:v>8</c:v>
                </c:pt>
              </c:numCache>
            </c:numRef>
          </c:val>
          <c:shape val="cylinder"/>
          <c:extLst>
            <c:ext xmlns:c16="http://schemas.microsoft.com/office/drawing/2014/chart" uri="{C3380CC4-5D6E-409C-BE32-E72D297353CC}">
              <c16:uniqueId val="{00000000-817F-4A6C-8AB4-0D4DE20D8840}"/>
            </c:ext>
          </c:extLst>
        </c:ser>
        <c:ser>
          <c:idx val="1"/>
          <c:order val="1"/>
          <c:tx>
            <c:strRef>
              <c:f>'Deseta-n.'!$C$14</c:f>
              <c:strCache>
                <c:ptCount val="1"/>
                <c:pt idx="0">
                  <c:v>Ocjena D</c:v>
                </c:pt>
              </c:strCache>
            </c:strRef>
          </c:tx>
          <c:invertIfNegative val="0"/>
          <c:cat>
            <c:strRef>
              <c:f>'Deseta-n.'!$A$15:$A$20</c:f>
              <c:strCache>
                <c:ptCount val="6"/>
                <c:pt idx="0">
                  <c:v>Predmet1</c:v>
                </c:pt>
                <c:pt idx="1">
                  <c:v>Predmet2</c:v>
                </c:pt>
                <c:pt idx="2">
                  <c:v>Predmet3</c:v>
                </c:pt>
                <c:pt idx="3">
                  <c:v>Predmet4</c:v>
                </c:pt>
                <c:pt idx="4">
                  <c:v>Predmet5</c:v>
                </c:pt>
                <c:pt idx="5">
                  <c:v>Predmet6</c:v>
                </c:pt>
              </c:strCache>
            </c:strRef>
          </c:cat>
          <c:val>
            <c:numRef>
              <c:f>'Deseta-n.'!$C$15:$C$20</c:f>
              <c:numCache>
                <c:formatCode>General</c:formatCode>
                <c:ptCount val="6"/>
                <c:pt idx="0">
                  <c:v>21</c:v>
                </c:pt>
                <c:pt idx="1">
                  <c:v>17</c:v>
                </c:pt>
                <c:pt idx="2">
                  <c:v>26</c:v>
                </c:pt>
                <c:pt idx="3">
                  <c:v>9</c:v>
                </c:pt>
                <c:pt idx="4">
                  <c:v>26</c:v>
                </c:pt>
                <c:pt idx="5">
                  <c:v>13</c:v>
                </c:pt>
              </c:numCache>
            </c:numRef>
          </c:val>
          <c:shape val="cone"/>
          <c:extLst>
            <c:ext xmlns:c16="http://schemas.microsoft.com/office/drawing/2014/chart" uri="{C3380CC4-5D6E-409C-BE32-E72D297353CC}">
              <c16:uniqueId val="{00000001-817F-4A6C-8AB4-0D4DE20D8840}"/>
            </c:ext>
          </c:extLst>
        </c:ser>
        <c:ser>
          <c:idx val="2"/>
          <c:order val="2"/>
          <c:tx>
            <c:strRef>
              <c:f>'Deseta-n.'!$D$14</c:f>
              <c:strCache>
                <c:ptCount val="1"/>
                <c:pt idx="0">
                  <c:v>Ocjena C</c:v>
                </c:pt>
              </c:strCache>
            </c:strRef>
          </c:tx>
          <c:invertIfNegative val="0"/>
          <c:cat>
            <c:strRef>
              <c:f>'Deseta-n.'!$A$15:$A$20</c:f>
              <c:strCache>
                <c:ptCount val="6"/>
                <c:pt idx="0">
                  <c:v>Predmet1</c:v>
                </c:pt>
                <c:pt idx="1">
                  <c:v>Predmet2</c:v>
                </c:pt>
                <c:pt idx="2">
                  <c:v>Predmet3</c:v>
                </c:pt>
                <c:pt idx="3">
                  <c:v>Predmet4</c:v>
                </c:pt>
                <c:pt idx="4">
                  <c:v>Predmet5</c:v>
                </c:pt>
                <c:pt idx="5">
                  <c:v>Predmet6</c:v>
                </c:pt>
              </c:strCache>
            </c:strRef>
          </c:cat>
          <c:val>
            <c:numRef>
              <c:f>'Deseta-n.'!$D$15:$D$20</c:f>
              <c:numCache>
                <c:formatCode>General</c:formatCode>
                <c:ptCount val="6"/>
                <c:pt idx="0">
                  <c:v>17</c:v>
                </c:pt>
                <c:pt idx="1">
                  <c:v>19</c:v>
                </c:pt>
                <c:pt idx="2">
                  <c:v>31</c:v>
                </c:pt>
                <c:pt idx="3">
                  <c:v>26</c:v>
                </c:pt>
                <c:pt idx="4">
                  <c:v>21</c:v>
                </c:pt>
                <c:pt idx="5">
                  <c:v>29</c:v>
                </c:pt>
              </c:numCache>
            </c:numRef>
          </c:val>
          <c:shape val="pyramidToMax"/>
          <c:extLst>
            <c:ext xmlns:c16="http://schemas.microsoft.com/office/drawing/2014/chart" uri="{C3380CC4-5D6E-409C-BE32-E72D297353CC}">
              <c16:uniqueId val="{00000002-817F-4A6C-8AB4-0D4DE20D8840}"/>
            </c:ext>
          </c:extLst>
        </c:ser>
        <c:ser>
          <c:idx val="3"/>
          <c:order val="3"/>
          <c:tx>
            <c:strRef>
              <c:f>'Deseta-n.'!$E$14</c:f>
              <c:strCache>
                <c:ptCount val="1"/>
                <c:pt idx="0">
                  <c:v>Ocjena B</c:v>
                </c:pt>
              </c:strCache>
            </c:strRef>
          </c:tx>
          <c:invertIfNegative val="0"/>
          <c:cat>
            <c:strRef>
              <c:f>'Deseta-n.'!$A$15:$A$20</c:f>
              <c:strCache>
                <c:ptCount val="6"/>
                <c:pt idx="0">
                  <c:v>Predmet1</c:v>
                </c:pt>
                <c:pt idx="1">
                  <c:v>Predmet2</c:v>
                </c:pt>
                <c:pt idx="2">
                  <c:v>Predmet3</c:v>
                </c:pt>
                <c:pt idx="3">
                  <c:v>Predmet4</c:v>
                </c:pt>
                <c:pt idx="4">
                  <c:v>Predmet5</c:v>
                </c:pt>
                <c:pt idx="5">
                  <c:v>Predmet6</c:v>
                </c:pt>
              </c:strCache>
            </c:strRef>
          </c:cat>
          <c:val>
            <c:numRef>
              <c:f>'Deseta-n.'!$E$15:$E$20</c:f>
              <c:numCache>
                <c:formatCode>General</c:formatCode>
                <c:ptCount val="6"/>
                <c:pt idx="0">
                  <c:v>15</c:v>
                </c:pt>
                <c:pt idx="1">
                  <c:v>11</c:v>
                </c:pt>
                <c:pt idx="2">
                  <c:v>4</c:v>
                </c:pt>
                <c:pt idx="3">
                  <c:v>24</c:v>
                </c:pt>
                <c:pt idx="4">
                  <c:v>15</c:v>
                </c:pt>
                <c:pt idx="5">
                  <c:v>21</c:v>
                </c:pt>
              </c:numCache>
            </c:numRef>
          </c:val>
          <c:extLst>
            <c:ext xmlns:c16="http://schemas.microsoft.com/office/drawing/2014/chart" uri="{C3380CC4-5D6E-409C-BE32-E72D297353CC}">
              <c16:uniqueId val="{00000003-817F-4A6C-8AB4-0D4DE20D8840}"/>
            </c:ext>
          </c:extLst>
        </c:ser>
        <c:ser>
          <c:idx val="4"/>
          <c:order val="4"/>
          <c:tx>
            <c:strRef>
              <c:f>'Deseta-n.'!$F$14</c:f>
              <c:strCache>
                <c:ptCount val="1"/>
                <c:pt idx="0">
                  <c:v>Ocjena A</c:v>
                </c:pt>
              </c:strCache>
            </c:strRef>
          </c:tx>
          <c:spPr>
            <a:solidFill>
              <a:schemeClr val="accent6">
                <a:lumMod val="40000"/>
                <a:lumOff val="60000"/>
              </a:schemeClr>
            </a:solidFill>
          </c:spPr>
          <c:invertIfNegative val="0"/>
          <c:cat>
            <c:strRef>
              <c:f>'Deseta-n.'!$A$15:$A$20</c:f>
              <c:strCache>
                <c:ptCount val="6"/>
                <c:pt idx="0">
                  <c:v>Predmet1</c:v>
                </c:pt>
                <c:pt idx="1">
                  <c:v>Predmet2</c:v>
                </c:pt>
                <c:pt idx="2">
                  <c:v>Predmet3</c:v>
                </c:pt>
                <c:pt idx="3">
                  <c:v>Predmet4</c:v>
                </c:pt>
                <c:pt idx="4">
                  <c:v>Predmet5</c:v>
                </c:pt>
                <c:pt idx="5">
                  <c:v>Predmet6</c:v>
                </c:pt>
              </c:strCache>
            </c:strRef>
          </c:cat>
          <c:val>
            <c:numRef>
              <c:f>'Deseta-n.'!$F$15:$F$20</c:f>
              <c:numCache>
                <c:formatCode>General</c:formatCode>
                <c:ptCount val="6"/>
                <c:pt idx="0">
                  <c:v>6</c:v>
                </c:pt>
                <c:pt idx="1">
                  <c:v>3</c:v>
                </c:pt>
                <c:pt idx="2">
                  <c:v>3</c:v>
                </c:pt>
                <c:pt idx="3">
                  <c:v>20</c:v>
                </c:pt>
                <c:pt idx="4">
                  <c:v>12</c:v>
                </c:pt>
                <c:pt idx="5">
                  <c:v>15</c:v>
                </c:pt>
              </c:numCache>
            </c:numRef>
          </c:val>
          <c:extLst>
            <c:ext xmlns:c16="http://schemas.microsoft.com/office/drawing/2014/chart" uri="{C3380CC4-5D6E-409C-BE32-E72D297353CC}">
              <c16:uniqueId val="{00000004-817F-4A6C-8AB4-0D4DE20D8840}"/>
            </c:ext>
          </c:extLst>
        </c:ser>
        <c:dLbls>
          <c:showLegendKey val="0"/>
          <c:showVal val="0"/>
          <c:showCatName val="0"/>
          <c:showSerName val="0"/>
          <c:showPercent val="0"/>
          <c:showBubbleSize val="0"/>
        </c:dLbls>
        <c:gapWidth val="420"/>
        <c:shape val="box"/>
        <c:axId val="101626240"/>
        <c:axId val="101627776"/>
        <c:axId val="102377216"/>
      </c:bar3DChart>
      <c:catAx>
        <c:axId val="101626240"/>
        <c:scaling>
          <c:orientation val="minMax"/>
        </c:scaling>
        <c:delete val="0"/>
        <c:axPos val="b"/>
        <c:numFmt formatCode="General" sourceLinked="1"/>
        <c:majorTickMark val="out"/>
        <c:minorTickMark val="none"/>
        <c:tickLblPos val="low"/>
        <c:txPr>
          <a:bodyPr rot="5400000" vert="horz"/>
          <a:lstStyle/>
          <a:p>
            <a:pPr>
              <a:defRPr/>
            </a:pPr>
            <a:endParaRPr lang="sr-Latn-RS"/>
          </a:p>
        </c:txPr>
        <c:crossAx val="101627776"/>
        <c:crosses val="autoZero"/>
        <c:auto val="1"/>
        <c:lblAlgn val="ctr"/>
        <c:lblOffset val="100"/>
        <c:tickMarkSkip val="1"/>
        <c:noMultiLvlLbl val="1"/>
      </c:catAx>
      <c:valAx>
        <c:axId val="101627776"/>
        <c:scaling>
          <c:orientation val="minMax"/>
        </c:scaling>
        <c:delete val="0"/>
        <c:axPos val="l"/>
        <c:majorGridlines/>
        <c:numFmt formatCode="General" sourceLinked="1"/>
        <c:majorTickMark val="out"/>
        <c:minorTickMark val="none"/>
        <c:tickLblPos val="nextTo"/>
        <c:txPr>
          <a:bodyPr rot="0" vert="horz"/>
          <a:lstStyle/>
          <a:p>
            <a:pPr>
              <a:defRPr/>
            </a:pPr>
            <a:endParaRPr lang="sr-Latn-RS"/>
          </a:p>
        </c:txPr>
        <c:crossAx val="101626240"/>
        <c:crosses val="autoZero"/>
        <c:crossBetween val="between"/>
        <c:majorUnit val="10"/>
      </c:valAx>
      <c:serAx>
        <c:axId val="102377216"/>
        <c:scaling>
          <c:orientation val="minMax"/>
        </c:scaling>
        <c:delete val="0"/>
        <c:axPos val="b"/>
        <c:numFmt formatCode="General" sourceLinked="1"/>
        <c:majorTickMark val="out"/>
        <c:minorTickMark val="none"/>
        <c:tickLblPos val="low"/>
        <c:txPr>
          <a:bodyPr rot="0" vert="horz"/>
          <a:lstStyle/>
          <a:p>
            <a:pPr>
              <a:defRPr/>
            </a:pPr>
            <a:endParaRPr lang="sr-Latn-RS"/>
          </a:p>
        </c:txPr>
        <c:crossAx val="101627776"/>
        <c:crosses val="autoZero"/>
        <c:tickLblSkip val="1"/>
        <c:tickMarkSkip val="1"/>
      </c:serAx>
      <c:spPr>
        <a:pattFill prst="pct50">
          <a:fgClr>
            <a:schemeClr val="accent6">
              <a:lumMod val="40000"/>
              <a:lumOff val="60000"/>
            </a:schemeClr>
          </a:fgClr>
          <a:bgClr>
            <a:schemeClr val="bg1"/>
          </a:bgClr>
        </a:pattFill>
      </c:spPr>
    </c:plotArea>
    <c:legend>
      <c:legendPos val="r"/>
      <c:layout>
        <c:manualLayout>
          <c:xMode val="edge"/>
          <c:yMode val="edge"/>
          <c:x val="0.68695720643615199"/>
          <c:y val="0.60236220472440949"/>
          <c:w val="0.26086979344973182"/>
          <c:h val="0.36220472440944884"/>
        </c:manualLayout>
      </c:layout>
      <c:overlay val="0"/>
    </c:legend>
    <c:plotVisOnly val="1"/>
    <c:dispBlanksAs val="gap"/>
    <c:showDLblsOverMax val="0"/>
  </c:chart>
  <c:printSettings>
    <c:headerFooter alignWithMargins="0"/>
    <c:pageMargins b="1" l="0.75" r="0.75" t="1" header="0.5" footer="0.5"/>
    <c:pageSetup paperSize="9" orientation="landscape"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416840447673434E-2"/>
          <c:y val="0.11555605710094227"/>
          <c:w val="0.59375120798992509"/>
          <c:h val="0.50666886575028536"/>
        </c:manualLayout>
      </c:layout>
      <c:barChart>
        <c:barDir val="col"/>
        <c:grouping val="clustered"/>
        <c:varyColors val="0"/>
        <c:ser>
          <c:idx val="2"/>
          <c:order val="2"/>
          <c:tx>
            <c:strRef>
              <c:f>'Deseta-n.'!$D$14</c:f>
              <c:strCache>
                <c:ptCount val="1"/>
                <c:pt idx="0">
                  <c:v>Ocjena C</c:v>
                </c:pt>
              </c:strCache>
            </c:strRef>
          </c:tx>
          <c:spPr>
            <a:solidFill>
              <a:srgbClr val="FFFFCC"/>
            </a:solidFill>
            <a:ln w="12700">
              <a:solidFill>
                <a:srgbClr val="000000"/>
              </a:solidFill>
              <a:prstDash val="solid"/>
            </a:ln>
          </c:spPr>
          <c:invertIfNegative val="0"/>
          <c:cat>
            <c:strRef>
              <c:f>'Deseta-n.'!$A$15:$A$20</c:f>
              <c:strCache>
                <c:ptCount val="6"/>
                <c:pt idx="0">
                  <c:v>Predmet1</c:v>
                </c:pt>
                <c:pt idx="1">
                  <c:v>Predmet2</c:v>
                </c:pt>
                <c:pt idx="2">
                  <c:v>Predmet3</c:v>
                </c:pt>
                <c:pt idx="3">
                  <c:v>Predmet4</c:v>
                </c:pt>
                <c:pt idx="4">
                  <c:v>Predmet5</c:v>
                </c:pt>
                <c:pt idx="5">
                  <c:v>Predmet6</c:v>
                </c:pt>
              </c:strCache>
            </c:strRef>
          </c:cat>
          <c:val>
            <c:numRef>
              <c:f>'Deseta-n.'!$D$15:$D$20</c:f>
              <c:numCache>
                <c:formatCode>General</c:formatCode>
                <c:ptCount val="6"/>
                <c:pt idx="0">
                  <c:v>17</c:v>
                </c:pt>
                <c:pt idx="1">
                  <c:v>19</c:v>
                </c:pt>
                <c:pt idx="2">
                  <c:v>31</c:v>
                </c:pt>
                <c:pt idx="3">
                  <c:v>26</c:v>
                </c:pt>
                <c:pt idx="4">
                  <c:v>21</c:v>
                </c:pt>
                <c:pt idx="5">
                  <c:v>29</c:v>
                </c:pt>
              </c:numCache>
            </c:numRef>
          </c:val>
          <c:extLst>
            <c:ext xmlns:c16="http://schemas.microsoft.com/office/drawing/2014/chart" uri="{C3380CC4-5D6E-409C-BE32-E72D297353CC}">
              <c16:uniqueId val="{00000000-5813-40BE-A972-2BD8FEE2D128}"/>
            </c:ext>
          </c:extLst>
        </c:ser>
        <c:ser>
          <c:idx val="4"/>
          <c:order val="4"/>
          <c:tx>
            <c:strRef>
              <c:f>'Deseta-n.'!$F$14</c:f>
              <c:strCache>
                <c:ptCount val="1"/>
                <c:pt idx="0">
                  <c:v>Ocjena A</c:v>
                </c:pt>
              </c:strCache>
            </c:strRef>
          </c:tx>
          <c:spPr>
            <a:solidFill>
              <a:srgbClr val="660066"/>
            </a:solidFill>
            <a:ln w="12700">
              <a:solidFill>
                <a:srgbClr val="000000"/>
              </a:solidFill>
              <a:prstDash val="solid"/>
            </a:ln>
          </c:spPr>
          <c:invertIfNegative val="0"/>
          <c:cat>
            <c:strRef>
              <c:f>'Deseta-n.'!$A$15:$A$20</c:f>
              <c:strCache>
                <c:ptCount val="6"/>
                <c:pt idx="0">
                  <c:v>Predmet1</c:v>
                </c:pt>
                <c:pt idx="1">
                  <c:v>Predmet2</c:v>
                </c:pt>
                <c:pt idx="2">
                  <c:v>Predmet3</c:v>
                </c:pt>
                <c:pt idx="3">
                  <c:v>Predmet4</c:v>
                </c:pt>
                <c:pt idx="4">
                  <c:v>Predmet5</c:v>
                </c:pt>
                <c:pt idx="5">
                  <c:v>Predmet6</c:v>
                </c:pt>
              </c:strCache>
            </c:strRef>
          </c:cat>
          <c:val>
            <c:numRef>
              <c:f>'Deseta-n.'!$F$15:$F$20</c:f>
              <c:numCache>
                <c:formatCode>General</c:formatCode>
                <c:ptCount val="6"/>
                <c:pt idx="0">
                  <c:v>6</c:v>
                </c:pt>
                <c:pt idx="1">
                  <c:v>3</c:v>
                </c:pt>
                <c:pt idx="2">
                  <c:v>3</c:v>
                </c:pt>
                <c:pt idx="3">
                  <c:v>20</c:v>
                </c:pt>
                <c:pt idx="4">
                  <c:v>12</c:v>
                </c:pt>
                <c:pt idx="5">
                  <c:v>15</c:v>
                </c:pt>
              </c:numCache>
            </c:numRef>
          </c:val>
          <c:extLst>
            <c:ext xmlns:c16="http://schemas.microsoft.com/office/drawing/2014/chart" uri="{C3380CC4-5D6E-409C-BE32-E72D297353CC}">
              <c16:uniqueId val="{00000001-5813-40BE-A972-2BD8FEE2D128}"/>
            </c:ext>
          </c:extLst>
        </c:ser>
        <c:dLbls>
          <c:showLegendKey val="0"/>
          <c:showVal val="0"/>
          <c:showCatName val="0"/>
          <c:showSerName val="0"/>
          <c:showPercent val="0"/>
          <c:showBubbleSize val="0"/>
        </c:dLbls>
        <c:gapWidth val="150"/>
        <c:axId val="101683200"/>
        <c:axId val="101685120"/>
      </c:barChart>
      <c:lineChart>
        <c:grouping val="standard"/>
        <c:varyColors val="0"/>
        <c:ser>
          <c:idx val="0"/>
          <c:order val="0"/>
          <c:tx>
            <c:strRef>
              <c:f>'Deseta-n.'!$B$14</c:f>
              <c:strCache>
                <c:ptCount val="1"/>
                <c:pt idx="0">
                  <c:v>Ocjena E</c:v>
                </c:pt>
              </c:strCache>
            </c:strRef>
          </c:tx>
          <c:spPr>
            <a:ln w="25400">
              <a:solidFill>
                <a:srgbClr val="000080"/>
              </a:solidFill>
              <a:prstDash val="solid"/>
            </a:ln>
          </c:spPr>
          <c:marker>
            <c:symbol val="diamond"/>
            <c:size val="5"/>
            <c:spPr>
              <a:solidFill>
                <a:srgbClr val="000080"/>
              </a:solidFill>
              <a:ln>
                <a:solidFill>
                  <a:srgbClr val="000080"/>
                </a:solidFill>
                <a:prstDash val="solid"/>
              </a:ln>
            </c:spPr>
          </c:marker>
          <c:cat>
            <c:strRef>
              <c:f>'Deseta-n.'!$A$15:$A$20</c:f>
              <c:strCache>
                <c:ptCount val="6"/>
                <c:pt idx="0">
                  <c:v>Predmet1</c:v>
                </c:pt>
                <c:pt idx="1">
                  <c:v>Predmet2</c:v>
                </c:pt>
                <c:pt idx="2">
                  <c:v>Predmet3</c:v>
                </c:pt>
                <c:pt idx="3">
                  <c:v>Predmet4</c:v>
                </c:pt>
                <c:pt idx="4">
                  <c:v>Predmet5</c:v>
                </c:pt>
                <c:pt idx="5">
                  <c:v>Predmet6</c:v>
                </c:pt>
              </c:strCache>
            </c:strRef>
          </c:cat>
          <c:val>
            <c:numRef>
              <c:f>'Deseta-n.'!$B$15:$B$20</c:f>
              <c:numCache>
                <c:formatCode>General</c:formatCode>
                <c:ptCount val="6"/>
                <c:pt idx="0">
                  <c:v>14</c:v>
                </c:pt>
                <c:pt idx="1">
                  <c:v>13</c:v>
                </c:pt>
                <c:pt idx="2">
                  <c:v>19</c:v>
                </c:pt>
                <c:pt idx="3">
                  <c:v>5</c:v>
                </c:pt>
                <c:pt idx="4">
                  <c:v>11</c:v>
                </c:pt>
                <c:pt idx="5">
                  <c:v>8</c:v>
                </c:pt>
              </c:numCache>
            </c:numRef>
          </c:val>
          <c:smooth val="0"/>
          <c:extLst>
            <c:ext xmlns:c16="http://schemas.microsoft.com/office/drawing/2014/chart" uri="{C3380CC4-5D6E-409C-BE32-E72D297353CC}">
              <c16:uniqueId val="{00000002-5813-40BE-A972-2BD8FEE2D128}"/>
            </c:ext>
          </c:extLst>
        </c:ser>
        <c:ser>
          <c:idx val="1"/>
          <c:order val="1"/>
          <c:tx>
            <c:strRef>
              <c:f>'Deseta-n.'!$C$14</c:f>
              <c:strCache>
                <c:ptCount val="1"/>
                <c:pt idx="0">
                  <c:v>Ocjena D</c:v>
                </c:pt>
              </c:strCache>
            </c:strRef>
          </c:tx>
          <c:spPr>
            <a:ln w="22225">
              <a:solidFill>
                <a:srgbClr val="FF00FF"/>
              </a:solidFill>
              <a:prstDash val="solid"/>
            </a:ln>
          </c:spPr>
          <c:marker>
            <c:symbol val="square"/>
            <c:size val="5"/>
            <c:spPr>
              <a:solidFill>
                <a:srgbClr val="FF00FF"/>
              </a:solidFill>
              <a:ln>
                <a:solidFill>
                  <a:srgbClr val="FF00FF"/>
                </a:solidFill>
                <a:prstDash val="solid"/>
              </a:ln>
            </c:spPr>
          </c:marker>
          <c:cat>
            <c:strRef>
              <c:f>'Deseta-n.'!$A$15:$A$20</c:f>
              <c:strCache>
                <c:ptCount val="6"/>
                <c:pt idx="0">
                  <c:v>Predmet1</c:v>
                </c:pt>
                <c:pt idx="1">
                  <c:v>Predmet2</c:v>
                </c:pt>
                <c:pt idx="2">
                  <c:v>Predmet3</c:v>
                </c:pt>
                <c:pt idx="3">
                  <c:v>Predmet4</c:v>
                </c:pt>
                <c:pt idx="4">
                  <c:v>Predmet5</c:v>
                </c:pt>
                <c:pt idx="5">
                  <c:v>Predmet6</c:v>
                </c:pt>
              </c:strCache>
            </c:strRef>
          </c:cat>
          <c:val>
            <c:numRef>
              <c:f>'Deseta-n.'!$C$15:$C$20</c:f>
              <c:numCache>
                <c:formatCode>General</c:formatCode>
                <c:ptCount val="6"/>
                <c:pt idx="0">
                  <c:v>21</c:v>
                </c:pt>
                <c:pt idx="1">
                  <c:v>17</c:v>
                </c:pt>
                <c:pt idx="2">
                  <c:v>26</c:v>
                </c:pt>
                <c:pt idx="3">
                  <c:v>9</c:v>
                </c:pt>
                <c:pt idx="4">
                  <c:v>26</c:v>
                </c:pt>
                <c:pt idx="5">
                  <c:v>13</c:v>
                </c:pt>
              </c:numCache>
            </c:numRef>
          </c:val>
          <c:smooth val="0"/>
          <c:extLst>
            <c:ext xmlns:c16="http://schemas.microsoft.com/office/drawing/2014/chart" uri="{C3380CC4-5D6E-409C-BE32-E72D297353CC}">
              <c16:uniqueId val="{00000003-5813-40BE-A972-2BD8FEE2D128}"/>
            </c:ext>
          </c:extLst>
        </c:ser>
        <c:ser>
          <c:idx val="3"/>
          <c:order val="3"/>
          <c:tx>
            <c:strRef>
              <c:f>'Deseta-n.'!$E$14</c:f>
              <c:strCache>
                <c:ptCount val="1"/>
                <c:pt idx="0">
                  <c:v>Ocjena B</c:v>
                </c:pt>
              </c:strCache>
            </c:strRef>
          </c:tx>
          <c:spPr>
            <a:ln w="25400">
              <a:solidFill>
                <a:srgbClr val="00FFFF"/>
              </a:solidFill>
              <a:prstDash val="solid"/>
            </a:ln>
          </c:spPr>
          <c:marker>
            <c:symbol val="x"/>
            <c:size val="5"/>
            <c:spPr>
              <a:noFill/>
              <a:ln>
                <a:solidFill>
                  <a:srgbClr val="00FFFF"/>
                </a:solidFill>
                <a:prstDash val="solid"/>
              </a:ln>
            </c:spPr>
          </c:marker>
          <c:cat>
            <c:strRef>
              <c:f>'Deseta-n.'!$A$15:$A$20</c:f>
              <c:strCache>
                <c:ptCount val="6"/>
                <c:pt idx="0">
                  <c:v>Predmet1</c:v>
                </c:pt>
                <c:pt idx="1">
                  <c:v>Predmet2</c:v>
                </c:pt>
                <c:pt idx="2">
                  <c:v>Predmet3</c:v>
                </c:pt>
                <c:pt idx="3">
                  <c:v>Predmet4</c:v>
                </c:pt>
                <c:pt idx="4">
                  <c:v>Predmet5</c:v>
                </c:pt>
                <c:pt idx="5">
                  <c:v>Predmet6</c:v>
                </c:pt>
              </c:strCache>
            </c:strRef>
          </c:cat>
          <c:val>
            <c:numRef>
              <c:f>'Deseta-n.'!$E$15:$E$20</c:f>
              <c:numCache>
                <c:formatCode>General</c:formatCode>
                <c:ptCount val="6"/>
                <c:pt idx="0">
                  <c:v>15</c:v>
                </c:pt>
                <c:pt idx="1">
                  <c:v>11</c:v>
                </c:pt>
                <c:pt idx="2">
                  <c:v>4</c:v>
                </c:pt>
                <c:pt idx="3">
                  <c:v>24</c:v>
                </c:pt>
                <c:pt idx="4">
                  <c:v>15</c:v>
                </c:pt>
                <c:pt idx="5">
                  <c:v>21</c:v>
                </c:pt>
              </c:numCache>
            </c:numRef>
          </c:val>
          <c:smooth val="0"/>
          <c:extLst>
            <c:ext xmlns:c16="http://schemas.microsoft.com/office/drawing/2014/chart" uri="{C3380CC4-5D6E-409C-BE32-E72D297353CC}">
              <c16:uniqueId val="{00000004-5813-40BE-A972-2BD8FEE2D128}"/>
            </c:ext>
          </c:extLst>
        </c:ser>
        <c:dLbls>
          <c:showLegendKey val="0"/>
          <c:showVal val="0"/>
          <c:showCatName val="0"/>
          <c:showSerName val="0"/>
          <c:showPercent val="0"/>
          <c:showBubbleSize val="0"/>
        </c:dLbls>
        <c:marker val="1"/>
        <c:smooth val="0"/>
        <c:axId val="101683200"/>
        <c:axId val="101685120"/>
      </c:lineChart>
      <c:catAx>
        <c:axId val="101683200"/>
        <c:scaling>
          <c:orientation val="minMax"/>
        </c:scaling>
        <c:delete val="0"/>
        <c:axPos val="b"/>
        <c:numFmt formatCode="General" sourceLinked="1"/>
        <c:majorTickMark val="out"/>
        <c:minorTickMark val="none"/>
        <c:tickLblPos val="nextTo"/>
        <c:spPr>
          <a:ln w="3175">
            <a:solidFill>
              <a:srgbClr val="000000"/>
            </a:solidFill>
            <a:prstDash val="solid"/>
          </a:ln>
        </c:spPr>
        <c:txPr>
          <a:bodyPr rot="3420000" vert="horz"/>
          <a:lstStyle/>
          <a:p>
            <a:pPr>
              <a:defRPr sz="1150" b="0" i="0" u="none" strike="noStrike" baseline="0">
                <a:solidFill>
                  <a:srgbClr val="000000"/>
                </a:solidFill>
                <a:latin typeface="Arial"/>
                <a:ea typeface="Arial"/>
                <a:cs typeface="Arial"/>
              </a:defRPr>
            </a:pPr>
            <a:endParaRPr lang="sr-Latn-RS"/>
          </a:p>
        </c:txPr>
        <c:crossAx val="101685120"/>
        <c:crosses val="autoZero"/>
        <c:auto val="1"/>
        <c:lblAlgn val="ctr"/>
        <c:lblOffset val="100"/>
        <c:tickLblSkip val="1"/>
        <c:tickMarkSkip val="1"/>
        <c:noMultiLvlLbl val="0"/>
      </c:catAx>
      <c:valAx>
        <c:axId val="1016851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sr-Latn-RS"/>
          </a:p>
        </c:txPr>
        <c:crossAx val="101683200"/>
        <c:crosses val="autoZero"/>
        <c:crossBetween val="between"/>
      </c:valAx>
      <c:spPr>
        <a:blipFill dpi="0" rotWithShape="0">
          <a:blip xmlns:r="http://schemas.openxmlformats.org/officeDocument/2006/relationships" r:embed="rId1"/>
          <a:srcRect/>
          <a:tile tx="0" ty="0" sx="100000" sy="100000" flip="none" algn="tl"/>
        </a:blipFill>
        <a:ln w="12700">
          <a:solidFill>
            <a:srgbClr val="808080"/>
          </a:solidFill>
          <a:prstDash val="solid"/>
        </a:ln>
      </c:spPr>
    </c:plotArea>
    <c:legend>
      <c:legendPos val="r"/>
      <c:layout>
        <c:manualLayout>
          <c:xMode val="edge"/>
          <c:yMode val="edge"/>
          <c:x val="0.76041819772528441"/>
          <c:y val="0.2444453776611257"/>
          <c:w val="0.22291710411198595"/>
          <c:h val="0.5155578885972586"/>
        </c:manualLayout>
      </c:layout>
      <c:overlay val="0"/>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1055" b="0" i="0" u="none" strike="noStrike" baseline="0">
              <a:solidFill>
                <a:srgbClr val="000000"/>
              </a:solidFill>
              <a:latin typeface="Arial"/>
              <a:ea typeface="Arial"/>
              <a:cs typeface="Arial"/>
            </a:defRPr>
          </a:pPr>
          <a:endParaRPr lang="sr-Latn-RS"/>
        </a:p>
      </c:txPr>
    </c:legend>
    <c:plotVisOnly val="1"/>
    <c:dispBlanksAs val="gap"/>
    <c:showDLblsOverMax val="0"/>
  </c:chart>
  <c:spPr>
    <a:gradFill rotWithShape="0">
      <a:gsLst>
        <a:gs pos="0">
          <a:srgbClr val="008080"/>
        </a:gs>
        <a:gs pos="100000">
          <a:srgbClr val="008080">
            <a:gamma/>
            <a:tint val="13725"/>
            <a:invGamma/>
          </a:srgbClr>
        </a:gs>
      </a:gsLst>
      <a:lin ang="2700000" scaled="1"/>
    </a:gradFill>
    <a:ln w="3175">
      <a:solidFill>
        <a:srgbClr val="000000"/>
      </a:solidFill>
      <a:prstDash val="solid"/>
    </a:ln>
  </c:spPr>
  <c:txPr>
    <a:bodyPr/>
    <a:lstStyle/>
    <a:p>
      <a:pPr>
        <a:defRPr sz="1150" b="0" i="0" u="none" strike="noStrike" baseline="0">
          <a:solidFill>
            <a:srgbClr val="000000"/>
          </a:solidFill>
          <a:latin typeface="Arial"/>
          <a:ea typeface="Arial"/>
          <a:cs typeface="Arial"/>
        </a:defRPr>
      </a:pPr>
      <a:endParaRPr lang="sr-Latn-RS"/>
    </a:p>
  </c:txPr>
  <c:printSettings>
    <c:headerFooter alignWithMargins="0"/>
    <c:pageMargins b="1" l="0.75" r="0.75" t="1" header="0.5" footer="0.5"/>
    <c:pageSetup paperSize="9" orientation="landscape" horizontalDpi="300" verticalDpi="30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66049570107110012"/>
          <c:y val="3.7471701278463637E-2"/>
        </c:manualLayout>
      </c:layout>
      <c:overlay val="1"/>
    </c:title>
    <c:autoTitleDeleted val="0"/>
    <c:plotArea>
      <c:layout>
        <c:manualLayout>
          <c:layoutTarget val="inner"/>
          <c:xMode val="edge"/>
          <c:yMode val="edge"/>
          <c:x val="0.17345725786722141"/>
          <c:y val="0.25578461485287196"/>
          <c:w val="0.4236282659926191"/>
          <c:h val="0.67844854511588615"/>
        </c:manualLayout>
      </c:layout>
      <c:pieChart>
        <c:varyColors val="1"/>
        <c:ser>
          <c:idx val="0"/>
          <c:order val="0"/>
          <c:tx>
            <c:strRef>
              <c:f>'Deseta-n.'!$A$15</c:f>
              <c:strCache>
                <c:ptCount val="1"/>
                <c:pt idx="0">
                  <c:v>Predmet1</c:v>
                </c:pt>
              </c:strCache>
            </c:strRef>
          </c:tx>
          <c:dPt>
            <c:idx val="0"/>
            <c:bubble3D val="0"/>
            <c:extLst>
              <c:ext xmlns:c16="http://schemas.microsoft.com/office/drawing/2014/chart" uri="{C3380CC4-5D6E-409C-BE32-E72D297353CC}">
                <c16:uniqueId val="{00000000-6A35-4004-92BF-B972C01F9999}"/>
              </c:ext>
            </c:extLst>
          </c:dPt>
          <c:dPt>
            <c:idx val="1"/>
            <c:bubble3D val="0"/>
            <c:extLst>
              <c:ext xmlns:c16="http://schemas.microsoft.com/office/drawing/2014/chart" uri="{C3380CC4-5D6E-409C-BE32-E72D297353CC}">
                <c16:uniqueId val="{00000001-6A35-4004-92BF-B972C01F9999}"/>
              </c:ext>
            </c:extLst>
          </c:dPt>
          <c:dPt>
            <c:idx val="2"/>
            <c:bubble3D val="0"/>
            <c:extLst>
              <c:ext xmlns:c16="http://schemas.microsoft.com/office/drawing/2014/chart" uri="{C3380CC4-5D6E-409C-BE32-E72D297353CC}">
                <c16:uniqueId val="{00000002-6A35-4004-92BF-B972C01F9999}"/>
              </c:ext>
            </c:extLst>
          </c:dPt>
          <c:dPt>
            <c:idx val="3"/>
            <c:bubble3D val="0"/>
            <c:extLst>
              <c:ext xmlns:c16="http://schemas.microsoft.com/office/drawing/2014/chart" uri="{C3380CC4-5D6E-409C-BE32-E72D297353CC}">
                <c16:uniqueId val="{00000003-6A35-4004-92BF-B972C01F9999}"/>
              </c:ext>
            </c:extLst>
          </c:dPt>
          <c:dPt>
            <c:idx val="4"/>
            <c:bubble3D val="0"/>
            <c:explosion val="49"/>
            <c:extLst>
              <c:ext xmlns:c16="http://schemas.microsoft.com/office/drawing/2014/chart" uri="{C3380CC4-5D6E-409C-BE32-E72D297353CC}">
                <c16:uniqueId val="{00000004-6A35-4004-92BF-B972C01F9999}"/>
              </c:ext>
            </c:extLst>
          </c:dPt>
          <c:dLbls>
            <c:dLbl>
              <c:idx val="4"/>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A35-4004-92BF-B972C01F9999}"/>
                </c:ext>
              </c:extLst>
            </c:dLbl>
            <c:numFmt formatCode="0.0%" sourceLinked="0"/>
            <c:spPr>
              <a:noFill/>
              <a:ln>
                <a:noFill/>
              </a:ln>
              <a:effectLst/>
            </c:spPr>
            <c:dLblPos val="outEnd"/>
            <c:showLegendKey val="1"/>
            <c:showVal val="0"/>
            <c:showCatName val="1"/>
            <c:showSerName val="0"/>
            <c:showPercent val="1"/>
            <c:showBubbleSize val="0"/>
            <c:showLeaderLines val="1"/>
            <c:extLst>
              <c:ext xmlns:c15="http://schemas.microsoft.com/office/drawing/2012/chart" uri="{CE6537A1-D6FC-4f65-9D91-7224C49458BB}"/>
            </c:extLst>
          </c:dLbls>
          <c:cat>
            <c:strRef>
              <c:f>'Deseta-n.'!$B$14:$F$14</c:f>
              <c:strCache>
                <c:ptCount val="5"/>
                <c:pt idx="0">
                  <c:v>Ocjena E</c:v>
                </c:pt>
                <c:pt idx="1">
                  <c:v>Ocjena D</c:v>
                </c:pt>
                <c:pt idx="2">
                  <c:v>Ocjena C</c:v>
                </c:pt>
                <c:pt idx="3">
                  <c:v>Ocjena B</c:v>
                </c:pt>
                <c:pt idx="4">
                  <c:v>Ocjena A</c:v>
                </c:pt>
              </c:strCache>
            </c:strRef>
          </c:cat>
          <c:val>
            <c:numRef>
              <c:f>'Deseta-n.'!$B$15:$F$15</c:f>
              <c:numCache>
                <c:formatCode>General</c:formatCode>
                <c:ptCount val="5"/>
                <c:pt idx="0">
                  <c:v>14</c:v>
                </c:pt>
                <c:pt idx="1">
                  <c:v>21</c:v>
                </c:pt>
                <c:pt idx="2">
                  <c:v>17</c:v>
                </c:pt>
                <c:pt idx="3">
                  <c:v>15</c:v>
                </c:pt>
                <c:pt idx="4">
                  <c:v>6</c:v>
                </c:pt>
              </c:numCache>
            </c:numRef>
          </c:val>
          <c:extLst>
            <c:ext xmlns:c16="http://schemas.microsoft.com/office/drawing/2014/chart" uri="{C3380CC4-5D6E-409C-BE32-E72D297353CC}">
              <c16:uniqueId val="{00000005-6A35-4004-92BF-B972C01F9999}"/>
            </c:ext>
          </c:extLst>
        </c:ser>
        <c:dLbls>
          <c:showLegendKey val="0"/>
          <c:showVal val="1"/>
          <c:showCatName val="0"/>
          <c:showSerName val="0"/>
          <c:showPercent val="0"/>
          <c:showBubbleSize val="0"/>
          <c:showLeaderLines val="1"/>
        </c:dLbls>
        <c:firstSliceAng val="0"/>
      </c:pieChart>
    </c:plotArea>
    <c:legend>
      <c:legendPos val="r"/>
      <c:layout>
        <c:manualLayout>
          <c:xMode val="edge"/>
          <c:yMode val="edge"/>
          <c:x val="0.78974547412342688"/>
          <c:y val="0.36796673143129832"/>
          <c:w val="0.19487233326603404"/>
          <c:h val="0.43723125518401107"/>
        </c:manualLayout>
      </c:layout>
      <c:overlay val="0"/>
    </c:legend>
    <c:plotVisOnly val="1"/>
    <c:dispBlanksAs val="zero"/>
    <c:showDLblsOverMax val="0"/>
  </c:chart>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3.9477949871650653E-2"/>
          <c:y val="2.7877348447099989E-2"/>
        </c:manualLayout>
      </c:layout>
      <c:overlay val="1"/>
      <c:txPr>
        <a:bodyPr rot="0" vert="horz" anchor="ctr" anchorCtr="1"/>
        <a:lstStyle/>
        <a:p>
          <a:pPr>
            <a:defRPr/>
          </a:pPr>
          <a:endParaRPr lang="sr-Latn-RS"/>
        </a:p>
      </c:txPr>
    </c:title>
    <c:autoTitleDeleted val="0"/>
    <c:plotArea>
      <c:layout>
        <c:manualLayout>
          <c:layoutTarget val="inner"/>
          <c:xMode val="edge"/>
          <c:yMode val="edge"/>
          <c:x val="0.22193211488250653"/>
          <c:y val="0.16753926701570682"/>
          <c:w val="0.35770234986945171"/>
          <c:h val="0.7172774869109948"/>
        </c:manualLayout>
      </c:layout>
      <c:doughnutChart>
        <c:varyColors val="1"/>
        <c:ser>
          <c:idx val="0"/>
          <c:order val="0"/>
          <c:tx>
            <c:strRef>
              <c:f>'Deseta-n.'!$A$15</c:f>
              <c:strCache>
                <c:ptCount val="1"/>
                <c:pt idx="0">
                  <c:v>Predmet1</c:v>
                </c:pt>
              </c:strCache>
            </c:strRef>
          </c:tx>
          <c:dPt>
            <c:idx val="0"/>
            <c:bubble3D val="0"/>
            <c:extLst>
              <c:ext xmlns:c16="http://schemas.microsoft.com/office/drawing/2014/chart" uri="{C3380CC4-5D6E-409C-BE32-E72D297353CC}">
                <c16:uniqueId val="{00000000-C5BE-4F8F-B4A1-6C0519ECF54E}"/>
              </c:ext>
            </c:extLst>
          </c:dPt>
          <c:dPt>
            <c:idx val="1"/>
            <c:bubble3D val="0"/>
            <c:extLst>
              <c:ext xmlns:c16="http://schemas.microsoft.com/office/drawing/2014/chart" uri="{C3380CC4-5D6E-409C-BE32-E72D297353CC}">
                <c16:uniqueId val="{00000001-C5BE-4F8F-B4A1-6C0519ECF54E}"/>
              </c:ext>
            </c:extLst>
          </c:dPt>
          <c:dPt>
            <c:idx val="2"/>
            <c:bubble3D val="0"/>
            <c:extLst>
              <c:ext xmlns:c16="http://schemas.microsoft.com/office/drawing/2014/chart" uri="{C3380CC4-5D6E-409C-BE32-E72D297353CC}">
                <c16:uniqueId val="{00000002-C5BE-4F8F-B4A1-6C0519ECF54E}"/>
              </c:ext>
            </c:extLst>
          </c:dPt>
          <c:dPt>
            <c:idx val="3"/>
            <c:bubble3D val="0"/>
            <c:extLst>
              <c:ext xmlns:c16="http://schemas.microsoft.com/office/drawing/2014/chart" uri="{C3380CC4-5D6E-409C-BE32-E72D297353CC}">
                <c16:uniqueId val="{00000003-C5BE-4F8F-B4A1-6C0519ECF54E}"/>
              </c:ext>
            </c:extLst>
          </c:dPt>
          <c:dPt>
            <c:idx val="4"/>
            <c:bubble3D val="0"/>
            <c:extLst>
              <c:ext xmlns:c16="http://schemas.microsoft.com/office/drawing/2014/chart" uri="{C3380CC4-5D6E-409C-BE32-E72D297353CC}">
                <c16:uniqueId val="{00000004-C5BE-4F8F-B4A1-6C0519ECF54E}"/>
              </c:ext>
            </c:extLst>
          </c:dPt>
          <c:dPt>
            <c:idx val="5"/>
            <c:bubble3D val="0"/>
            <c:extLst>
              <c:ext xmlns:c16="http://schemas.microsoft.com/office/drawing/2014/chart" uri="{C3380CC4-5D6E-409C-BE32-E72D297353CC}">
                <c16:uniqueId val="{00000005-C5BE-4F8F-B4A1-6C0519ECF54E}"/>
              </c:ext>
            </c:extLst>
          </c:dPt>
          <c:dLbls>
            <c:dLbl>
              <c:idx val="0"/>
              <c:layout>
                <c:manualLayout>
                  <c:x val="6.3175236254737061E-2"/>
                  <c:y val="-0.1572351623586318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C5BE-4F8F-B4A1-6C0519ECF54E}"/>
                </c:ext>
              </c:extLst>
            </c:dLbl>
            <c:dLbl>
              <c:idx val="1"/>
              <c:layout>
                <c:manualLayout>
                  <c:x val="0.10216511447818369"/>
                  <c:y val="-3.297632298580481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5BE-4F8F-B4A1-6C0519ECF54E}"/>
                </c:ext>
              </c:extLst>
            </c:dLbl>
            <c:dLbl>
              <c:idx val="2"/>
              <c:layout>
                <c:manualLayout>
                  <c:x val="0.13837078459187382"/>
                  <c:y val="6.081928240645322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5BE-4F8F-B4A1-6C0519ECF54E}"/>
                </c:ext>
              </c:extLst>
            </c:dLbl>
            <c:dLbl>
              <c:idx val="3"/>
              <c:layout>
                <c:manualLayout>
                  <c:x val="-7.3476011321039203E-2"/>
                  <c:y val="0.1166063404378117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5BE-4F8F-B4A1-6C0519ECF54E}"/>
                </c:ext>
              </c:extLst>
            </c:dLbl>
            <c:dLbl>
              <c:idx val="4"/>
              <c:layout>
                <c:manualLayout>
                  <c:x val="-0.11870095872480692"/>
                  <c:y val="-9.4927924585339225E-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5BE-4F8F-B4A1-6C0519ECF54E}"/>
                </c:ext>
              </c:extLst>
            </c:dLbl>
            <c:dLbl>
              <c:idx val="5"/>
              <c:layout>
                <c:manualLayout>
                  <c:x val="-7.8531006078548293E-2"/>
                  <c:y val="-8.325349383683060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5BE-4F8F-B4A1-6C0519ECF54E}"/>
                </c:ext>
              </c:extLst>
            </c:dLbl>
            <c:numFmt formatCode="0.00%" sourceLinked="0"/>
            <c:spPr>
              <a:noFill/>
              <a:ln>
                <a:noFill/>
              </a:ln>
              <a:effectLst/>
            </c:spPr>
            <c:showLegendKey val="0"/>
            <c:showVal val="0"/>
            <c:showCatName val="1"/>
            <c:showSerName val="0"/>
            <c:showPercent val="1"/>
            <c:showBubbleSize val="0"/>
            <c:showLeaderLines val="0"/>
            <c:extLst>
              <c:ext xmlns:c15="http://schemas.microsoft.com/office/drawing/2012/chart" uri="{CE6537A1-D6FC-4f65-9D91-7224C49458BB}"/>
            </c:extLst>
          </c:dLbls>
          <c:cat>
            <c:strRef>
              <c:f>('Deseta-n.'!$B$14:$F$14,'Deseta-n.'!$H$14)</c:f>
              <c:strCache>
                <c:ptCount val="6"/>
                <c:pt idx="0">
                  <c:v>Ocjena E</c:v>
                </c:pt>
                <c:pt idx="1">
                  <c:v>Ocjena D</c:v>
                </c:pt>
                <c:pt idx="2">
                  <c:v>Ocjena C</c:v>
                </c:pt>
                <c:pt idx="3">
                  <c:v>Ocjena B</c:v>
                </c:pt>
                <c:pt idx="4">
                  <c:v>Ocjena A</c:v>
                </c:pt>
                <c:pt idx="5">
                  <c:v>Nije pol.</c:v>
                </c:pt>
              </c:strCache>
            </c:strRef>
          </c:cat>
          <c:val>
            <c:numRef>
              <c:f>('Deseta-n.'!$B$15:$F$15,'Deseta-n.'!$H$15)</c:f>
              <c:numCache>
                <c:formatCode>General</c:formatCode>
                <c:ptCount val="6"/>
                <c:pt idx="0">
                  <c:v>14</c:v>
                </c:pt>
                <c:pt idx="1">
                  <c:v>21</c:v>
                </c:pt>
                <c:pt idx="2">
                  <c:v>17</c:v>
                </c:pt>
                <c:pt idx="3">
                  <c:v>15</c:v>
                </c:pt>
                <c:pt idx="4">
                  <c:v>6</c:v>
                </c:pt>
                <c:pt idx="5">
                  <c:v>18</c:v>
                </c:pt>
              </c:numCache>
            </c:numRef>
          </c:val>
          <c:extLst>
            <c:ext xmlns:c16="http://schemas.microsoft.com/office/drawing/2014/chart" uri="{C3380CC4-5D6E-409C-BE32-E72D297353CC}">
              <c16:uniqueId val="{00000006-C5BE-4F8F-B4A1-6C0519ECF54E}"/>
            </c:ext>
          </c:extLst>
        </c:ser>
        <c:dLbls>
          <c:showLegendKey val="0"/>
          <c:showVal val="0"/>
          <c:showCatName val="0"/>
          <c:showSerName val="0"/>
          <c:showPercent val="0"/>
          <c:showBubbleSize val="0"/>
          <c:showLeaderLines val="0"/>
        </c:dLbls>
        <c:firstSliceAng val="350"/>
        <c:holeSize val="60"/>
      </c:doughnutChart>
    </c:plotArea>
    <c:legend>
      <c:legendPos val="r"/>
      <c:layout>
        <c:manualLayout>
          <c:xMode val="edge"/>
          <c:yMode val="edge"/>
          <c:x val="0.78067885117493474"/>
          <c:y val="0.2356020942408377"/>
          <c:w val="0.20626631853785904"/>
          <c:h val="0.66492146596858637"/>
        </c:manualLayout>
      </c:layout>
      <c:overlay val="0"/>
    </c:legend>
    <c:plotVisOnly val="1"/>
    <c:dispBlanksAs val="zero"/>
    <c:showDLblsOverMax val="0"/>
  </c:chart>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2036553524804177"/>
          <c:y val="4.6153846153846156E-2"/>
        </c:manualLayout>
      </c:layout>
      <c:overlay val="0"/>
    </c:title>
    <c:autoTitleDeleted val="0"/>
    <c:view3D>
      <c:rotX val="25"/>
      <c:rotY val="60"/>
      <c:rAngAx val="0"/>
      <c:perspective val="0"/>
    </c:view3D>
    <c:floor>
      <c:thickness val="0"/>
    </c:floor>
    <c:sideWall>
      <c:thickness val="0"/>
    </c:sideWall>
    <c:backWall>
      <c:thickness val="0"/>
    </c:backWall>
    <c:plotArea>
      <c:layout>
        <c:manualLayout>
          <c:layoutTarget val="inner"/>
          <c:xMode val="edge"/>
          <c:yMode val="edge"/>
          <c:x val="0.22454308093994779"/>
          <c:y val="0.39487377240470956"/>
          <c:w val="0.3394255874673629"/>
          <c:h val="0.36923261835245569"/>
        </c:manualLayout>
      </c:layout>
      <c:pie3DChart>
        <c:varyColors val="1"/>
        <c:ser>
          <c:idx val="0"/>
          <c:order val="0"/>
          <c:tx>
            <c:strRef>
              <c:f>'Deseta-n.'!$F$14</c:f>
              <c:strCache>
                <c:ptCount val="1"/>
                <c:pt idx="0">
                  <c:v>Ocjena A</c:v>
                </c:pt>
              </c:strCache>
            </c:strRef>
          </c:tx>
          <c:explosion val="35"/>
          <c:dPt>
            <c:idx val="0"/>
            <c:bubble3D val="0"/>
            <c:extLst>
              <c:ext xmlns:c16="http://schemas.microsoft.com/office/drawing/2014/chart" uri="{C3380CC4-5D6E-409C-BE32-E72D297353CC}">
                <c16:uniqueId val="{00000000-C9BB-4833-A6B7-1E5687541EB1}"/>
              </c:ext>
            </c:extLst>
          </c:dPt>
          <c:dPt>
            <c:idx val="1"/>
            <c:bubble3D val="0"/>
            <c:extLst>
              <c:ext xmlns:c16="http://schemas.microsoft.com/office/drawing/2014/chart" uri="{C3380CC4-5D6E-409C-BE32-E72D297353CC}">
                <c16:uniqueId val="{00000001-C9BB-4833-A6B7-1E5687541EB1}"/>
              </c:ext>
            </c:extLst>
          </c:dPt>
          <c:dPt>
            <c:idx val="2"/>
            <c:bubble3D val="0"/>
            <c:extLst>
              <c:ext xmlns:c16="http://schemas.microsoft.com/office/drawing/2014/chart" uri="{C3380CC4-5D6E-409C-BE32-E72D297353CC}">
                <c16:uniqueId val="{00000002-C9BB-4833-A6B7-1E5687541EB1}"/>
              </c:ext>
            </c:extLst>
          </c:dPt>
          <c:dPt>
            <c:idx val="3"/>
            <c:bubble3D val="0"/>
            <c:extLst>
              <c:ext xmlns:c16="http://schemas.microsoft.com/office/drawing/2014/chart" uri="{C3380CC4-5D6E-409C-BE32-E72D297353CC}">
                <c16:uniqueId val="{00000003-C9BB-4833-A6B7-1E5687541EB1}"/>
              </c:ext>
            </c:extLst>
          </c:dPt>
          <c:dPt>
            <c:idx val="4"/>
            <c:bubble3D val="0"/>
            <c:extLst>
              <c:ext xmlns:c16="http://schemas.microsoft.com/office/drawing/2014/chart" uri="{C3380CC4-5D6E-409C-BE32-E72D297353CC}">
                <c16:uniqueId val="{00000004-C9BB-4833-A6B7-1E5687541EB1}"/>
              </c:ext>
            </c:extLst>
          </c:dPt>
          <c:dPt>
            <c:idx val="5"/>
            <c:bubble3D val="0"/>
            <c:extLst>
              <c:ext xmlns:c16="http://schemas.microsoft.com/office/drawing/2014/chart" uri="{C3380CC4-5D6E-409C-BE32-E72D297353CC}">
                <c16:uniqueId val="{00000005-C9BB-4833-A6B7-1E5687541EB1}"/>
              </c:ext>
            </c:extLst>
          </c:dPt>
          <c:dLbls>
            <c:dLbl>
              <c:idx val="0"/>
              <c:layout>
                <c:manualLayout>
                  <c:x val="2.4901077965776532E-2"/>
                  <c:y val="-9.971355815841474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C9BB-4833-A6B7-1E5687541EB1}"/>
                </c:ext>
              </c:extLst>
            </c:dLbl>
            <c:dLbl>
              <c:idx val="1"/>
              <c:layout>
                <c:manualLayout>
                  <c:x val="5.6274884699464782E-2"/>
                  <c:y val="-7.367335031302539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9BB-4833-A6B7-1E5687541EB1}"/>
                </c:ext>
              </c:extLst>
            </c:dLbl>
            <c:dLbl>
              <c:idx val="2"/>
              <c:layout>
                <c:manualLayout>
                  <c:x val="3.8741253949000506E-2"/>
                  <c:y val="-8.846888540716560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9BB-4833-A6B7-1E5687541EB1}"/>
                </c:ext>
              </c:extLst>
            </c:dLbl>
            <c:numFmt formatCode="0%" sourceLinked="0"/>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'Deseta-n.'!$A$15:$A$20</c:f>
              <c:strCache>
                <c:ptCount val="6"/>
                <c:pt idx="0">
                  <c:v>Predmet1</c:v>
                </c:pt>
                <c:pt idx="1">
                  <c:v>Predmet2</c:v>
                </c:pt>
                <c:pt idx="2">
                  <c:v>Predmet3</c:v>
                </c:pt>
                <c:pt idx="3">
                  <c:v>Predmet4</c:v>
                </c:pt>
                <c:pt idx="4">
                  <c:v>Predmet5</c:v>
                </c:pt>
                <c:pt idx="5">
                  <c:v>Predmet6</c:v>
                </c:pt>
              </c:strCache>
            </c:strRef>
          </c:cat>
          <c:val>
            <c:numRef>
              <c:f>'Deseta-n.'!$F$15:$F$20</c:f>
              <c:numCache>
                <c:formatCode>General</c:formatCode>
                <c:ptCount val="6"/>
                <c:pt idx="0">
                  <c:v>6</c:v>
                </c:pt>
                <c:pt idx="1">
                  <c:v>3</c:v>
                </c:pt>
                <c:pt idx="2">
                  <c:v>3</c:v>
                </c:pt>
                <c:pt idx="3">
                  <c:v>20</c:v>
                </c:pt>
                <c:pt idx="4">
                  <c:v>12</c:v>
                </c:pt>
                <c:pt idx="5">
                  <c:v>15</c:v>
                </c:pt>
              </c:numCache>
            </c:numRef>
          </c:val>
          <c:extLst>
            <c:ext xmlns:c16="http://schemas.microsoft.com/office/drawing/2014/chart" uri="{C3380CC4-5D6E-409C-BE32-E72D297353CC}">
              <c16:uniqueId val="{00000006-C9BB-4833-A6B7-1E5687541EB1}"/>
            </c:ext>
          </c:extLst>
        </c:ser>
        <c:dLbls>
          <c:showLegendKey val="0"/>
          <c:showVal val="0"/>
          <c:showCatName val="0"/>
          <c:showSerName val="0"/>
          <c:showPercent val="0"/>
          <c:showBubbleSize val="0"/>
          <c:showLeaderLines val="1"/>
        </c:dLbls>
      </c:pie3DChart>
    </c:plotArea>
    <c:legend>
      <c:legendPos val="r"/>
      <c:layout>
        <c:manualLayout>
          <c:xMode val="edge"/>
          <c:yMode val="edge"/>
          <c:x val="0.78067885117493474"/>
          <c:y val="0.25128312807052966"/>
          <c:w val="0.19843342036553524"/>
          <c:h val="0.65128528164748634"/>
        </c:manualLayout>
      </c:layout>
      <c:overlay val="0"/>
    </c:legend>
    <c:plotVisOnly val="1"/>
    <c:dispBlanksAs val="zero"/>
    <c:showDLblsOverMax val="0"/>
  </c:chart>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Linijski grafikon</a:t>
            </a:r>
          </a:p>
        </c:rich>
      </c:tx>
      <c:layout>
        <c:manualLayout>
          <c:xMode val="edge"/>
          <c:yMode val="edge"/>
          <c:x val="0.28370165716434143"/>
          <c:y val="2.2275256691639121E-2"/>
        </c:manualLayout>
      </c:layout>
      <c:overlay val="0"/>
    </c:title>
    <c:autoTitleDeleted val="0"/>
    <c:plotArea>
      <c:layout>
        <c:manualLayout>
          <c:layoutTarget val="inner"/>
          <c:xMode val="edge"/>
          <c:yMode val="edge"/>
          <c:x val="0.10432595898427308"/>
          <c:y val="0.23595570344239225"/>
          <c:w val="0.58269864896093992"/>
          <c:h val="0.5617992939104578"/>
        </c:manualLayout>
      </c:layout>
      <c:lineChart>
        <c:grouping val="standard"/>
        <c:varyColors val="0"/>
        <c:ser>
          <c:idx val="1"/>
          <c:order val="0"/>
          <c:tx>
            <c:strRef>
              <c:f>'Deseta-n.'!$A$203</c:f>
              <c:strCache>
                <c:ptCount val="1"/>
                <c:pt idx="0">
                  <c:v>Proizv1</c:v>
                </c:pt>
              </c:strCache>
            </c:strRef>
          </c:tx>
          <c:cat>
            <c:numRef>
              <c:f>'Deseta-n.'!$B$202:$E$202</c:f>
              <c:numCache>
                <c:formatCode>General</c:formatCode>
                <c:ptCount val="4"/>
                <c:pt idx="0">
                  <c:v>1</c:v>
                </c:pt>
                <c:pt idx="1">
                  <c:v>2</c:v>
                </c:pt>
                <c:pt idx="2">
                  <c:v>5</c:v>
                </c:pt>
                <c:pt idx="3">
                  <c:v>6</c:v>
                </c:pt>
              </c:numCache>
            </c:numRef>
          </c:cat>
          <c:val>
            <c:numRef>
              <c:f>'Deseta-n.'!$B$203:$E$203</c:f>
              <c:numCache>
                <c:formatCode>General</c:formatCode>
                <c:ptCount val="4"/>
                <c:pt idx="0">
                  <c:v>220</c:v>
                </c:pt>
                <c:pt idx="1">
                  <c:v>250</c:v>
                </c:pt>
                <c:pt idx="2">
                  <c:v>180</c:v>
                </c:pt>
                <c:pt idx="3">
                  <c:v>170</c:v>
                </c:pt>
              </c:numCache>
            </c:numRef>
          </c:val>
          <c:smooth val="0"/>
          <c:extLst>
            <c:ext xmlns:c16="http://schemas.microsoft.com/office/drawing/2014/chart" uri="{C3380CC4-5D6E-409C-BE32-E72D297353CC}">
              <c16:uniqueId val="{00000000-00BD-4196-BEF7-A0D34384E9FD}"/>
            </c:ext>
          </c:extLst>
        </c:ser>
        <c:ser>
          <c:idx val="2"/>
          <c:order val="1"/>
          <c:tx>
            <c:strRef>
              <c:f>'Deseta-n.'!$A$204</c:f>
              <c:strCache>
                <c:ptCount val="1"/>
                <c:pt idx="0">
                  <c:v>Proizv2</c:v>
                </c:pt>
              </c:strCache>
            </c:strRef>
          </c:tx>
          <c:cat>
            <c:numRef>
              <c:f>'Deseta-n.'!$B$202:$E$202</c:f>
              <c:numCache>
                <c:formatCode>General</c:formatCode>
                <c:ptCount val="4"/>
                <c:pt idx="0">
                  <c:v>1</c:v>
                </c:pt>
                <c:pt idx="1">
                  <c:v>2</c:v>
                </c:pt>
                <c:pt idx="2">
                  <c:v>5</c:v>
                </c:pt>
                <c:pt idx="3">
                  <c:v>6</c:v>
                </c:pt>
              </c:numCache>
            </c:numRef>
          </c:cat>
          <c:val>
            <c:numRef>
              <c:f>'Deseta-n.'!$B$204:$E$204</c:f>
              <c:numCache>
                <c:formatCode>General</c:formatCode>
                <c:ptCount val="4"/>
                <c:pt idx="0">
                  <c:v>100</c:v>
                </c:pt>
                <c:pt idx="1">
                  <c:v>110</c:v>
                </c:pt>
                <c:pt idx="2">
                  <c:v>140</c:v>
                </c:pt>
                <c:pt idx="3">
                  <c:v>150</c:v>
                </c:pt>
              </c:numCache>
            </c:numRef>
          </c:val>
          <c:smooth val="0"/>
          <c:extLst>
            <c:ext xmlns:c16="http://schemas.microsoft.com/office/drawing/2014/chart" uri="{C3380CC4-5D6E-409C-BE32-E72D297353CC}">
              <c16:uniqueId val="{00000001-00BD-4196-BEF7-A0D34384E9FD}"/>
            </c:ext>
          </c:extLst>
        </c:ser>
        <c:dLbls>
          <c:showLegendKey val="0"/>
          <c:showVal val="0"/>
          <c:showCatName val="0"/>
          <c:showSerName val="0"/>
          <c:showPercent val="0"/>
          <c:showBubbleSize val="0"/>
        </c:dLbls>
        <c:marker val="1"/>
        <c:smooth val="0"/>
        <c:axId val="101798656"/>
        <c:axId val="101800192"/>
      </c:lineChart>
      <c:catAx>
        <c:axId val="101798656"/>
        <c:scaling>
          <c:orientation val="minMax"/>
        </c:scaling>
        <c:delete val="0"/>
        <c:axPos val="b"/>
        <c:numFmt formatCode="General" sourceLinked="1"/>
        <c:majorTickMark val="out"/>
        <c:minorTickMark val="none"/>
        <c:tickLblPos val="nextTo"/>
        <c:txPr>
          <a:bodyPr rot="0" vert="horz"/>
          <a:lstStyle/>
          <a:p>
            <a:pPr>
              <a:defRPr/>
            </a:pPr>
            <a:endParaRPr lang="sr-Latn-RS"/>
          </a:p>
        </c:txPr>
        <c:crossAx val="101800192"/>
        <c:crosses val="autoZero"/>
        <c:auto val="1"/>
        <c:lblAlgn val="ctr"/>
        <c:lblOffset val="100"/>
        <c:tickLblSkip val="1"/>
        <c:tickMarkSkip val="1"/>
        <c:noMultiLvlLbl val="0"/>
      </c:catAx>
      <c:valAx>
        <c:axId val="101800192"/>
        <c:scaling>
          <c:orientation val="minMax"/>
          <c:max val="250"/>
          <c:min val="100"/>
        </c:scaling>
        <c:delete val="0"/>
        <c:axPos val="l"/>
        <c:majorGridlines/>
        <c:numFmt formatCode="General" sourceLinked="1"/>
        <c:majorTickMark val="out"/>
        <c:minorTickMark val="none"/>
        <c:tickLblPos val="nextTo"/>
        <c:txPr>
          <a:bodyPr rot="0" vert="horz"/>
          <a:lstStyle/>
          <a:p>
            <a:pPr>
              <a:defRPr/>
            </a:pPr>
            <a:endParaRPr lang="sr-Latn-RS"/>
          </a:p>
        </c:txPr>
        <c:crossAx val="101798656"/>
        <c:crosses val="autoZero"/>
        <c:crossBetween val="between"/>
      </c:valAx>
    </c:plotArea>
    <c:legend>
      <c:legendPos val="r"/>
      <c:layout>
        <c:manualLayout>
          <c:xMode val="edge"/>
          <c:yMode val="edge"/>
          <c:x val="0.79135047050416407"/>
          <c:y val="0.38202365153793977"/>
          <c:w val="0.19847381672710762"/>
          <c:h val="0.23033766846559905"/>
        </c:manualLayout>
      </c:layout>
      <c:overlay val="0"/>
    </c:legend>
    <c:plotVisOnly val="1"/>
    <c:dispBlanksAs val="gap"/>
    <c:showDLblsOverMax val="0"/>
  </c:chart>
  <c:printSettings>
    <c:headerFooter alignWithMargins="0"/>
    <c:pageMargins b="1" l="0.75" r="0.75" t="1" header="0.5" footer="0.5"/>
    <c:pageSetup paperSize="9" orientation="landscape" horizontalDpi="300" verticalDpi="30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s>
</file>

<file path=xl/drawings/_rels/vmlDrawing4.vml.rels><?xml version="1.0" encoding="UTF-8" standalone="yes"?>
<Relationships xmlns="http://schemas.openxmlformats.org/package/2006/relationships"><Relationship Id="rId3" Type="http://schemas.openxmlformats.org/officeDocument/2006/relationships/image" Target="../media/image4.wmf"/><Relationship Id="rId2" Type="http://schemas.openxmlformats.org/officeDocument/2006/relationships/image" Target="../media/image3.w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5</xdr:col>
      <xdr:colOff>317500</xdr:colOff>
      <xdr:row>0</xdr:row>
      <xdr:rowOff>163900</xdr:rowOff>
    </xdr:from>
    <xdr:to>
      <xdr:col>12</xdr:col>
      <xdr:colOff>341275</xdr:colOff>
      <xdr:row>17</xdr:row>
      <xdr:rowOff>37185</xdr:rowOff>
    </xdr:to>
    <xdr:grpSp>
      <xdr:nvGrpSpPr>
        <xdr:cNvPr id="23" name="Group 22">
          <a:extLst>
            <a:ext uri="{FF2B5EF4-FFF2-40B4-BE49-F238E27FC236}">
              <a16:creationId xmlns:a16="http://schemas.microsoft.com/office/drawing/2014/main" id="{00000000-0008-0000-0000-000017000000}"/>
            </a:ext>
          </a:extLst>
        </xdr:cNvPr>
        <xdr:cNvGrpSpPr/>
      </xdr:nvGrpSpPr>
      <xdr:grpSpPr>
        <a:xfrm>
          <a:off x="3403600" y="163900"/>
          <a:ext cx="4300500" cy="2626010"/>
          <a:chOff x="3517900" y="557600"/>
          <a:chExt cx="4303675" cy="2514885"/>
        </a:xfrm>
      </xdr:grpSpPr>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a:stretch>
            <a:fillRect/>
          </a:stretch>
        </xdr:blipFill>
        <xdr:spPr>
          <a:xfrm>
            <a:off x="3517900" y="652850"/>
            <a:ext cx="4303675" cy="2419635"/>
          </a:xfrm>
          <a:prstGeom prst="rect">
            <a:avLst/>
          </a:prstGeom>
        </xdr:spPr>
      </xdr:pic>
      <xdr:sp macro="" textlink="">
        <xdr:nvSpPr>
          <xdr:cNvPr id="12" name="Oval 11">
            <a:extLst>
              <a:ext uri="{FF2B5EF4-FFF2-40B4-BE49-F238E27FC236}">
                <a16:creationId xmlns:a16="http://schemas.microsoft.com/office/drawing/2014/main" id="{00000000-0008-0000-0000-00000C000000}"/>
              </a:ext>
            </a:extLst>
          </xdr:cNvPr>
          <xdr:cNvSpPr/>
        </xdr:nvSpPr>
        <xdr:spPr bwMode="auto">
          <a:xfrm>
            <a:off x="5219700" y="571500"/>
            <a:ext cx="165100" cy="190500"/>
          </a:xfrm>
          <a:prstGeom prst="ellipse">
            <a:avLst/>
          </a:prstGeom>
          <a:solidFill>
            <a:schemeClr val="accent2">
              <a:lumMod val="60000"/>
              <a:lumOff val="40000"/>
            </a:schemeClr>
          </a:solidFill>
          <a:ln w="28575" cap="flat" cmpd="sng" algn="ctr">
            <a:solidFill>
              <a:schemeClr val="accent2">
                <a:lumMod val="60000"/>
                <a:lumOff val="40000"/>
              </a:schemeClr>
            </a:solidFill>
            <a:prstDash val="solid"/>
            <a:round/>
            <a:headEnd type="none" w="med" len="med"/>
            <a:tailEnd type="none" w="med" len="med"/>
          </a:ln>
          <a:effectLst/>
        </xdr:spPr>
        <xdr:txBody>
          <a:bodyPr vertOverflow="clip" horzOverflow="clip" wrap="square" lIns="18288" tIns="0" rIns="0" bIns="0" rtlCol="0" anchor="t" upright="1"/>
          <a:lstStyle/>
          <a:p>
            <a:pPr algn="ctr"/>
            <a:r>
              <a:rPr lang="en-US" sz="1100">
                <a:solidFill>
                  <a:schemeClr val="bg1"/>
                </a:solidFill>
              </a:rPr>
              <a:t>1</a:t>
            </a:r>
          </a:p>
        </xdr:txBody>
      </xdr:sp>
      <xdr:sp macro="" textlink="">
        <xdr:nvSpPr>
          <xdr:cNvPr id="13" name="Oval 12">
            <a:extLst>
              <a:ext uri="{FF2B5EF4-FFF2-40B4-BE49-F238E27FC236}">
                <a16:creationId xmlns:a16="http://schemas.microsoft.com/office/drawing/2014/main" id="{00000000-0008-0000-0000-00000D000000}"/>
              </a:ext>
            </a:extLst>
          </xdr:cNvPr>
          <xdr:cNvSpPr/>
        </xdr:nvSpPr>
        <xdr:spPr bwMode="auto">
          <a:xfrm>
            <a:off x="3822700" y="557600"/>
            <a:ext cx="165100" cy="190500"/>
          </a:xfrm>
          <a:prstGeom prst="ellipse">
            <a:avLst/>
          </a:prstGeom>
          <a:solidFill>
            <a:schemeClr val="accent2">
              <a:lumMod val="60000"/>
              <a:lumOff val="40000"/>
            </a:schemeClr>
          </a:solidFill>
          <a:ln w="28575" cap="flat" cmpd="sng" algn="ctr">
            <a:solidFill>
              <a:schemeClr val="accent2">
                <a:lumMod val="60000"/>
                <a:lumOff val="40000"/>
              </a:schemeClr>
            </a:solidFill>
            <a:prstDash val="solid"/>
            <a:round/>
            <a:headEnd type="none" w="med" len="med"/>
            <a:tailEnd type="none" w="med" len="med"/>
          </a:ln>
          <a:effectLst/>
        </xdr:spPr>
        <xdr:txBody>
          <a:bodyPr vertOverflow="clip" horzOverflow="clip" wrap="square" lIns="18288" tIns="0" rIns="0" bIns="0" rtlCol="0" anchor="t" upright="1"/>
          <a:lstStyle/>
          <a:p>
            <a:pPr algn="ctr"/>
            <a:r>
              <a:rPr lang="en-US" sz="1100">
                <a:solidFill>
                  <a:schemeClr val="bg1"/>
                </a:solidFill>
              </a:rPr>
              <a:t>2</a:t>
            </a:r>
          </a:p>
        </xdr:txBody>
      </xdr:sp>
      <xdr:sp macro="" textlink="">
        <xdr:nvSpPr>
          <xdr:cNvPr id="14" name="Oval 13">
            <a:extLst>
              <a:ext uri="{FF2B5EF4-FFF2-40B4-BE49-F238E27FC236}">
                <a16:creationId xmlns:a16="http://schemas.microsoft.com/office/drawing/2014/main" id="{00000000-0008-0000-0000-00000E000000}"/>
              </a:ext>
            </a:extLst>
          </xdr:cNvPr>
          <xdr:cNvSpPr/>
        </xdr:nvSpPr>
        <xdr:spPr bwMode="auto">
          <a:xfrm>
            <a:off x="4438650" y="792550"/>
            <a:ext cx="165100" cy="190500"/>
          </a:xfrm>
          <a:prstGeom prst="ellipse">
            <a:avLst/>
          </a:prstGeom>
          <a:solidFill>
            <a:schemeClr val="accent2">
              <a:lumMod val="60000"/>
              <a:lumOff val="40000"/>
            </a:schemeClr>
          </a:solidFill>
          <a:ln w="28575" cap="flat" cmpd="sng" algn="ctr">
            <a:solidFill>
              <a:schemeClr val="accent2">
                <a:lumMod val="60000"/>
                <a:lumOff val="40000"/>
              </a:schemeClr>
            </a:solidFill>
            <a:prstDash val="solid"/>
            <a:round/>
            <a:headEnd type="none" w="med" len="med"/>
            <a:tailEnd type="none" w="med" len="med"/>
          </a:ln>
          <a:effectLst/>
        </xdr:spPr>
        <xdr:txBody>
          <a:bodyPr vertOverflow="clip" horzOverflow="clip" wrap="square" lIns="18288" tIns="0" rIns="0" bIns="0" rtlCol="0" anchor="t" upright="1"/>
          <a:lstStyle/>
          <a:p>
            <a:pPr algn="ctr"/>
            <a:r>
              <a:rPr lang="en-US" sz="1100">
                <a:solidFill>
                  <a:schemeClr val="bg1"/>
                </a:solidFill>
              </a:rPr>
              <a:t>3</a:t>
            </a:r>
          </a:p>
        </xdr:txBody>
      </xdr:sp>
      <xdr:sp macro="" textlink="">
        <xdr:nvSpPr>
          <xdr:cNvPr id="16" name="Oval 15">
            <a:extLst>
              <a:ext uri="{FF2B5EF4-FFF2-40B4-BE49-F238E27FC236}">
                <a16:creationId xmlns:a16="http://schemas.microsoft.com/office/drawing/2014/main" id="{00000000-0008-0000-0000-000010000000}"/>
              </a:ext>
            </a:extLst>
          </xdr:cNvPr>
          <xdr:cNvSpPr/>
        </xdr:nvSpPr>
        <xdr:spPr bwMode="auto">
          <a:xfrm>
            <a:off x="4248150" y="989400"/>
            <a:ext cx="165100" cy="190500"/>
          </a:xfrm>
          <a:prstGeom prst="ellipse">
            <a:avLst/>
          </a:prstGeom>
          <a:solidFill>
            <a:schemeClr val="accent2">
              <a:lumMod val="60000"/>
              <a:lumOff val="40000"/>
            </a:schemeClr>
          </a:solidFill>
          <a:ln w="28575" cap="flat" cmpd="sng" algn="ctr">
            <a:solidFill>
              <a:schemeClr val="accent2">
                <a:lumMod val="60000"/>
                <a:lumOff val="40000"/>
              </a:schemeClr>
            </a:solidFill>
            <a:prstDash val="solid"/>
            <a:round/>
            <a:headEnd type="none" w="med" len="med"/>
            <a:tailEnd type="none" w="med" len="med"/>
          </a:ln>
          <a:effectLst/>
        </xdr:spPr>
        <xdr:txBody>
          <a:bodyPr vertOverflow="clip" horzOverflow="clip" wrap="square" lIns="18288" tIns="0" rIns="0" bIns="0" rtlCol="0" anchor="t" upright="1"/>
          <a:lstStyle/>
          <a:p>
            <a:pPr algn="ctr"/>
            <a:r>
              <a:rPr lang="en-US" sz="1100">
                <a:solidFill>
                  <a:schemeClr val="bg1"/>
                </a:solidFill>
              </a:rPr>
              <a:t>4</a:t>
            </a:r>
          </a:p>
        </xdr:txBody>
      </xdr:sp>
      <xdr:sp macro="" textlink="">
        <xdr:nvSpPr>
          <xdr:cNvPr id="18" name="Oval 17">
            <a:extLst>
              <a:ext uri="{FF2B5EF4-FFF2-40B4-BE49-F238E27FC236}">
                <a16:creationId xmlns:a16="http://schemas.microsoft.com/office/drawing/2014/main" id="{00000000-0008-0000-0000-000012000000}"/>
              </a:ext>
            </a:extLst>
          </xdr:cNvPr>
          <xdr:cNvSpPr/>
        </xdr:nvSpPr>
        <xdr:spPr bwMode="auto">
          <a:xfrm>
            <a:off x="4800600" y="1713300"/>
            <a:ext cx="165100" cy="190500"/>
          </a:xfrm>
          <a:prstGeom prst="ellipse">
            <a:avLst/>
          </a:prstGeom>
          <a:solidFill>
            <a:schemeClr val="accent2">
              <a:lumMod val="60000"/>
              <a:lumOff val="40000"/>
            </a:schemeClr>
          </a:solidFill>
          <a:ln w="28575" cap="flat" cmpd="sng" algn="ctr">
            <a:solidFill>
              <a:schemeClr val="accent2">
                <a:lumMod val="60000"/>
                <a:lumOff val="40000"/>
              </a:schemeClr>
            </a:solidFill>
            <a:prstDash val="solid"/>
            <a:round/>
            <a:headEnd type="none" w="med" len="med"/>
            <a:tailEnd type="none" w="med" len="med"/>
          </a:ln>
          <a:effectLst/>
        </xdr:spPr>
        <xdr:txBody>
          <a:bodyPr vertOverflow="clip" horzOverflow="clip" wrap="square" lIns="18288" tIns="0" rIns="0" bIns="0" rtlCol="0" anchor="t" upright="1"/>
          <a:lstStyle/>
          <a:p>
            <a:pPr algn="ctr"/>
            <a:r>
              <a:rPr lang="en-US" sz="1100">
                <a:solidFill>
                  <a:schemeClr val="bg1"/>
                </a:solidFill>
              </a:rPr>
              <a:t>5</a:t>
            </a:r>
          </a:p>
        </xdr:txBody>
      </xdr:sp>
      <xdr:sp macro="" textlink="">
        <xdr:nvSpPr>
          <xdr:cNvPr id="20" name="Oval 19">
            <a:extLst>
              <a:ext uri="{FF2B5EF4-FFF2-40B4-BE49-F238E27FC236}">
                <a16:creationId xmlns:a16="http://schemas.microsoft.com/office/drawing/2014/main" id="{00000000-0008-0000-0000-000014000000}"/>
              </a:ext>
            </a:extLst>
          </xdr:cNvPr>
          <xdr:cNvSpPr/>
        </xdr:nvSpPr>
        <xdr:spPr bwMode="auto">
          <a:xfrm>
            <a:off x="7035800" y="2640400"/>
            <a:ext cx="165100" cy="190500"/>
          </a:xfrm>
          <a:prstGeom prst="ellipse">
            <a:avLst/>
          </a:prstGeom>
          <a:solidFill>
            <a:schemeClr val="accent2">
              <a:lumMod val="60000"/>
              <a:lumOff val="40000"/>
            </a:schemeClr>
          </a:solidFill>
          <a:ln w="28575" cap="flat" cmpd="sng" algn="ctr">
            <a:solidFill>
              <a:schemeClr val="accent2">
                <a:lumMod val="60000"/>
                <a:lumOff val="40000"/>
              </a:schemeClr>
            </a:solidFill>
            <a:prstDash val="solid"/>
            <a:round/>
            <a:headEnd type="none" w="med" len="med"/>
            <a:tailEnd type="none" w="med" len="med"/>
          </a:ln>
          <a:effectLst/>
        </xdr:spPr>
        <xdr:txBody>
          <a:bodyPr vertOverflow="clip" horzOverflow="clip" wrap="square" lIns="18288" tIns="0" rIns="0" bIns="0" rtlCol="0" anchor="t" upright="1"/>
          <a:lstStyle/>
          <a:p>
            <a:pPr algn="ctr"/>
            <a:r>
              <a:rPr lang="en-US" sz="1100">
                <a:solidFill>
                  <a:schemeClr val="bg1"/>
                </a:solidFill>
              </a:rPr>
              <a:t>6</a:t>
            </a:r>
          </a:p>
        </xdr:txBody>
      </xdr:sp>
      <xdr:sp macro="" textlink="">
        <xdr:nvSpPr>
          <xdr:cNvPr id="21" name="Oval 20">
            <a:extLst>
              <a:ext uri="{FF2B5EF4-FFF2-40B4-BE49-F238E27FC236}">
                <a16:creationId xmlns:a16="http://schemas.microsoft.com/office/drawing/2014/main" id="{00000000-0008-0000-0000-000015000000}"/>
              </a:ext>
            </a:extLst>
          </xdr:cNvPr>
          <xdr:cNvSpPr/>
        </xdr:nvSpPr>
        <xdr:spPr bwMode="auto">
          <a:xfrm>
            <a:off x="4718050" y="2592338"/>
            <a:ext cx="165100" cy="190500"/>
          </a:xfrm>
          <a:prstGeom prst="ellipse">
            <a:avLst/>
          </a:prstGeom>
          <a:solidFill>
            <a:schemeClr val="accent2">
              <a:lumMod val="60000"/>
              <a:lumOff val="40000"/>
            </a:schemeClr>
          </a:solidFill>
          <a:ln w="28575" cap="flat" cmpd="sng" algn="ctr">
            <a:solidFill>
              <a:schemeClr val="accent2">
                <a:lumMod val="60000"/>
                <a:lumOff val="40000"/>
              </a:schemeClr>
            </a:solidFill>
            <a:prstDash val="solid"/>
            <a:round/>
            <a:headEnd type="none" w="med" len="med"/>
            <a:tailEnd type="none" w="med" len="med"/>
          </a:ln>
          <a:effectLst/>
        </xdr:spPr>
        <xdr:txBody>
          <a:bodyPr vertOverflow="clip" horzOverflow="clip" wrap="square" lIns="18288" tIns="0" rIns="0" bIns="0" rtlCol="0" anchor="t" upright="1"/>
          <a:lstStyle/>
          <a:p>
            <a:pPr algn="ctr"/>
            <a:r>
              <a:rPr lang="en-US" sz="1100">
                <a:solidFill>
                  <a:schemeClr val="bg1"/>
                </a:solidFill>
              </a:rPr>
              <a:t>8</a:t>
            </a:r>
          </a:p>
        </xdr:txBody>
      </xdr:sp>
      <xdr:sp macro="" textlink="">
        <xdr:nvSpPr>
          <xdr:cNvPr id="22" name="Oval 21">
            <a:extLst>
              <a:ext uri="{FF2B5EF4-FFF2-40B4-BE49-F238E27FC236}">
                <a16:creationId xmlns:a16="http://schemas.microsoft.com/office/drawing/2014/main" id="{00000000-0008-0000-0000-000016000000}"/>
              </a:ext>
            </a:extLst>
          </xdr:cNvPr>
          <xdr:cNvSpPr/>
        </xdr:nvSpPr>
        <xdr:spPr bwMode="auto">
          <a:xfrm>
            <a:off x="7486650" y="2672150"/>
            <a:ext cx="165100" cy="190500"/>
          </a:xfrm>
          <a:prstGeom prst="ellipse">
            <a:avLst/>
          </a:prstGeom>
          <a:solidFill>
            <a:schemeClr val="accent2">
              <a:lumMod val="60000"/>
              <a:lumOff val="40000"/>
            </a:schemeClr>
          </a:solidFill>
          <a:ln w="28575" cap="flat" cmpd="sng" algn="ctr">
            <a:solidFill>
              <a:schemeClr val="accent2">
                <a:lumMod val="60000"/>
                <a:lumOff val="40000"/>
              </a:schemeClr>
            </a:solidFill>
            <a:prstDash val="solid"/>
            <a:round/>
            <a:headEnd type="none" w="med" len="med"/>
            <a:tailEnd type="none" w="med" len="med"/>
          </a:ln>
          <a:effectLst/>
        </xdr:spPr>
        <xdr:txBody>
          <a:bodyPr vertOverflow="clip" horzOverflow="clip" wrap="square" lIns="18288" tIns="0" rIns="0" bIns="0" rtlCol="0" anchor="t" upright="1"/>
          <a:lstStyle/>
          <a:p>
            <a:pPr algn="ctr"/>
            <a:r>
              <a:rPr lang="en-US" sz="1100">
                <a:solidFill>
                  <a:schemeClr val="bg1"/>
                </a:solidFill>
              </a:rPr>
              <a:t>7</a:t>
            </a:r>
          </a:p>
        </xdr:txBody>
      </xdr:sp>
    </xdr:grpSp>
    <xdr:clientData/>
  </xdr:twoCellAnchor>
  <xdr:twoCellAnchor>
    <xdr:from>
      <xdr:col>5</xdr:col>
      <xdr:colOff>25400</xdr:colOff>
      <xdr:row>5</xdr:row>
      <xdr:rowOff>69850</xdr:rowOff>
    </xdr:from>
    <xdr:to>
      <xdr:col>5</xdr:col>
      <xdr:colOff>222250</xdr:colOff>
      <xdr:row>5</xdr:row>
      <xdr:rowOff>115569</xdr:rowOff>
    </xdr:to>
    <xdr:sp macro="" textlink="">
      <xdr:nvSpPr>
        <xdr:cNvPr id="7" name="Right Arrow 6">
          <a:extLst>
            <a:ext uri="{FF2B5EF4-FFF2-40B4-BE49-F238E27FC236}">
              <a16:creationId xmlns:a16="http://schemas.microsoft.com/office/drawing/2014/main" id="{00000000-0008-0000-0000-000007000000}"/>
            </a:ext>
          </a:extLst>
        </xdr:cNvPr>
        <xdr:cNvSpPr/>
      </xdr:nvSpPr>
      <xdr:spPr bwMode="auto">
        <a:xfrm>
          <a:off x="3111500" y="895350"/>
          <a:ext cx="196850" cy="45719"/>
        </a:xfrm>
        <a:prstGeom prst="rightArrow">
          <a:avLst/>
        </a:prstGeom>
        <a:solidFill>
          <a:srgbClr val="FFFFFF"/>
        </a:solidFill>
        <a:ln w="2857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7</xdr:col>
      <xdr:colOff>76200</xdr:colOff>
      <xdr:row>15</xdr:row>
      <xdr:rowOff>9525</xdr:rowOff>
    </xdr:from>
    <xdr:to>
      <xdr:col>7</xdr:col>
      <xdr:colOff>335328</xdr:colOff>
      <xdr:row>16</xdr:row>
      <xdr:rowOff>28157</xdr:rowOff>
    </xdr:to>
    <xdr:cxnSp macro="">
      <xdr:nvCxnSpPr>
        <xdr:cNvPr id="15" name="Straight Arrow Connector 14">
          <a:extLst>
            <a:ext uri="{FF2B5EF4-FFF2-40B4-BE49-F238E27FC236}">
              <a16:creationId xmlns:a16="http://schemas.microsoft.com/office/drawing/2014/main" id="{00000000-0008-0000-0000-00000F000000}"/>
            </a:ext>
          </a:extLst>
        </xdr:cNvPr>
        <xdr:cNvCxnSpPr/>
      </xdr:nvCxnSpPr>
      <xdr:spPr bwMode="auto">
        <a:xfrm flipH="1">
          <a:off x="4391025" y="2438400"/>
          <a:ext cx="259128" cy="180557"/>
        </a:xfrm>
        <a:prstGeom prst="straightConnector1">
          <a:avLst/>
        </a:prstGeom>
        <a:solidFill>
          <a:srgbClr val="FFFFFF"/>
        </a:solidFill>
        <a:ln w="28575" cap="flat" cmpd="sng" algn="ctr">
          <a:solidFill>
            <a:srgbClr val="000000"/>
          </a:solidFill>
          <a:prstDash val="solid"/>
          <a:round/>
          <a:headEnd type="none" w="med" len="med"/>
          <a:tailEnd type="arrow"/>
        </a:ln>
        <a:effectLst/>
      </xdr:spPr>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19050</xdr:colOff>
      <xdr:row>9</xdr:row>
      <xdr:rowOff>95250</xdr:rowOff>
    </xdr:from>
    <xdr:to>
      <xdr:col>2</xdr:col>
      <xdr:colOff>561975</xdr:colOff>
      <xdr:row>9</xdr:row>
      <xdr:rowOff>95250</xdr:rowOff>
    </xdr:to>
    <xdr:sp macro="" textlink="">
      <xdr:nvSpPr>
        <xdr:cNvPr id="22537" name="Line 2">
          <a:extLst>
            <a:ext uri="{FF2B5EF4-FFF2-40B4-BE49-F238E27FC236}">
              <a16:creationId xmlns:a16="http://schemas.microsoft.com/office/drawing/2014/main" id="{00000000-0008-0000-0C00-000009580000}"/>
            </a:ext>
          </a:extLst>
        </xdr:cNvPr>
        <xdr:cNvSpPr>
          <a:spLocks noChangeShapeType="1"/>
        </xdr:cNvSpPr>
      </xdr:nvSpPr>
      <xdr:spPr bwMode="auto">
        <a:xfrm flipH="1">
          <a:off x="1504950" y="1590675"/>
          <a:ext cx="542925" cy="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600075</xdr:colOff>
      <xdr:row>28</xdr:row>
      <xdr:rowOff>66675</xdr:rowOff>
    </xdr:from>
    <xdr:to>
      <xdr:col>4</xdr:col>
      <xdr:colOff>571500</xdr:colOff>
      <xdr:row>28</xdr:row>
      <xdr:rowOff>66675</xdr:rowOff>
    </xdr:to>
    <xdr:sp macro="" textlink="">
      <xdr:nvSpPr>
        <xdr:cNvPr id="22538" name="Line 3">
          <a:extLst>
            <a:ext uri="{FF2B5EF4-FFF2-40B4-BE49-F238E27FC236}">
              <a16:creationId xmlns:a16="http://schemas.microsoft.com/office/drawing/2014/main" id="{00000000-0008-0000-0C00-00000A580000}"/>
            </a:ext>
          </a:extLst>
        </xdr:cNvPr>
        <xdr:cNvSpPr>
          <a:spLocks noChangeShapeType="1"/>
        </xdr:cNvSpPr>
      </xdr:nvSpPr>
      <xdr:spPr bwMode="auto">
        <a:xfrm flipH="1">
          <a:off x="2695575" y="4638675"/>
          <a:ext cx="847725" cy="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85725</xdr:colOff>
      <xdr:row>37</xdr:row>
      <xdr:rowOff>9525</xdr:rowOff>
    </xdr:from>
    <xdr:to>
      <xdr:col>5</xdr:col>
      <xdr:colOff>381000</xdr:colOff>
      <xdr:row>38</xdr:row>
      <xdr:rowOff>142875</xdr:rowOff>
    </xdr:to>
    <xdr:sp macro="" textlink="">
      <xdr:nvSpPr>
        <xdr:cNvPr id="22539" name="Line 5">
          <a:extLst>
            <a:ext uri="{FF2B5EF4-FFF2-40B4-BE49-F238E27FC236}">
              <a16:creationId xmlns:a16="http://schemas.microsoft.com/office/drawing/2014/main" id="{00000000-0008-0000-0C00-00000B580000}"/>
            </a:ext>
          </a:extLst>
        </xdr:cNvPr>
        <xdr:cNvSpPr>
          <a:spLocks noChangeShapeType="1"/>
        </xdr:cNvSpPr>
      </xdr:nvSpPr>
      <xdr:spPr bwMode="auto">
        <a:xfrm flipH="1" flipV="1">
          <a:off x="3667125" y="6038850"/>
          <a:ext cx="295275" cy="295275"/>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428625</xdr:colOff>
      <xdr:row>10</xdr:row>
      <xdr:rowOff>19050</xdr:rowOff>
    </xdr:from>
    <xdr:to>
      <xdr:col>5</xdr:col>
      <xdr:colOff>0</xdr:colOff>
      <xdr:row>11</xdr:row>
      <xdr:rowOff>28575</xdr:rowOff>
    </xdr:to>
    <xdr:grpSp>
      <xdr:nvGrpSpPr>
        <xdr:cNvPr id="14384" name="Group 24">
          <a:extLst>
            <a:ext uri="{FF2B5EF4-FFF2-40B4-BE49-F238E27FC236}">
              <a16:creationId xmlns:a16="http://schemas.microsoft.com/office/drawing/2014/main" id="{00000000-0008-0000-0100-000030380000}"/>
            </a:ext>
          </a:extLst>
        </xdr:cNvPr>
        <xdr:cNvGrpSpPr>
          <a:grpSpLocks/>
        </xdr:cNvGrpSpPr>
      </xdr:nvGrpSpPr>
      <xdr:grpSpPr bwMode="auto">
        <a:xfrm>
          <a:off x="2914650" y="1638300"/>
          <a:ext cx="180975" cy="171450"/>
          <a:chOff x="357" y="867"/>
          <a:chExt cx="19" cy="18"/>
        </a:xfrm>
      </xdr:grpSpPr>
      <xdr:sp macro="" textlink="">
        <xdr:nvSpPr>
          <xdr:cNvPr id="14398" name="Text Box 12">
            <a:extLst>
              <a:ext uri="{FF2B5EF4-FFF2-40B4-BE49-F238E27FC236}">
                <a16:creationId xmlns:a16="http://schemas.microsoft.com/office/drawing/2014/main" id="{00000000-0008-0000-0100-00003E380000}"/>
              </a:ext>
            </a:extLst>
          </xdr:cNvPr>
          <xdr:cNvSpPr txBox="1">
            <a:spLocks noChangeArrowheads="1"/>
          </xdr:cNvSpPr>
        </xdr:nvSpPr>
        <xdr:spPr bwMode="auto">
          <a:xfrm>
            <a:off x="357" y="867"/>
            <a:ext cx="19" cy="18"/>
          </a:xfrm>
          <a:prstGeom prst="rect">
            <a:avLst/>
          </a:prstGeom>
          <a:solidFill>
            <a:srgbClr val="C0C0C0"/>
          </a:solidFill>
          <a:ln w="9525">
            <a:solidFill>
              <a:srgbClr val="000000"/>
            </a:solidFill>
            <a:miter lim="800000"/>
            <a:headEnd/>
            <a:tailEnd/>
          </a:ln>
        </xdr:spPr>
      </xdr:sp>
      <xdr:sp macro="" textlink="">
        <xdr:nvSpPr>
          <xdr:cNvPr id="14399" name="Rectangle 13">
            <a:extLst>
              <a:ext uri="{FF2B5EF4-FFF2-40B4-BE49-F238E27FC236}">
                <a16:creationId xmlns:a16="http://schemas.microsoft.com/office/drawing/2014/main" id="{00000000-0008-0000-0100-00003F380000}"/>
              </a:ext>
            </a:extLst>
          </xdr:cNvPr>
          <xdr:cNvSpPr>
            <a:spLocks noChangeArrowheads="1"/>
          </xdr:cNvSpPr>
        </xdr:nvSpPr>
        <xdr:spPr bwMode="auto">
          <a:xfrm>
            <a:off x="362" y="873"/>
            <a:ext cx="9" cy="8"/>
          </a:xfrm>
          <a:prstGeom prst="rect">
            <a:avLst/>
          </a:prstGeom>
          <a:solidFill>
            <a:srgbClr val="C0C0C0"/>
          </a:solidFill>
          <a:ln w="12700">
            <a:solidFill>
              <a:srgbClr val="000000"/>
            </a:solidFill>
            <a:miter lim="800000"/>
            <a:headEnd/>
            <a:tailEnd/>
          </a:ln>
        </xdr:spPr>
      </xdr:sp>
      <xdr:sp macro="" textlink="">
        <xdr:nvSpPr>
          <xdr:cNvPr id="14400" name="Line 14">
            <a:extLst>
              <a:ext uri="{FF2B5EF4-FFF2-40B4-BE49-F238E27FC236}">
                <a16:creationId xmlns:a16="http://schemas.microsoft.com/office/drawing/2014/main" id="{00000000-0008-0000-0100-000040380000}"/>
              </a:ext>
            </a:extLst>
          </xdr:cNvPr>
          <xdr:cNvSpPr>
            <a:spLocks noChangeShapeType="1"/>
          </xdr:cNvSpPr>
        </xdr:nvSpPr>
        <xdr:spPr bwMode="auto">
          <a:xfrm>
            <a:off x="362" y="872"/>
            <a:ext cx="10"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5</xdr:col>
      <xdr:colOff>95250</xdr:colOff>
      <xdr:row>10</xdr:row>
      <xdr:rowOff>19050</xdr:rowOff>
    </xdr:from>
    <xdr:to>
      <xdr:col>5</xdr:col>
      <xdr:colOff>276225</xdr:colOff>
      <xdr:row>11</xdr:row>
      <xdr:rowOff>28575</xdr:rowOff>
    </xdr:to>
    <xdr:grpSp>
      <xdr:nvGrpSpPr>
        <xdr:cNvPr id="14385" name="Group 23">
          <a:extLst>
            <a:ext uri="{FF2B5EF4-FFF2-40B4-BE49-F238E27FC236}">
              <a16:creationId xmlns:a16="http://schemas.microsoft.com/office/drawing/2014/main" id="{00000000-0008-0000-0100-000031380000}"/>
            </a:ext>
          </a:extLst>
        </xdr:cNvPr>
        <xdr:cNvGrpSpPr>
          <a:grpSpLocks/>
        </xdr:cNvGrpSpPr>
      </xdr:nvGrpSpPr>
      <xdr:grpSpPr bwMode="auto">
        <a:xfrm>
          <a:off x="3190875" y="1638300"/>
          <a:ext cx="180975" cy="171450"/>
          <a:chOff x="293" y="867"/>
          <a:chExt cx="19" cy="18"/>
        </a:xfrm>
      </xdr:grpSpPr>
      <xdr:sp macro="" textlink="">
        <xdr:nvSpPr>
          <xdr:cNvPr id="14393" name="Text Box 9">
            <a:extLst>
              <a:ext uri="{FF2B5EF4-FFF2-40B4-BE49-F238E27FC236}">
                <a16:creationId xmlns:a16="http://schemas.microsoft.com/office/drawing/2014/main" id="{00000000-0008-0000-0100-000039380000}"/>
              </a:ext>
            </a:extLst>
          </xdr:cNvPr>
          <xdr:cNvSpPr txBox="1">
            <a:spLocks noChangeArrowheads="1"/>
          </xdr:cNvSpPr>
        </xdr:nvSpPr>
        <xdr:spPr bwMode="auto">
          <a:xfrm>
            <a:off x="293" y="867"/>
            <a:ext cx="19" cy="18"/>
          </a:xfrm>
          <a:prstGeom prst="rect">
            <a:avLst/>
          </a:prstGeom>
          <a:solidFill>
            <a:srgbClr val="C0C0C0"/>
          </a:solidFill>
          <a:ln w="9525">
            <a:solidFill>
              <a:srgbClr val="000000"/>
            </a:solidFill>
            <a:miter lim="800000"/>
            <a:headEnd/>
            <a:tailEnd/>
          </a:ln>
        </xdr:spPr>
      </xdr:sp>
      <xdr:sp macro="" textlink="">
        <xdr:nvSpPr>
          <xdr:cNvPr id="14394" name="Rectangle 11">
            <a:extLst>
              <a:ext uri="{FF2B5EF4-FFF2-40B4-BE49-F238E27FC236}">
                <a16:creationId xmlns:a16="http://schemas.microsoft.com/office/drawing/2014/main" id="{00000000-0008-0000-0100-00003A380000}"/>
              </a:ext>
            </a:extLst>
          </xdr:cNvPr>
          <xdr:cNvSpPr>
            <a:spLocks noChangeArrowheads="1"/>
          </xdr:cNvSpPr>
        </xdr:nvSpPr>
        <xdr:spPr bwMode="auto">
          <a:xfrm>
            <a:off x="301" y="870"/>
            <a:ext cx="8" cy="8"/>
          </a:xfrm>
          <a:prstGeom prst="rect">
            <a:avLst/>
          </a:prstGeom>
          <a:solidFill>
            <a:srgbClr val="C0C0C0"/>
          </a:solidFill>
          <a:ln w="12700">
            <a:solidFill>
              <a:srgbClr val="000000"/>
            </a:solidFill>
            <a:miter lim="800000"/>
            <a:headEnd/>
            <a:tailEnd/>
          </a:ln>
        </xdr:spPr>
      </xdr:sp>
      <xdr:sp macro="" textlink="">
        <xdr:nvSpPr>
          <xdr:cNvPr id="14395" name="Rectangle 10">
            <a:extLst>
              <a:ext uri="{FF2B5EF4-FFF2-40B4-BE49-F238E27FC236}">
                <a16:creationId xmlns:a16="http://schemas.microsoft.com/office/drawing/2014/main" id="{00000000-0008-0000-0100-00003B380000}"/>
              </a:ext>
            </a:extLst>
          </xdr:cNvPr>
          <xdr:cNvSpPr>
            <a:spLocks noChangeArrowheads="1"/>
          </xdr:cNvSpPr>
        </xdr:nvSpPr>
        <xdr:spPr bwMode="auto">
          <a:xfrm>
            <a:off x="297" y="874"/>
            <a:ext cx="8" cy="8"/>
          </a:xfrm>
          <a:prstGeom prst="rect">
            <a:avLst/>
          </a:prstGeom>
          <a:solidFill>
            <a:srgbClr val="C0C0C0"/>
          </a:solidFill>
          <a:ln w="12700">
            <a:solidFill>
              <a:srgbClr val="000000"/>
            </a:solidFill>
            <a:miter lim="800000"/>
            <a:headEnd/>
            <a:tailEnd/>
          </a:ln>
        </xdr:spPr>
      </xdr:sp>
      <xdr:sp macro="" textlink="">
        <xdr:nvSpPr>
          <xdr:cNvPr id="14396" name="Line 19">
            <a:extLst>
              <a:ext uri="{FF2B5EF4-FFF2-40B4-BE49-F238E27FC236}">
                <a16:creationId xmlns:a16="http://schemas.microsoft.com/office/drawing/2014/main" id="{00000000-0008-0000-0100-00003C380000}"/>
              </a:ext>
            </a:extLst>
          </xdr:cNvPr>
          <xdr:cNvSpPr>
            <a:spLocks noChangeShapeType="1"/>
          </xdr:cNvSpPr>
        </xdr:nvSpPr>
        <xdr:spPr bwMode="auto">
          <a:xfrm>
            <a:off x="300" y="870"/>
            <a:ext cx="10"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397" name="Line 20">
            <a:extLst>
              <a:ext uri="{FF2B5EF4-FFF2-40B4-BE49-F238E27FC236}">
                <a16:creationId xmlns:a16="http://schemas.microsoft.com/office/drawing/2014/main" id="{00000000-0008-0000-0100-00003D380000}"/>
              </a:ext>
            </a:extLst>
          </xdr:cNvPr>
          <xdr:cNvSpPr>
            <a:spLocks noChangeShapeType="1"/>
          </xdr:cNvSpPr>
        </xdr:nvSpPr>
        <xdr:spPr bwMode="auto">
          <a:xfrm>
            <a:off x="296" y="874"/>
            <a:ext cx="10"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4</xdr:col>
      <xdr:colOff>161925</xdr:colOff>
      <xdr:row>10</xdr:row>
      <xdr:rowOff>9525</xdr:rowOff>
    </xdr:from>
    <xdr:to>
      <xdr:col>4</xdr:col>
      <xdr:colOff>342900</xdr:colOff>
      <xdr:row>11</xdr:row>
      <xdr:rowOff>19050</xdr:rowOff>
    </xdr:to>
    <xdr:grpSp>
      <xdr:nvGrpSpPr>
        <xdr:cNvPr id="14386" name="Group 22">
          <a:extLst>
            <a:ext uri="{FF2B5EF4-FFF2-40B4-BE49-F238E27FC236}">
              <a16:creationId xmlns:a16="http://schemas.microsoft.com/office/drawing/2014/main" id="{00000000-0008-0000-0100-000032380000}"/>
            </a:ext>
          </a:extLst>
        </xdr:cNvPr>
        <xdr:cNvGrpSpPr>
          <a:grpSpLocks/>
        </xdr:cNvGrpSpPr>
      </xdr:nvGrpSpPr>
      <xdr:grpSpPr bwMode="auto">
        <a:xfrm>
          <a:off x="2647950" y="1628775"/>
          <a:ext cx="180975" cy="171450"/>
          <a:chOff x="261" y="867"/>
          <a:chExt cx="19" cy="18"/>
        </a:xfrm>
      </xdr:grpSpPr>
      <xdr:sp macro="" textlink="">
        <xdr:nvSpPr>
          <xdr:cNvPr id="14391" name="Text Box 8">
            <a:extLst>
              <a:ext uri="{FF2B5EF4-FFF2-40B4-BE49-F238E27FC236}">
                <a16:creationId xmlns:a16="http://schemas.microsoft.com/office/drawing/2014/main" id="{00000000-0008-0000-0100-000037380000}"/>
              </a:ext>
            </a:extLst>
          </xdr:cNvPr>
          <xdr:cNvSpPr txBox="1">
            <a:spLocks noChangeArrowheads="1"/>
          </xdr:cNvSpPr>
        </xdr:nvSpPr>
        <xdr:spPr bwMode="auto">
          <a:xfrm>
            <a:off x="261" y="867"/>
            <a:ext cx="19" cy="18"/>
          </a:xfrm>
          <a:prstGeom prst="rect">
            <a:avLst/>
          </a:prstGeom>
          <a:solidFill>
            <a:srgbClr val="C0C0C0"/>
          </a:solidFill>
          <a:ln w="9525">
            <a:solidFill>
              <a:srgbClr val="000000"/>
            </a:solidFill>
            <a:miter lim="800000"/>
            <a:headEnd/>
            <a:tailEnd/>
          </a:ln>
        </xdr:spPr>
      </xdr:sp>
      <xdr:sp macro="" textlink="">
        <xdr:nvSpPr>
          <xdr:cNvPr id="14392" name="Line 21">
            <a:extLst>
              <a:ext uri="{FF2B5EF4-FFF2-40B4-BE49-F238E27FC236}">
                <a16:creationId xmlns:a16="http://schemas.microsoft.com/office/drawing/2014/main" id="{00000000-0008-0000-0100-000038380000}"/>
              </a:ext>
            </a:extLst>
          </xdr:cNvPr>
          <xdr:cNvSpPr>
            <a:spLocks noChangeShapeType="1"/>
          </xdr:cNvSpPr>
        </xdr:nvSpPr>
        <xdr:spPr bwMode="auto">
          <a:xfrm>
            <a:off x="265" y="881"/>
            <a:ext cx="10"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209550</xdr:colOff>
      <xdr:row>14</xdr:row>
      <xdr:rowOff>152400</xdr:rowOff>
    </xdr:from>
    <xdr:to>
      <xdr:col>2</xdr:col>
      <xdr:colOff>390525</xdr:colOff>
      <xdr:row>16</xdr:row>
      <xdr:rowOff>0</xdr:rowOff>
    </xdr:to>
    <xdr:grpSp>
      <xdr:nvGrpSpPr>
        <xdr:cNvPr id="14387" name="Group 30">
          <a:extLst>
            <a:ext uri="{FF2B5EF4-FFF2-40B4-BE49-F238E27FC236}">
              <a16:creationId xmlns:a16="http://schemas.microsoft.com/office/drawing/2014/main" id="{00000000-0008-0000-0100-000033380000}"/>
            </a:ext>
          </a:extLst>
        </xdr:cNvPr>
        <xdr:cNvGrpSpPr>
          <a:grpSpLocks/>
        </xdr:cNvGrpSpPr>
      </xdr:nvGrpSpPr>
      <xdr:grpSpPr bwMode="auto">
        <a:xfrm>
          <a:off x="1428750" y="2419350"/>
          <a:ext cx="180975" cy="171450"/>
          <a:chOff x="150" y="220"/>
          <a:chExt cx="19" cy="18"/>
        </a:xfrm>
      </xdr:grpSpPr>
      <xdr:sp macro="" textlink="">
        <xdr:nvSpPr>
          <xdr:cNvPr id="14388" name="Text Box 26">
            <a:extLst>
              <a:ext uri="{FF2B5EF4-FFF2-40B4-BE49-F238E27FC236}">
                <a16:creationId xmlns:a16="http://schemas.microsoft.com/office/drawing/2014/main" id="{00000000-0008-0000-0100-000034380000}"/>
              </a:ext>
            </a:extLst>
          </xdr:cNvPr>
          <xdr:cNvSpPr txBox="1">
            <a:spLocks noChangeArrowheads="1"/>
          </xdr:cNvSpPr>
        </xdr:nvSpPr>
        <xdr:spPr bwMode="auto">
          <a:xfrm>
            <a:off x="150" y="220"/>
            <a:ext cx="19" cy="18"/>
          </a:xfrm>
          <a:prstGeom prst="rect">
            <a:avLst/>
          </a:prstGeom>
          <a:solidFill>
            <a:srgbClr val="C0C0C0"/>
          </a:solidFill>
          <a:ln w="9525">
            <a:solidFill>
              <a:srgbClr val="000000"/>
            </a:solidFill>
            <a:miter lim="800000"/>
            <a:headEnd/>
            <a:tailEnd/>
          </a:ln>
        </xdr:spPr>
      </xdr:sp>
      <xdr:sp macro="" textlink="">
        <xdr:nvSpPr>
          <xdr:cNvPr id="14389" name="Line 27">
            <a:extLst>
              <a:ext uri="{FF2B5EF4-FFF2-40B4-BE49-F238E27FC236}">
                <a16:creationId xmlns:a16="http://schemas.microsoft.com/office/drawing/2014/main" id="{00000000-0008-0000-0100-000035380000}"/>
              </a:ext>
            </a:extLst>
          </xdr:cNvPr>
          <xdr:cNvSpPr>
            <a:spLocks noChangeShapeType="1"/>
          </xdr:cNvSpPr>
        </xdr:nvSpPr>
        <xdr:spPr bwMode="auto">
          <a:xfrm flipV="1">
            <a:off x="154" y="223"/>
            <a:ext cx="11" cy="11"/>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390" name="Line 28">
            <a:extLst>
              <a:ext uri="{FF2B5EF4-FFF2-40B4-BE49-F238E27FC236}">
                <a16:creationId xmlns:a16="http://schemas.microsoft.com/office/drawing/2014/main" id="{00000000-0008-0000-0100-000036380000}"/>
              </a:ext>
            </a:extLst>
          </xdr:cNvPr>
          <xdr:cNvSpPr>
            <a:spLocks noChangeShapeType="1"/>
          </xdr:cNvSpPr>
        </xdr:nvSpPr>
        <xdr:spPr bwMode="auto">
          <a:xfrm>
            <a:off x="154" y="223"/>
            <a:ext cx="11" cy="11"/>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66675</xdr:colOff>
      <xdr:row>19</xdr:row>
      <xdr:rowOff>85725</xdr:rowOff>
    </xdr:from>
    <xdr:to>
      <xdr:col>3</xdr:col>
      <xdr:colOff>552450</xdr:colOff>
      <xdr:row>19</xdr:row>
      <xdr:rowOff>85725</xdr:rowOff>
    </xdr:to>
    <xdr:sp macro="" textlink="">
      <xdr:nvSpPr>
        <xdr:cNvPr id="18062" name="Line 43">
          <a:extLst>
            <a:ext uri="{FF2B5EF4-FFF2-40B4-BE49-F238E27FC236}">
              <a16:creationId xmlns:a16="http://schemas.microsoft.com/office/drawing/2014/main" id="{00000000-0008-0000-0300-00008E460000}"/>
            </a:ext>
          </a:extLst>
        </xdr:cNvPr>
        <xdr:cNvSpPr>
          <a:spLocks noChangeShapeType="1"/>
        </xdr:cNvSpPr>
      </xdr:nvSpPr>
      <xdr:spPr bwMode="auto">
        <a:xfrm flipH="1">
          <a:off x="1895475" y="3219450"/>
          <a:ext cx="485775"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66675</xdr:colOff>
      <xdr:row>73</xdr:row>
      <xdr:rowOff>85725</xdr:rowOff>
    </xdr:from>
    <xdr:to>
      <xdr:col>2</xdr:col>
      <xdr:colOff>590550</xdr:colOff>
      <xdr:row>73</xdr:row>
      <xdr:rowOff>85725</xdr:rowOff>
    </xdr:to>
    <xdr:sp macro="" textlink="">
      <xdr:nvSpPr>
        <xdr:cNvPr id="18063" name="Line 46">
          <a:extLst>
            <a:ext uri="{FF2B5EF4-FFF2-40B4-BE49-F238E27FC236}">
              <a16:creationId xmlns:a16="http://schemas.microsoft.com/office/drawing/2014/main" id="{00000000-0008-0000-0300-00008F460000}"/>
            </a:ext>
          </a:extLst>
        </xdr:cNvPr>
        <xdr:cNvSpPr>
          <a:spLocks noChangeShapeType="1"/>
        </xdr:cNvSpPr>
      </xdr:nvSpPr>
      <xdr:spPr bwMode="auto">
        <a:xfrm flipH="1">
          <a:off x="1285875" y="11963400"/>
          <a:ext cx="52387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79</xdr:row>
      <xdr:rowOff>85725</xdr:rowOff>
    </xdr:from>
    <xdr:to>
      <xdr:col>2</xdr:col>
      <xdr:colOff>590550</xdr:colOff>
      <xdr:row>82</xdr:row>
      <xdr:rowOff>9525</xdr:rowOff>
    </xdr:to>
    <xdr:sp macro="" textlink="">
      <xdr:nvSpPr>
        <xdr:cNvPr id="18064" name="Line 47">
          <a:extLst>
            <a:ext uri="{FF2B5EF4-FFF2-40B4-BE49-F238E27FC236}">
              <a16:creationId xmlns:a16="http://schemas.microsoft.com/office/drawing/2014/main" id="{00000000-0008-0000-0300-000090460000}"/>
            </a:ext>
          </a:extLst>
        </xdr:cNvPr>
        <xdr:cNvSpPr>
          <a:spLocks noChangeShapeType="1"/>
        </xdr:cNvSpPr>
      </xdr:nvSpPr>
      <xdr:spPr bwMode="auto">
        <a:xfrm flipH="1">
          <a:off x="1200150" y="12934950"/>
          <a:ext cx="609600" cy="409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80</xdr:row>
      <xdr:rowOff>123825</xdr:rowOff>
    </xdr:from>
    <xdr:to>
      <xdr:col>2</xdr:col>
      <xdr:colOff>600075</xdr:colOff>
      <xdr:row>83</xdr:row>
      <xdr:rowOff>85725</xdr:rowOff>
    </xdr:to>
    <xdr:sp macro="" textlink="">
      <xdr:nvSpPr>
        <xdr:cNvPr id="18065" name="Line 48">
          <a:extLst>
            <a:ext uri="{FF2B5EF4-FFF2-40B4-BE49-F238E27FC236}">
              <a16:creationId xmlns:a16="http://schemas.microsoft.com/office/drawing/2014/main" id="{00000000-0008-0000-0300-000091460000}"/>
            </a:ext>
          </a:extLst>
        </xdr:cNvPr>
        <xdr:cNvSpPr>
          <a:spLocks noChangeShapeType="1"/>
        </xdr:cNvSpPr>
      </xdr:nvSpPr>
      <xdr:spPr bwMode="auto">
        <a:xfrm flipH="1">
          <a:off x="1228725" y="13134975"/>
          <a:ext cx="590550" cy="4476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57150</xdr:colOff>
      <xdr:row>10</xdr:row>
      <xdr:rowOff>76200</xdr:rowOff>
    </xdr:from>
    <xdr:to>
      <xdr:col>2</xdr:col>
      <xdr:colOff>542925</xdr:colOff>
      <xdr:row>10</xdr:row>
      <xdr:rowOff>76200</xdr:rowOff>
    </xdr:to>
    <xdr:sp macro="" textlink="">
      <xdr:nvSpPr>
        <xdr:cNvPr id="18066" name="Line 2527">
          <a:extLst>
            <a:ext uri="{FF2B5EF4-FFF2-40B4-BE49-F238E27FC236}">
              <a16:creationId xmlns:a16="http://schemas.microsoft.com/office/drawing/2014/main" id="{00000000-0008-0000-0300-000092460000}"/>
            </a:ext>
          </a:extLst>
        </xdr:cNvPr>
        <xdr:cNvSpPr>
          <a:spLocks noChangeShapeType="1"/>
        </xdr:cNvSpPr>
      </xdr:nvSpPr>
      <xdr:spPr bwMode="auto">
        <a:xfrm flipH="1">
          <a:off x="1276350" y="1752600"/>
          <a:ext cx="485775"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xdr:colOff>
      <xdr:row>57</xdr:row>
      <xdr:rowOff>85725</xdr:rowOff>
    </xdr:from>
    <xdr:to>
      <xdr:col>4</xdr:col>
      <xdr:colOff>523875</xdr:colOff>
      <xdr:row>57</xdr:row>
      <xdr:rowOff>85725</xdr:rowOff>
    </xdr:to>
    <xdr:sp macro="" textlink="">
      <xdr:nvSpPr>
        <xdr:cNvPr id="18067" name="Line 2656">
          <a:extLst>
            <a:ext uri="{FF2B5EF4-FFF2-40B4-BE49-F238E27FC236}">
              <a16:creationId xmlns:a16="http://schemas.microsoft.com/office/drawing/2014/main" id="{00000000-0008-0000-0300-000093460000}"/>
            </a:ext>
          </a:extLst>
        </xdr:cNvPr>
        <xdr:cNvSpPr>
          <a:spLocks noChangeShapeType="1"/>
        </xdr:cNvSpPr>
      </xdr:nvSpPr>
      <xdr:spPr bwMode="auto">
        <a:xfrm flipH="1">
          <a:off x="2495550" y="9372600"/>
          <a:ext cx="485775"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38100</xdr:colOff>
      <xdr:row>46</xdr:row>
      <xdr:rowOff>66675</xdr:rowOff>
    </xdr:from>
    <xdr:to>
      <xdr:col>2</xdr:col>
      <xdr:colOff>523875</xdr:colOff>
      <xdr:row>46</xdr:row>
      <xdr:rowOff>66675</xdr:rowOff>
    </xdr:to>
    <xdr:sp macro="" textlink="">
      <xdr:nvSpPr>
        <xdr:cNvPr id="18068" name="Line 2657">
          <a:extLst>
            <a:ext uri="{FF2B5EF4-FFF2-40B4-BE49-F238E27FC236}">
              <a16:creationId xmlns:a16="http://schemas.microsoft.com/office/drawing/2014/main" id="{00000000-0008-0000-0300-000094460000}"/>
            </a:ext>
          </a:extLst>
        </xdr:cNvPr>
        <xdr:cNvSpPr>
          <a:spLocks noChangeShapeType="1"/>
        </xdr:cNvSpPr>
      </xdr:nvSpPr>
      <xdr:spPr bwMode="auto">
        <a:xfrm flipH="1">
          <a:off x="1257300" y="7572375"/>
          <a:ext cx="485775"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361950</xdr:colOff>
      <xdr:row>109</xdr:row>
      <xdr:rowOff>0</xdr:rowOff>
    </xdr:from>
    <xdr:to>
      <xdr:col>2</xdr:col>
      <xdr:colOff>361950</xdr:colOff>
      <xdr:row>109</xdr:row>
      <xdr:rowOff>152400</xdr:rowOff>
    </xdr:to>
    <xdr:sp macro="" textlink="">
      <xdr:nvSpPr>
        <xdr:cNvPr id="18069" name="Line 2664">
          <a:extLst>
            <a:ext uri="{FF2B5EF4-FFF2-40B4-BE49-F238E27FC236}">
              <a16:creationId xmlns:a16="http://schemas.microsoft.com/office/drawing/2014/main" id="{00000000-0008-0000-0300-000095460000}"/>
            </a:ext>
          </a:extLst>
        </xdr:cNvPr>
        <xdr:cNvSpPr>
          <a:spLocks noChangeShapeType="1"/>
        </xdr:cNvSpPr>
      </xdr:nvSpPr>
      <xdr:spPr bwMode="auto">
        <a:xfrm flipH="1" flipV="1">
          <a:off x="1581150" y="17706975"/>
          <a:ext cx="0" cy="1524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142875</xdr:colOff>
      <xdr:row>125</xdr:row>
      <xdr:rowOff>114300</xdr:rowOff>
    </xdr:from>
    <xdr:to>
      <xdr:col>1</xdr:col>
      <xdr:colOff>533400</xdr:colOff>
      <xdr:row>125</xdr:row>
      <xdr:rowOff>133350</xdr:rowOff>
    </xdr:to>
    <xdr:sp macro="" textlink="">
      <xdr:nvSpPr>
        <xdr:cNvPr id="18070" name="Line 2668">
          <a:extLst>
            <a:ext uri="{FF2B5EF4-FFF2-40B4-BE49-F238E27FC236}">
              <a16:creationId xmlns:a16="http://schemas.microsoft.com/office/drawing/2014/main" id="{00000000-0008-0000-0300-000096460000}"/>
            </a:ext>
          </a:extLst>
        </xdr:cNvPr>
        <xdr:cNvSpPr>
          <a:spLocks noChangeShapeType="1"/>
        </xdr:cNvSpPr>
      </xdr:nvSpPr>
      <xdr:spPr bwMode="auto">
        <a:xfrm flipH="1">
          <a:off x="752475" y="20412075"/>
          <a:ext cx="390525" cy="190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4</xdr:col>
          <xdr:colOff>57150</xdr:colOff>
          <xdr:row>6</xdr:row>
          <xdr:rowOff>114300</xdr:rowOff>
        </xdr:from>
        <xdr:to>
          <xdr:col>5</xdr:col>
          <xdr:colOff>419101</xdr:colOff>
          <xdr:row>10</xdr:row>
          <xdr:rowOff>66675</xdr:rowOff>
        </xdr:to>
        <xdr:sp macro="" textlink="">
          <xdr:nvSpPr>
            <xdr:cNvPr id="18047" name="Object 2687" hidden="1">
              <a:extLst>
                <a:ext uri="{63B3BB69-23CF-44E3-9099-C40C66FF867C}">
                  <a14:compatExt spid="_x0000_s18047"/>
                </a:ext>
                <a:ext uri="{FF2B5EF4-FFF2-40B4-BE49-F238E27FC236}">
                  <a16:creationId xmlns:a16="http://schemas.microsoft.com/office/drawing/2014/main" id="{00000000-0008-0000-0300-00007F4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66675</xdr:colOff>
          <xdr:row>14</xdr:row>
          <xdr:rowOff>66675</xdr:rowOff>
        </xdr:from>
        <xdr:to>
          <xdr:col>1</xdr:col>
          <xdr:colOff>38100</xdr:colOff>
          <xdr:row>17</xdr:row>
          <xdr:rowOff>28575</xdr:rowOff>
        </xdr:to>
        <xdr:sp macro="" textlink="">
          <xdr:nvSpPr>
            <xdr:cNvPr id="18048" name="Object 2688" hidden="1">
              <a:extLst>
                <a:ext uri="{63B3BB69-23CF-44E3-9099-C40C66FF867C}">
                  <a14:compatExt spid="_x0000_s18048"/>
                </a:ext>
                <a:ext uri="{FF2B5EF4-FFF2-40B4-BE49-F238E27FC236}">
                  <a16:creationId xmlns:a16="http://schemas.microsoft.com/office/drawing/2014/main" id="{00000000-0008-0000-0300-00008046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47625</xdr:colOff>
          <xdr:row>22</xdr:row>
          <xdr:rowOff>133350</xdr:rowOff>
        </xdr:from>
        <xdr:to>
          <xdr:col>1</xdr:col>
          <xdr:colOff>152400</xdr:colOff>
          <xdr:row>25</xdr:row>
          <xdr:rowOff>66675</xdr:rowOff>
        </xdr:to>
        <xdr:sp macro="" textlink="">
          <xdr:nvSpPr>
            <xdr:cNvPr id="18051" name="Object 2691" hidden="1">
              <a:extLst>
                <a:ext uri="{63B3BB69-23CF-44E3-9099-C40C66FF867C}">
                  <a14:compatExt spid="_x0000_s18051"/>
                </a:ext>
                <a:ext uri="{FF2B5EF4-FFF2-40B4-BE49-F238E27FC236}">
                  <a16:creationId xmlns:a16="http://schemas.microsoft.com/office/drawing/2014/main" id="{00000000-0008-0000-0300-00008346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oneCellAnchor>
    <xdr:from>
      <xdr:col>7</xdr:col>
      <xdr:colOff>33337</xdr:colOff>
      <xdr:row>6</xdr:row>
      <xdr:rowOff>59532</xdr:rowOff>
    </xdr:from>
    <xdr:ext cx="914400" cy="264560"/>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4338637" y="1069182"/>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13</xdr:col>
      <xdr:colOff>209550</xdr:colOff>
      <xdr:row>124</xdr:row>
      <xdr:rowOff>88900</xdr:rowOff>
    </xdr:from>
    <xdr:to>
      <xdr:col>13</xdr:col>
      <xdr:colOff>501650</xdr:colOff>
      <xdr:row>124</xdr:row>
      <xdr:rowOff>88900</xdr:rowOff>
    </xdr:to>
    <xdr:cxnSp macro="">
      <xdr:nvCxnSpPr>
        <xdr:cNvPr id="3" name="Straight Arrow Connector 2">
          <a:extLst>
            <a:ext uri="{FF2B5EF4-FFF2-40B4-BE49-F238E27FC236}">
              <a16:creationId xmlns:a16="http://schemas.microsoft.com/office/drawing/2014/main" id="{00000000-0008-0000-0300-000003000000}"/>
            </a:ext>
          </a:extLst>
        </xdr:cNvPr>
        <xdr:cNvCxnSpPr/>
      </xdr:nvCxnSpPr>
      <xdr:spPr bwMode="auto">
        <a:xfrm>
          <a:off x="8172450" y="20789900"/>
          <a:ext cx="292100" cy="0"/>
        </a:xfrm>
        <a:prstGeom prst="straightConnector1">
          <a:avLst/>
        </a:prstGeom>
        <a:solidFill>
          <a:srgbClr val="FFFFFF"/>
        </a:solidFill>
        <a:ln w="28575" cap="flat" cmpd="sng" algn="ctr">
          <a:solidFill>
            <a:srgbClr val="000000"/>
          </a:solidFill>
          <a:prstDash val="solid"/>
          <a:round/>
          <a:headEnd type="none" w="med" len="med"/>
          <a:tailEnd type="arrow"/>
        </a:ln>
        <a:effectLst/>
      </xdr:spPr>
    </xdr:cxn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19050</xdr:colOff>
      <xdr:row>15</xdr:row>
      <xdr:rowOff>76200</xdr:rowOff>
    </xdr:from>
    <xdr:to>
      <xdr:col>3</xdr:col>
      <xdr:colOff>571500</xdr:colOff>
      <xdr:row>15</xdr:row>
      <xdr:rowOff>76200</xdr:rowOff>
    </xdr:to>
    <xdr:sp macro="" textlink="">
      <xdr:nvSpPr>
        <xdr:cNvPr id="18506" name="Line 1">
          <a:extLst>
            <a:ext uri="{FF2B5EF4-FFF2-40B4-BE49-F238E27FC236}">
              <a16:creationId xmlns:a16="http://schemas.microsoft.com/office/drawing/2014/main" id="{00000000-0008-0000-0400-00004A480000}"/>
            </a:ext>
          </a:extLst>
        </xdr:cNvPr>
        <xdr:cNvSpPr>
          <a:spLocks noChangeShapeType="1"/>
        </xdr:cNvSpPr>
      </xdr:nvSpPr>
      <xdr:spPr bwMode="auto">
        <a:xfrm flipH="1">
          <a:off x="2562225" y="2181225"/>
          <a:ext cx="5524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19050</xdr:colOff>
      <xdr:row>26</xdr:row>
      <xdr:rowOff>76200</xdr:rowOff>
    </xdr:from>
    <xdr:to>
      <xdr:col>3</xdr:col>
      <xdr:colOff>571500</xdr:colOff>
      <xdr:row>26</xdr:row>
      <xdr:rowOff>76200</xdr:rowOff>
    </xdr:to>
    <xdr:sp macro="" textlink="">
      <xdr:nvSpPr>
        <xdr:cNvPr id="18507" name="Line 3">
          <a:extLst>
            <a:ext uri="{FF2B5EF4-FFF2-40B4-BE49-F238E27FC236}">
              <a16:creationId xmlns:a16="http://schemas.microsoft.com/office/drawing/2014/main" id="{00000000-0008-0000-0400-00004B480000}"/>
            </a:ext>
          </a:extLst>
        </xdr:cNvPr>
        <xdr:cNvSpPr>
          <a:spLocks noChangeShapeType="1"/>
        </xdr:cNvSpPr>
      </xdr:nvSpPr>
      <xdr:spPr bwMode="auto">
        <a:xfrm flipH="1">
          <a:off x="2562225" y="3962400"/>
          <a:ext cx="5524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19048</xdr:colOff>
      <xdr:row>27</xdr:row>
      <xdr:rowOff>76199</xdr:rowOff>
    </xdr:from>
    <xdr:to>
      <xdr:col>4</xdr:col>
      <xdr:colOff>39220</xdr:colOff>
      <xdr:row>27</xdr:row>
      <xdr:rowOff>78440</xdr:rowOff>
    </xdr:to>
    <xdr:sp macro="" textlink="">
      <xdr:nvSpPr>
        <xdr:cNvPr id="18508" name="Line 5">
          <a:extLst>
            <a:ext uri="{FF2B5EF4-FFF2-40B4-BE49-F238E27FC236}">
              <a16:creationId xmlns:a16="http://schemas.microsoft.com/office/drawing/2014/main" id="{00000000-0008-0000-0400-00004C480000}"/>
            </a:ext>
          </a:extLst>
        </xdr:cNvPr>
        <xdr:cNvSpPr>
          <a:spLocks noChangeShapeType="1"/>
        </xdr:cNvSpPr>
      </xdr:nvSpPr>
      <xdr:spPr bwMode="auto">
        <a:xfrm flipH="1" flipV="1">
          <a:off x="2562783" y="4502523"/>
          <a:ext cx="698128" cy="2241"/>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28575</xdr:colOff>
      <xdr:row>34</xdr:row>
      <xdr:rowOff>76200</xdr:rowOff>
    </xdr:from>
    <xdr:to>
      <xdr:col>3</xdr:col>
      <xdr:colOff>581025</xdr:colOff>
      <xdr:row>34</xdr:row>
      <xdr:rowOff>76200</xdr:rowOff>
    </xdr:to>
    <xdr:sp macro="" textlink="">
      <xdr:nvSpPr>
        <xdr:cNvPr id="18509" name="Line 8">
          <a:extLst>
            <a:ext uri="{FF2B5EF4-FFF2-40B4-BE49-F238E27FC236}">
              <a16:creationId xmlns:a16="http://schemas.microsoft.com/office/drawing/2014/main" id="{00000000-0008-0000-0400-00004D480000}"/>
            </a:ext>
          </a:extLst>
        </xdr:cNvPr>
        <xdr:cNvSpPr>
          <a:spLocks noChangeShapeType="1"/>
        </xdr:cNvSpPr>
      </xdr:nvSpPr>
      <xdr:spPr bwMode="auto">
        <a:xfrm flipH="1">
          <a:off x="2571750" y="5257800"/>
          <a:ext cx="5524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28575</xdr:colOff>
      <xdr:row>47</xdr:row>
      <xdr:rowOff>76200</xdr:rowOff>
    </xdr:from>
    <xdr:to>
      <xdr:col>3</xdr:col>
      <xdr:colOff>581025</xdr:colOff>
      <xdr:row>47</xdr:row>
      <xdr:rowOff>76200</xdr:rowOff>
    </xdr:to>
    <xdr:sp macro="" textlink="">
      <xdr:nvSpPr>
        <xdr:cNvPr id="18510" name="Line 10">
          <a:extLst>
            <a:ext uri="{FF2B5EF4-FFF2-40B4-BE49-F238E27FC236}">
              <a16:creationId xmlns:a16="http://schemas.microsoft.com/office/drawing/2014/main" id="{00000000-0008-0000-0400-00004E480000}"/>
            </a:ext>
          </a:extLst>
        </xdr:cNvPr>
        <xdr:cNvSpPr>
          <a:spLocks noChangeShapeType="1"/>
        </xdr:cNvSpPr>
      </xdr:nvSpPr>
      <xdr:spPr bwMode="auto">
        <a:xfrm flipH="1">
          <a:off x="2571750" y="7362825"/>
          <a:ext cx="5524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28575</xdr:colOff>
      <xdr:row>57</xdr:row>
      <xdr:rowOff>76200</xdr:rowOff>
    </xdr:from>
    <xdr:to>
      <xdr:col>3</xdr:col>
      <xdr:colOff>581025</xdr:colOff>
      <xdr:row>57</xdr:row>
      <xdr:rowOff>76200</xdr:rowOff>
    </xdr:to>
    <xdr:sp macro="" textlink="">
      <xdr:nvSpPr>
        <xdr:cNvPr id="18511" name="Line 11">
          <a:extLst>
            <a:ext uri="{FF2B5EF4-FFF2-40B4-BE49-F238E27FC236}">
              <a16:creationId xmlns:a16="http://schemas.microsoft.com/office/drawing/2014/main" id="{00000000-0008-0000-0400-00004F480000}"/>
            </a:ext>
          </a:extLst>
        </xdr:cNvPr>
        <xdr:cNvSpPr>
          <a:spLocks noChangeShapeType="1"/>
        </xdr:cNvSpPr>
      </xdr:nvSpPr>
      <xdr:spPr bwMode="auto">
        <a:xfrm flipH="1">
          <a:off x="2571750" y="8982075"/>
          <a:ext cx="5524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28575</xdr:colOff>
      <xdr:row>67</xdr:row>
      <xdr:rowOff>76200</xdr:rowOff>
    </xdr:from>
    <xdr:to>
      <xdr:col>3</xdr:col>
      <xdr:colOff>581025</xdr:colOff>
      <xdr:row>67</xdr:row>
      <xdr:rowOff>76200</xdr:rowOff>
    </xdr:to>
    <xdr:sp macro="" textlink="">
      <xdr:nvSpPr>
        <xdr:cNvPr id="18512" name="Line 12">
          <a:extLst>
            <a:ext uri="{FF2B5EF4-FFF2-40B4-BE49-F238E27FC236}">
              <a16:creationId xmlns:a16="http://schemas.microsoft.com/office/drawing/2014/main" id="{00000000-0008-0000-0400-000050480000}"/>
            </a:ext>
          </a:extLst>
        </xdr:cNvPr>
        <xdr:cNvSpPr>
          <a:spLocks noChangeShapeType="1"/>
        </xdr:cNvSpPr>
      </xdr:nvSpPr>
      <xdr:spPr bwMode="auto">
        <a:xfrm flipH="1">
          <a:off x="2571750" y="10601325"/>
          <a:ext cx="5524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28575</xdr:colOff>
      <xdr:row>80</xdr:row>
      <xdr:rowOff>76200</xdr:rowOff>
    </xdr:from>
    <xdr:to>
      <xdr:col>2</xdr:col>
      <xdr:colOff>581025</xdr:colOff>
      <xdr:row>80</xdr:row>
      <xdr:rowOff>76200</xdr:rowOff>
    </xdr:to>
    <xdr:sp macro="" textlink="">
      <xdr:nvSpPr>
        <xdr:cNvPr id="18513" name="Line 13">
          <a:extLst>
            <a:ext uri="{FF2B5EF4-FFF2-40B4-BE49-F238E27FC236}">
              <a16:creationId xmlns:a16="http://schemas.microsoft.com/office/drawing/2014/main" id="{00000000-0008-0000-0400-000051480000}"/>
            </a:ext>
          </a:extLst>
        </xdr:cNvPr>
        <xdr:cNvSpPr>
          <a:spLocks noChangeShapeType="1"/>
        </xdr:cNvSpPr>
      </xdr:nvSpPr>
      <xdr:spPr bwMode="auto">
        <a:xfrm flipH="1">
          <a:off x="1695450" y="12706350"/>
          <a:ext cx="5524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28575</xdr:colOff>
      <xdr:row>91</xdr:row>
      <xdr:rowOff>76200</xdr:rowOff>
    </xdr:from>
    <xdr:to>
      <xdr:col>3</xdr:col>
      <xdr:colOff>581025</xdr:colOff>
      <xdr:row>91</xdr:row>
      <xdr:rowOff>76200</xdr:rowOff>
    </xdr:to>
    <xdr:sp macro="" textlink="">
      <xdr:nvSpPr>
        <xdr:cNvPr id="18514" name="Line 14">
          <a:extLst>
            <a:ext uri="{FF2B5EF4-FFF2-40B4-BE49-F238E27FC236}">
              <a16:creationId xmlns:a16="http://schemas.microsoft.com/office/drawing/2014/main" id="{00000000-0008-0000-0400-000052480000}"/>
            </a:ext>
          </a:extLst>
        </xdr:cNvPr>
        <xdr:cNvSpPr>
          <a:spLocks noChangeShapeType="1"/>
        </xdr:cNvSpPr>
      </xdr:nvSpPr>
      <xdr:spPr bwMode="auto">
        <a:xfrm flipH="1">
          <a:off x="2571750" y="14487525"/>
          <a:ext cx="5524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28575</xdr:colOff>
      <xdr:row>106</xdr:row>
      <xdr:rowOff>76200</xdr:rowOff>
    </xdr:from>
    <xdr:to>
      <xdr:col>3</xdr:col>
      <xdr:colOff>581025</xdr:colOff>
      <xdr:row>106</xdr:row>
      <xdr:rowOff>76200</xdr:rowOff>
    </xdr:to>
    <xdr:sp macro="" textlink="">
      <xdr:nvSpPr>
        <xdr:cNvPr id="18515" name="Line 15">
          <a:extLst>
            <a:ext uri="{FF2B5EF4-FFF2-40B4-BE49-F238E27FC236}">
              <a16:creationId xmlns:a16="http://schemas.microsoft.com/office/drawing/2014/main" id="{00000000-0008-0000-0400-000053480000}"/>
            </a:ext>
          </a:extLst>
        </xdr:cNvPr>
        <xdr:cNvSpPr>
          <a:spLocks noChangeShapeType="1"/>
        </xdr:cNvSpPr>
      </xdr:nvSpPr>
      <xdr:spPr bwMode="auto">
        <a:xfrm flipH="1">
          <a:off x="2571750" y="16916400"/>
          <a:ext cx="5524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28575</xdr:colOff>
      <xdr:row>112</xdr:row>
      <xdr:rowOff>76200</xdr:rowOff>
    </xdr:from>
    <xdr:to>
      <xdr:col>3</xdr:col>
      <xdr:colOff>581025</xdr:colOff>
      <xdr:row>112</xdr:row>
      <xdr:rowOff>76200</xdr:rowOff>
    </xdr:to>
    <xdr:sp macro="" textlink="">
      <xdr:nvSpPr>
        <xdr:cNvPr id="18516" name="Line 16">
          <a:extLst>
            <a:ext uri="{FF2B5EF4-FFF2-40B4-BE49-F238E27FC236}">
              <a16:creationId xmlns:a16="http://schemas.microsoft.com/office/drawing/2014/main" id="{00000000-0008-0000-0400-000054480000}"/>
            </a:ext>
          </a:extLst>
        </xdr:cNvPr>
        <xdr:cNvSpPr>
          <a:spLocks noChangeShapeType="1"/>
        </xdr:cNvSpPr>
      </xdr:nvSpPr>
      <xdr:spPr bwMode="auto">
        <a:xfrm flipH="1">
          <a:off x="2571750" y="17887950"/>
          <a:ext cx="5524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19050</xdr:colOff>
      <xdr:row>123</xdr:row>
      <xdr:rowOff>76200</xdr:rowOff>
    </xdr:from>
    <xdr:to>
      <xdr:col>3</xdr:col>
      <xdr:colOff>571500</xdr:colOff>
      <xdr:row>123</xdr:row>
      <xdr:rowOff>76200</xdr:rowOff>
    </xdr:to>
    <xdr:sp macro="" textlink="">
      <xdr:nvSpPr>
        <xdr:cNvPr id="18517" name="Line 17">
          <a:extLst>
            <a:ext uri="{FF2B5EF4-FFF2-40B4-BE49-F238E27FC236}">
              <a16:creationId xmlns:a16="http://schemas.microsoft.com/office/drawing/2014/main" id="{00000000-0008-0000-0400-000055480000}"/>
            </a:ext>
          </a:extLst>
        </xdr:cNvPr>
        <xdr:cNvSpPr>
          <a:spLocks noChangeShapeType="1"/>
        </xdr:cNvSpPr>
      </xdr:nvSpPr>
      <xdr:spPr bwMode="auto">
        <a:xfrm flipH="1">
          <a:off x="2562225" y="19669125"/>
          <a:ext cx="5524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19050</xdr:colOff>
      <xdr:row>123</xdr:row>
      <xdr:rowOff>123825</xdr:rowOff>
    </xdr:from>
    <xdr:to>
      <xdr:col>3</xdr:col>
      <xdr:colOff>590550</xdr:colOff>
      <xdr:row>124</xdr:row>
      <xdr:rowOff>76200</xdr:rowOff>
    </xdr:to>
    <xdr:sp macro="" textlink="">
      <xdr:nvSpPr>
        <xdr:cNvPr id="18518" name="Line 18">
          <a:extLst>
            <a:ext uri="{FF2B5EF4-FFF2-40B4-BE49-F238E27FC236}">
              <a16:creationId xmlns:a16="http://schemas.microsoft.com/office/drawing/2014/main" id="{00000000-0008-0000-0400-000056480000}"/>
            </a:ext>
          </a:extLst>
        </xdr:cNvPr>
        <xdr:cNvSpPr>
          <a:spLocks noChangeShapeType="1"/>
        </xdr:cNvSpPr>
      </xdr:nvSpPr>
      <xdr:spPr bwMode="auto">
        <a:xfrm flipH="1">
          <a:off x="2562225" y="19716750"/>
          <a:ext cx="571500" cy="1143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19050</xdr:colOff>
      <xdr:row>133</xdr:row>
      <xdr:rowOff>76200</xdr:rowOff>
    </xdr:from>
    <xdr:to>
      <xdr:col>3</xdr:col>
      <xdr:colOff>571500</xdr:colOff>
      <xdr:row>133</xdr:row>
      <xdr:rowOff>76200</xdr:rowOff>
    </xdr:to>
    <xdr:sp macro="" textlink="">
      <xdr:nvSpPr>
        <xdr:cNvPr id="18519" name="Line 21">
          <a:extLst>
            <a:ext uri="{FF2B5EF4-FFF2-40B4-BE49-F238E27FC236}">
              <a16:creationId xmlns:a16="http://schemas.microsoft.com/office/drawing/2014/main" id="{00000000-0008-0000-0400-000057480000}"/>
            </a:ext>
          </a:extLst>
        </xdr:cNvPr>
        <xdr:cNvSpPr>
          <a:spLocks noChangeShapeType="1"/>
        </xdr:cNvSpPr>
      </xdr:nvSpPr>
      <xdr:spPr bwMode="auto">
        <a:xfrm flipH="1">
          <a:off x="2562225" y="21288375"/>
          <a:ext cx="5524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19050</xdr:colOff>
      <xdr:row>133</xdr:row>
      <xdr:rowOff>123825</xdr:rowOff>
    </xdr:from>
    <xdr:to>
      <xdr:col>3</xdr:col>
      <xdr:colOff>590550</xdr:colOff>
      <xdr:row>134</xdr:row>
      <xdr:rowOff>76200</xdr:rowOff>
    </xdr:to>
    <xdr:sp macro="" textlink="">
      <xdr:nvSpPr>
        <xdr:cNvPr id="18520" name="Line 22">
          <a:extLst>
            <a:ext uri="{FF2B5EF4-FFF2-40B4-BE49-F238E27FC236}">
              <a16:creationId xmlns:a16="http://schemas.microsoft.com/office/drawing/2014/main" id="{00000000-0008-0000-0400-000058480000}"/>
            </a:ext>
          </a:extLst>
        </xdr:cNvPr>
        <xdr:cNvSpPr>
          <a:spLocks noChangeShapeType="1"/>
        </xdr:cNvSpPr>
      </xdr:nvSpPr>
      <xdr:spPr bwMode="auto">
        <a:xfrm flipH="1">
          <a:off x="2562225" y="21336000"/>
          <a:ext cx="571500" cy="1143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19050</xdr:colOff>
      <xdr:row>141</xdr:row>
      <xdr:rowOff>76200</xdr:rowOff>
    </xdr:from>
    <xdr:to>
      <xdr:col>3</xdr:col>
      <xdr:colOff>571500</xdr:colOff>
      <xdr:row>141</xdr:row>
      <xdr:rowOff>76200</xdr:rowOff>
    </xdr:to>
    <xdr:sp macro="" textlink="">
      <xdr:nvSpPr>
        <xdr:cNvPr id="18521" name="Line 25">
          <a:extLst>
            <a:ext uri="{FF2B5EF4-FFF2-40B4-BE49-F238E27FC236}">
              <a16:creationId xmlns:a16="http://schemas.microsoft.com/office/drawing/2014/main" id="{00000000-0008-0000-0400-000059480000}"/>
            </a:ext>
          </a:extLst>
        </xdr:cNvPr>
        <xdr:cNvSpPr>
          <a:spLocks noChangeShapeType="1"/>
        </xdr:cNvSpPr>
      </xdr:nvSpPr>
      <xdr:spPr bwMode="auto">
        <a:xfrm flipH="1">
          <a:off x="2562225" y="22583775"/>
          <a:ext cx="5524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19050</xdr:colOff>
      <xdr:row>141</xdr:row>
      <xdr:rowOff>123825</xdr:rowOff>
    </xdr:from>
    <xdr:to>
      <xdr:col>3</xdr:col>
      <xdr:colOff>590550</xdr:colOff>
      <xdr:row>142</xdr:row>
      <xdr:rowOff>76200</xdr:rowOff>
    </xdr:to>
    <xdr:sp macro="" textlink="">
      <xdr:nvSpPr>
        <xdr:cNvPr id="18522" name="Line 26">
          <a:extLst>
            <a:ext uri="{FF2B5EF4-FFF2-40B4-BE49-F238E27FC236}">
              <a16:creationId xmlns:a16="http://schemas.microsoft.com/office/drawing/2014/main" id="{00000000-0008-0000-0400-00005A480000}"/>
            </a:ext>
          </a:extLst>
        </xdr:cNvPr>
        <xdr:cNvSpPr>
          <a:spLocks noChangeShapeType="1"/>
        </xdr:cNvSpPr>
      </xdr:nvSpPr>
      <xdr:spPr bwMode="auto">
        <a:xfrm flipH="1">
          <a:off x="2562225" y="22631400"/>
          <a:ext cx="571500" cy="1143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19050</xdr:colOff>
      <xdr:row>180</xdr:row>
      <xdr:rowOff>76200</xdr:rowOff>
    </xdr:from>
    <xdr:to>
      <xdr:col>3</xdr:col>
      <xdr:colOff>571500</xdr:colOff>
      <xdr:row>180</xdr:row>
      <xdr:rowOff>76200</xdr:rowOff>
    </xdr:to>
    <xdr:sp macro="" textlink="">
      <xdr:nvSpPr>
        <xdr:cNvPr id="18523" name="Line 29">
          <a:extLst>
            <a:ext uri="{FF2B5EF4-FFF2-40B4-BE49-F238E27FC236}">
              <a16:creationId xmlns:a16="http://schemas.microsoft.com/office/drawing/2014/main" id="{00000000-0008-0000-0400-00005B480000}"/>
            </a:ext>
          </a:extLst>
        </xdr:cNvPr>
        <xdr:cNvSpPr>
          <a:spLocks noChangeShapeType="1"/>
        </xdr:cNvSpPr>
      </xdr:nvSpPr>
      <xdr:spPr bwMode="auto">
        <a:xfrm flipH="1">
          <a:off x="2562225" y="28898850"/>
          <a:ext cx="5524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19050</xdr:colOff>
      <xdr:row>180</xdr:row>
      <xdr:rowOff>123825</xdr:rowOff>
    </xdr:from>
    <xdr:to>
      <xdr:col>3</xdr:col>
      <xdr:colOff>590550</xdr:colOff>
      <xdr:row>181</xdr:row>
      <xdr:rowOff>76200</xdr:rowOff>
    </xdr:to>
    <xdr:sp macro="" textlink="">
      <xdr:nvSpPr>
        <xdr:cNvPr id="18524" name="Line 30">
          <a:extLst>
            <a:ext uri="{FF2B5EF4-FFF2-40B4-BE49-F238E27FC236}">
              <a16:creationId xmlns:a16="http://schemas.microsoft.com/office/drawing/2014/main" id="{00000000-0008-0000-0400-00005C480000}"/>
            </a:ext>
          </a:extLst>
        </xdr:cNvPr>
        <xdr:cNvSpPr>
          <a:spLocks noChangeShapeType="1"/>
        </xdr:cNvSpPr>
      </xdr:nvSpPr>
      <xdr:spPr bwMode="auto">
        <a:xfrm flipH="1">
          <a:off x="2562225" y="28946475"/>
          <a:ext cx="571500" cy="1143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19050</xdr:colOff>
      <xdr:row>189</xdr:row>
      <xdr:rowOff>76200</xdr:rowOff>
    </xdr:from>
    <xdr:to>
      <xdr:col>3</xdr:col>
      <xdr:colOff>571500</xdr:colOff>
      <xdr:row>189</xdr:row>
      <xdr:rowOff>76200</xdr:rowOff>
    </xdr:to>
    <xdr:sp macro="" textlink="">
      <xdr:nvSpPr>
        <xdr:cNvPr id="18525" name="Line 31">
          <a:extLst>
            <a:ext uri="{FF2B5EF4-FFF2-40B4-BE49-F238E27FC236}">
              <a16:creationId xmlns:a16="http://schemas.microsoft.com/office/drawing/2014/main" id="{00000000-0008-0000-0400-00005D480000}"/>
            </a:ext>
          </a:extLst>
        </xdr:cNvPr>
        <xdr:cNvSpPr>
          <a:spLocks noChangeShapeType="1"/>
        </xdr:cNvSpPr>
      </xdr:nvSpPr>
      <xdr:spPr bwMode="auto">
        <a:xfrm flipH="1">
          <a:off x="2562225" y="30356175"/>
          <a:ext cx="5524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19050</xdr:colOff>
      <xdr:row>171</xdr:row>
      <xdr:rowOff>76200</xdr:rowOff>
    </xdr:from>
    <xdr:to>
      <xdr:col>3</xdr:col>
      <xdr:colOff>571500</xdr:colOff>
      <xdr:row>171</xdr:row>
      <xdr:rowOff>76200</xdr:rowOff>
    </xdr:to>
    <xdr:sp macro="" textlink="">
      <xdr:nvSpPr>
        <xdr:cNvPr id="18526" name="Line 33">
          <a:extLst>
            <a:ext uri="{FF2B5EF4-FFF2-40B4-BE49-F238E27FC236}">
              <a16:creationId xmlns:a16="http://schemas.microsoft.com/office/drawing/2014/main" id="{00000000-0008-0000-0400-00005E480000}"/>
            </a:ext>
          </a:extLst>
        </xdr:cNvPr>
        <xdr:cNvSpPr>
          <a:spLocks noChangeShapeType="1"/>
        </xdr:cNvSpPr>
      </xdr:nvSpPr>
      <xdr:spPr bwMode="auto">
        <a:xfrm flipH="1">
          <a:off x="2562225" y="27441525"/>
          <a:ext cx="5524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19050</xdr:colOff>
      <xdr:row>171</xdr:row>
      <xdr:rowOff>123825</xdr:rowOff>
    </xdr:from>
    <xdr:to>
      <xdr:col>3</xdr:col>
      <xdr:colOff>590550</xdr:colOff>
      <xdr:row>172</xdr:row>
      <xdr:rowOff>76200</xdr:rowOff>
    </xdr:to>
    <xdr:sp macro="" textlink="">
      <xdr:nvSpPr>
        <xdr:cNvPr id="18527" name="Line 34">
          <a:extLst>
            <a:ext uri="{FF2B5EF4-FFF2-40B4-BE49-F238E27FC236}">
              <a16:creationId xmlns:a16="http://schemas.microsoft.com/office/drawing/2014/main" id="{00000000-0008-0000-0400-00005F480000}"/>
            </a:ext>
          </a:extLst>
        </xdr:cNvPr>
        <xdr:cNvSpPr>
          <a:spLocks noChangeShapeType="1"/>
        </xdr:cNvSpPr>
      </xdr:nvSpPr>
      <xdr:spPr bwMode="auto">
        <a:xfrm flipH="1">
          <a:off x="2562225" y="27489150"/>
          <a:ext cx="571500" cy="1143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19050</xdr:colOff>
      <xdr:row>183</xdr:row>
      <xdr:rowOff>76200</xdr:rowOff>
    </xdr:from>
    <xdr:to>
      <xdr:col>3</xdr:col>
      <xdr:colOff>571500</xdr:colOff>
      <xdr:row>183</xdr:row>
      <xdr:rowOff>76200</xdr:rowOff>
    </xdr:to>
    <xdr:sp macro="" textlink="">
      <xdr:nvSpPr>
        <xdr:cNvPr id="18528" name="Line 35">
          <a:extLst>
            <a:ext uri="{FF2B5EF4-FFF2-40B4-BE49-F238E27FC236}">
              <a16:creationId xmlns:a16="http://schemas.microsoft.com/office/drawing/2014/main" id="{00000000-0008-0000-0400-000060480000}"/>
            </a:ext>
          </a:extLst>
        </xdr:cNvPr>
        <xdr:cNvSpPr>
          <a:spLocks noChangeShapeType="1"/>
        </xdr:cNvSpPr>
      </xdr:nvSpPr>
      <xdr:spPr bwMode="auto">
        <a:xfrm flipH="1">
          <a:off x="2562225" y="29384625"/>
          <a:ext cx="5524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19050</xdr:colOff>
      <xdr:row>183</xdr:row>
      <xdr:rowOff>123825</xdr:rowOff>
    </xdr:from>
    <xdr:to>
      <xdr:col>3</xdr:col>
      <xdr:colOff>590550</xdr:colOff>
      <xdr:row>184</xdr:row>
      <xdr:rowOff>76200</xdr:rowOff>
    </xdr:to>
    <xdr:sp macro="" textlink="">
      <xdr:nvSpPr>
        <xdr:cNvPr id="18529" name="Line 36">
          <a:extLst>
            <a:ext uri="{FF2B5EF4-FFF2-40B4-BE49-F238E27FC236}">
              <a16:creationId xmlns:a16="http://schemas.microsoft.com/office/drawing/2014/main" id="{00000000-0008-0000-0400-000061480000}"/>
            </a:ext>
          </a:extLst>
        </xdr:cNvPr>
        <xdr:cNvSpPr>
          <a:spLocks noChangeShapeType="1"/>
        </xdr:cNvSpPr>
      </xdr:nvSpPr>
      <xdr:spPr bwMode="auto">
        <a:xfrm flipH="1">
          <a:off x="2562225" y="29432250"/>
          <a:ext cx="571500" cy="1143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19050</xdr:colOff>
      <xdr:row>190</xdr:row>
      <xdr:rowOff>76200</xdr:rowOff>
    </xdr:from>
    <xdr:to>
      <xdr:col>3</xdr:col>
      <xdr:colOff>571500</xdr:colOff>
      <xdr:row>190</xdr:row>
      <xdr:rowOff>76200</xdr:rowOff>
    </xdr:to>
    <xdr:sp macro="" textlink="">
      <xdr:nvSpPr>
        <xdr:cNvPr id="18530" name="Line 40">
          <a:extLst>
            <a:ext uri="{FF2B5EF4-FFF2-40B4-BE49-F238E27FC236}">
              <a16:creationId xmlns:a16="http://schemas.microsoft.com/office/drawing/2014/main" id="{00000000-0008-0000-0400-000062480000}"/>
            </a:ext>
          </a:extLst>
        </xdr:cNvPr>
        <xdr:cNvSpPr>
          <a:spLocks noChangeShapeType="1"/>
        </xdr:cNvSpPr>
      </xdr:nvSpPr>
      <xdr:spPr bwMode="auto">
        <a:xfrm flipH="1">
          <a:off x="2562225" y="30518100"/>
          <a:ext cx="5524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19050</xdr:colOff>
      <xdr:row>195</xdr:row>
      <xdr:rowOff>76200</xdr:rowOff>
    </xdr:from>
    <xdr:to>
      <xdr:col>3</xdr:col>
      <xdr:colOff>571500</xdr:colOff>
      <xdr:row>195</xdr:row>
      <xdr:rowOff>76200</xdr:rowOff>
    </xdr:to>
    <xdr:sp macro="" textlink="">
      <xdr:nvSpPr>
        <xdr:cNvPr id="18531" name="Line 41">
          <a:extLst>
            <a:ext uri="{FF2B5EF4-FFF2-40B4-BE49-F238E27FC236}">
              <a16:creationId xmlns:a16="http://schemas.microsoft.com/office/drawing/2014/main" id="{00000000-0008-0000-0400-000063480000}"/>
            </a:ext>
          </a:extLst>
        </xdr:cNvPr>
        <xdr:cNvSpPr>
          <a:spLocks noChangeShapeType="1"/>
        </xdr:cNvSpPr>
      </xdr:nvSpPr>
      <xdr:spPr bwMode="auto">
        <a:xfrm flipH="1">
          <a:off x="2562225" y="31327725"/>
          <a:ext cx="5524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19050</xdr:colOff>
      <xdr:row>196</xdr:row>
      <xdr:rowOff>76200</xdr:rowOff>
    </xdr:from>
    <xdr:to>
      <xdr:col>3</xdr:col>
      <xdr:colOff>571500</xdr:colOff>
      <xdr:row>196</xdr:row>
      <xdr:rowOff>76200</xdr:rowOff>
    </xdr:to>
    <xdr:sp macro="" textlink="">
      <xdr:nvSpPr>
        <xdr:cNvPr id="18532" name="Line 42">
          <a:extLst>
            <a:ext uri="{FF2B5EF4-FFF2-40B4-BE49-F238E27FC236}">
              <a16:creationId xmlns:a16="http://schemas.microsoft.com/office/drawing/2014/main" id="{00000000-0008-0000-0400-000064480000}"/>
            </a:ext>
          </a:extLst>
        </xdr:cNvPr>
        <xdr:cNvSpPr>
          <a:spLocks noChangeShapeType="1"/>
        </xdr:cNvSpPr>
      </xdr:nvSpPr>
      <xdr:spPr bwMode="auto">
        <a:xfrm flipH="1">
          <a:off x="2562225" y="31489650"/>
          <a:ext cx="5524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552450</xdr:colOff>
      <xdr:row>11</xdr:row>
      <xdr:rowOff>76200</xdr:rowOff>
    </xdr:from>
    <xdr:to>
      <xdr:col>3</xdr:col>
      <xdr:colOff>28575</xdr:colOff>
      <xdr:row>12</xdr:row>
      <xdr:rowOff>85725</xdr:rowOff>
    </xdr:to>
    <xdr:sp macro="" textlink="">
      <xdr:nvSpPr>
        <xdr:cNvPr id="19544" name="Line 1">
          <a:extLst>
            <a:ext uri="{FF2B5EF4-FFF2-40B4-BE49-F238E27FC236}">
              <a16:creationId xmlns:a16="http://schemas.microsoft.com/office/drawing/2014/main" id="{00000000-0008-0000-0700-0000584C0000}"/>
            </a:ext>
          </a:extLst>
        </xdr:cNvPr>
        <xdr:cNvSpPr>
          <a:spLocks noChangeShapeType="1"/>
        </xdr:cNvSpPr>
      </xdr:nvSpPr>
      <xdr:spPr bwMode="auto">
        <a:xfrm flipV="1">
          <a:off x="1866900" y="1704975"/>
          <a:ext cx="1724025" cy="1714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104775</xdr:rowOff>
    </xdr:from>
    <xdr:to>
      <xdr:col>3</xdr:col>
      <xdr:colOff>28575</xdr:colOff>
      <xdr:row>12</xdr:row>
      <xdr:rowOff>104775</xdr:rowOff>
    </xdr:to>
    <xdr:sp macro="" textlink="">
      <xdr:nvSpPr>
        <xdr:cNvPr id="19545" name="Line 2">
          <a:extLst>
            <a:ext uri="{FF2B5EF4-FFF2-40B4-BE49-F238E27FC236}">
              <a16:creationId xmlns:a16="http://schemas.microsoft.com/office/drawing/2014/main" id="{00000000-0008-0000-0700-0000594C0000}"/>
            </a:ext>
          </a:extLst>
        </xdr:cNvPr>
        <xdr:cNvSpPr>
          <a:spLocks noChangeShapeType="1"/>
        </xdr:cNvSpPr>
      </xdr:nvSpPr>
      <xdr:spPr bwMode="auto">
        <a:xfrm>
          <a:off x="1905000" y="1895475"/>
          <a:ext cx="1685925"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581025</xdr:colOff>
      <xdr:row>12</xdr:row>
      <xdr:rowOff>142875</xdr:rowOff>
    </xdr:from>
    <xdr:to>
      <xdr:col>3</xdr:col>
      <xdr:colOff>19050</xdr:colOff>
      <xdr:row>13</xdr:row>
      <xdr:rowOff>104775</xdr:rowOff>
    </xdr:to>
    <xdr:sp macro="" textlink="">
      <xdr:nvSpPr>
        <xdr:cNvPr id="19546" name="Line 3">
          <a:extLst>
            <a:ext uri="{FF2B5EF4-FFF2-40B4-BE49-F238E27FC236}">
              <a16:creationId xmlns:a16="http://schemas.microsoft.com/office/drawing/2014/main" id="{00000000-0008-0000-0700-00005A4C0000}"/>
            </a:ext>
          </a:extLst>
        </xdr:cNvPr>
        <xdr:cNvSpPr>
          <a:spLocks noChangeShapeType="1"/>
        </xdr:cNvSpPr>
      </xdr:nvSpPr>
      <xdr:spPr bwMode="auto">
        <a:xfrm>
          <a:off x="1895475" y="1933575"/>
          <a:ext cx="1685925" cy="12382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581025</xdr:colOff>
      <xdr:row>13</xdr:row>
      <xdr:rowOff>0</xdr:rowOff>
    </xdr:from>
    <xdr:to>
      <xdr:col>3</xdr:col>
      <xdr:colOff>38100</xdr:colOff>
      <xdr:row>14</xdr:row>
      <xdr:rowOff>95250</xdr:rowOff>
    </xdr:to>
    <xdr:sp macro="" textlink="">
      <xdr:nvSpPr>
        <xdr:cNvPr id="19547" name="Line 4">
          <a:extLst>
            <a:ext uri="{FF2B5EF4-FFF2-40B4-BE49-F238E27FC236}">
              <a16:creationId xmlns:a16="http://schemas.microsoft.com/office/drawing/2014/main" id="{00000000-0008-0000-0700-00005B4C0000}"/>
            </a:ext>
          </a:extLst>
        </xdr:cNvPr>
        <xdr:cNvSpPr>
          <a:spLocks noChangeShapeType="1"/>
        </xdr:cNvSpPr>
      </xdr:nvSpPr>
      <xdr:spPr bwMode="auto">
        <a:xfrm>
          <a:off x="1895475" y="1952625"/>
          <a:ext cx="1704975" cy="25717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95250</xdr:colOff>
      <xdr:row>35</xdr:row>
      <xdr:rowOff>76200</xdr:rowOff>
    </xdr:from>
    <xdr:to>
      <xdr:col>1</xdr:col>
      <xdr:colOff>790575</xdr:colOff>
      <xdr:row>35</xdr:row>
      <xdr:rowOff>76200</xdr:rowOff>
    </xdr:to>
    <xdr:sp macro="" textlink="">
      <xdr:nvSpPr>
        <xdr:cNvPr id="19548" name="Line 5">
          <a:extLst>
            <a:ext uri="{FF2B5EF4-FFF2-40B4-BE49-F238E27FC236}">
              <a16:creationId xmlns:a16="http://schemas.microsoft.com/office/drawing/2014/main" id="{00000000-0008-0000-0700-00005C4C0000}"/>
            </a:ext>
          </a:extLst>
        </xdr:cNvPr>
        <xdr:cNvSpPr>
          <a:spLocks noChangeShapeType="1"/>
        </xdr:cNvSpPr>
      </xdr:nvSpPr>
      <xdr:spPr bwMode="auto">
        <a:xfrm flipH="1">
          <a:off x="1409700" y="5629275"/>
          <a:ext cx="695325"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66675</xdr:colOff>
      <xdr:row>35</xdr:row>
      <xdr:rowOff>142875</xdr:rowOff>
    </xdr:from>
    <xdr:to>
      <xdr:col>1</xdr:col>
      <xdr:colOff>790575</xdr:colOff>
      <xdr:row>36</xdr:row>
      <xdr:rowOff>66675</xdr:rowOff>
    </xdr:to>
    <xdr:sp macro="" textlink="">
      <xdr:nvSpPr>
        <xdr:cNvPr id="19549" name="Line 6">
          <a:extLst>
            <a:ext uri="{FF2B5EF4-FFF2-40B4-BE49-F238E27FC236}">
              <a16:creationId xmlns:a16="http://schemas.microsoft.com/office/drawing/2014/main" id="{00000000-0008-0000-0700-00005D4C0000}"/>
            </a:ext>
          </a:extLst>
        </xdr:cNvPr>
        <xdr:cNvSpPr>
          <a:spLocks noChangeShapeType="1"/>
        </xdr:cNvSpPr>
      </xdr:nvSpPr>
      <xdr:spPr bwMode="auto">
        <a:xfrm flipH="1">
          <a:off x="1381125" y="5695950"/>
          <a:ext cx="723900" cy="8572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95250</xdr:colOff>
      <xdr:row>43</xdr:row>
      <xdr:rowOff>76200</xdr:rowOff>
    </xdr:from>
    <xdr:to>
      <xdr:col>1</xdr:col>
      <xdr:colOff>790575</xdr:colOff>
      <xdr:row>43</xdr:row>
      <xdr:rowOff>76200</xdr:rowOff>
    </xdr:to>
    <xdr:sp macro="" textlink="">
      <xdr:nvSpPr>
        <xdr:cNvPr id="19550" name="Line 7">
          <a:extLst>
            <a:ext uri="{FF2B5EF4-FFF2-40B4-BE49-F238E27FC236}">
              <a16:creationId xmlns:a16="http://schemas.microsoft.com/office/drawing/2014/main" id="{00000000-0008-0000-0700-00005E4C0000}"/>
            </a:ext>
          </a:extLst>
        </xdr:cNvPr>
        <xdr:cNvSpPr>
          <a:spLocks noChangeShapeType="1"/>
        </xdr:cNvSpPr>
      </xdr:nvSpPr>
      <xdr:spPr bwMode="auto">
        <a:xfrm flipH="1">
          <a:off x="1409700" y="6924675"/>
          <a:ext cx="695325"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66675</xdr:colOff>
      <xdr:row>43</xdr:row>
      <xdr:rowOff>142875</xdr:rowOff>
    </xdr:from>
    <xdr:to>
      <xdr:col>1</xdr:col>
      <xdr:colOff>790575</xdr:colOff>
      <xdr:row>44</xdr:row>
      <xdr:rowOff>66675</xdr:rowOff>
    </xdr:to>
    <xdr:sp macro="" textlink="">
      <xdr:nvSpPr>
        <xdr:cNvPr id="19551" name="Line 8">
          <a:extLst>
            <a:ext uri="{FF2B5EF4-FFF2-40B4-BE49-F238E27FC236}">
              <a16:creationId xmlns:a16="http://schemas.microsoft.com/office/drawing/2014/main" id="{00000000-0008-0000-0700-00005F4C0000}"/>
            </a:ext>
          </a:extLst>
        </xdr:cNvPr>
        <xdr:cNvSpPr>
          <a:spLocks noChangeShapeType="1"/>
        </xdr:cNvSpPr>
      </xdr:nvSpPr>
      <xdr:spPr bwMode="auto">
        <a:xfrm flipH="1">
          <a:off x="1381125" y="6991350"/>
          <a:ext cx="723900" cy="8572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95250</xdr:colOff>
      <xdr:row>53</xdr:row>
      <xdr:rowOff>76200</xdr:rowOff>
    </xdr:from>
    <xdr:to>
      <xdr:col>3</xdr:col>
      <xdr:colOff>790575</xdr:colOff>
      <xdr:row>53</xdr:row>
      <xdr:rowOff>76200</xdr:rowOff>
    </xdr:to>
    <xdr:sp macro="" textlink="">
      <xdr:nvSpPr>
        <xdr:cNvPr id="19552" name="Line 9">
          <a:extLst>
            <a:ext uri="{FF2B5EF4-FFF2-40B4-BE49-F238E27FC236}">
              <a16:creationId xmlns:a16="http://schemas.microsoft.com/office/drawing/2014/main" id="{00000000-0008-0000-0700-0000604C0000}"/>
            </a:ext>
          </a:extLst>
        </xdr:cNvPr>
        <xdr:cNvSpPr>
          <a:spLocks noChangeShapeType="1"/>
        </xdr:cNvSpPr>
      </xdr:nvSpPr>
      <xdr:spPr bwMode="auto">
        <a:xfrm flipH="1">
          <a:off x="3657600" y="8382000"/>
          <a:ext cx="695325"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95250</xdr:colOff>
      <xdr:row>62</xdr:row>
      <xdr:rowOff>76200</xdr:rowOff>
    </xdr:from>
    <xdr:to>
      <xdr:col>3</xdr:col>
      <xdr:colOff>790575</xdr:colOff>
      <xdr:row>62</xdr:row>
      <xdr:rowOff>76200</xdr:rowOff>
    </xdr:to>
    <xdr:sp macro="" textlink="">
      <xdr:nvSpPr>
        <xdr:cNvPr id="19553" name="Line 11">
          <a:extLst>
            <a:ext uri="{FF2B5EF4-FFF2-40B4-BE49-F238E27FC236}">
              <a16:creationId xmlns:a16="http://schemas.microsoft.com/office/drawing/2014/main" id="{00000000-0008-0000-0700-0000614C0000}"/>
            </a:ext>
          </a:extLst>
        </xdr:cNvPr>
        <xdr:cNvSpPr>
          <a:spLocks noChangeShapeType="1"/>
        </xdr:cNvSpPr>
      </xdr:nvSpPr>
      <xdr:spPr bwMode="auto">
        <a:xfrm flipH="1">
          <a:off x="3657600" y="9677400"/>
          <a:ext cx="695325"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123825</xdr:colOff>
      <xdr:row>60</xdr:row>
      <xdr:rowOff>114300</xdr:rowOff>
    </xdr:from>
    <xdr:to>
      <xdr:col>2</xdr:col>
      <xdr:colOff>409575</xdr:colOff>
      <xdr:row>60</xdr:row>
      <xdr:rowOff>114300</xdr:rowOff>
    </xdr:to>
    <xdr:sp macro="" textlink="">
      <xdr:nvSpPr>
        <xdr:cNvPr id="19554" name="Line 12">
          <a:extLst>
            <a:ext uri="{FF2B5EF4-FFF2-40B4-BE49-F238E27FC236}">
              <a16:creationId xmlns:a16="http://schemas.microsoft.com/office/drawing/2014/main" id="{00000000-0008-0000-0700-0000624C0000}"/>
            </a:ext>
          </a:extLst>
        </xdr:cNvPr>
        <xdr:cNvSpPr>
          <a:spLocks noChangeShapeType="1"/>
        </xdr:cNvSpPr>
      </xdr:nvSpPr>
      <xdr:spPr bwMode="auto">
        <a:xfrm>
          <a:off x="1438275" y="9391650"/>
          <a:ext cx="1400175"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114300</xdr:colOff>
      <xdr:row>61</xdr:row>
      <xdr:rowOff>104775</xdr:rowOff>
    </xdr:from>
    <xdr:to>
      <xdr:col>2</xdr:col>
      <xdr:colOff>419100</xdr:colOff>
      <xdr:row>61</xdr:row>
      <xdr:rowOff>104775</xdr:rowOff>
    </xdr:to>
    <xdr:sp macro="" textlink="">
      <xdr:nvSpPr>
        <xdr:cNvPr id="19555" name="Line 13">
          <a:extLst>
            <a:ext uri="{FF2B5EF4-FFF2-40B4-BE49-F238E27FC236}">
              <a16:creationId xmlns:a16="http://schemas.microsoft.com/office/drawing/2014/main" id="{00000000-0008-0000-0700-0000634C0000}"/>
            </a:ext>
          </a:extLst>
        </xdr:cNvPr>
        <xdr:cNvSpPr>
          <a:spLocks noChangeShapeType="1"/>
        </xdr:cNvSpPr>
      </xdr:nvSpPr>
      <xdr:spPr bwMode="auto">
        <a:xfrm>
          <a:off x="1428750" y="9544050"/>
          <a:ext cx="1419225"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114300</xdr:colOff>
      <xdr:row>62</xdr:row>
      <xdr:rowOff>104775</xdr:rowOff>
    </xdr:from>
    <xdr:to>
      <xdr:col>2</xdr:col>
      <xdr:colOff>390525</xdr:colOff>
      <xdr:row>62</xdr:row>
      <xdr:rowOff>104775</xdr:rowOff>
    </xdr:to>
    <xdr:sp macro="" textlink="">
      <xdr:nvSpPr>
        <xdr:cNvPr id="19556" name="Line 15">
          <a:extLst>
            <a:ext uri="{FF2B5EF4-FFF2-40B4-BE49-F238E27FC236}">
              <a16:creationId xmlns:a16="http://schemas.microsoft.com/office/drawing/2014/main" id="{00000000-0008-0000-0700-0000644C0000}"/>
            </a:ext>
          </a:extLst>
        </xdr:cNvPr>
        <xdr:cNvSpPr>
          <a:spLocks noChangeShapeType="1"/>
        </xdr:cNvSpPr>
      </xdr:nvSpPr>
      <xdr:spPr bwMode="auto">
        <a:xfrm>
          <a:off x="1428750" y="9705975"/>
          <a:ext cx="1390650" cy="0"/>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371475</xdr:colOff>
      <xdr:row>62</xdr:row>
      <xdr:rowOff>95250</xdr:rowOff>
    </xdr:from>
    <xdr:to>
      <xdr:col>0</xdr:col>
      <xdr:colOff>781050</xdr:colOff>
      <xdr:row>64</xdr:row>
      <xdr:rowOff>9525</xdr:rowOff>
    </xdr:to>
    <xdr:sp macro="" textlink="">
      <xdr:nvSpPr>
        <xdr:cNvPr id="19557" name="Line 16">
          <a:extLst>
            <a:ext uri="{FF2B5EF4-FFF2-40B4-BE49-F238E27FC236}">
              <a16:creationId xmlns:a16="http://schemas.microsoft.com/office/drawing/2014/main" id="{00000000-0008-0000-0700-0000654C0000}"/>
            </a:ext>
          </a:extLst>
        </xdr:cNvPr>
        <xdr:cNvSpPr>
          <a:spLocks noChangeShapeType="1"/>
        </xdr:cNvSpPr>
      </xdr:nvSpPr>
      <xdr:spPr bwMode="auto">
        <a:xfrm flipH="1">
          <a:off x="371475" y="9696450"/>
          <a:ext cx="409575" cy="238125"/>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95250</xdr:colOff>
      <xdr:row>64</xdr:row>
      <xdr:rowOff>104775</xdr:rowOff>
    </xdr:from>
    <xdr:to>
      <xdr:col>2</xdr:col>
      <xdr:colOff>581025</xdr:colOff>
      <xdr:row>64</xdr:row>
      <xdr:rowOff>104775</xdr:rowOff>
    </xdr:to>
    <xdr:sp macro="" textlink="">
      <xdr:nvSpPr>
        <xdr:cNvPr id="19558" name="Line 19">
          <a:extLst>
            <a:ext uri="{FF2B5EF4-FFF2-40B4-BE49-F238E27FC236}">
              <a16:creationId xmlns:a16="http://schemas.microsoft.com/office/drawing/2014/main" id="{00000000-0008-0000-0700-0000664C0000}"/>
            </a:ext>
          </a:extLst>
        </xdr:cNvPr>
        <xdr:cNvSpPr>
          <a:spLocks noChangeShapeType="1"/>
        </xdr:cNvSpPr>
      </xdr:nvSpPr>
      <xdr:spPr bwMode="auto">
        <a:xfrm flipV="1">
          <a:off x="1409700" y="10029825"/>
          <a:ext cx="1600200" cy="0"/>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38100</xdr:colOff>
      <xdr:row>69</xdr:row>
      <xdr:rowOff>66675</xdr:rowOff>
    </xdr:from>
    <xdr:to>
      <xdr:col>2</xdr:col>
      <xdr:colOff>981075</xdr:colOff>
      <xdr:row>69</xdr:row>
      <xdr:rowOff>66675</xdr:rowOff>
    </xdr:to>
    <xdr:sp macro="" textlink="">
      <xdr:nvSpPr>
        <xdr:cNvPr id="19559" name="Line 20">
          <a:extLst>
            <a:ext uri="{FF2B5EF4-FFF2-40B4-BE49-F238E27FC236}">
              <a16:creationId xmlns:a16="http://schemas.microsoft.com/office/drawing/2014/main" id="{00000000-0008-0000-0700-0000674C0000}"/>
            </a:ext>
          </a:extLst>
        </xdr:cNvPr>
        <xdr:cNvSpPr>
          <a:spLocks noChangeShapeType="1"/>
        </xdr:cNvSpPr>
      </xdr:nvSpPr>
      <xdr:spPr bwMode="auto">
        <a:xfrm>
          <a:off x="2466975" y="10801350"/>
          <a:ext cx="942975"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70</xdr:row>
      <xdr:rowOff>85725</xdr:rowOff>
    </xdr:from>
    <xdr:to>
      <xdr:col>3</xdr:col>
      <xdr:colOff>0</xdr:colOff>
      <xdr:row>70</xdr:row>
      <xdr:rowOff>85725</xdr:rowOff>
    </xdr:to>
    <xdr:sp macro="" textlink="">
      <xdr:nvSpPr>
        <xdr:cNvPr id="19560" name="Line 21">
          <a:extLst>
            <a:ext uri="{FF2B5EF4-FFF2-40B4-BE49-F238E27FC236}">
              <a16:creationId xmlns:a16="http://schemas.microsoft.com/office/drawing/2014/main" id="{00000000-0008-0000-0700-0000684C0000}"/>
            </a:ext>
          </a:extLst>
        </xdr:cNvPr>
        <xdr:cNvSpPr>
          <a:spLocks noChangeShapeType="1"/>
        </xdr:cNvSpPr>
      </xdr:nvSpPr>
      <xdr:spPr bwMode="auto">
        <a:xfrm>
          <a:off x="2447925" y="10982325"/>
          <a:ext cx="1114425"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28575</xdr:colOff>
      <xdr:row>71</xdr:row>
      <xdr:rowOff>95250</xdr:rowOff>
    </xdr:from>
    <xdr:to>
      <xdr:col>2</xdr:col>
      <xdr:colOff>981075</xdr:colOff>
      <xdr:row>71</xdr:row>
      <xdr:rowOff>95250</xdr:rowOff>
    </xdr:to>
    <xdr:sp macro="" textlink="">
      <xdr:nvSpPr>
        <xdr:cNvPr id="19561" name="Line 22">
          <a:extLst>
            <a:ext uri="{FF2B5EF4-FFF2-40B4-BE49-F238E27FC236}">
              <a16:creationId xmlns:a16="http://schemas.microsoft.com/office/drawing/2014/main" id="{00000000-0008-0000-0700-0000694C0000}"/>
            </a:ext>
          </a:extLst>
        </xdr:cNvPr>
        <xdr:cNvSpPr>
          <a:spLocks noChangeShapeType="1"/>
        </xdr:cNvSpPr>
      </xdr:nvSpPr>
      <xdr:spPr bwMode="auto">
        <a:xfrm>
          <a:off x="2457450" y="11153775"/>
          <a:ext cx="9525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942975</xdr:colOff>
      <xdr:row>78</xdr:row>
      <xdr:rowOff>85725</xdr:rowOff>
    </xdr:from>
    <xdr:to>
      <xdr:col>1</xdr:col>
      <xdr:colOff>228600</xdr:colOff>
      <xdr:row>78</xdr:row>
      <xdr:rowOff>85725</xdr:rowOff>
    </xdr:to>
    <xdr:sp macro="" textlink="">
      <xdr:nvSpPr>
        <xdr:cNvPr id="19562" name="Line 23">
          <a:extLst>
            <a:ext uri="{FF2B5EF4-FFF2-40B4-BE49-F238E27FC236}">
              <a16:creationId xmlns:a16="http://schemas.microsoft.com/office/drawing/2014/main" id="{00000000-0008-0000-0700-00006A4C0000}"/>
            </a:ext>
          </a:extLst>
        </xdr:cNvPr>
        <xdr:cNvSpPr>
          <a:spLocks noChangeShapeType="1"/>
        </xdr:cNvSpPr>
      </xdr:nvSpPr>
      <xdr:spPr bwMode="auto">
        <a:xfrm>
          <a:off x="942975" y="12277725"/>
          <a:ext cx="600075"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962025</xdr:colOff>
      <xdr:row>79</xdr:row>
      <xdr:rowOff>85725</xdr:rowOff>
    </xdr:from>
    <xdr:to>
      <xdr:col>1</xdr:col>
      <xdr:colOff>209550</xdr:colOff>
      <xdr:row>79</xdr:row>
      <xdr:rowOff>85725</xdr:rowOff>
    </xdr:to>
    <xdr:sp macro="" textlink="">
      <xdr:nvSpPr>
        <xdr:cNvPr id="19563" name="Line 24">
          <a:extLst>
            <a:ext uri="{FF2B5EF4-FFF2-40B4-BE49-F238E27FC236}">
              <a16:creationId xmlns:a16="http://schemas.microsoft.com/office/drawing/2014/main" id="{00000000-0008-0000-0700-00006B4C0000}"/>
            </a:ext>
          </a:extLst>
        </xdr:cNvPr>
        <xdr:cNvSpPr>
          <a:spLocks noChangeShapeType="1"/>
        </xdr:cNvSpPr>
      </xdr:nvSpPr>
      <xdr:spPr bwMode="auto">
        <a:xfrm>
          <a:off x="962025" y="12439650"/>
          <a:ext cx="561975"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66675</xdr:colOff>
      <xdr:row>80</xdr:row>
      <xdr:rowOff>95250</xdr:rowOff>
    </xdr:from>
    <xdr:to>
      <xdr:col>2</xdr:col>
      <xdr:colOff>819150</xdr:colOff>
      <xdr:row>80</xdr:row>
      <xdr:rowOff>95250</xdr:rowOff>
    </xdr:to>
    <xdr:sp macro="" textlink="">
      <xdr:nvSpPr>
        <xdr:cNvPr id="19564" name="Line 25">
          <a:extLst>
            <a:ext uri="{FF2B5EF4-FFF2-40B4-BE49-F238E27FC236}">
              <a16:creationId xmlns:a16="http://schemas.microsoft.com/office/drawing/2014/main" id="{00000000-0008-0000-0700-00006C4C0000}"/>
            </a:ext>
          </a:extLst>
        </xdr:cNvPr>
        <xdr:cNvSpPr>
          <a:spLocks noChangeShapeType="1"/>
        </xdr:cNvSpPr>
      </xdr:nvSpPr>
      <xdr:spPr bwMode="auto">
        <a:xfrm>
          <a:off x="2495550" y="12611100"/>
          <a:ext cx="752475"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76200</xdr:colOff>
      <xdr:row>81</xdr:row>
      <xdr:rowOff>95250</xdr:rowOff>
    </xdr:from>
    <xdr:to>
      <xdr:col>2</xdr:col>
      <xdr:colOff>790575</xdr:colOff>
      <xdr:row>81</xdr:row>
      <xdr:rowOff>95250</xdr:rowOff>
    </xdr:to>
    <xdr:sp macro="" textlink="">
      <xdr:nvSpPr>
        <xdr:cNvPr id="19565" name="Line 26">
          <a:extLst>
            <a:ext uri="{FF2B5EF4-FFF2-40B4-BE49-F238E27FC236}">
              <a16:creationId xmlns:a16="http://schemas.microsoft.com/office/drawing/2014/main" id="{00000000-0008-0000-0700-00006D4C0000}"/>
            </a:ext>
          </a:extLst>
        </xdr:cNvPr>
        <xdr:cNvSpPr>
          <a:spLocks noChangeShapeType="1"/>
        </xdr:cNvSpPr>
      </xdr:nvSpPr>
      <xdr:spPr bwMode="auto">
        <a:xfrm>
          <a:off x="2505075" y="12773025"/>
          <a:ext cx="714375"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86</xdr:row>
      <xdr:rowOff>95250</xdr:rowOff>
    </xdr:from>
    <xdr:to>
      <xdr:col>2</xdr:col>
      <xdr:colOff>200025</xdr:colOff>
      <xdr:row>86</xdr:row>
      <xdr:rowOff>95250</xdr:rowOff>
    </xdr:to>
    <xdr:sp macro="" textlink="">
      <xdr:nvSpPr>
        <xdr:cNvPr id="19566" name="Line 27">
          <a:extLst>
            <a:ext uri="{FF2B5EF4-FFF2-40B4-BE49-F238E27FC236}">
              <a16:creationId xmlns:a16="http://schemas.microsoft.com/office/drawing/2014/main" id="{00000000-0008-0000-0700-00006E4C0000}"/>
            </a:ext>
          </a:extLst>
        </xdr:cNvPr>
        <xdr:cNvSpPr>
          <a:spLocks noChangeShapeType="1"/>
        </xdr:cNvSpPr>
      </xdr:nvSpPr>
      <xdr:spPr bwMode="auto">
        <a:xfrm>
          <a:off x="2435893" y="14282487"/>
          <a:ext cx="1905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95250</xdr:colOff>
      <xdr:row>96</xdr:row>
      <xdr:rowOff>76200</xdr:rowOff>
    </xdr:from>
    <xdr:to>
      <xdr:col>2</xdr:col>
      <xdr:colOff>0</xdr:colOff>
      <xdr:row>96</xdr:row>
      <xdr:rowOff>76200</xdr:rowOff>
    </xdr:to>
    <xdr:sp macro="" textlink="">
      <xdr:nvSpPr>
        <xdr:cNvPr id="19567" name="Line 30">
          <a:extLst>
            <a:ext uri="{FF2B5EF4-FFF2-40B4-BE49-F238E27FC236}">
              <a16:creationId xmlns:a16="http://schemas.microsoft.com/office/drawing/2014/main" id="{00000000-0008-0000-0700-00006F4C0000}"/>
            </a:ext>
          </a:extLst>
        </xdr:cNvPr>
        <xdr:cNvSpPr>
          <a:spLocks noChangeShapeType="1"/>
        </xdr:cNvSpPr>
      </xdr:nvSpPr>
      <xdr:spPr bwMode="auto">
        <a:xfrm flipH="1">
          <a:off x="1409700" y="15182850"/>
          <a:ext cx="1019175"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66675</xdr:colOff>
      <xdr:row>96</xdr:row>
      <xdr:rowOff>142875</xdr:rowOff>
    </xdr:from>
    <xdr:to>
      <xdr:col>1</xdr:col>
      <xdr:colOff>790575</xdr:colOff>
      <xdr:row>97</xdr:row>
      <xdr:rowOff>66675</xdr:rowOff>
    </xdr:to>
    <xdr:sp macro="" textlink="">
      <xdr:nvSpPr>
        <xdr:cNvPr id="19568" name="Line 31">
          <a:extLst>
            <a:ext uri="{FF2B5EF4-FFF2-40B4-BE49-F238E27FC236}">
              <a16:creationId xmlns:a16="http://schemas.microsoft.com/office/drawing/2014/main" id="{00000000-0008-0000-0700-0000704C0000}"/>
            </a:ext>
          </a:extLst>
        </xdr:cNvPr>
        <xdr:cNvSpPr>
          <a:spLocks noChangeShapeType="1"/>
        </xdr:cNvSpPr>
      </xdr:nvSpPr>
      <xdr:spPr bwMode="auto">
        <a:xfrm flipH="1">
          <a:off x="1381125" y="15249525"/>
          <a:ext cx="723900" cy="8572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95250</xdr:colOff>
      <xdr:row>104</xdr:row>
      <xdr:rowOff>76200</xdr:rowOff>
    </xdr:from>
    <xdr:to>
      <xdr:col>3</xdr:col>
      <xdr:colOff>0</xdr:colOff>
      <xdr:row>104</xdr:row>
      <xdr:rowOff>76200</xdr:rowOff>
    </xdr:to>
    <xdr:sp macro="" textlink="">
      <xdr:nvSpPr>
        <xdr:cNvPr id="19569" name="Line 32">
          <a:extLst>
            <a:ext uri="{FF2B5EF4-FFF2-40B4-BE49-F238E27FC236}">
              <a16:creationId xmlns:a16="http://schemas.microsoft.com/office/drawing/2014/main" id="{00000000-0008-0000-0700-0000714C0000}"/>
            </a:ext>
          </a:extLst>
        </xdr:cNvPr>
        <xdr:cNvSpPr>
          <a:spLocks noChangeShapeType="1"/>
        </xdr:cNvSpPr>
      </xdr:nvSpPr>
      <xdr:spPr bwMode="auto">
        <a:xfrm flipH="1">
          <a:off x="2524125" y="16478250"/>
          <a:ext cx="1038225"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66675</xdr:colOff>
      <xdr:row>104</xdr:row>
      <xdr:rowOff>114300</xdr:rowOff>
    </xdr:from>
    <xdr:to>
      <xdr:col>2</xdr:col>
      <xdr:colOff>962025</xdr:colOff>
      <xdr:row>105</xdr:row>
      <xdr:rowOff>66675</xdr:rowOff>
    </xdr:to>
    <xdr:sp macro="" textlink="">
      <xdr:nvSpPr>
        <xdr:cNvPr id="19570" name="Line 33">
          <a:extLst>
            <a:ext uri="{FF2B5EF4-FFF2-40B4-BE49-F238E27FC236}">
              <a16:creationId xmlns:a16="http://schemas.microsoft.com/office/drawing/2014/main" id="{00000000-0008-0000-0700-0000724C0000}"/>
            </a:ext>
          </a:extLst>
        </xdr:cNvPr>
        <xdr:cNvSpPr>
          <a:spLocks noChangeShapeType="1"/>
        </xdr:cNvSpPr>
      </xdr:nvSpPr>
      <xdr:spPr bwMode="auto">
        <a:xfrm flipH="1">
          <a:off x="2495550" y="16516350"/>
          <a:ext cx="895350" cy="1143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103</xdr:row>
      <xdr:rowOff>66675</xdr:rowOff>
    </xdr:from>
    <xdr:to>
      <xdr:col>2</xdr:col>
      <xdr:colOff>923925</xdr:colOff>
      <xdr:row>104</xdr:row>
      <xdr:rowOff>38100</xdr:rowOff>
    </xdr:to>
    <xdr:sp macro="" textlink="">
      <xdr:nvSpPr>
        <xdr:cNvPr id="19571" name="Line 34">
          <a:extLst>
            <a:ext uri="{FF2B5EF4-FFF2-40B4-BE49-F238E27FC236}">
              <a16:creationId xmlns:a16="http://schemas.microsoft.com/office/drawing/2014/main" id="{00000000-0008-0000-0700-0000734C0000}"/>
            </a:ext>
          </a:extLst>
        </xdr:cNvPr>
        <xdr:cNvSpPr>
          <a:spLocks noChangeShapeType="1"/>
        </xdr:cNvSpPr>
      </xdr:nvSpPr>
      <xdr:spPr bwMode="auto">
        <a:xfrm flipH="1" flipV="1">
          <a:off x="2438400" y="16306800"/>
          <a:ext cx="914400" cy="1333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95250</xdr:colOff>
      <xdr:row>110</xdr:row>
      <xdr:rowOff>76200</xdr:rowOff>
    </xdr:from>
    <xdr:to>
      <xdr:col>3</xdr:col>
      <xdr:colOff>0</xdr:colOff>
      <xdr:row>110</xdr:row>
      <xdr:rowOff>76200</xdr:rowOff>
    </xdr:to>
    <xdr:sp macro="" textlink="">
      <xdr:nvSpPr>
        <xdr:cNvPr id="19572" name="Line 35">
          <a:extLst>
            <a:ext uri="{FF2B5EF4-FFF2-40B4-BE49-F238E27FC236}">
              <a16:creationId xmlns:a16="http://schemas.microsoft.com/office/drawing/2014/main" id="{00000000-0008-0000-0700-0000744C0000}"/>
            </a:ext>
          </a:extLst>
        </xdr:cNvPr>
        <xdr:cNvSpPr>
          <a:spLocks noChangeShapeType="1"/>
        </xdr:cNvSpPr>
      </xdr:nvSpPr>
      <xdr:spPr bwMode="auto">
        <a:xfrm flipH="1">
          <a:off x="2524125" y="18097500"/>
          <a:ext cx="1038225"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66675</xdr:colOff>
      <xdr:row>110</xdr:row>
      <xdr:rowOff>114300</xdr:rowOff>
    </xdr:from>
    <xdr:to>
      <xdr:col>2</xdr:col>
      <xdr:colOff>962025</xdr:colOff>
      <xdr:row>111</xdr:row>
      <xdr:rowOff>66675</xdr:rowOff>
    </xdr:to>
    <xdr:sp macro="" textlink="">
      <xdr:nvSpPr>
        <xdr:cNvPr id="19573" name="Line 36">
          <a:extLst>
            <a:ext uri="{FF2B5EF4-FFF2-40B4-BE49-F238E27FC236}">
              <a16:creationId xmlns:a16="http://schemas.microsoft.com/office/drawing/2014/main" id="{00000000-0008-0000-0700-0000754C0000}"/>
            </a:ext>
          </a:extLst>
        </xdr:cNvPr>
        <xdr:cNvSpPr>
          <a:spLocks noChangeShapeType="1"/>
        </xdr:cNvSpPr>
      </xdr:nvSpPr>
      <xdr:spPr bwMode="auto">
        <a:xfrm flipH="1">
          <a:off x="2495550" y="18135600"/>
          <a:ext cx="895350" cy="1143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38100</xdr:colOff>
      <xdr:row>117</xdr:row>
      <xdr:rowOff>66675</xdr:rowOff>
    </xdr:from>
    <xdr:to>
      <xdr:col>2</xdr:col>
      <xdr:colOff>904875</xdr:colOff>
      <xdr:row>117</xdr:row>
      <xdr:rowOff>66675</xdr:rowOff>
    </xdr:to>
    <xdr:sp macro="" textlink="">
      <xdr:nvSpPr>
        <xdr:cNvPr id="19574" name="Line 38">
          <a:extLst>
            <a:ext uri="{FF2B5EF4-FFF2-40B4-BE49-F238E27FC236}">
              <a16:creationId xmlns:a16="http://schemas.microsoft.com/office/drawing/2014/main" id="{00000000-0008-0000-0700-0000764C0000}"/>
            </a:ext>
          </a:extLst>
        </xdr:cNvPr>
        <xdr:cNvSpPr>
          <a:spLocks noChangeShapeType="1"/>
        </xdr:cNvSpPr>
      </xdr:nvSpPr>
      <xdr:spPr bwMode="auto">
        <a:xfrm>
          <a:off x="2466975" y="19059525"/>
          <a:ext cx="866775"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695325</xdr:colOff>
      <xdr:row>118</xdr:row>
      <xdr:rowOff>104775</xdr:rowOff>
    </xdr:from>
    <xdr:to>
      <xdr:col>2</xdr:col>
      <xdr:colOff>857250</xdr:colOff>
      <xdr:row>118</xdr:row>
      <xdr:rowOff>104775</xdr:rowOff>
    </xdr:to>
    <xdr:sp macro="" textlink="">
      <xdr:nvSpPr>
        <xdr:cNvPr id="19575" name="Line 39">
          <a:extLst>
            <a:ext uri="{FF2B5EF4-FFF2-40B4-BE49-F238E27FC236}">
              <a16:creationId xmlns:a16="http://schemas.microsoft.com/office/drawing/2014/main" id="{00000000-0008-0000-0700-0000774C0000}"/>
            </a:ext>
          </a:extLst>
        </xdr:cNvPr>
        <xdr:cNvSpPr>
          <a:spLocks noChangeShapeType="1"/>
        </xdr:cNvSpPr>
      </xdr:nvSpPr>
      <xdr:spPr bwMode="auto">
        <a:xfrm>
          <a:off x="2009775" y="19259550"/>
          <a:ext cx="12763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9525</xdr:colOff>
      <xdr:row>123</xdr:row>
      <xdr:rowOff>85725</xdr:rowOff>
    </xdr:from>
    <xdr:to>
      <xdr:col>1</xdr:col>
      <xdr:colOff>314325</xdr:colOff>
      <xdr:row>123</xdr:row>
      <xdr:rowOff>85725</xdr:rowOff>
    </xdr:to>
    <xdr:sp macro="" textlink="">
      <xdr:nvSpPr>
        <xdr:cNvPr id="19576" name="Line 40">
          <a:extLst>
            <a:ext uri="{FF2B5EF4-FFF2-40B4-BE49-F238E27FC236}">
              <a16:creationId xmlns:a16="http://schemas.microsoft.com/office/drawing/2014/main" id="{00000000-0008-0000-0700-0000784C0000}"/>
            </a:ext>
          </a:extLst>
        </xdr:cNvPr>
        <xdr:cNvSpPr>
          <a:spLocks noChangeShapeType="1"/>
        </xdr:cNvSpPr>
      </xdr:nvSpPr>
      <xdr:spPr bwMode="auto">
        <a:xfrm>
          <a:off x="1323975" y="20050125"/>
          <a:ext cx="3048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857250</xdr:colOff>
      <xdr:row>133</xdr:row>
      <xdr:rowOff>95250</xdr:rowOff>
    </xdr:from>
    <xdr:to>
      <xdr:col>1</xdr:col>
      <xdr:colOff>209550</xdr:colOff>
      <xdr:row>133</xdr:row>
      <xdr:rowOff>95250</xdr:rowOff>
    </xdr:to>
    <xdr:sp macro="" textlink="">
      <xdr:nvSpPr>
        <xdr:cNvPr id="19577" name="Line 41">
          <a:extLst>
            <a:ext uri="{FF2B5EF4-FFF2-40B4-BE49-F238E27FC236}">
              <a16:creationId xmlns:a16="http://schemas.microsoft.com/office/drawing/2014/main" id="{00000000-0008-0000-0700-0000794C0000}"/>
            </a:ext>
          </a:extLst>
        </xdr:cNvPr>
        <xdr:cNvSpPr>
          <a:spLocks noChangeShapeType="1"/>
        </xdr:cNvSpPr>
      </xdr:nvSpPr>
      <xdr:spPr bwMode="auto">
        <a:xfrm>
          <a:off x="857250" y="21355050"/>
          <a:ext cx="6667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154</xdr:row>
      <xdr:rowOff>66675</xdr:rowOff>
    </xdr:from>
    <xdr:to>
      <xdr:col>2</xdr:col>
      <xdr:colOff>962025</xdr:colOff>
      <xdr:row>154</xdr:row>
      <xdr:rowOff>66675</xdr:rowOff>
    </xdr:to>
    <xdr:sp macro="" textlink="">
      <xdr:nvSpPr>
        <xdr:cNvPr id="19578" name="Line 43">
          <a:extLst>
            <a:ext uri="{FF2B5EF4-FFF2-40B4-BE49-F238E27FC236}">
              <a16:creationId xmlns:a16="http://schemas.microsoft.com/office/drawing/2014/main" id="{00000000-0008-0000-0700-00007A4C0000}"/>
            </a:ext>
          </a:extLst>
        </xdr:cNvPr>
        <xdr:cNvSpPr>
          <a:spLocks noChangeShapeType="1"/>
        </xdr:cNvSpPr>
      </xdr:nvSpPr>
      <xdr:spPr bwMode="auto">
        <a:xfrm flipH="1">
          <a:off x="2428875" y="24564975"/>
          <a:ext cx="962025"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57150</xdr:colOff>
      <xdr:row>164</xdr:row>
      <xdr:rowOff>76200</xdr:rowOff>
    </xdr:from>
    <xdr:to>
      <xdr:col>1</xdr:col>
      <xdr:colOff>847725</xdr:colOff>
      <xdr:row>164</xdr:row>
      <xdr:rowOff>76200</xdr:rowOff>
    </xdr:to>
    <xdr:sp macro="" textlink="">
      <xdr:nvSpPr>
        <xdr:cNvPr id="19579" name="Line 45">
          <a:extLst>
            <a:ext uri="{FF2B5EF4-FFF2-40B4-BE49-F238E27FC236}">
              <a16:creationId xmlns:a16="http://schemas.microsoft.com/office/drawing/2014/main" id="{00000000-0008-0000-0700-00007B4C0000}"/>
            </a:ext>
          </a:extLst>
        </xdr:cNvPr>
        <xdr:cNvSpPr>
          <a:spLocks noChangeShapeType="1"/>
        </xdr:cNvSpPr>
      </xdr:nvSpPr>
      <xdr:spPr bwMode="auto">
        <a:xfrm>
          <a:off x="1371600" y="26193750"/>
          <a:ext cx="790575"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581025</xdr:colOff>
      <xdr:row>175</xdr:row>
      <xdr:rowOff>104775</xdr:rowOff>
    </xdr:from>
    <xdr:to>
      <xdr:col>2</xdr:col>
      <xdr:colOff>657225</xdr:colOff>
      <xdr:row>176</xdr:row>
      <xdr:rowOff>152400</xdr:rowOff>
    </xdr:to>
    <xdr:sp macro="" textlink="">
      <xdr:nvSpPr>
        <xdr:cNvPr id="19580" name="Line 46">
          <a:extLst>
            <a:ext uri="{FF2B5EF4-FFF2-40B4-BE49-F238E27FC236}">
              <a16:creationId xmlns:a16="http://schemas.microsoft.com/office/drawing/2014/main" id="{00000000-0008-0000-0700-00007C4C0000}"/>
            </a:ext>
          </a:extLst>
        </xdr:cNvPr>
        <xdr:cNvSpPr>
          <a:spLocks noChangeShapeType="1"/>
        </xdr:cNvSpPr>
      </xdr:nvSpPr>
      <xdr:spPr bwMode="auto">
        <a:xfrm flipV="1">
          <a:off x="3009900" y="28003500"/>
          <a:ext cx="76200" cy="2095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58206</xdr:colOff>
      <xdr:row>54</xdr:row>
      <xdr:rowOff>26458</xdr:rowOff>
    </xdr:from>
    <xdr:to>
      <xdr:col>3</xdr:col>
      <xdr:colOff>814915</xdr:colOff>
      <xdr:row>55</xdr:row>
      <xdr:rowOff>5290</xdr:rowOff>
    </xdr:to>
    <xdr:sp macro="" textlink="">
      <xdr:nvSpPr>
        <xdr:cNvPr id="40" name="Line 9">
          <a:extLst>
            <a:ext uri="{FF2B5EF4-FFF2-40B4-BE49-F238E27FC236}">
              <a16:creationId xmlns:a16="http://schemas.microsoft.com/office/drawing/2014/main" id="{00000000-0008-0000-0700-000028000000}"/>
            </a:ext>
          </a:extLst>
        </xdr:cNvPr>
        <xdr:cNvSpPr>
          <a:spLocks noChangeShapeType="1"/>
        </xdr:cNvSpPr>
      </xdr:nvSpPr>
      <xdr:spPr bwMode="auto">
        <a:xfrm flipH="1">
          <a:off x="3619498" y="9392708"/>
          <a:ext cx="756709" cy="142874"/>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882316</xdr:colOff>
      <xdr:row>204</xdr:row>
      <xdr:rowOff>55143</xdr:rowOff>
    </xdr:from>
    <xdr:to>
      <xdr:col>5</xdr:col>
      <xdr:colOff>5013</xdr:colOff>
      <xdr:row>204</xdr:row>
      <xdr:rowOff>100262</xdr:rowOff>
    </xdr:to>
    <xdr:sp macro="" textlink="">
      <xdr:nvSpPr>
        <xdr:cNvPr id="44" name="Line 46">
          <a:extLst>
            <a:ext uri="{FF2B5EF4-FFF2-40B4-BE49-F238E27FC236}">
              <a16:creationId xmlns:a16="http://schemas.microsoft.com/office/drawing/2014/main" id="{00000000-0008-0000-0700-00002C000000}"/>
            </a:ext>
          </a:extLst>
        </xdr:cNvPr>
        <xdr:cNvSpPr>
          <a:spLocks noChangeShapeType="1"/>
        </xdr:cNvSpPr>
      </xdr:nvSpPr>
      <xdr:spPr bwMode="auto">
        <a:xfrm flipH="1">
          <a:off x="4441658" y="33192117"/>
          <a:ext cx="731921" cy="45119"/>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28575</xdr:colOff>
      <xdr:row>55</xdr:row>
      <xdr:rowOff>85725</xdr:rowOff>
    </xdr:from>
    <xdr:to>
      <xdr:col>1</xdr:col>
      <xdr:colOff>581025</xdr:colOff>
      <xdr:row>55</xdr:row>
      <xdr:rowOff>85725</xdr:rowOff>
    </xdr:to>
    <xdr:sp macro="" textlink="">
      <xdr:nvSpPr>
        <xdr:cNvPr id="2072" name="Line 10">
          <a:extLst>
            <a:ext uri="{FF2B5EF4-FFF2-40B4-BE49-F238E27FC236}">
              <a16:creationId xmlns:a16="http://schemas.microsoft.com/office/drawing/2014/main" id="{00000000-0008-0000-0800-000018080000}"/>
            </a:ext>
          </a:extLst>
        </xdr:cNvPr>
        <xdr:cNvSpPr>
          <a:spLocks noChangeShapeType="1"/>
        </xdr:cNvSpPr>
      </xdr:nvSpPr>
      <xdr:spPr bwMode="auto">
        <a:xfrm flipH="1">
          <a:off x="724633" y="9083187"/>
          <a:ext cx="5524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285750</xdr:colOff>
      <xdr:row>61</xdr:row>
      <xdr:rowOff>19050</xdr:rowOff>
    </xdr:from>
    <xdr:to>
      <xdr:col>4</xdr:col>
      <xdr:colOff>66675</xdr:colOff>
      <xdr:row>62</xdr:row>
      <xdr:rowOff>66675</xdr:rowOff>
    </xdr:to>
    <xdr:sp macro="" textlink="">
      <xdr:nvSpPr>
        <xdr:cNvPr id="2061" name="Text Box 13">
          <a:extLst>
            <a:ext uri="{FF2B5EF4-FFF2-40B4-BE49-F238E27FC236}">
              <a16:creationId xmlns:a16="http://schemas.microsoft.com/office/drawing/2014/main" id="{00000000-0008-0000-0800-00000D080000}"/>
            </a:ext>
          </a:extLst>
        </xdr:cNvPr>
        <xdr:cNvSpPr txBox="1">
          <a:spLocks noChangeArrowheads="1"/>
        </xdr:cNvSpPr>
      </xdr:nvSpPr>
      <xdr:spPr bwMode="auto">
        <a:xfrm>
          <a:off x="2198077" y="9983665"/>
          <a:ext cx="389060" cy="208818"/>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2a+b</a:t>
          </a:r>
        </a:p>
      </xdr:txBody>
    </xdr:sp>
    <xdr:clientData/>
  </xdr:twoCellAnchor>
  <xdr:twoCellAnchor>
    <xdr:from>
      <xdr:col>3</xdr:col>
      <xdr:colOff>0</xdr:colOff>
      <xdr:row>61</xdr:row>
      <xdr:rowOff>19050</xdr:rowOff>
    </xdr:from>
    <xdr:to>
      <xdr:col>3</xdr:col>
      <xdr:colOff>285750</xdr:colOff>
      <xdr:row>62</xdr:row>
      <xdr:rowOff>9525</xdr:rowOff>
    </xdr:to>
    <xdr:sp macro="" textlink="">
      <xdr:nvSpPr>
        <xdr:cNvPr id="2074" name="Line 14">
          <a:extLst>
            <a:ext uri="{FF2B5EF4-FFF2-40B4-BE49-F238E27FC236}">
              <a16:creationId xmlns:a16="http://schemas.microsoft.com/office/drawing/2014/main" id="{00000000-0008-0000-0800-00001A080000}"/>
            </a:ext>
          </a:extLst>
        </xdr:cNvPr>
        <xdr:cNvSpPr>
          <a:spLocks noChangeShapeType="1"/>
        </xdr:cNvSpPr>
      </xdr:nvSpPr>
      <xdr:spPr bwMode="auto">
        <a:xfrm flipH="1">
          <a:off x="1912327" y="9983665"/>
          <a:ext cx="285750" cy="151668"/>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190500</xdr:colOff>
      <xdr:row>62</xdr:row>
      <xdr:rowOff>95250</xdr:rowOff>
    </xdr:from>
    <xdr:to>
      <xdr:col>5</xdr:col>
      <xdr:colOff>9525</xdr:colOff>
      <xdr:row>62</xdr:row>
      <xdr:rowOff>95250</xdr:rowOff>
    </xdr:to>
    <xdr:sp macro="" textlink="">
      <xdr:nvSpPr>
        <xdr:cNvPr id="2075" name="Line 16">
          <a:extLst>
            <a:ext uri="{FF2B5EF4-FFF2-40B4-BE49-F238E27FC236}">
              <a16:creationId xmlns:a16="http://schemas.microsoft.com/office/drawing/2014/main" id="{00000000-0008-0000-0800-00001B080000}"/>
            </a:ext>
          </a:extLst>
        </xdr:cNvPr>
        <xdr:cNvSpPr>
          <a:spLocks noChangeShapeType="1"/>
        </xdr:cNvSpPr>
      </xdr:nvSpPr>
      <xdr:spPr bwMode="auto">
        <a:xfrm flipH="1">
          <a:off x="2710962" y="10221058"/>
          <a:ext cx="427159"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104775</xdr:colOff>
      <xdr:row>29</xdr:row>
      <xdr:rowOff>76200</xdr:rowOff>
    </xdr:from>
    <xdr:to>
      <xdr:col>4</xdr:col>
      <xdr:colOff>514350</xdr:colOff>
      <xdr:row>29</xdr:row>
      <xdr:rowOff>121919</xdr:rowOff>
    </xdr:to>
    <xdr:sp macro="" textlink="">
      <xdr:nvSpPr>
        <xdr:cNvPr id="2" name="Left-Right Arrow 1">
          <a:extLst>
            <a:ext uri="{FF2B5EF4-FFF2-40B4-BE49-F238E27FC236}">
              <a16:creationId xmlns:a16="http://schemas.microsoft.com/office/drawing/2014/main" id="{00000000-0008-0000-0800-000002000000}"/>
            </a:ext>
          </a:extLst>
        </xdr:cNvPr>
        <xdr:cNvSpPr/>
      </xdr:nvSpPr>
      <xdr:spPr bwMode="auto">
        <a:xfrm>
          <a:off x="2625237" y="4882662"/>
          <a:ext cx="409575" cy="45719"/>
        </a:xfrm>
        <a:prstGeom prst="leftRightArrow">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endParaRPr lang="en-US"/>
        </a:p>
      </xdr:txBody>
    </xdr:sp>
    <xdr:clientData/>
  </xdr:twoCellAnchor>
  <xdr:twoCellAnchor>
    <xdr:from>
      <xdr:col>4</xdr:col>
      <xdr:colOff>104775</xdr:colOff>
      <xdr:row>30</xdr:row>
      <xdr:rowOff>66675</xdr:rowOff>
    </xdr:from>
    <xdr:to>
      <xdr:col>4</xdr:col>
      <xdr:colOff>514350</xdr:colOff>
      <xdr:row>30</xdr:row>
      <xdr:rowOff>112394</xdr:rowOff>
    </xdr:to>
    <xdr:sp macro="" textlink="">
      <xdr:nvSpPr>
        <xdr:cNvPr id="7" name="Left-Right Arrow 6">
          <a:extLst>
            <a:ext uri="{FF2B5EF4-FFF2-40B4-BE49-F238E27FC236}">
              <a16:creationId xmlns:a16="http://schemas.microsoft.com/office/drawing/2014/main" id="{00000000-0008-0000-0800-000007000000}"/>
            </a:ext>
          </a:extLst>
        </xdr:cNvPr>
        <xdr:cNvSpPr/>
      </xdr:nvSpPr>
      <xdr:spPr bwMode="auto">
        <a:xfrm>
          <a:off x="2625237" y="5034329"/>
          <a:ext cx="409575" cy="45719"/>
        </a:xfrm>
        <a:prstGeom prst="leftRightArrow">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endParaRPr lang="en-US"/>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193675</xdr:colOff>
      <xdr:row>47</xdr:row>
      <xdr:rowOff>136525</xdr:rowOff>
    </xdr:from>
    <xdr:to>
      <xdr:col>2</xdr:col>
      <xdr:colOff>222250</xdr:colOff>
      <xdr:row>49</xdr:row>
      <xdr:rowOff>19050</xdr:rowOff>
    </xdr:to>
    <xdr:sp macro="" textlink="">
      <xdr:nvSpPr>
        <xdr:cNvPr id="3095" name="Line 12">
          <a:extLst>
            <a:ext uri="{FF2B5EF4-FFF2-40B4-BE49-F238E27FC236}">
              <a16:creationId xmlns:a16="http://schemas.microsoft.com/office/drawing/2014/main" id="{00000000-0008-0000-0900-0000170C0000}"/>
            </a:ext>
          </a:extLst>
        </xdr:cNvPr>
        <xdr:cNvSpPr>
          <a:spLocks noChangeShapeType="1"/>
        </xdr:cNvSpPr>
      </xdr:nvSpPr>
      <xdr:spPr bwMode="auto">
        <a:xfrm flipV="1">
          <a:off x="1381125" y="7934325"/>
          <a:ext cx="28575" cy="21272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85725</xdr:colOff>
      <xdr:row>99</xdr:row>
      <xdr:rowOff>47625</xdr:rowOff>
    </xdr:from>
    <xdr:to>
      <xdr:col>6</xdr:col>
      <xdr:colOff>119062</xdr:colOff>
      <xdr:row>110</xdr:row>
      <xdr:rowOff>42522</xdr:rowOff>
    </xdr:to>
    <xdr:graphicFrame macro="">
      <xdr:nvGraphicFramePr>
        <xdr:cNvPr id="3096" name="Chart 13">
          <a:extLst>
            <a:ext uri="{FF2B5EF4-FFF2-40B4-BE49-F238E27FC236}">
              <a16:creationId xmlns:a16="http://schemas.microsoft.com/office/drawing/2014/main" id="{00000000-0008-0000-0900-000018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51027</xdr:colOff>
      <xdr:row>130</xdr:row>
      <xdr:rowOff>51028</xdr:rowOff>
    </xdr:from>
    <xdr:to>
      <xdr:col>6</xdr:col>
      <xdr:colOff>374196</xdr:colOff>
      <xdr:row>141</xdr:row>
      <xdr:rowOff>85045</xdr:rowOff>
    </xdr:to>
    <xdr:graphicFrame macro="">
      <xdr:nvGraphicFramePr>
        <xdr:cNvPr id="3097" name="Chart 15">
          <a:extLst>
            <a:ext uri="{FF2B5EF4-FFF2-40B4-BE49-F238E27FC236}">
              <a16:creationId xmlns:a16="http://schemas.microsoft.com/office/drawing/2014/main" id="{00000000-0008-0000-0900-000019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495300</xdr:colOff>
      <xdr:row>23</xdr:row>
      <xdr:rowOff>38100</xdr:rowOff>
    </xdr:from>
    <xdr:to>
      <xdr:col>1</xdr:col>
      <xdr:colOff>586740</xdr:colOff>
      <xdr:row>23</xdr:row>
      <xdr:rowOff>129540</xdr:rowOff>
    </xdr:to>
    <xdr:cxnSp macro="">
      <xdr:nvCxnSpPr>
        <xdr:cNvPr id="9" name="Straight Arrow Connector 8">
          <a:extLst>
            <a:ext uri="{FF2B5EF4-FFF2-40B4-BE49-F238E27FC236}">
              <a16:creationId xmlns:a16="http://schemas.microsoft.com/office/drawing/2014/main" id="{00000000-0008-0000-0900-000009000000}"/>
            </a:ext>
          </a:extLst>
        </xdr:cNvPr>
        <xdr:cNvCxnSpPr>
          <a:cxnSpLocks/>
        </xdr:cNvCxnSpPr>
      </xdr:nvCxnSpPr>
      <xdr:spPr bwMode="auto">
        <a:xfrm>
          <a:off x="981075" y="3800475"/>
          <a:ext cx="91440" cy="91440"/>
        </a:xfrm>
        <a:prstGeom prst="straightConnector1">
          <a:avLst/>
        </a:prstGeom>
        <a:ln>
          <a:headEnd type="none" w="med" len="med"/>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333375</xdr:colOff>
      <xdr:row>15</xdr:row>
      <xdr:rowOff>57150</xdr:rowOff>
    </xdr:from>
    <xdr:to>
      <xdr:col>2</xdr:col>
      <xdr:colOff>424815</xdr:colOff>
      <xdr:row>15</xdr:row>
      <xdr:rowOff>148590</xdr:rowOff>
    </xdr:to>
    <xdr:cxnSp macro="">
      <xdr:nvCxnSpPr>
        <xdr:cNvPr id="15" name="Straight Arrow Connector 14">
          <a:extLst>
            <a:ext uri="{FF2B5EF4-FFF2-40B4-BE49-F238E27FC236}">
              <a16:creationId xmlns:a16="http://schemas.microsoft.com/office/drawing/2014/main" id="{00000000-0008-0000-0900-00000F000000}"/>
            </a:ext>
          </a:extLst>
        </xdr:cNvPr>
        <xdr:cNvCxnSpPr>
          <a:cxnSpLocks/>
        </xdr:cNvCxnSpPr>
      </xdr:nvCxnSpPr>
      <xdr:spPr bwMode="auto">
        <a:xfrm>
          <a:off x="1514475" y="2486025"/>
          <a:ext cx="91440" cy="91440"/>
        </a:xfrm>
        <a:prstGeom prst="straightConnector1">
          <a:avLst/>
        </a:prstGeom>
        <a:ln>
          <a:headEnd type="none" w="med" len="med"/>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476250</xdr:colOff>
      <xdr:row>10</xdr:row>
      <xdr:rowOff>47625</xdr:rowOff>
    </xdr:from>
    <xdr:to>
      <xdr:col>3</xdr:col>
      <xdr:colOff>5715</xdr:colOff>
      <xdr:row>10</xdr:row>
      <xdr:rowOff>139065</xdr:rowOff>
    </xdr:to>
    <xdr:cxnSp macro="">
      <xdr:nvCxnSpPr>
        <xdr:cNvPr id="16" name="Straight Arrow Connector 15">
          <a:extLst>
            <a:ext uri="{FF2B5EF4-FFF2-40B4-BE49-F238E27FC236}">
              <a16:creationId xmlns:a16="http://schemas.microsoft.com/office/drawing/2014/main" id="{00000000-0008-0000-0900-000010000000}"/>
            </a:ext>
          </a:extLst>
        </xdr:cNvPr>
        <xdr:cNvCxnSpPr>
          <a:cxnSpLocks/>
        </xdr:cNvCxnSpPr>
      </xdr:nvCxnSpPr>
      <xdr:spPr bwMode="auto">
        <a:xfrm>
          <a:off x="1657350" y="1666875"/>
          <a:ext cx="91440" cy="91440"/>
        </a:xfrm>
        <a:prstGeom prst="straightConnector1">
          <a:avLst/>
        </a:prstGeom>
        <a:ln>
          <a:headEnd type="none" w="med" len="med"/>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77366</xdr:colOff>
      <xdr:row>63</xdr:row>
      <xdr:rowOff>14577</xdr:rowOff>
    </xdr:from>
    <xdr:to>
      <xdr:col>3</xdr:col>
      <xdr:colOff>455924</xdr:colOff>
      <xdr:row>64</xdr:row>
      <xdr:rowOff>34114</xdr:rowOff>
    </xdr:to>
    <xdr:grpSp>
      <xdr:nvGrpSpPr>
        <xdr:cNvPr id="18" name="Group 17">
          <a:extLst>
            <a:ext uri="{FF2B5EF4-FFF2-40B4-BE49-F238E27FC236}">
              <a16:creationId xmlns:a16="http://schemas.microsoft.com/office/drawing/2014/main" id="{00000000-0008-0000-0900-000012000000}"/>
            </a:ext>
          </a:extLst>
        </xdr:cNvPr>
        <xdr:cNvGrpSpPr/>
      </xdr:nvGrpSpPr>
      <xdr:grpSpPr>
        <a:xfrm>
          <a:off x="1820441" y="10253952"/>
          <a:ext cx="378558" cy="181462"/>
          <a:chOff x="1751922" y="10323084"/>
          <a:chExt cx="378558" cy="182384"/>
        </a:xfrm>
      </xdr:grpSpPr>
      <xdr:sp macro="" textlink="">
        <xdr:nvSpPr>
          <xdr:cNvPr id="17" name="Rectangle 16">
            <a:extLst>
              <a:ext uri="{FF2B5EF4-FFF2-40B4-BE49-F238E27FC236}">
                <a16:creationId xmlns:a16="http://schemas.microsoft.com/office/drawing/2014/main" id="{00000000-0008-0000-0900-000011000000}"/>
              </a:ext>
            </a:extLst>
          </xdr:cNvPr>
          <xdr:cNvSpPr/>
        </xdr:nvSpPr>
        <xdr:spPr bwMode="auto">
          <a:xfrm>
            <a:off x="1751922" y="10323084"/>
            <a:ext cx="166077" cy="182384"/>
          </a:xfrm>
          <a:prstGeom prst="rect">
            <a:avLst/>
          </a:prstGeom>
          <a:solidFill>
            <a:srgbClr val="FFFFFF"/>
          </a:solidFill>
          <a:ln w="12700" cap="flat" cmpd="sng" algn="ctr">
            <a:solidFill>
              <a:schemeClr val="tx1">
                <a:lumMod val="65000"/>
                <a:lumOff val="35000"/>
              </a:schemeClr>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14" name="Isosceles Triangle 13">
            <a:extLst>
              <a:ext uri="{FF2B5EF4-FFF2-40B4-BE49-F238E27FC236}">
                <a16:creationId xmlns:a16="http://schemas.microsoft.com/office/drawing/2014/main" id="{00000000-0008-0000-0900-00000E000000}"/>
              </a:ext>
            </a:extLst>
          </xdr:cNvPr>
          <xdr:cNvSpPr/>
        </xdr:nvSpPr>
        <xdr:spPr bwMode="auto">
          <a:xfrm>
            <a:off x="1785448" y="10371160"/>
            <a:ext cx="92085" cy="63603"/>
          </a:xfrm>
          <a:prstGeom prst="triangle">
            <a:avLst/>
          </a:prstGeom>
          <a:solidFill>
            <a:schemeClr val="tx1">
              <a:lumMod val="65000"/>
              <a:lumOff val="35000"/>
            </a:schemeClr>
          </a:solidFill>
          <a:ln w="28575" cap="flat" cmpd="sng" algn="ctr">
            <a:solidFill>
              <a:schemeClr val="tx1">
                <a:lumMod val="65000"/>
                <a:lumOff val="35000"/>
              </a:schemeClr>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22" name="Rectangle 21">
            <a:extLst>
              <a:ext uri="{FF2B5EF4-FFF2-40B4-BE49-F238E27FC236}">
                <a16:creationId xmlns:a16="http://schemas.microsoft.com/office/drawing/2014/main" id="{00000000-0008-0000-0900-000016000000}"/>
              </a:ext>
            </a:extLst>
          </xdr:cNvPr>
          <xdr:cNvSpPr/>
        </xdr:nvSpPr>
        <xdr:spPr bwMode="auto">
          <a:xfrm>
            <a:off x="1964403" y="10323084"/>
            <a:ext cx="166077" cy="182384"/>
          </a:xfrm>
          <a:prstGeom prst="rect">
            <a:avLst/>
          </a:prstGeom>
          <a:solidFill>
            <a:srgbClr val="FFFFFF"/>
          </a:solidFill>
          <a:ln w="12700" cap="flat" cmpd="sng" algn="ctr">
            <a:solidFill>
              <a:schemeClr val="tx1">
                <a:lumMod val="65000"/>
                <a:lumOff val="35000"/>
              </a:schemeClr>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23" name="Isosceles Triangle 22">
            <a:extLst>
              <a:ext uri="{FF2B5EF4-FFF2-40B4-BE49-F238E27FC236}">
                <a16:creationId xmlns:a16="http://schemas.microsoft.com/office/drawing/2014/main" id="{00000000-0008-0000-0900-000017000000}"/>
              </a:ext>
            </a:extLst>
          </xdr:cNvPr>
          <xdr:cNvSpPr/>
        </xdr:nvSpPr>
        <xdr:spPr bwMode="auto">
          <a:xfrm>
            <a:off x="1997929" y="10381082"/>
            <a:ext cx="92085" cy="63603"/>
          </a:xfrm>
          <a:prstGeom prst="triangle">
            <a:avLst/>
          </a:prstGeom>
          <a:solidFill>
            <a:schemeClr val="tx1">
              <a:lumMod val="65000"/>
              <a:lumOff val="35000"/>
            </a:schemeClr>
          </a:solidFill>
          <a:ln w="28575" cap="flat" cmpd="sng" algn="ctr">
            <a:solidFill>
              <a:schemeClr val="tx1">
                <a:lumMod val="65000"/>
                <a:lumOff val="35000"/>
              </a:schemeClr>
            </a:solidFill>
            <a:prstDash val="solid"/>
            <a:round/>
            <a:headEnd type="none" w="med" len="med"/>
            <a:tailEnd type="none" w="med" len="med"/>
          </a:ln>
          <a:effectLst/>
          <a:scene3d>
            <a:camera prst="orthographicFront">
              <a:rot lat="0" lon="0" rev="10800000"/>
            </a:camera>
            <a:lightRig rig="threePt" dir="t"/>
          </a:scene3d>
        </xdr:spPr>
        <xdr:txBody>
          <a:bodyPr vertOverflow="clip" horzOverflow="clip" wrap="square" lIns="18288" tIns="0" rIns="0" bIns="0" rtlCol="0" anchor="t" upright="1"/>
          <a:lstStyle/>
          <a:p>
            <a:pPr algn="l"/>
            <a:endParaRPr lang="en-US" sz="1100"/>
          </a:p>
        </xdr:txBody>
      </xdr:sp>
    </xdr:grpSp>
    <xdr:clientData/>
  </xdr:twoCellAnchor>
  <xdr:twoCellAnchor>
    <xdr:from>
      <xdr:col>1</xdr:col>
      <xdr:colOff>163287</xdr:colOff>
      <xdr:row>36</xdr:row>
      <xdr:rowOff>34016</xdr:rowOff>
    </xdr:from>
    <xdr:to>
      <xdr:col>6</xdr:col>
      <xdr:colOff>586809</xdr:colOff>
      <xdr:row>47</xdr:row>
      <xdr:rowOff>91675</xdr:rowOff>
    </xdr:to>
    <xdr:graphicFrame macro="">
      <xdr:nvGraphicFramePr>
        <xdr:cNvPr id="20" name="Chart 1">
          <a:extLst>
            <a:ext uri="{FF2B5EF4-FFF2-40B4-BE49-F238E27FC236}">
              <a16:creationId xmlns:a16="http://schemas.microsoft.com/office/drawing/2014/main" id="{00000000-0008-0000-09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459242</xdr:colOff>
      <xdr:row>95</xdr:row>
      <xdr:rowOff>153080</xdr:rowOff>
    </xdr:from>
    <xdr:to>
      <xdr:col>8</xdr:col>
      <xdr:colOff>225478</xdr:colOff>
      <xdr:row>97</xdr:row>
      <xdr:rowOff>11032</xdr:rowOff>
    </xdr:to>
    <xdr:grpSp>
      <xdr:nvGrpSpPr>
        <xdr:cNvPr id="27" name="Group 26">
          <a:extLst>
            <a:ext uri="{FF2B5EF4-FFF2-40B4-BE49-F238E27FC236}">
              <a16:creationId xmlns:a16="http://schemas.microsoft.com/office/drawing/2014/main" id="{00000000-0008-0000-0900-00001B000000}"/>
            </a:ext>
          </a:extLst>
        </xdr:cNvPr>
        <xdr:cNvGrpSpPr/>
      </xdr:nvGrpSpPr>
      <xdr:grpSpPr>
        <a:xfrm>
          <a:off x="4421642" y="15574055"/>
          <a:ext cx="375836" cy="181802"/>
          <a:chOff x="1751922" y="10323084"/>
          <a:chExt cx="378558" cy="182384"/>
        </a:xfrm>
      </xdr:grpSpPr>
      <xdr:sp macro="" textlink="">
        <xdr:nvSpPr>
          <xdr:cNvPr id="28" name="Rectangle 27">
            <a:extLst>
              <a:ext uri="{FF2B5EF4-FFF2-40B4-BE49-F238E27FC236}">
                <a16:creationId xmlns:a16="http://schemas.microsoft.com/office/drawing/2014/main" id="{00000000-0008-0000-0900-00001C000000}"/>
              </a:ext>
            </a:extLst>
          </xdr:cNvPr>
          <xdr:cNvSpPr/>
        </xdr:nvSpPr>
        <xdr:spPr bwMode="auto">
          <a:xfrm>
            <a:off x="1751922" y="10323084"/>
            <a:ext cx="166077" cy="182384"/>
          </a:xfrm>
          <a:prstGeom prst="rect">
            <a:avLst/>
          </a:prstGeom>
          <a:solidFill>
            <a:srgbClr val="FFFFFF"/>
          </a:solidFill>
          <a:ln w="12700" cap="flat" cmpd="sng" algn="ctr">
            <a:solidFill>
              <a:schemeClr val="tx1">
                <a:lumMod val="65000"/>
                <a:lumOff val="35000"/>
              </a:schemeClr>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29" name="Isosceles Triangle 28">
            <a:extLst>
              <a:ext uri="{FF2B5EF4-FFF2-40B4-BE49-F238E27FC236}">
                <a16:creationId xmlns:a16="http://schemas.microsoft.com/office/drawing/2014/main" id="{00000000-0008-0000-0900-00001D000000}"/>
              </a:ext>
            </a:extLst>
          </xdr:cNvPr>
          <xdr:cNvSpPr/>
        </xdr:nvSpPr>
        <xdr:spPr bwMode="auto">
          <a:xfrm>
            <a:off x="1785448" y="10371160"/>
            <a:ext cx="92085" cy="63603"/>
          </a:xfrm>
          <a:prstGeom prst="triangle">
            <a:avLst/>
          </a:prstGeom>
          <a:solidFill>
            <a:schemeClr val="tx1">
              <a:lumMod val="65000"/>
              <a:lumOff val="35000"/>
            </a:schemeClr>
          </a:solidFill>
          <a:ln w="28575" cap="flat" cmpd="sng" algn="ctr">
            <a:solidFill>
              <a:schemeClr val="tx1">
                <a:lumMod val="65000"/>
                <a:lumOff val="35000"/>
              </a:schemeClr>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30" name="Rectangle 29">
            <a:extLst>
              <a:ext uri="{FF2B5EF4-FFF2-40B4-BE49-F238E27FC236}">
                <a16:creationId xmlns:a16="http://schemas.microsoft.com/office/drawing/2014/main" id="{00000000-0008-0000-0900-00001E000000}"/>
              </a:ext>
            </a:extLst>
          </xdr:cNvPr>
          <xdr:cNvSpPr/>
        </xdr:nvSpPr>
        <xdr:spPr bwMode="auto">
          <a:xfrm>
            <a:off x="1964403" y="10323084"/>
            <a:ext cx="166077" cy="182384"/>
          </a:xfrm>
          <a:prstGeom prst="rect">
            <a:avLst/>
          </a:prstGeom>
          <a:solidFill>
            <a:srgbClr val="FFFFFF"/>
          </a:solidFill>
          <a:ln w="12700" cap="flat" cmpd="sng" algn="ctr">
            <a:solidFill>
              <a:schemeClr val="tx1">
                <a:lumMod val="65000"/>
                <a:lumOff val="35000"/>
              </a:schemeClr>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31" name="Isosceles Triangle 30">
            <a:extLst>
              <a:ext uri="{FF2B5EF4-FFF2-40B4-BE49-F238E27FC236}">
                <a16:creationId xmlns:a16="http://schemas.microsoft.com/office/drawing/2014/main" id="{00000000-0008-0000-0900-00001F000000}"/>
              </a:ext>
            </a:extLst>
          </xdr:cNvPr>
          <xdr:cNvSpPr/>
        </xdr:nvSpPr>
        <xdr:spPr bwMode="auto">
          <a:xfrm>
            <a:off x="1997929" y="10381082"/>
            <a:ext cx="92085" cy="63603"/>
          </a:xfrm>
          <a:prstGeom prst="triangle">
            <a:avLst/>
          </a:prstGeom>
          <a:solidFill>
            <a:schemeClr val="tx1">
              <a:lumMod val="65000"/>
              <a:lumOff val="35000"/>
            </a:schemeClr>
          </a:solidFill>
          <a:ln w="28575" cap="flat" cmpd="sng" algn="ctr">
            <a:solidFill>
              <a:schemeClr val="tx1">
                <a:lumMod val="65000"/>
                <a:lumOff val="35000"/>
              </a:schemeClr>
            </a:solidFill>
            <a:prstDash val="solid"/>
            <a:round/>
            <a:headEnd type="none" w="med" len="med"/>
            <a:tailEnd type="none" w="med" len="med"/>
          </a:ln>
          <a:effectLst/>
          <a:scene3d>
            <a:camera prst="orthographicFront">
              <a:rot lat="0" lon="0" rev="10800000"/>
            </a:camera>
            <a:lightRig rig="threePt" dir="t"/>
          </a:scene3d>
        </xdr:spPr>
        <xdr:txBody>
          <a:bodyPr vertOverflow="clip" horzOverflow="clip" wrap="square" lIns="18288" tIns="0" rIns="0" bIns="0" rtlCol="0" anchor="t" upright="1"/>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95250</xdr:colOff>
      <xdr:row>237</xdr:row>
      <xdr:rowOff>0</xdr:rowOff>
    </xdr:from>
    <xdr:to>
      <xdr:col>4</xdr:col>
      <xdr:colOff>171450</xdr:colOff>
      <xdr:row>238</xdr:row>
      <xdr:rowOff>9525</xdr:rowOff>
    </xdr:to>
    <xdr:sp macro="" textlink="">
      <xdr:nvSpPr>
        <xdr:cNvPr id="4147" name="Oval 10">
          <a:extLst>
            <a:ext uri="{FF2B5EF4-FFF2-40B4-BE49-F238E27FC236}">
              <a16:creationId xmlns:a16="http://schemas.microsoft.com/office/drawing/2014/main" id="{00000000-0008-0000-0A00-000033100000}"/>
            </a:ext>
          </a:extLst>
        </xdr:cNvPr>
        <xdr:cNvSpPr>
          <a:spLocks noChangeArrowheads="1"/>
        </xdr:cNvSpPr>
      </xdr:nvSpPr>
      <xdr:spPr bwMode="auto">
        <a:xfrm>
          <a:off x="2571750" y="35318700"/>
          <a:ext cx="76200" cy="171450"/>
        </a:xfrm>
        <a:prstGeom prst="ellipse">
          <a:avLst/>
        </a:prstGeom>
        <a:solidFill>
          <a:srgbClr val="00FF00"/>
        </a:solidFill>
        <a:ln w="9525">
          <a:solidFill>
            <a:srgbClr val="000000"/>
          </a:solidFill>
          <a:round/>
          <a:headEnd/>
          <a:tailEnd/>
        </a:ln>
      </xdr:spPr>
    </xdr:sp>
    <xdr:clientData/>
  </xdr:twoCellAnchor>
  <xdr:twoCellAnchor>
    <xdr:from>
      <xdr:col>0</xdr:col>
      <xdr:colOff>495300</xdr:colOff>
      <xdr:row>263</xdr:row>
      <xdr:rowOff>152400</xdr:rowOff>
    </xdr:from>
    <xdr:to>
      <xdr:col>1</xdr:col>
      <xdr:colOff>219075</xdr:colOff>
      <xdr:row>268</xdr:row>
      <xdr:rowOff>133350</xdr:rowOff>
    </xdr:to>
    <xdr:sp macro="" textlink="">
      <xdr:nvSpPr>
        <xdr:cNvPr id="4148" name="Freeform 12">
          <a:extLst>
            <a:ext uri="{FF2B5EF4-FFF2-40B4-BE49-F238E27FC236}">
              <a16:creationId xmlns:a16="http://schemas.microsoft.com/office/drawing/2014/main" id="{00000000-0008-0000-0A00-000034100000}"/>
            </a:ext>
          </a:extLst>
        </xdr:cNvPr>
        <xdr:cNvSpPr>
          <a:spLocks/>
        </xdr:cNvSpPr>
      </xdr:nvSpPr>
      <xdr:spPr bwMode="auto">
        <a:xfrm>
          <a:off x="495300" y="39681150"/>
          <a:ext cx="333375" cy="790575"/>
        </a:xfrm>
        <a:custGeom>
          <a:avLst/>
          <a:gdLst>
            <a:gd name="T0" fmla="*/ 85725 w 35"/>
            <a:gd name="T1" fmla="*/ 781050 h 83"/>
            <a:gd name="T2" fmla="*/ 85725 w 35"/>
            <a:gd name="T3" fmla="*/ 647700 h 83"/>
            <a:gd name="T4" fmla="*/ 76200 w 35"/>
            <a:gd name="T5" fmla="*/ 447675 h 83"/>
            <a:gd name="T6" fmla="*/ 0 w 35"/>
            <a:gd name="T7" fmla="*/ 504825 h 83"/>
            <a:gd name="T8" fmla="*/ 85725 w 35"/>
            <a:gd name="T9" fmla="*/ 314325 h 83"/>
            <a:gd name="T10" fmla="*/ 133350 w 35"/>
            <a:gd name="T11" fmla="*/ 219075 h 83"/>
            <a:gd name="T12" fmla="*/ 76200 w 35"/>
            <a:gd name="T13" fmla="*/ 161925 h 83"/>
            <a:gd name="T14" fmla="*/ 85725 w 35"/>
            <a:gd name="T15" fmla="*/ 47625 h 83"/>
            <a:gd name="T16" fmla="*/ 180975 w 35"/>
            <a:gd name="T17" fmla="*/ 0 h 83"/>
            <a:gd name="T18" fmla="*/ 266700 w 35"/>
            <a:gd name="T19" fmla="*/ 28575 h 83"/>
            <a:gd name="T20" fmla="*/ 285750 w 35"/>
            <a:gd name="T21" fmla="*/ 114300 h 83"/>
            <a:gd name="T22" fmla="*/ 238125 w 35"/>
            <a:gd name="T23" fmla="*/ 190500 h 83"/>
            <a:gd name="T24" fmla="*/ 190500 w 35"/>
            <a:gd name="T25" fmla="*/ 209550 h 83"/>
            <a:gd name="T26" fmla="*/ 333375 w 35"/>
            <a:gd name="T27" fmla="*/ 542925 h 83"/>
            <a:gd name="T28" fmla="*/ 219075 w 35"/>
            <a:gd name="T29" fmla="*/ 419100 h 83"/>
            <a:gd name="T30" fmla="*/ 238125 w 35"/>
            <a:gd name="T31" fmla="*/ 790575 h 83"/>
            <a:gd name="T32" fmla="*/ 152400 w 35"/>
            <a:gd name="T33" fmla="*/ 542925 h 83"/>
            <a:gd name="T34" fmla="*/ 85725 w 35"/>
            <a:gd name="T35" fmla="*/ 781050 h 83"/>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w 35"/>
            <a:gd name="T55" fmla="*/ 0 h 83"/>
            <a:gd name="T56" fmla="*/ 35 w 35"/>
            <a:gd name="T57" fmla="*/ 83 h 83"/>
          </a:gdLst>
          <a:ahLst/>
          <a:cxnLst>
            <a:cxn ang="T36">
              <a:pos x="T0" y="T1"/>
            </a:cxn>
            <a:cxn ang="T37">
              <a:pos x="T2" y="T3"/>
            </a:cxn>
            <a:cxn ang="T38">
              <a:pos x="T4" y="T5"/>
            </a:cxn>
            <a:cxn ang="T39">
              <a:pos x="T6" y="T7"/>
            </a:cxn>
            <a:cxn ang="T40">
              <a:pos x="T8" y="T9"/>
            </a:cxn>
            <a:cxn ang="T41">
              <a:pos x="T10" y="T11"/>
            </a:cxn>
            <a:cxn ang="T42">
              <a:pos x="T12" y="T13"/>
            </a:cxn>
            <a:cxn ang="T43">
              <a:pos x="T14" y="T15"/>
            </a:cxn>
            <a:cxn ang="T44">
              <a:pos x="T16" y="T17"/>
            </a:cxn>
            <a:cxn ang="T45">
              <a:pos x="T18" y="T19"/>
            </a:cxn>
            <a:cxn ang="T46">
              <a:pos x="T20" y="T21"/>
            </a:cxn>
            <a:cxn ang="T47">
              <a:pos x="T22" y="T23"/>
            </a:cxn>
            <a:cxn ang="T48">
              <a:pos x="T24" y="T25"/>
            </a:cxn>
            <a:cxn ang="T49">
              <a:pos x="T26" y="T27"/>
            </a:cxn>
            <a:cxn ang="T50">
              <a:pos x="T28" y="T29"/>
            </a:cxn>
            <a:cxn ang="T51">
              <a:pos x="T30" y="T31"/>
            </a:cxn>
            <a:cxn ang="T52">
              <a:pos x="T32" y="T33"/>
            </a:cxn>
            <a:cxn ang="T53">
              <a:pos x="T34" y="T35"/>
            </a:cxn>
          </a:cxnLst>
          <a:rect l="T54" t="T55" r="T56" b="T57"/>
          <a:pathLst>
            <a:path w="35" h="83">
              <a:moveTo>
                <a:pt x="9" y="82"/>
              </a:moveTo>
              <a:lnTo>
                <a:pt x="9" y="68"/>
              </a:lnTo>
              <a:lnTo>
                <a:pt x="8" y="47"/>
              </a:lnTo>
              <a:lnTo>
                <a:pt x="0" y="53"/>
              </a:lnTo>
              <a:lnTo>
                <a:pt x="9" y="33"/>
              </a:lnTo>
              <a:lnTo>
                <a:pt x="14" y="23"/>
              </a:lnTo>
              <a:lnTo>
                <a:pt x="8" y="17"/>
              </a:lnTo>
              <a:lnTo>
                <a:pt x="9" y="5"/>
              </a:lnTo>
              <a:lnTo>
                <a:pt x="19" y="0"/>
              </a:lnTo>
              <a:lnTo>
                <a:pt x="28" y="3"/>
              </a:lnTo>
              <a:lnTo>
                <a:pt x="30" y="12"/>
              </a:lnTo>
              <a:lnTo>
                <a:pt x="25" y="20"/>
              </a:lnTo>
              <a:lnTo>
                <a:pt x="20" y="22"/>
              </a:lnTo>
              <a:lnTo>
                <a:pt x="35" y="57"/>
              </a:lnTo>
              <a:lnTo>
                <a:pt x="23" y="44"/>
              </a:lnTo>
              <a:lnTo>
                <a:pt x="25" y="83"/>
              </a:lnTo>
              <a:lnTo>
                <a:pt x="16" y="57"/>
              </a:lnTo>
              <a:lnTo>
                <a:pt x="9" y="82"/>
              </a:lnTo>
            </a:path>
          </a:pathLst>
        </a:custGeom>
        <a:solidFill>
          <a:srgbClr val="FFFF00"/>
        </a:solidFill>
        <a:ln w="9525">
          <a:solidFill>
            <a:srgbClr val="000000"/>
          </a:solidFill>
          <a:round/>
          <a:headEnd/>
          <a:tailEnd/>
        </a:ln>
      </xdr:spPr>
    </xdr:sp>
    <xdr:clientData/>
  </xdr:twoCellAnchor>
  <xdr:twoCellAnchor>
    <xdr:from>
      <xdr:col>0</xdr:col>
      <xdr:colOff>304800</xdr:colOff>
      <xdr:row>38</xdr:row>
      <xdr:rowOff>76200</xdr:rowOff>
    </xdr:from>
    <xdr:to>
      <xdr:col>7</xdr:col>
      <xdr:colOff>381000</xdr:colOff>
      <xdr:row>53</xdr:row>
      <xdr:rowOff>66675</xdr:rowOff>
    </xdr:to>
    <xdr:graphicFrame macro="">
      <xdr:nvGraphicFramePr>
        <xdr:cNvPr id="4149" name="Chart 14">
          <a:extLst>
            <a:ext uri="{FF2B5EF4-FFF2-40B4-BE49-F238E27FC236}">
              <a16:creationId xmlns:a16="http://schemas.microsoft.com/office/drawing/2014/main" id="{00000000-0008-0000-0A00-000035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361950</xdr:colOff>
      <xdr:row>92</xdr:row>
      <xdr:rowOff>123825</xdr:rowOff>
    </xdr:from>
    <xdr:to>
      <xdr:col>8</xdr:col>
      <xdr:colOff>19050</xdr:colOff>
      <xdr:row>106</xdr:row>
      <xdr:rowOff>0</xdr:rowOff>
    </xdr:to>
    <xdr:graphicFrame macro="">
      <xdr:nvGraphicFramePr>
        <xdr:cNvPr id="4150" name="Chart 15">
          <a:extLst>
            <a:ext uri="{FF2B5EF4-FFF2-40B4-BE49-F238E27FC236}">
              <a16:creationId xmlns:a16="http://schemas.microsoft.com/office/drawing/2014/main" id="{00000000-0008-0000-0A00-000036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380999</xdr:colOff>
      <xdr:row>121</xdr:row>
      <xdr:rowOff>81014</xdr:rowOff>
    </xdr:from>
    <xdr:to>
      <xdr:col>6</xdr:col>
      <xdr:colOff>210911</xdr:colOff>
      <xdr:row>136</xdr:row>
      <xdr:rowOff>4185</xdr:rowOff>
    </xdr:to>
    <xdr:graphicFrame macro="">
      <xdr:nvGraphicFramePr>
        <xdr:cNvPr id="4151" name="Chart 17">
          <a:extLst>
            <a:ext uri="{FF2B5EF4-FFF2-40B4-BE49-F238E27FC236}">
              <a16:creationId xmlns:a16="http://schemas.microsoft.com/office/drawing/2014/main" id="{00000000-0008-0000-0A00-000037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57150</xdr:colOff>
      <xdr:row>166</xdr:row>
      <xdr:rowOff>28575</xdr:rowOff>
    </xdr:from>
    <xdr:to>
      <xdr:col>6</xdr:col>
      <xdr:colOff>428625</xdr:colOff>
      <xdr:row>180</xdr:row>
      <xdr:rowOff>20410</xdr:rowOff>
    </xdr:to>
    <xdr:graphicFrame macro="">
      <xdr:nvGraphicFramePr>
        <xdr:cNvPr id="4152" name="Chart 19">
          <a:extLst>
            <a:ext uri="{FF2B5EF4-FFF2-40B4-BE49-F238E27FC236}">
              <a16:creationId xmlns:a16="http://schemas.microsoft.com/office/drawing/2014/main" id="{00000000-0008-0000-0A00-000038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439510</xdr:colOff>
      <xdr:row>184</xdr:row>
      <xdr:rowOff>87085</xdr:rowOff>
    </xdr:from>
    <xdr:to>
      <xdr:col>6</xdr:col>
      <xdr:colOff>391886</xdr:colOff>
      <xdr:row>195</xdr:row>
      <xdr:rowOff>163285</xdr:rowOff>
    </xdr:to>
    <xdr:graphicFrame macro="">
      <xdr:nvGraphicFramePr>
        <xdr:cNvPr id="4153" name="Chart 20">
          <a:extLst>
            <a:ext uri="{FF2B5EF4-FFF2-40B4-BE49-F238E27FC236}">
              <a16:creationId xmlns:a16="http://schemas.microsoft.com/office/drawing/2014/main" id="{00000000-0008-0000-0A00-000039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266700</xdr:colOff>
      <xdr:row>208</xdr:row>
      <xdr:rowOff>104775</xdr:rowOff>
    </xdr:from>
    <xdr:to>
      <xdr:col>7</xdr:col>
      <xdr:colOff>314325</xdr:colOff>
      <xdr:row>219</xdr:row>
      <xdr:rowOff>19050</xdr:rowOff>
    </xdr:to>
    <xdr:graphicFrame macro="">
      <xdr:nvGraphicFramePr>
        <xdr:cNvPr id="4154" name="Chart 21">
          <a:extLst>
            <a:ext uri="{FF2B5EF4-FFF2-40B4-BE49-F238E27FC236}">
              <a16:creationId xmlns:a16="http://schemas.microsoft.com/office/drawing/2014/main" id="{00000000-0008-0000-0A00-00003A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28575</xdr:colOff>
      <xdr:row>260</xdr:row>
      <xdr:rowOff>19050</xdr:rowOff>
    </xdr:from>
    <xdr:to>
      <xdr:col>7</xdr:col>
      <xdr:colOff>590550</xdr:colOff>
      <xdr:row>271</xdr:row>
      <xdr:rowOff>95250</xdr:rowOff>
    </xdr:to>
    <xdr:graphicFrame macro="">
      <xdr:nvGraphicFramePr>
        <xdr:cNvPr id="4155" name="Chart 23">
          <a:extLst>
            <a:ext uri="{FF2B5EF4-FFF2-40B4-BE49-F238E27FC236}">
              <a16:creationId xmlns:a16="http://schemas.microsoft.com/office/drawing/2014/main" id="{00000000-0008-0000-0A00-00003B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123825</xdr:colOff>
      <xdr:row>23</xdr:row>
      <xdr:rowOff>133350</xdr:rowOff>
    </xdr:from>
    <xdr:to>
      <xdr:col>7</xdr:col>
      <xdr:colOff>285750</xdr:colOff>
      <xdr:row>36</xdr:row>
      <xdr:rowOff>47625</xdr:rowOff>
    </xdr:to>
    <xdr:graphicFrame macro="">
      <xdr:nvGraphicFramePr>
        <xdr:cNvPr id="4156" name="Chart 25">
          <a:extLst>
            <a:ext uri="{FF2B5EF4-FFF2-40B4-BE49-F238E27FC236}">
              <a16:creationId xmlns:a16="http://schemas.microsoft.com/office/drawing/2014/main" id="{00000000-0008-0000-0A00-00003C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180975</xdr:colOff>
      <xdr:row>145</xdr:row>
      <xdr:rowOff>123825</xdr:rowOff>
    </xdr:from>
    <xdr:to>
      <xdr:col>6</xdr:col>
      <xdr:colOff>170090</xdr:colOff>
      <xdr:row>158</xdr:row>
      <xdr:rowOff>54429</xdr:rowOff>
    </xdr:to>
    <xdr:graphicFrame macro="">
      <xdr:nvGraphicFramePr>
        <xdr:cNvPr id="4157" name="Chart 29">
          <a:extLst>
            <a:ext uri="{FF2B5EF4-FFF2-40B4-BE49-F238E27FC236}">
              <a16:creationId xmlns:a16="http://schemas.microsoft.com/office/drawing/2014/main" id="{00000000-0008-0000-0A00-00003D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251732</xdr:colOff>
      <xdr:row>223</xdr:row>
      <xdr:rowOff>104775</xdr:rowOff>
    </xdr:from>
    <xdr:to>
      <xdr:col>7</xdr:col>
      <xdr:colOff>318407</xdr:colOff>
      <xdr:row>235</xdr:row>
      <xdr:rowOff>65314</xdr:rowOff>
    </xdr:to>
    <xdr:graphicFrame macro="">
      <xdr:nvGraphicFramePr>
        <xdr:cNvPr id="4158" name="Chart 30">
          <a:extLst>
            <a:ext uri="{FF2B5EF4-FFF2-40B4-BE49-F238E27FC236}">
              <a16:creationId xmlns:a16="http://schemas.microsoft.com/office/drawing/2014/main" id="{00000000-0008-0000-0A00-00003E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209550</xdr:colOff>
      <xdr:row>240</xdr:row>
      <xdr:rowOff>104775</xdr:rowOff>
    </xdr:from>
    <xdr:to>
      <xdr:col>7</xdr:col>
      <xdr:colOff>66675</xdr:colOff>
      <xdr:row>250</xdr:row>
      <xdr:rowOff>133350</xdr:rowOff>
    </xdr:to>
    <xdr:graphicFrame macro="">
      <xdr:nvGraphicFramePr>
        <xdr:cNvPr id="4159" name="Chart 31">
          <a:extLst>
            <a:ext uri="{FF2B5EF4-FFF2-40B4-BE49-F238E27FC236}">
              <a16:creationId xmlns:a16="http://schemas.microsoft.com/office/drawing/2014/main" id="{00000000-0008-0000-0A00-00003F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297997</xdr:colOff>
      <xdr:row>280</xdr:row>
      <xdr:rowOff>152400</xdr:rowOff>
    </xdr:from>
    <xdr:to>
      <xdr:col>9</xdr:col>
      <xdr:colOff>526597</xdr:colOff>
      <xdr:row>291</xdr:row>
      <xdr:rowOff>152400</xdr:rowOff>
    </xdr:to>
    <xdr:graphicFrame macro="">
      <xdr:nvGraphicFramePr>
        <xdr:cNvPr id="4160" name="Chart 33">
          <a:extLst>
            <a:ext uri="{FF2B5EF4-FFF2-40B4-BE49-F238E27FC236}">
              <a16:creationId xmlns:a16="http://schemas.microsoft.com/office/drawing/2014/main" id="{00000000-0008-0000-0A00-000040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79899</xdr:colOff>
      <xdr:row>2</xdr:row>
      <xdr:rowOff>51428</xdr:rowOff>
    </xdr:from>
    <xdr:to>
      <xdr:col>7</xdr:col>
      <xdr:colOff>174514</xdr:colOff>
      <xdr:row>2</xdr:row>
      <xdr:rowOff>142868</xdr:rowOff>
    </xdr:to>
    <xdr:cxnSp macro="">
      <xdr:nvCxnSpPr>
        <xdr:cNvPr id="16" name="Straight Arrow Connector 15">
          <a:extLst>
            <a:ext uri="{FF2B5EF4-FFF2-40B4-BE49-F238E27FC236}">
              <a16:creationId xmlns:a16="http://schemas.microsoft.com/office/drawing/2014/main" id="{00000000-0008-0000-0A00-000010000000}"/>
            </a:ext>
          </a:extLst>
        </xdr:cNvPr>
        <xdr:cNvCxnSpPr>
          <a:cxnSpLocks/>
        </xdr:cNvCxnSpPr>
      </xdr:nvCxnSpPr>
      <xdr:spPr bwMode="auto">
        <a:xfrm>
          <a:off x="4400167" y="377999"/>
          <a:ext cx="94615" cy="91440"/>
        </a:xfrm>
        <a:prstGeom prst="straightConnector1">
          <a:avLst/>
        </a:prstGeom>
        <a:ln>
          <a:headEnd type="none" w="med" len="med"/>
          <a:tailEnd type="triangle"/>
        </a:ln>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590550</xdr:colOff>
      <xdr:row>90</xdr:row>
      <xdr:rowOff>47625</xdr:rowOff>
    </xdr:from>
    <xdr:to>
      <xdr:col>5</xdr:col>
      <xdr:colOff>238125</xdr:colOff>
      <xdr:row>91</xdr:row>
      <xdr:rowOff>152400</xdr:rowOff>
    </xdr:to>
    <xdr:sp macro="" textlink="">
      <xdr:nvSpPr>
        <xdr:cNvPr id="9249" name="Line 1025">
          <a:extLst>
            <a:ext uri="{FF2B5EF4-FFF2-40B4-BE49-F238E27FC236}">
              <a16:creationId xmlns:a16="http://schemas.microsoft.com/office/drawing/2014/main" id="{00000000-0008-0000-0B00-000021240000}"/>
            </a:ext>
          </a:extLst>
        </xdr:cNvPr>
        <xdr:cNvSpPr>
          <a:spLocks noChangeShapeType="1"/>
        </xdr:cNvSpPr>
      </xdr:nvSpPr>
      <xdr:spPr bwMode="auto">
        <a:xfrm flipH="1">
          <a:off x="3028950" y="13811250"/>
          <a:ext cx="257175" cy="266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228600</xdr:colOff>
      <xdr:row>89</xdr:row>
      <xdr:rowOff>142875</xdr:rowOff>
    </xdr:from>
    <xdr:to>
      <xdr:col>6</xdr:col>
      <xdr:colOff>76200</xdr:colOff>
      <xdr:row>91</xdr:row>
      <xdr:rowOff>9525</xdr:rowOff>
    </xdr:to>
    <xdr:sp macro="" textlink="">
      <xdr:nvSpPr>
        <xdr:cNvPr id="9218" name="Text Box 1026">
          <a:extLst>
            <a:ext uri="{FF2B5EF4-FFF2-40B4-BE49-F238E27FC236}">
              <a16:creationId xmlns:a16="http://schemas.microsoft.com/office/drawing/2014/main" id="{00000000-0008-0000-0B00-000002240000}"/>
            </a:ext>
          </a:extLst>
        </xdr:cNvPr>
        <xdr:cNvSpPr txBox="1">
          <a:spLocks noChangeArrowheads="1"/>
        </xdr:cNvSpPr>
      </xdr:nvSpPr>
      <xdr:spPr bwMode="auto">
        <a:xfrm>
          <a:off x="3022600" y="14849475"/>
          <a:ext cx="628650" cy="1968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kriterijum</a:t>
          </a:r>
        </a:p>
      </xdr:txBody>
    </xdr:sp>
    <xdr:clientData/>
  </xdr:twoCellAnchor>
  <xdr:twoCellAnchor>
    <xdr:from>
      <xdr:col>2</xdr:col>
      <xdr:colOff>38100</xdr:colOff>
      <xdr:row>95</xdr:row>
      <xdr:rowOff>85725</xdr:rowOff>
    </xdr:from>
    <xdr:to>
      <xdr:col>2</xdr:col>
      <xdr:colOff>571500</xdr:colOff>
      <xdr:row>95</xdr:row>
      <xdr:rowOff>85725</xdr:rowOff>
    </xdr:to>
    <xdr:sp macro="" textlink="">
      <xdr:nvSpPr>
        <xdr:cNvPr id="9251" name="Line 1033">
          <a:extLst>
            <a:ext uri="{FF2B5EF4-FFF2-40B4-BE49-F238E27FC236}">
              <a16:creationId xmlns:a16="http://schemas.microsoft.com/office/drawing/2014/main" id="{00000000-0008-0000-0B00-000023240000}"/>
            </a:ext>
          </a:extLst>
        </xdr:cNvPr>
        <xdr:cNvSpPr>
          <a:spLocks noChangeShapeType="1"/>
        </xdr:cNvSpPr>
      </xdr:nvSpPr>
      <xdr:spPr bwMode="auto">
        <a:xfrm flipH="1">
          <a:off x="1257300" y="14820900"/>
          <a:ext cx="533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38100</xdr:colOff>
      <xdr:row>108</xdr:row>
      <xdr:rowOff>85725</xdr:rowOff>
    </xdr:from>
    <xdr:to>
      <xdr:col>2</xdr:col>
      <xdr:colOff>571500</xdr:colOff>
      <xdr:row>108</xdr:row>
      <xdr:rowOff>85725</xdr:rowOff>
    </xdr:to>
    <xdr:sp macro="" textlink="">
      <xdr:nvSpPr>
        <xdr:cNvPr id="9252" name="Line 1034">
          <a:extLst>
            <a:ext uri="{FF2B5EF4-FFF2-40B4-BE49-F238E27FC236}">
              <a16:creationId xmlns:a16="http://schemas.microsoft.com/office/drawing/2014/main" id="{00000000-0008-0000-0B00-000024240000}"/>
            </a:ext>
          </a:extLst>
        </xdr:cNvPr>
        <xdr:cNvSpPr>
          <a:spLocks noChangeShapeType="1"/>
        </xdr:cNvSpPr>
      </xdr:nvSpPr>
      <xdr:spPr bwMode="auto">
        <a:xfrm flipH="1">
          <a:off x="1257300" y="16764000"/>
          <a:ext cx="533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38100</xdr:colOff>
      <xdr:row>112</xdr:row>
      <xdr:rowOff>85725</xdr:rowOff>
    </xdr:from>
    <xdr:to>
      <xdr:col>2</xdr:col>
      <xdr:colOff>571500</xdr:colOff>
      <xdr:row>112</xdr:row>
      <xdr:rowOff>85725</xdr:rowOff>
    </xdr:to>
    <xdr:sp macro="" textlink="">
      <xdr:nvSpPr>
        <xdr:cNvPr id="9253" name="Line 1035">
          <a:extLst>
            <a:ext uri="{FF2B5EF4-FFF2-40B4-BE49-F238E27FC236}">
              <a16:creationId xmlns:a16="http://schemas.microsoft.com/office/drawing/2014/main" id="{00000000-0008-0000-0B00-000025240000}"/>
            </a:ext>
          </a:extLst>
        </xdr:cNvPr>
        <xdr:cNvSpPr>
          <a:spLocks noChangeShapeType="1"/>
        </xdr:cNvSpPr>
      </xdr:nvSpPr>
      <xdr:spPr bwMode="auto">
        <a:xfrm flipH="1">
          <a:off x="1257300" y="17411700"/>
          <a:ext cx="533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38100</xdr:colOff>
      <xdr:row>114</xdr:row>
      <xdr:rowOff>85725</xdr:rowOff>
    </xdr:from>
    <xdr:to>
      <xdr:col>2</xdr:col>
      <xdr:colOff>571500</xdr:colOff>
      <xdr:row>114</xdr:row>
      <xdr:rowOff>85725</xdr:rowOff>
    </xdr:to>
    <xdr:sp macro="" textlink="">
      <xdr:nvSpPr>
        <xdr:cNvPr id="9254" name="Line 1036">
          <a:extLst>
            <a:ext uri="{FF2B5EF4-FFF2-40B4-BE49-F238E27FC236}">
              <a16:creationId xmlns:a16="http://schemas.microsoft.com/office/drawing/2014/main" id="{00000000-0008-0000-0B00-000026240000}"/>
            </a:ext>
          </a:extLst>
        </xdr:cNvPr>
        <xdr:cNvSpPr>
          <a:spLocks noChangeShapeType="1"/>
        </xdr:cNvSpPr>
      </xdr:nvSpPr>
      <xdr:spPr bwMode="auto">
        <a:xfrm flipH="1">
          <a:off x="1257300" y="17735550"/>
          <a:ext cx="533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38100</xdr:colOff>
      <xdr:row>116</xdr:row>
      <xdr:rowOff>85725</xdr:rowOff>
    </xdr:from>
    <xdr:to>
      <xdr:col>2</xdr:col>
      <xdr:colOff>571500</xdr:colOff>
      <xdr:row>116</xdr:row>
      <xdr:rowOff>85725</xdr:rowOff>
    </xdr:to>
    <xdr:sp macro="" textlink="">
      <xdr:nvSpPr>
        <xdr:cNvPr id="9255" name="Line 1037">
          <a:extLst>
            <a:ext uri="{FF2B5EF4-FFF2-40B4-BE49-F238E27FC236}">
              <a16:creationId xmlns:a16="http://schemas.microsoft.com/office/drawing/2014/main" id="{00000000-0008-0000-0B00-000027240000}"/>
            </a:ext>
          </a:extLst>
        </xdr:cNvPr>
        <xdr:cNvSpPr>
          <a:spLocks noChangeShapeType="1"/>
        </xdr:cNvSpPr>
      </xdr:nvSpPr>
      <xdr:spPr bwMode="auto">
        <a:xfrm flipH="1">
          <a:off x="1257300" y="18059400"/>
          <a:ext cx="533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38100</xdr:colOff>
      <xdr:row>118</xdr:row>
      <xdr:rowOff>85725</xdr:rowOff>
    </xdr:from>
    <xdr:to>
      <xdr:col>2</xdr:col>
      <xdr:colOff>571500</xdr:colOff>
      <xdr:row>118</xdr:row>
      <xdr:rowOff>85725</xdr:rowOff>
    </xdr:to>
    <xdr:sp macro="" textlink="">
      <xdr:nvSpPr>
        <xdr:cNvPr id="9256" name="Line 1038">
          <a:extLst>
            <a:ext uri="{FF2B5EF4-FFF2-40B4-BE49-F238E27FC236}">
              <a16:creationId xmlns:a16="http://schemas.microsoft.com/office/drawing/2014/main" id="{00000000-0008-0000-0B00-000028240000}"/>
            </a:ext>
          </a:extLst>
        </xdr:cNvPr>
        <xdr:cNvSpPr>
          <a:spLocks noChangeShapeType="1"/>
        </xdr:cNvSpPr>
      </xdr:nvSpPr>
      <xdr:spPr bwMode="auto">
        <a:xfrm flipH="1">
          <a:off x="1257300" y="18383250"/>
          <a:ext cx="533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38100</xdr:colOff>
      <xdr:row>127</xdr:row>
      <xdr:rowOff>85725</xdr:rowOff>
    </xdr:from>
    <xdr:to>
      <xdr:col>2</xdr:col>
      <xdr:colOff>571500</xdr:colOff>
      <xdr:row>127</xdr:row>
      <xdr:rowOff>85725</xdr:rowOff>
    </xdr:to>
    <xdr:sp macro="" textlink="">
      <xdr:nvSpPr>
        <xdr:cNvPr id="9257" name="Line 1039">
          <a:extLst>
            <a:ext uri="{FF2B5EF4-FFF2-40B4-BE49-F238E27FC236}">
              <a16:creationId xmlns:a16="http://schemas.microsoft.com/office/drawing/2014/main" id="{00000000-0008-0000-0B00-000029240000}"/>
            </a:ext>
          </a:extLst>
        </xdr:cNvPr>
        <xdr:cNvSpPr>
          <a:spLocks noChangeShapeType="1"/>
        </xdr:cNvSpPr>
      </xdr:nvSpPr>
      <xdr:spPr bwMode="auto">
        <a:xfrm flipH="1">
          <a:off x="1257300" y="19840575"/>
          <a:ext cx="533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38100</xdr:colOff>
      <xdr:row>134</xdr:row>
      <xdr:rowOff>85725</xdr:rowOff>
    </xdr:from>
    <xdr:to>
      <xdr:col>2</xdr:col>
      <xdr:colOff>571500</xdr:colOff>
      <xdr:row>134</xdr:row>
      <xdr:rowOff>85725</xdr:rowOff>
    </xdr:to>
    <xdr:sp macro="" textlink="">
      <xdr:nvSpPr>
        <xdr:cNvPr id="9258" name="Line 1040">
          <a:extLst>
            <a:ext uri="{FF2B5EF4-FFF2-40B4-BE49-F238E27FC236}">
              <a16:creationId xmlns:a16="http://schemas.microsoft.com/office/drawing/2014/main" id="{00000000-0008-0000-0B00-00002A240000}"/>
            </a:ext>
          </a:extLst>
        </xdr:cNvPr>
        <xdr:cNvSpPr>
          <a:spLocks noChangeShapeType="1"/>
        </xdr:cNvSpPr>
      </xdr:nvSpPr>
      <xdr:spPr bwMode="auto">
        <a:xfrm flipH="1">
          <a:off x="1257300" y="21135975"/>
          <a:ext cx="533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34018</xdr:colOff>
      <xdr:row>9</xdr:row>
      <xdr:rowOff>156483</xdr:rowOff>
    </xdr:from>
    <xdr:to>
      <xdr:col>7</xdr:col>
      <xdr:colOff>591912</xdr:colOff>
      <xdr:row>11</xdr:row>
      <xdr:rowOff>34018</xdr:rowOff>
    </xdr:to>
    <xdr:cxnSp macro="">
      <xdr:nvCxnSpPr>
        <xdr:cNvPr id="3" name="Straight Arrow Connector 2">
          <a:extLst>
            <a:ext uri="{FF2B5EF4-FFF2-40B4-BE49-F238E27FC236}">
              <a16:creationId xmlns:a16="http://schemas.microsoft.com/office/drawing/2014/main" id="{00000000-0008-0000-0B00-000003000000}"/>
            </a:ext>
          </a:extLst>
        </xdr:cNvPr>
        <xdr:cNvCxnSpPr/>
      </xdr:nvCxnSpPr>
      <xdr:spPr bwMode="auto">
        <a:xfrm flipH="1">
          <a:off x="4082143" y="1626054"/>
          <a:ext cx="557894" cy="210910"/>
        </a:xfrm>
        <a:prstGeom prst="straightConnector1">
          <a:avLst/>
        </a:prstGeom>
        <a:solidFill>
          <a:srgbClr val="FFFFFF"/>
        </a:solidFill>
        <a:ln w="28575" cap="flat" cmpd="sng" algn="ctr">
          <a:solidFill>
            <a:srgbClr val="000000"/>
          </a:solidFill>
          <a:prstDash val="solid"/>
          <a:round/>
          <a:headEnd type="none" w="med" len="med"/>
          <a:tailEnd type="arrow"/>
        </a:ln>
        <a:effectLst/>
      </xdr:spPr>
    </xdr:cxnSp>
    <xdr:clientData/>
  </xdr:twoCellAnchor>
  <xdr:twoCellAnchor>
    <xdr:from>
      <xdr:col>4</xdr:col>
      <xdr:colOff>444500</xdr:colOff>
      <xdr:row>38</xdr:row>
      <xdr:rowOff>57150</xdr:rowOff>
    </xdr:from>
    <xdr:to>
      <xdr:col>4</xdr:col>
      <xdr:colOff>508000</xdr:colOff>
      <xdr:row>38</xdr:row>
      <xdr:rowOff>133350</xdr:rowOff>
    </xdr:to>
    <xdr:sp macro="" textlink="">
      <xdr:nvSpPr>
        <xdr:cNvPr id="6" name="Isosceles Triangle 5">
          <a:extLst>
            <a:ext uri="{FF2B5EF4-FFF2-40B4-BE49-F238E27FC236}">
              <a16:creationId xmlns:a16="http://schemas.microsoft.com/office/drawing/2014/main" id="{00000000-0008-0000-0B00-000006000000}"/>
            </a:ext>
          </a:extLst>
        </xdr:cNvPr>
        <xdr:cNvSpPr/>
      </xdr:nvSpPr>
      <xdr:spPr bwMode="auto">
        <a:xfrm flipV="1">
          <a:off x="2686050" y="6343650"/>
          <a:ext cx="63500" cy="76200"/>
        </a:xfrm>
        <a:prstGeom prst="triangle">
          <a:avLst/>
        </a:prstGeom>
        <a:solidFill>
          <a:schemeClr val="tx1"/>
        </a:solidFill>
        <a:ln w="2857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7</xdr:col>
      <xdr:colOff>69850</xdr:colOff>
      <xdr:row>104</xdr:row>
      <xdr:rowOff>0</xdr:rowOff>
    </xdr:from>
    <xdr:to>
      <xdr:col>7</xdr:col>
      <xdr:colOff>307975</xdr:colOff>
      <xdr:row>105</xdr:row>
      <xdr:rowOff>104775</xdr:rowOff>
    </xdr:to>
    <xdr:sp macro="" textlink="">
      <xdr:nvSpPr>
        <xdr:cNvPr id="17" name="Line 1025">
          <a:extLst>
            <a:ext uri="{FF2B5EF4-FFF2-40B4-BE49-F238E27FC236}">
              <a16:creationId xmlns:a16="http://schemas.microsoft.com/office/drawing/2014/main" id="{00000000-0008-0000-0B00-000011000000}"/>
            </a:ext>
          </a:extLst>
        </xdr:cNvPr>
        <xdr:cNvSpPr>
          <a:spLocks noChangeShapeType="1"/>
        </xdr:cNvSpPr>
      </xdr:nvSpPr>
      <xdr:spPr bwMode="auto">
        <a:xfrm flipH="1">
          <a:off x="4114800" y="17183100"/>
          <a:ext cx="238125" cy="2698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298450</xdr:colOff>
      <xdr:row>103</xdr:row>
      <xdr:rowOff>95250</xdr:rowOff>
    </xdr:from>
    <xdr:to>
      <xdr:col>8</xdr:col>
      <xdr:colOff>317500</xdr:colOff>
      <xdr:row>104</xdr:row>
      <xdr:rowOff>127000</xdr:rowOff>
    </xdr:to>
    <xdr:sp macro="" textlink="">
      <xdr:nvSpPr>
        <xdr:cNvPr id="18" name="Text Box 1026">
          <a:extLst>
            <a:ext uri="{FF2B5EF4-FFF2-40B4-BE49-F238E27FC236}">
              <a16:creationId xmlns:a16="http://schemas.microsoft.com/office/drawing/2014/main" id="{00000000-0008-0000-0B00-000012000000}"/>
            </a:ext>
          </a:extLst>
        </xdr:cNvPr>
        <xdr:cNvSpPr txBox="1">
          <a:spLocks noChangeArrowheads="1"/>
        </xdr:cNvSpPr>
      </xdr:nvSpPr>
      <xdr:spPr bwMode="auto">
        <a:xfrm>
          <a:off x="4343400" y="17113250"/>
          <a:ext cx="628650" cy="1968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kriterijum</a:t>
          </a:r>
        </a:p>
      </xdr:txBody>
    </xdr:sp>
    <xdr:clientData/>
  </xdr:twoCellAnchor>
  <xdr:twoCellAnchor>
    <xdr:from>
      <xdr:col>2</xdr:col>
      <xdr:colOff>38100</xdr:colOff>
      <xdr:row>149</xdr:row>
      <xdr:rowOff>85725</xdr:rowOff>
    </xdr:from>
    <xdr:to>
      <xdr:col>2</xdr:col>
      <xdr:colOff>571500</xdr:colOff>
      <xdr:row>149</xdr:row>
      <xdr:rowOff>85725</xdr:rowOff>
    </xdr:to>
    <xdr:sp macro="" textlink="">
      <xdr:nvSpPr>
        <xdr:cNvPr id="20" name="Line 1040">
          <a:extLst>
            <a:ext uri="{FF2B5EF4-FFF2-40B4-BE49-F238E27FC236}">
              <a16:creationId xmlns:a16="http://schemas.microsoft.com/office/drawing/2014/main" id="{00000000-0008-0000-0B00-000014000000}"/>
            </a:ext>
          </a:extLst>
        </xdr:cNvPr>
        <xdr:cNvSpPr>
          <a:spLocks noChangeShapeType="1"/>
        </xdr:cNvSpPr>
      </xdr:nvSpPr>
      <xdr:spPr bwMode="auto">
        <a:xfrm flipH="1">
          <a:off x="1212850" y="27009725"/>
          <a:ext cx="533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38100</xdr:colOff>
      <xdr:row>142</xdr:row>
      <xdr:rowOff>85725</xdr:rowOff>
    </xdr:from>
    <xdr:to>
      <xdr:col>2</xdr:col>
      <xdr:colOff>571500</xdr:colOff>
      <xdr:row>142</xdr:row>
      <xdr:rowOff>85725</xdr:rowOff>
    </xdr:to>
    <xdr:sp macro="" textlink="">
      <xdr:nvSpPr>
        <xdr:cNvPr id="22" name="Line 1040">
          <a:extLst>
            <a:ext uri="{FF2B5EF4-FFF2-40B4-BE49-F238E27FC236}">
              <a16:creationId xmlns:a16="http://schemas.microsoft.com/office/drawing/2014/main" id="{00000000-0008-0000-0B00-000016000000}"/>
            </a:ext>
          </a:extLst>
        </xdr:cNvPr>
        <xdr:cNvSpPr>
          <a:spLocks noChangeShapeType="1"/>
        </xdr:cNvSpPr>
      </xdr:nvSpPr>
      <xdr:spPr bwMode="auto">
        <a:xfrm flipH="1">
          <a:off x="1212850" y="22221825"/>
          <a:ext cx="533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355600</xdr:colOff>
      <xdr:row>136</xdr:row>
      <xdr:rowOff>76200</xdr:rowOff>
    </xdr:from>
    <xdr:to>
      <xdr:col>8</xdr:col>
      <xdr:colOff>501650</xdr:colOff>
      <xdr:row>138</xdr:row>
      <xdr:rowOff>12700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4400550" y="22542500"/>
          <a:ext cx="75565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r-Latn-CS" sz="1100"/>
            <a:t>logičko</a:t>
          </a:r>
          <a:r>
            <a:rPr lang="sr-Latn-CS" sz="1100" baseline="0"/>
            <a:t> I</a:t>
          </a:r>
          <a:endParaRPr lang="en-US" sz="1100"/>
        </a:p>
      </xdr:txBody>
    </xdr:sp>
    <xdr:clientData/>
  </xdr:twoCellAnchor>
  <xdr:twoCellAnchor>
    <xdr:from>
      <xdr:col>7</xdr:col>
      <xdr:colOff>260350</xdr:colOff>
      <xdr:row>137</xdr:row>
      <xdr:rowOff>44450</xdr:rowOff>
    </xdr:from>
    <xdr:to>
      <xdr:col>7</xdr:col>
      <xdr:colOff>355600</xdr:colOff>
      <xdr:row>138</xdr:row>
      <xdr:rowOff>114300</xdr:rowOff>
    </xdr:to>
    <xdr:cxnSp macro="">
      <xdr:nvCxnSpPr>
        <xdr:cNvPr id="9" name="Straight Arrow Connector 8">
          <a:extLst>
            <a:ext uri="{FF2B5EF4-FFF2-40B4-BE49-F238E27FC236}">
              <a16:creationId xmlns:a16="http://schemas.microsoft.com/office/drawing/2014/main" id="{00000000-0008-0000-0B00-000009000000}"/>
            </a:ext>
          </a:extLst>
        </xdr:cNvPr>
        <xdr:cNvCxnSpPr>
          <a:stCxn id="7" idx="1"/>
        </xdr:cNvCxnSpPr>
      </xdr:nvCxnSpPr>
      <xdr:spPr bwMode="auto">
        <a:xfrm flipH="1">
          <a:off x="4305300" y="22675850"/>
          <a:ext cx="95250" cy="234950"/>
        </a:xfrm>
        <a:prstGeom prst="straightConnector1">
          <a:avLst/>
        </a:prstGeom>
        <a:solidFill>
          <a:srgbClr val="FFFFFF"/>
        </a:solidFill>
        <a:ln w="28575" cap="flat" cmpd="sng" algn="ctr">
          <a:solidFill>
            <a:srgbClr val="000000"/>
          </a:solidFill>
          <a:prstDash val="solid"/>
          <a:round/>
          <a:headEnd type="none" w="med" len="med"/>
          <a:tailEnd type="arrow"/>
        </a:ln>
        <a:effectLst/>
      </xdr:spPr>
    </xdr:cxnSp>
    <xdr:clientData/>
  </xdr:twoCellAnchor>
  <xdr:twoCellAnchor>
    <xdr:from>
      <xdr:col>6</xdr:col>
      <xdr:colOff>247650</xdr:colOff>
      <xdr:row>137</xdr:row>
      <xdr:rowOff>44450</xdr:rowOff>
    </xdr:from>
    <xdr:to>
      <xdr:col>7</xdr:col>
      <xdr:colOff>355600</xdr:colOff>
      <xdr:row>138</xdr:row>
      <xdr:rowOff>101600</xdr:rowOff>
    </xdr:to>
    <xdr:cxnSp macro="">
      <xdr:nvCxnSpPr>
        <xdr:cNvPr id="13" name="Straight Arrow Connector 12">
          <a:extLst>
            <a:ext uri="{FF2B5EF4-FFF2-40B4-BE49-F238E27FC236}">
              <a16:creationId xmlns:a16="http://schemas.microsoft.com/office/drawing/2014/main" id="{00000000-0008-0000-0B00-00000D000000}"/>
            </a:ext>
          </a:extLst>
        </xdr:cNvPr>
        <xdr:cNvCxnSpPr>
          <a:stCxn id="7" idx="1"/>
        </xdr:cNvCxnSpPr>
      </xdr:nvCxnSpPr>
      <xdr:spPr bwMode="auto">
        <a:xfrm flipH="1">
          <a:off x="3822700" y="22675850"/>
          <a:ext cx="577850" cy="222250"/>
        </a:xfrm>
        <a:prstGeom prst="straightConnector1">
          <a:avLst/>
        </a:prstGeom>
        <a:solidFill>
          <a:srgbClr val="FFFFFF"/>
        </a:solidFill>
        <a:ln w="28575" cap="flat" cmpd="sng" algn="ctr">
          <a:solidFill>
            <a:srgbClr val="000000"/>
          </a:solidFill>
          <a:prstDash val="solid"/>
          <a:round/>
          <a:headEnd type="none" w="med" len="med"/>
          <a:tailEnd type="arrow"/>
        </a:ln>
        <a:effectLst/>
      </xdr:spPr>
    </xdr:cxnSp>
    <xdr:clientData/>
  </xdr:twoCellAnchor>
  <xdr:twoCellAnchor>
    <xdr:from>
      <xdr:col>8</xdr:col>
      <xdr:colOff>184150</xdr:colOff>
      <xdr:row>146</xdr:row>
      <xdr:rowOff>107950</xdr:rowOff>
    </xdr:from>
    <xdr:to>
      <xdr:col>9</xdr:col>
      <xdr:colOff>330200</xdr:colOff>
      <xdr:row>148</xdr:row>
      <xdr:rowOff>44450</xdr:rowOff>
    </xdr:to>
    <xdr:sp macro="" textlink="">
      <xdr:nvSpPr>
        <xdr:cNvPr id="35" name="TextBox 34">
          <a:extLst>
            <a:ext uri="{FF2B5EF4-FFF2-40B4-BE49-F238E27FC236}">
              <a16:creationId xmlns:a16="http://schemas.microsoft.com/office/drawing/2014/main" id="{00000000-0008-0000-0B00-000023000000}"/>
            </a:ext>
          </a:extLst>
        </xdr:cNvPr>
        <xdr:cNvSpPr txBox="1"/>
      </xdr:nvSpPr>
      <xdr:spPr>
        <a:xfrm>
          <a:off x="4838700" y="24225250"/>
          <a:ext cx="75565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r-Latn-CS" sz="1100"/>
            <a:t>logičko</a:t>
          </a:r>
          <a:r>
            <a:rPr lang="sr-Latn-CS" sz="1100" baseline="0"/>
            <a:t> ILI</a:t>
          </a:r>
          <a:endParaRPr lang="en-US" sz="1100"/>
        </a:p>
      </xdr:txBody>
    </xdr:sp>
    <xdr:clientData/>
  </xdr:twoCellAnchor>
  <xdr:twoCellAnchor>
    <xdr:from>
      <xdr:col>7</xdr:col>
      <xdr:colOff>44450</xdr:colOff>
      <xdr:row>147</xdr:row>
      <xdr:rowOff>76200</xdr:rowOff>
    </xdr:from>
    <xdr:to>
      <xdr:col>8</xdr:col>
      <xdr:colOff>184150</xdr:colOff>
      <xdr:row>148</xdr:row>
      <xdr:rowOff>95250</xdr:rowOff>
    </xdr:to>
    <xdr:cxnSp macro="">
      <xdr:nvCxnSpPr>
        <xdr:cNvPr id="36" name="Straight Arrow Connector 35">
          <a:extLst>
            <a:ext uri="{FF2B5EF4-FFF2-40B4-BE49-F238E27FC236}">
              <a16:creationId xmlns:a16="http://schemas.microsoft.com/office/drawing/2014/main" id="{00000000-0008-0000-0B00-000024000000}"/>
            </a:ext>
          </a:extLst>
        </xdr:cNvPr>
        <xdr:cNvCxnSpPr>
          <a:stCxn id="35" idx="1"/>
        </xdr:cNvCxnSpPr>
      </xdr:nvCxnSpPr>
      <xdr:spPr bwMode="auto">
        <a:xfrm flipH="1">
          <a:off x="4089400" y="24358600"/>
          <a:ext cx="749300" cy="184150"/>
        </a:xfrm>
        <a:prstGeom prst="straightConnector1">
          <a:avLst/>
        </a:prstGeom>
        <a:solidFill>
          <a:srgbClr val="FFFFFF"/>
        </a:solidFill>
        <a:ln w="28575" cap="flat" cmpd="sng" algn="ctr">
          <a:solidFill>
            <a:srgbClr val="000000"/>
          </a:solidFill>
          <a:prstDash val="solid"/>
          <a:round/>
          <a:headEnd type="none" w="med" len="med"/>
          <a:tailEnd type="arrow"/>
        </a:ln>
        <a:effectLst/>
      </xdr:spPr>
    </xdr:cxnSp>
    <xdr:clientData/>
  </xdr:twoCellAnchor>
  <xdr:twoCellAnchor>
    <xdr:from>
      <xdr:col>7</xdr:col>
      <xdr:colOff>50800</xdr:colOff>
      <xdr:row>147</xdr:row>
      <xdr:rowOff>76200</xdr:rowOff>
    </xdr:from>
    <xdr:to>
      <xdr:col>8</xdr:col>
      <xdr:colOff>184150</xdr:colOff>
      <xdr:row>147</xdr:row>
      <xdr:rowOff>76200</xdr:rowOff>
    </xdr:to>
    <xdr:cxnSp macro="">
      <xdr:nvCxnSpPr>
        <xdr:cNvPr id="37" name="Straight Arrow Connector 36">
          <a:extLst>
            <a:ext uri="{FF2B5EF4-FFF2-40B4-BE49-F238E27FC236}">
              <a16:creationId xmlns:a16="http://schemas.microsoft.com/office/drawing/2014/main" id="{00000000-0008-0000-0B00-000025000000}"/>
            </a:ext>
          </a:extLst>
        </xdr:cNvPr>
        <xdr:cNvCxnSpPr>
          <a:stCxn id="35" idx="1"/>
        </xdr:cNvCxnSpPr>
      </xdr:nvCxnSpPr>
      <xdr:spPr bwMode="auto">
        <a:xfrm flipH="1">
          <a:off x="4095750" y="24358600"/>
          <a:ext cx="742950" cy="0"/>
        </a:xfrm>
        <a:prstGeom prst="straightConnector1">
          <a:avLst/>
        </a:prstGeom>
        <a:solidFill>
          <a:srgbClr val="FFFFFF"/>
        </a:solidFill>
        <a:ln w="28575" cap="flat" cmpd="sng" algn="ctr">
          <a:solidFill>
            <a:srgbClr val="000000"/>
          </a:solidFill>
          <a:prstDash val="solid"/>
          <a:round/>
          <a:headEnd type="none" w="med" len="med"/>
          <a:tailEnd type="arrow"/>
        </a:ln>
        <a:effec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ansijske%20funkcij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ow r="8">
          <cell r="C8">
            <v>8</v>
          </cell>
        </row>
        <row r="9">
          <cell r="C9">
            <v>8</v>
          </cell>
        </row>
        <row r="10">
          <cell r="C10">
            <v>89.566529002965922</v>
          </cell>
        </row>
        <row r="11">
          <cell r="C11">
            <v>8</v>
          </cell>
        </row>
        <row r="12">
          <cell r="C12">
            <v>2</v>
          </cell>
        </row>
        <row r="13">
          <cell r="C13">
            <v>65.566529002965922</v>
          </cell>
        </row>
        <row r="14">
          <cell r="C14">
            <v>8</v>
          </cell>
        </row>
      </sheetData>
      <sheetData sheetId="1"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C205:D208">
  <autoFilter ref="C205:D208" xr:uid="{00000000-0009-0000-0100-000001000000}"/>
  <tableColumns count="2">
    <tableColumn id="1" xr3:uid="{00000000-0010-0000-0000-000001000000}" name="Vrsta podatka" totalsRowLabel="Total"/>
    <tableColumn id="2" xr3:uid="{00000000-0010-0000-0000-000002000000}" name="Podaci" totalsRowFunction="s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Table8" displayName="Table8" ref="B219:E222" headerRowCount="0">
  <tableColumns count="4">
    <tableColumn id="1" xr3:uid="{00000000-0010-0000-0100-000001000000}" name="Column1" totalsRowLabel="Total"/>
    <tableColumn id="2" xr3:uid="{00000000-0010-0000-0100-000002000000}" name="Column2"/>
    <tableColumn id="3" xr3:uid="{00000000-0010-0000-0100-000003000000}" name="Column3"/>
    <tableColumn id="4" xr3:uid="{00000000-0010-0000-0100-000004000000}" name="Column4" totalsRowFunction="sum"/>
  </tableColumns>
  <tableStyleInfo name="Probni stil tabele"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2857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2857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4.vml"/><Relationship Id="rId7" Type="http://schemas.openxmlformats.org/officeDocument/2006/relationships/image" Target="../media/image3.wmf"/><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5" Type="http://schemas.openxmlformats.org/officeDocument/2006/relationships/image" Target="../media/image2.emf"/><Relationship Id="rId10" Type="http://schemas.openxmlformats.org/officeDocument/2006/relationships/comments" Target="../comments4.xml"/><Relationship Id="rId4" Type="http://schemas.openxmlformats.org/officeDocument/2006/relationships/oleObject" Target="../embeddings/oleObject1.bin"/><Relationship Id="rId9" Type="http://schemas.openxmlformats.org/officeDocument/2006/relationships/image" Target="../media/image4.wmf"/></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6" Type="http://schemas.openxmlformats.org/officeDocument/2006/relationships/comments" Target="../comments6.xml"/><Relationship Id="rId5" Type="http://schemas.openxmlformats.org/officeDocument/2006/relationships/table" Target="../tables/table2.xml"/><Relationship Id="rId4"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59"/>
  <sheetViews>
    <sheetView topLeftCell="A7" workbookViewId="0"/>
  </sheetViews>
  <sheetFormatPr defaultRowHeight="12.75"/>
  <cols>
    <col min="1" max="1" width="9.7109375" customWidth="1"/>
    <col min="7" max="7" width="9.28515625" bestFit="1" customWidth="1"/>
  </cols>
  <sheetData>
    <row r="1" spans="1:16">
      <c r="H1" s="206" t="s">
        <v>882</v>
      </c>
      <c r="I1" s="206"/>
      <c r="J1" s="108" t="s">
        <v>450</v>
      </c>
    </row>
    <row r="3" spans="1:16">
      <c r="A3" s="51" t="s">
        <v>634</v>
      </c>
    </row>
    <row r="4" spans="1:16">
      <c r="N4" s="88">
        <v>6</v>
      </c>
      <c r="O4">
        <v>25839</v>
      </c>
    </row>
    <row r="5" spans="1:16">
      <c r="A5" t="s">
        <v>635</v>
      </c>
      <c r="O5" s="108" t="s">
        <v>580</v>
      </c>
    </row>
    <row r="6" spans="1:16">
      <c r="A6" t="s">
        <v>879</v>
      </c>
    </row>
    <row r="7" spans="1:16">
      <c r="N7" s="88">
        <v>7</v>
      </c>
      <c r="O7" s="108" t="s">
        <v>580</v>
      </c>
    </row>
    <row r="8" spans="1:16">
      <c r="O8" s="108" t="s">
        <v>580</v>
      </c>
    </row>
    <row r="9" spans="1:16">
      <c r="B9" s="51"/>
      <c r="O9" s="108" t="s">
        <v>580</v>
      </c>
    </row>
    <row r="10" spans="1:16">
      <c r="O10" s="108" t="s">
        <v>580</v>
      </c>
    </row>
    <row r="11" spans="1:16">
      <c r="O11" s="108" t="s">
        <v>580</v>
      </c>
    </row>
    <row r="13" spans="1:16">
      <c r="N13" s="88">
        <v>8</v>
      </c>
      <c r="O13">
        <v>15</v>
      </c>
      <c r="P13">
        <f>SUM(O13:O16)</f>
        <v>550</v>
      </c>
    </row>
    <row r="14" spans="1:16">
      <c r="O14">
        <v>35</v>
      </c>
    </row>
    <row r="15" spans="1:16">
      <c r="A15" s="108" t="s">
        <v>881</v>
      </c>
      <c r="O15">
        <v>182</v>
      </c>
    </row>
    <row r="16" spans="1:16">
      <c r="A16" t="s">
        <v>880</v>
      </c>
      <c r="O16">
        <v>318</v>
      </c>
    </row>
    <row r="18" spans="1:20">
      <c r="A18" t="s">
        <v>636</v>
      </c>
      <c r="N18" s="88">
        <v>9</v>
      </c>
      <c r="O18">
        <f>O13*O14</f>
        <v>525</v>
      </c>
    </row>
    <row r="19" spans="1:20">
      <c r="A19" t="s">
        <v>637</v>
      </c>
    </row>
    <row r="20" spans="1:20">
      <c r="A20" t="s">
        <v>774</v>
      </c>
      <c r="N20" s="88">
        <v>10</v>
      </c>
    </row>
    <row r="21" spans="1:20" ht="38.25">
      <c r="A21" t="s">
        <v>775</v>
      </c>
      <c r="O21" s="153" t="s">
        <v>1253</v>
      </c>
      <c r="P21" s="154" t="s">
        <v>674</v>
      </c>
      <c r="Q21" s="154" t="s">
        <v>675</v>
      </c>
      <c r="R21" s="153" t="s">
        <v>1254</v>
      </c>
      <c r="S21" s="153" t="s">
        <v>1255</v>
      </c>
      <c r="T21" s="153" t="s">
        <v>1256</v>
      </c>
    </row>
    <row r="22" spans="1:20">
      <c r="O22" s="159">
        <v>1</v>
      </c>
      <c r="P22" s="157" t="s">
        <v>1257</v>
      </c>
      <c r="Q22" s="157" t="s">
        <v>1262</v>
      </c>
      <c r="R22" s="157">
        <v>4</v>
      </c>
      <c r="S22" s="157">
        <v>1</v>
      </c>
      <c r="T22" s="158">
        <f>R22*S22</f>
        <v>4</v>
      </c>
    </row>
    <row r="23" spans="1:20">
      <c r="A23" t="s">
        <v>764</v>
      </c>
      <c r="O23" s="159">
        <v>2</v>
      </c>
      <c r="P23" s="157" t="s">
        <v>1258</v>
      </c>
      <c r="Q23" s="157" t="s">
        <v>1263</v>
      </c>
      <c r="R23" s="157">
        <v>3</v>
      </c>
      <c r="S23" s="157">
        <v>2</v>
      </c>
      <c r="T23" s="158">
        <f>R23*S23</f>
        <v>6</v>
      </c>
    </row>
    <row r="24" spans="1:20">
      <c r="O24" s="159">
        <v>3</v>
      </c>
      <c r="P24" s="157" t="s">
        <v>1259</v>
      </c>
      <c r="Q24" s="157" t="s">
        <v>1264</v>
      </c>
      <c r="R24" s="157">
        <v>2</v>
      </c>
      <c r="S24" s="157">
        <v>4</v>
      </c>
      <c r="T24" s="158">
        <f>R24*S24</f>
        <v>8</v>
      </c>
    </row>
    <row r="25" spans="1:20">
      <c r="A25" t="s">
        <v>765</v>
      </c>
      <c r="O25" s="159">
        <v>4</v>
      </c>
      <c r="P25" s="157" t="s">
        <v>1260</v>
      </c>
      <c r="Q25" s="157" t="s">
        <v>1265</v>
      </c>
      <c r="R25" s="157">
        <v>1</v>
      </c>
      <c r="S25" s="157">
        <v>0.6</v>
      </c>
      <c r="T25" s="158">
        <f>R25*S25</f>
        <v>0.6</v>
      </c>
    </row>
    <row r="26" spans="1:20">
      <c r="A26" t="s">
        <v>638</v>
      </c>
      <c r="O26" s="159">
        <v>5</v>
      </c>
      <c r="P26" s="157" t="s">
        <v>1261</v>
      </c>
      <c r="Q26" s="157" t="s">
        <v>1266</v>
      </c>
      <c r="R26" s="157">
        <v>6</v>
      </c>
      <c r="S26" s="157">
        <v>0.3</v>
      </c>
      <c r="T26" s="158">
        <f>R26*S26</f>
        <v>1.7999999999999998</v>
      </c>
    </row>
    <row r="27" spans="1:20">
      <c r="A27" t="s">
        <v>639</v>
      </c>
      <c r="P27" s="108"/>
      <c r="S27" s="155" t="s">
        <v>344</v>
      </c>
      <c r="T27" s="156">
        <f>SUM(T22:T26)</f>
        <v>20.400000000000002</v>
      </c>
    </row>
    <row r="29" spans="1:20">
      <c r="A29" t="s">
        <v>766</v>
      </c>
      <c r="G29" s="108"/>
      <c r="H29" s="51"/>
      <c r="J29" s="51"/>
    </row>
    <row r="30" spans="1:20">
      <c r="A30" t="s">
        <v>640</v>
      </c>
      <c r="G30" s="108"/>
      <c r="J30" s="51"/>
    </row>
    <row r="31" spans="1:20">
      <c r="A31" t="s">
        <v>641</v>
      </c>
      <c r="G31" s="108"/>
      <c r="H31" s="51"/>
      <c r="J31" s="51"/>
    </row>
    <row r="33" spans="1:7">
      <c r="A33" t="s">
        <v>767</v>
      </c>
      <c r="G33" s="108"/>
    </row>
    <row r="34" spans="1:7">
      <c r="A34" t="s">
        <v>1252</v>
      </c>
      <c r="G34" s="108"/>
    </row>
    <row r="35" spans="1:7">
      <c r="G35" s="108"/>
    </row>
    <row r="36" spans="1:7">
      <c r="A36" t="s">
        <v>768</v>
      </c>
    </row>
    <row r="38" spans="1:7">
      <c r="A38" t="s">
        <v>769</v>
      </c>
    </row>
    <row r="40" spans="1:7">
      <c r="A40" s="205" t="s">
        <v>671</v>
      </c>
      <c r="B40" s="205"/>
      <c r="C40" s="205"/>
      <c r="D40" s="205"/>
      <c r="E40" s="205"/>
      <c r="F40" s="205"/>
    </row>
    <row r="41" spans="1:7" ht="13.5" thickBot="1"/>
    <row r="42" spans="1:7">
      <c r="A42" s="93" t="s">
        <v>672</v>
      </c>
      <c r="B42" s="95" t="s">
        <v>674</v>
      </c>
      <c r="C42" s="95" t="s">
        <v>675</v>
      </c>
      <c r="D42" s="95" t="s">
        <v>676</v>
      </c>
      <c r="E42" s="95" t="s">
        <v>678</v>
      </c>
      <c r="F42" s="91" t="s">
        <v>680</v>
      </c>
    </row>
    <row r="43" spans="1:7" ht="13.5" thickBot="1">
      <c r="A43" s="94" t="s">
        <v>673</v>
      </c>
      <c r="B43" s="96"/>
      <c r="C43" s="96"/>
      <c r="D43" s="96" t="s">
        <v>677</v>
      </c>
      <c r="E43" s="96" t="s">
        <v>679</v>
      </c>
      <c r="F43" s="92" t="s">
        <v>681</v>
      </c>
    </row>
    <row r="44" spans="1:7">
      <c r="A44" s="90">
        <v>1</v>
      </c>
      <c r="B44" s="90" t="s">
        <v>682</v>
      </c>
      <c r="C44" s="90" t="s">
        <v>688</v>
      </c>
      <c r="D44" s="90">
        <v>4</v>
      </c>
      <c r="E44" s="90">
        <v>0.66</v>
      </c>
      <c r="F44" s="90">
        <f t="shared" ref="F44:F49" si="0">D44*E44</f>
        <v>2.64</v>
      </c>
    </row>
    <row r="45" spans="1:7">
      <c r="A45" s="46">
        <v>2</v>
      </c>
      <c r="B45" s="46" t="s">
        <v>683</v>
      </c>
      <c r="C45" s="46" t="s">
        <v>689</v>
      </c>
      <c r="D45" s="46">
        <v>3</v>
      </c>
      <c r="E45" s="46">
        <v>2.56</v>
      </c>
      <c r="F45" s="90">
        <f t="shared" si="0"/>
        <v>7.68</v>
      </c>
    </row>
    <row r="46" spans="1:7">
      <c r="A46" s="46">
        <v>3</v>
      </c>
      <c r="B46" s="46" t="s">
        <v>684</v>
      </c>
      <c r="C46" s="46" t="s">
        <v>690</v>
      </c>
      <c r="D46" s="46">
        <v>1</v>
      </c>
      <c r="E46" s="46">
        <v>3.55</v>
      </c>
      <c r="F46" s="90">
        <f t="shared" si="0"/>
        <v>3.55</v>
      </c>
    </row>
    <row r="47" spans="1:7">
      <c r="A47" s="46">
        <v>4</v>
      </c>
      <c r="B47" s="46" t="s">
        <v>685</v>
      </c>
      <c r="C47" s="46" t="s">
        <v>691</v>
      </c>
      <c r="D47" s="46">
        <v>2</v>
      </c>
      <c r="E47" s="46">
        <v>0.55000000000000004</v>
      </c>
      <c r="F47" s="90">
        <f t="shared" si="0"/>
        <v>1.1000000000000001</v>
      </c>
    </row>
    <row r="48" spans="1:7">
      <c r="A48" s="46">
        <v>5</v>
      </c>
      <c r="B48" s="46" t="s">
        <v>685</v>
      </c>
      <c r="C48" s="46" t="s">
        <v>692</v>
      </c>
      <c r="D48" s="46">
        <v>4</v>
      </c>
      <c r="E48" s="46">
        <v>0.92</v>
      </c>
      <c r="F48" s="90">
        <f t="shared" si="0"/>
        <v>3.68</v>
      </c>
    </row>
    <row r="49" spans="1:6">
      <c r="A49" s="46">
        <v>6</v>
      </c>
      <c r="B49" s="46" t="s">
        <v>686</v>
      </c>
      <c r="C49" s="46" t="s">
        <v>693</v>
      </c>
      <c r="D49" s="46">
        <v>1</v>
      </c>
      <c r="E49" s="49">
        <v>4.3499999999999996</v>
      </c>
      <c r="F49" s="90">
        <f t="shared" si="0"/>
        <v>4.3499999999999996</v>
      </c>
    </row>
    <row r="50" spans="1:6">
      <c r="A50" s="45"/>
      <c r="B50" s="45"/>
      <c r="C50" s="45"/>
      <c r="D50" s="45"/>
      <c r="E50" s="40" t="s">
        <v>687</v>
      </c>
      <c r="F50" s="48">
        <f>SUM(F44:F49)</f>
        <v>23</v>
      </c>
    </row>
    <row r="52" spans="1:6">
      <c r="C52" s="47"/>
    </row>
    <row r="53" spans="1:6">
      <c r="A53" t="s">
        <v>770</v>
      </c>
    </row>
    <row r="55" spans="1:6">
      <c r="A55" t="s">
        <v>771</v>
      </c>
    </row>
    <row r="57" spans="1:6">
      <c r="A57" t="s">
        <v>772</v>
      </c>
    </row>
    <row r="59" spans="1:6">
      <c r="A59" t="s">
        <v>773</v>
      </c>
    </row>
  </sheetData>
  <mergeCells count="2">
    <mergeCell ref="A40:F40"/>
    <mergeCell ref="H1:I1"/>
  </mergeCells>
  <phoneticPr fontId="0" type="noConversion"/>
  <printOptions headings="1" gridLines="1"/>
  <pageMargins left="0.74803149606299213" right="0.74803149606299213" top="0.98425196850393704" bottom="0.98425196850393704" header="0.51181102362204722" footer="0.51181102362204722"/>
  <pageSetup paperSize="9" orientation="portrait" horizontalDpi="300" verticalDpi="300" r:id="rId1"/>
  <headerFooter alignWithMargins="0">
    <oddHeader>&amp;LVježba 1</oddHeader>
  </headerFooter>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I158"/>
  <sheetViews>
    <sheetView workbookViewId="0"/>
  </sheetViews>
  <sheetFormatPr defaultRowHeight="12.75"/>
  <cols>
    <col min="2" max="2" width="8.42578125" customWidth="1"/>
    <col min="3" max="3" width="9.7109375" bestFit="1" customWidth="1"/>
    <col min="4" max="4" width="6.28515625" customWidth="1"/>
    <col min="5" max="5" width="8.28515625" customWidth="1"/>
    <col min="6" max="6" width="11.7109375" customWidth="1"/>
    <col min="7" max="7" width="7" customWidth="1"/>
  </cols>
  <sheetData>
    <row r="1" spans="1:9">
      <c r="A1" s="2" t="s">
        <v>1193</v>
      </c>
    </row>
    <row r="3" spans="1:9">
      <c r="A3" s="2" t="s">
        <v>572</v>
      </c>
    </row>
    <row r="4" spans="1:9">
      <c r="A4" t="s">
        <v>644</v>
      </c>
    </row>
    <row r="5" spans="1:9">
      <c r="A5" t="s">
        <v>645</v>
      </c>
    </row>
    <row r="6" spans="1:9">
      <c r="A6" t="s">
        <v>646</v>
      </c>
    </row>
    <row r="7" spans="1:9">
      <c r="A7" t="s">
        <v>647</v>
      </c>
    </row>
    <row r="8" spans="1:9">
      <c r="A8" s="2" t="s">
        <v>1189</v>
      </c>
    </row>
    <row r="10" spans="1:9">
      <c r="A10" s="84" t="s">
        <v>1191</v>
      </c>
    </row>
    <row r="11" spans="1:9" ht="13.5" thickBot="1">
      <c r="A11" s="84"/>
    </row>
    <row r="12" spans="1:9" ht="13.5" thickBot="1">
      <c r="F12" s="15" t="s">
        <v>1190</v>
      </c>
      <c r="G12" s="148">
        <v>0.05</v>
      </c>
    </row>
    <row r="14" spans="1:9">
      <c r="B14" s="147" t="s">
        <v>573</v>
      </c>
      <c r="C14" s="2" t="s">
        <v>574</v>
      </c>
      <c r="D14" s="2" t="s">
        <v>575</v>
      </c>
      <c r="E14" s="2" t="s">
        <v>576</v>
      </c>
      <c r="F14" s="2" t="s">
        <v>577</v>
      </c>
      <c r="G14" s="2" t="s">
        <v>578</v>
      </c>
    </row>
    <row r="15" spans="1:9">
      <c r="B15" s="43">
        <v>1</v>
      </c>
      <c r="C15" t="s">
        <v>579</v>
      </c>
      <c r="D15" t="s">
        <v>580</v>
      </c>
      <c r="E15" t="s">
        <v>581</v>
      </c>
      <c r="F15" s="43">
        <v>315</v>
      </c>
      <c r="G15" s="43">
        <f t="shared" ref="G15:G26" si="0">F15*G$12</f>
        <v>15.75</v>
      </c>
      <c r="I15" s="108"/>
    </row>
    <row r="16" spans="1:9">
      <c r="B16" s="43">
        <v>2</v>
      </c>
      <c r="C16" t="s">
        <v>582</v>
      </c>
      <c r="D16" t="s">
        <v>583</v>
      </c>
      <c r="E16" t="s">
        <v>584</v>
      </c>
      <c r="F16" s="43">
        <v>615</v>
      </c>
      <c r="G16" s="43">
        <f t="shared" si="0"/>
        <v>30.75</v>
      </c>
    </row>
    <row r="17" spans="1:7">
      <c r="B17" s="43">
        <v>3</v>
      </c>
      <c r="C17" t="s">
        <v>585</v>
      </c>
      <c r="D17" t="s">
        <v>586</v>
      </c>
      <c r="E17" t="s">
        <v>587</v>
      </c>
      <c r="F17" s="43">
        <v>125</v>
      </c>
      <c r="G17" s="43">
        <f t="shared" si="0"/>
        <v>6.25</v>
      </c>
    </row>
    <row r="18" spans="1:7">
      <c r="B18" s="43">
        <v>4</v>
      </c>
      <c r="C18" t="s">
        <v>588</v>
      </c>
      <c r="D18" t="s">
        <v>589</v>
      </c>
      <c r="E18" t="s">
        <v>590</v>
      </c>
      <c r="F18" s="43">
        <v>285</v>
      </c>
      <c r="G18" s="43">
        <f t="shared" si="0"/>
        <v>14.25</v>
      </c>
    </row>
    <row r="19" spans="1:7">
      <c r="B19" s="43">
        <v>5</v>
      </c>
      <c r="C19" t="s">
        <v>579</v>
      </c>
      <c r="D19" t="s">
        <v>583</v>
      </c>
      <c r="E19" t="s">
        <v>591</v>
      </c>
      <c r="F19" s="43">
        <v>375</v>
      </c>
      <c r="G19" s="43">
        <f t="shared" si="0"/>
        <v>18.75</v>
      </c>
    </row>
    <row r="20" spans="1:7">
      <c r="B20" s="43">
        <v>6</v>
      </c>
      <c r="C20" t="s">
        <v>582</v>
      </c>
      <c r="D20" t="s">
        <v>580</v>
      </c>
      <c r="E20" t="s">
        <v>592</v>
      </c>
      <c r="F20" s="43">
        <v>430</v>
      </c>
      <c r="G20" s="43">
        <f t="shared" si="0"/>
        <v>21.5</v>
      </c>
    </row>
    <row r="21" spans="1:7">
      <c r="B21" s="43">
        <v>7</v>
      </c>
      <c r="C21" t="s">
        <v>585</v>
      </c>
      <c r="D21" t="s">
        <v>589</v>
      </c>
      <c r="E21" t="s">
        <v>593</v>
      </c>
      <c r="F21" s="43">
        <v>570</v>
      </c>
      <c r="G21" s="43">
        <f t="shared" si="0"/>
        <v>28.5</v>
      </c>
    </row>
    <row r="22" spans="1:7">
      <c r="B22" s="43">
        <v>8</v>
      </c>
      <c r="C22" t="s">
        <v>588</v>
      </c>
      <c r="D22" t="s">
        <v>586</v>
      </c>
      <c r="E22" t="s">
        <v>594</v>
      </c>
      <c r="F22" s="43">
        <v>230</v>
      </c>
      <c r="G22" s="43">
        <f t="shared" si="0"/>
        <v>11.5</v>
      </c>
    </row>
    <row r="23" spans="1:7">
      <c r="B23" s="43">
        <v>9</v>
      </c>
      <c r="C23" t="s">
        <v>579</v>
      </c>
      <c r="D23" t="s">
        <v>589</v>
      </c>
      <c r="E23" t="s">
        <v>595</v>
      </c>
      <c r="F23" s="43">
        <v>465</v>
      </c>
      <c r="G23" s="43">
        <f t="shared" si="0"/>
        <v>23.25</v>
      </c>
    </row>
    <row r="24" spans="1:7">
      <c r="B24" s="43">
        <v>10</v>
      </c>
      <c r="C24" t="s">
        <v>582</v>
      </c>
      <c r="D24" t="s">
        <v>586</v>
      </c>
      <c r="E24" t="s">
        <v>596</v>
      </c>
      <c r="F24" s="43">
        <v>470</v>
      </c>
      <c r="G24" s="43">
        <f t="shared" si="0"/>
        <v>23.5</v>
      </c>
    </row>
    <row r="25" spans="1:7">
      <c r="B25" s="43">
        <v>11</v>
      </c>
      <c r="C25" t="s">
        <v>585</v>
      </c>
      <c r="D25" t="s">
        <v>583</v>
      </c>
      <c r="E25" t="s">
        <v>597</v>
      </c>
      <c r="F25" s="43">
        <v>1280</v>
      </c>
      <c r="G25" s="43">
        <f t="shared" si="0"/>
        <v>64</v>
      </c>
    </row>
    <row r="26" spans="1:7">
      <c r="B26" s="43">
        <v>12</v>
      </c>
      <c r="C26" t="s">
        <v>588</v>
      </c>
      <c r="D26" t="s">
        <v>580</v>
      </c>
      <c r="E26" t="s">
        <v>598</v>
      </c>
      <c r="F26" s="43">
        <v>365</v>
      </c>
      <c r="G26" s="43">
        <f t="shared" si="0"/>
        <v>18.25</v>
      </c>
    </row>
    <row r="28" spans="1:7">
      <c r="A28" s="2" t="s">
        <v>1192</v>
      </c>
      <c r="D28" s="52" t="s">
        <v>862</v>
      </c>
    </row>
    <row r="29" spans="1:7">
      <c r="A29" t="s">
        <v>358</v>
      </c>
    </row>
    <row r="30" spans="1:7">
      <c r="A30" s="108" t="s">
        <v>1194</v>
      </c>
    </row>
    <row r="31" spans="1:7">
      <c r="A31" t="s">
        <v>648</v>
      </c>
    </row>
    <row r="32" spans="1:7">
      <c r="A32" s="108" t="s">
        <v>241</v>
      </c>
      <c r="B32" s="52" t="s">
        <v>1197</v>
      </c>
    </row>
    <row r="33" spans="1:4">
      <c r="B33" s="108" t="s">
        <v>1196</v>
      </c>
    </row>
    <row r="34" spans="1:4">
      <c r="C34" s="108"/>
    </row>
    <row r="35" spans="1:4">
      <c r="A35" s="108" t="s">
        <v>1195</v>
      </c>
    </row>
    <row r="36" spans="1:4">
      <c r="A36" t="s">
        <v>241</v>
      </c>
      <c r="B36" s="52" t="s">
        <v>1198</v>
      </c>
    </row>
    <row r="38" spans="1:4">
      <c r="A38" s="2" t="s">
        <v>1200</v>
      </c>
    </row>
    <row r="39" spans="1:4">
      <c r="A39" s="52" t="s">
        <v>1201</v>
      </c>
      <c r="D39" s="52"/>
    </row>
    <row r="40" spans="1:4">
      <c r="A40" t="s">
        <v>358</v>
      </c>
    </row>
    <row r="41" spans="1:4">
      <c r="A41" s="108" t="s">
        <v>1199</v>
      </c>
    </row>
    <row r="42" spans="1:4">
      <c r="A42" t="s">
        <v>649</v>
      </c>
    </row>
    <row r="43" spans="1:4">
      <c r="A43" t="s">
        <v>241</v>
      </c>
      <c r="B43" s="52" t="s">
        <v>1202</v>
      </c>
    </row>
    <row r="44" spans="1:4">
      <c r="A44" s="108" t="s">
        <v>1210</v>
      </c>
      <c r="B44" s="52"/>
    </row>
    <row r="46" spans="1:4">
      <c r="A46" t="s">
        <v>61</v>
      </c>
    </row>
    <row r="47" spans="1:4">
      <c r="A47" t="s">
        <v>241</v>
      </c>
      <c r="B47" s="52" t="s">
        <v>1203</v>
      </c>
    </row>
    <row r="49" spans="1:6">
      <c r="A49" t="s">
        <v>62</v>
      </c>
    </row>
    <row r="50" spans="1:6">
      <c r="A50" t="s">
        <v>241</v>
      </c>
      <c r="B50" s="52" t="s">
        <v>1205</v>
      </c>
    </row>
    <row r="51" spans="1:6">
      <c r="E51" s="149" t="s">
        <v>1206</v>
      </c>
      <c r="F51" s="50"/>
    </row>
    <row r="53" spans="1:6">
      <c r="A53" t="s">
        <v>60</v>
      </c>
    </row>
    <row r="54" spans="1:6">
      <c r="A54" t="s">
        <v>241</v>
      </c>
      <c r="B54" s="52" t="s">
        <v>1204</v>
      </c>
    </row>
    <row r="55" spans="1:6">
      <c r="E55" s="52" t="s">
        <v>1207</v>
      </c>
    </row>
    <row r="57" spans="1:6">
      <c r="A57" t="s">
        <v>63</v>
      </c>
    </row>
    <row r="58" spans="1:6">
      <c r="A58" t="s">
        <v>241</v>
      </c>
      <c r="B58" s="52" t="s">
        <v>1208</v>
      </c>
    </row>
    <row r="59" spans="1:6">
      <c r="B59" s="52" t="s">
        <v>1209</v>
      </c>
    </row>
    <row r="61" spans="1:6">
      <c r="A61" t="s">
        <v>650</v>
      </c>
    </row>
    <row r="62" spans="1:6">
      <c r="A62" t="s">
        <v>241</v>
      </c>
      <c r="B62" s="52" t="s">
        <v>1211</v>
      </c>
    </row>
    <row r="63" spans="1:6">
      <c r="B63" s="52"/>
      <c r="D63" s="108" t="s">
        <v>1212</v>
      </c>
    </row>
    <row r="65" spans="1:6">
      <c r="A65" t="s">
        <v>651</v>
      </c>
    </row>
    <row r="66" spans="1:6">
      <c r="A66" t="s">
        <v>241</v>
      </c>
      <c r="B66" s="52" t="s">
        <v>863</v>
      </c>
    </row>
    <row r="67" spans="1:6">
      <c r="F67" s="108" t="s">
        <v>1213</v>
      </c>
    </row>
    <row r="68" spans="1:6">
      <c r="A68" s="108" t="s">
        <v>652</v>
      </c>
    </row>
    <row r="69" spans="1:6">
      <c r="B69" t="s">
        <v>599</v>
      </c>
    </row>
    <row r="70" spans="1:6">
      <c r="B70" t="s">
        <v>600</v>
      </c>
    </row>
    <row r="72" spans="1:6">
      <c r="A72" s="84" t="s">
        <v>601</v>
      </c>
    </row>
    <row r="73" spans="1:6">
      <c r="A73" s="146" t="s">
        <v>1215</v>
      </c>
    </row>
    <row r="74" spans="1:6">
      <c r="A74" t="s">
        <v>358</v>
      </c>
    </row>
    <row r="75" spans="1:6">
      <c r="A75" t="s">
        <v>653</v>
      </c>
    </row>
    <row r="76" spans="1:6">
      <c r="A76" t="s">
        <v>241</v>
      </c>
      <c r="B76" s="52" t="s">
        <v>1214</v>
      </c>
    </row>
    <row r="78" spans="1:6">
      <c r="A78" s="2" t="s">
        <v>602</v>
      </c>
    </row>
    <row r="79" spans="1:6">
      <c r="A79" t="s">
        <v>654</v>
      </c>
    </row>
    <row r="81" spans="1:7">
      <c r="A81" t="s">
        <v>655</v>
      </c>
    </row>
    <row r="82" spans="1:7">
      <c r="A82" s="52" t="s">
        <v>603</v>
      </c>
    </row>
    <row r="83" spans="1:7">
      <c r="A83" s="50" t="s">
        <v>656</v>
      </c>
    </row>
    <row r="84" spans="1:7">
      <c r="A84" s="50" t="s">
        <v>657</v>
      </c>
    </row>
    <row r="85" spans="1:7">
      <c r="B85" t="s">
        <v>658</v>
      </c>
    </row>
    <row r="86" spans="1:7">
      <c r="A86" s="50" t="s">
        <v>659</v>
      </c>
    </row>
    <row r="87" spans="1:7">
      <c r="B87" t="s">
        <v>660</v>
      </c>
    </row>
    <row r="90" spans="1:7">
      <c r="A90" s="108" t="s">
        <v>1232</v>
      </c>
    </row>
    <row r="91" spans="1:7">
      <c r="A91" s="50" t="s">
        <v>241</v>
      </c>
    </row>
    <row r="93" spans="1:7">
      <c r="B93" s="31" t="s">
        <v>573</v>
      </c>
      <c r="C93" s="32" t="s">
        <v>574</v>
      </c>
      <c r="D93" s="32" t="s">
        <v>575</v>
      </c>
      <c r="E93" s="32" t="s">
        <v>576</v>
      </c>
      <c r="F93" s="32" t="s">
        <v>577</v>
      </c>
      <c r="G93" s="33" t="s">
        <v>578</v>
      </c>
    </row>
    <row r="94" spans="1:7">
      <c r="B94" s="34"/>
      <c r="C94" s="35"/>
      <c r="D94" s="35" t="s">
        <v>580</v>
      </c>
      <c r="E94" s="35"/>
      <c r="F94" s="35"/>
      <c r="G94" s="36"/>
    </row>
    <row r="96" spans="1:7">
      <c r="A96" s="50" t="s">
        <v>240</v>
      </c>
      <c r="B96">
        <f>DCOUNT(B14:G26,B14,B93:G94)</f>
        <v>3</v>
      </c>
      <c r="D96" s="52" t="s">
        <v>1216</v>
      </c>
    </row>
    <row r="97" spans="1:7">
      <c r="C97" s="150"/>
    </row>
    <row r="98" spans="1:7">
      <c r="A98" s="108" t="s">
        <v>1218</v>
      </c>
    </row>
    <row r="99" spans="1:7">
      <c r="B99" s="108" t="s">
        <v>1219</v>
      </c>
      <c r="D99" s="52" t="s">
        <v>1217</v>
      </c>
    </row>
    <row r="101" spans="1:7">
      <c r="A101" s="84" t="s">
        <v>358</v>
      </c>
    </row>
    <row r="102" spans="1:7">
      <c r="A102" s="108" t="s">
        <v>1220</v>
      </c>
    </row>
    <row r="103" spans="1:7">
      <c r="A103" s="108" t="s">
        <v>1221</v>
      </c>
    </row>
    <row r="104" spans="1:7">
      <c r="A104" s="50" t="s">
        <v>241</v>
      </c>
    </row>
    <row r="106" spans="1:7">
      <c r="B106" s="31" t="s">
        <v>573</v>
      </c>
      <c r="C106" s="32" t="s">
        <v>574</v>
      </c>
      <c r="D106" s="32" t="s">
        <v>575</v>
      </c>
      <c r="E106" s="32" t="s">
        <v>576</v>
      </c>
      <c r="F106" s="32" t="s">
        <v>577</v>
      </c>
      <c r="G106" s="33" t="s">
        <v>578</v>
      </c>
    </row>
    <row r="107" spans="1:7">
      <c r="B107" s="34"/>
      <c r="C107" s="35" t="s">
        <v>582</v>
      </c>
      <c r="D107" s="35"/>
      <c r="E107" s="35"/>
      <c r="F107" s="35"/>
      <c r="G107" s="36"/>
    </row>
    <row r="109" spans="1:7">
      <c r="A109" s="50" t="s">
        <v>663</v>
      </c>
      <c r="B109">
        <f>DSUM(B14:G26,G14,B106:G107)</f>
        <v>75.75</v>
      </c>
      <c r="D109" s="52" t="s">
        <v>1223</v>
      </c>
    </row>
    <row r="110" spans="1:7">
      <c r="C110" s="43" t="s">
        <v>480</v>
      </c>
      <c r="D110" s="52" t="s">
        <v>1224</v>
      </c>
    </row>
    <row r="111" spans="1:7">
      <c r="C111" s="43" t="s">
        <v>480</v>
      </c>
      <c r="D111" s="52" t="s">
        <v>1225</v>
      </c>
    </row>
    <row r="113" spans="1:7">
      <c r="A113" s="50" t="s">
        <v>661</v>
      </c>
      <c r="B113">
        <f>DMAX(B14:G26,"Racun",B106:G107)</f>
        <v>30.75</v>
      </c>
      <c r="D113" s="52" t="s">
        <v>1226</v>
      </c>
    </row>
    <row r="115" spans="1:7">
      <c r="A115" s="50" t="s">
        <v>662</v>
      </c>
      <c r="B115" s="1">
        <f>DMIN(B14:G26,"Racun",B106:G107)</f>
        <v>21.5</v>
      </c>
      <c r="D115" s="52" t="s">
        <v>1227</v>
      </c>
    </row>
    <row r="117" spans="1:7">
      <c r="A117" s="50" t="s">
        <v>664</v>
      </c>
      <c r="B117" s="1">
        <f>DMIN(B14:G26,F106,B106:G107)</f>
        <v>430</v>
      </c>
      <c r="D117" s="52" t="s">
        <v>1228</v>
      </c>
    </row>
    <row r="119" spans="1:7">
      <c r="A119" s="50" t="s">
        <v>665</v>
      </c>
      <c r="B119" s="1">
        <f>DAVERAGE(B14:G26,F106,B106:G107)</f>
        <v>505</v>
      </c>
      <c r="D119" s="52" t="s">
        <v>1229</v>
      </c>
    </row>
    <row r="122" spans="1:7">
      <c r="A122" s="84" t="s">
        <v>358</v>
      </c>
    </row>
    <row r="123" spans="1:7">
      <c r="A123" t="s">
        <v>667</v>
      </c>
    </row>
    <row r="124" spans="1:7">
      <c r="A124" s="50" t="s">
        <v>241</v>
      </c>
    </row>
    <row r="125" spans="1:7">
      <c r="B125" s="87" t="s">
        <v>573</v>
      </c>
      <c r="C125" s="87" t="s">
        <v>574</v>
      </c>
      <c r="D125" s="87" t="s">
        <v>575</v>
      </c>
      <c r="E125" s="87" t="s">
        <v>576</v>
      </c>
      <c r="F125" s="87" t="s">
        <v>577</v>
      </c>
      <c r="G125" s="87" t="s">
        <v>578</v>
      </c>
    </row>
    <row r="126" spans="1:7">
      <c r="B126" s="3"/>
      <c r="C126" s="3"/>
      <c r="D126" s="3"/>
      <c r="E126" s="3"/>
      <c r="F126" s="3"/>
      <c r="G126" s="3" t="s">
        <v>666</v>
      </c>
    </row>
    <row r="128" spans="1:7">
      <c r="B128" s="1">
        <f>DCOUNT(B14:G26,G125,B125:G126)</f>
        <v>6</v>
      </c>
      <c r="D128" s="52" t="s">
        <v>1230</v>
      </c>
    </row>
    <row r="129" spans="1:8">
      <c r="B129" s="1"/>
    </row>
    <row r="130" spans="1:8">
      <c r="A130" s="84" t="s">
        <v>668</v>
      </c>
    </row>
    <row r="131" spans="1:8">
      <c r="A131" s="50" t="s">
        <v>241</v>
      </c>
    </row>
    <row r="132" spans="1:8">
      <c r="B132" s="87" t="s">
        <v>573</v>
      </c>
      <c r="C132" s="87" t="s">
        <v>574</v>
      </c>
      <c r="D132" s="87" t="s">
        <v>575</v>
      </c>
      <c r="E132" s="87" t="s">
        <v>576</v>
      </c>
      <c r="F132" s="87" t="s">
        <v>577</v>
      </c>
      <c r="G132" s="87" t="s">
        <v>578</v>
      </c>
    </row>
    <row r="133" spans="1:8">
      <c r="B133" s="3"/>
      <c r="C133" s="3" t="s">
        <v>585</v>
      </c>
      <c r="D133" s="3"/>
      <c r="E133" s="3"/>
      <c r="F133" s="3"/>
      <c r="G133" s="3" t="s">
        <v>669</v>
      </c>
    </row>
    <row r="135" spans="1:8">
      <c r="B135" s="1">
        <f>DCOUNT(B14:G26,B132,B132:G133)</f>
        <v>2</v>
      </c>
      <c r="D135" s="52" t="s">
        <v>1222</v>
      </c>
    </row>
    <row r="136" spans="1:8">
      <c r="D136" s="108" t="s">
        <v>1231</v>
      </c>
    </row>
    <row r="137" spans="1:8">
      <c r="D137" s="108"/>
    </row>
    <row r="138" spans="1:8">
      <c r="A138" s="84" t="s">
        <v>1243</v>
      </c>
    </row>
    <row r="139" spans="1:8">
      <c r="A139" s="50" t="s">
        <v>241</v>
      </c>
    </row>
    <row r="140" spans="1:8">
      <c r="B140" s="87" t="s">
        <v>573</v>
      </c>
      <c r="C140" s="87" t="s">
        <v>574</v>
      </c>
      <c r="D140" s="87" t="s">
        <v>575</v>
      </c>
      <c r="E140" s="87" t="s">
        <v>576</v>
      </c>
      <c r="F140" s="87" t="s">
        <v>577</v>
      </c>
      <c r="G140" s="87" t="s">
        <v>578</v>
      </c>
      <c r="H140" s="87" t="s">
        <v>578</v>
      </c>
    </row>
    <row r="141" spans="1:8">
      <c r="B141" s="3"/>
      <c r="C141" s="3" t="s">
        <v>585</v>
      </c>
      <c r="D141" s="3"/>
      <c r="E141" s="3"/>
      <c r="F141" s="3"/>
      <c r="G141" s="151" t="s">
        <v>666</v>
      </c>
      <c r="H141" s="151" t="s">
        <v>1244</v>
      </c>
    </row>
    <row r="143" spans="1:8">
      <c r="B143" s="1">
        <f>DCOUNT(B14:G26,B140,B140:H141)</f>
        <v>1</v>
      </c>
      <c r="D143" s="52" t="s">
        <v>1245</v>
      </c>
    </row>
    <row r="145" spans="1:7">
      <c r="A145" s="108" t="s">
        <v>1242</v>
      </c>
    </row>
    <row r="147" spans="1:7">
      <c r="B147" s="87" t="s">
        <v>573</v>
      </c>
      <c r="C147" s="87" t="s">
        <v>574</v>
      </c>
      <c r="D147" s="87" t="s">
        <v>575</v>
      </c>
      <c r="E147" s="87" t="s">
        <v>576</v>
      </c>
      <c r="F147" s="87" t="s">
        <v>577</v>
      </c>
      <c r="G147" s="87" t="s">
        <v>578</v>
      </c>
    </row>
    <row r="148" spans="1:7">
      <c r="B148" s="3"/>
      <c r="C148" s="3" t="s">
        <v>585</v>
      </c>
      <c r="D148" s="3"/>
      <c r="E148" s="151" t="s">
        <v>1241</v>
      </c>
      <c r="F148" s="3"/>
      <c r="G148" s="3"/>
    </row>
    <row r="149" spans="1:7">
      <c r="B149" s="3"/>
      <c r="C149" s="151" t="s">
        <v>582</v>
      </c>
      <c r="D149" s="3"/>
      <c r="E149" s="151" t="s">
        <v>1241</v>
      </c>
      <c r="F149" s="3"/>
      <c r="G149" s="151"/>
    </row>
    <row r="150" spans="1:7">
      <c r="B150" s="1">
        <f>DCOUNT(B14:G26,B147,B147:G149)</f>
        <v>3</v>
      </c>
      <c r="D150" s="52" t="s">
        <v>1246</v>
      </c>
    </row>
    <row r="151" spans="1:7">
      <c r="B151" s="1"/>
      <c r="D151" s="52"/>
    </row>
    <row r="152" spans="1:7">
      <c r="A152" t="s">
        <v>670</v>
      </c>
    </row>
    <row r="153" spans="1:7">
      <c r="A153" s="108" t="s">
        <v>32</v>
      </c>
    </row>
    <row r="154" spans="1:7">
      <c r="A154" s="108" t="s">
        <v>1238</v>
      </c>
    </row>
    <row r="155" spans="1:7">
      <c r="B155" s="108" t="s">
        <v>1237</v>
      </c>
    </row>
    <row r="156" spans="1:7">
      <c r="B156" s="108" t="s">
        <v>1233</v>
      </c>
      <c r="F156" s="43">
        <f>COUNTIF(D15:D26,"Marko")</f>
        <v>3</v>
      </c>
      <c r="G156" s="108" t="s">
        <v>1235</v>
      </c>
    </row>
    <row r="157" spans="1:7">
      <c r="B157" s="108" t="s">
        <v>1239</v>
      </c>
      <c r="F157" s="43">
        <f>COUNTIF(G15:G26,"&gt;20")</f>
        <v>6</v>
      </c>
      <c r="G157" s="108" t="s">
        <v>1240</v>
      </c>
    </row>
    <row r="158" spans="1:7">
      <c r="B158" s="108" t="s">
        <v>1234</v>
      </c>
      <c r="F158" s="43">
        <f>SUMIF(C15:C26,"Jankovic",G15:G26)</f>
        <v>75.75</v>
      </c>
      <c r="G158" s="108" t="s">
        <v>1236</v>
      </c>
    </row>
  </sheetData>
  <phoneticPr fontId="0" type="noConversion"/>
  <printOptions headings="1" gridLines="1"/>
  <pageMargins left="0.74803149606299213" right="0.74803149606299213" top="0.98425196850393704" bottom="0.98425196850393704" header="0.51181102362204722" footer="0.51181102362204722"/>
  <pageSetup paperSize="9" orientation="portrait" horizontalDpi="300" verticalDpi="300" r:id="rId1"/>
  <headerFooter alignWithMargins="0">
    <oddHeader>&amp;LVježba 10&amp;R&amp;P</oddHead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H66"/>
  <sheetViews>
    <sheetView workbookViewId="0"/>
  </sheetViews>
  <sheetFormatPr defaultRowHeight="12.75"/>
  <cols>
    <col min="2" max="2" width="13.140625" bestFit="1" customWidth="1"/>
    <col min="4" max="4" width="13.140625" bestFit="1" customWidth="1"/>
  </cols>
  <sheetData>
    <row r="1" spans="1:4" ht="15.75">
      <c r="A1" s="89" t="s">
        <v>519</v>
      </c>
    </row>
    <row r="2" spans="1:4">
      <c r="A2" s="50"/>
    </row>
    <row r="3" spans="1:4">
      <c r="A3" s="52" t="s">
        <v>864</v>
      </c>
    </row>
    <row r="5" spans="1:4">
      <c r="A5" s="54" t="s">
        <v>417</v>
      </c>
    </row>
    <row r="6" spans="1:4">
      <c r="D6" s="109"/>
    </row>
    <row r="7" spans="1:4">
      <c r="A7" t="s">
        <v>604</v>
      </c>
      <c r="B7">
        <v>1000</v>
      </c>
    </row>
    <row r="8" spans="1:4">
      <c r="A8" t="s">
        <v>605</v>
      </c>
      <c r="B8" s="7">
        <v>0.06</v>
      </c>
      <c r="D8" s="152">
        <f>FV(B8,B9,0,-B7)</f>
        <v>2000.0000282729391</v>
      </c>
    </row>
    <row r="9" spans="1:4">
      <c r="A9" t="s">
        <v>606</v>
      </c>
      <c r="B9">
        <v>11.895661288549297</v>
      </c>
    </row>
    <row r="10" spans="1:4">
      <c r="A10" t="s">
        <v>514</v>
      </c>
      <c r="B10" s="100">
        <f>B7*(1+B8)^B9</f>
        <v>2000.0000282729391</v>
      </c>
      <c r="D10" s="50" t="s">
        <v>513</v>
      </c>
    </row>
    <row r="11" spans="1:4">
      <c r="B11" s="106"/>
    </row>
    <row r="12" spans="1:4">
      <c r="A12" t="s">
        <v>529</v>
      </c>
    </row>
    <row r="13" spans="1:4">
      <c r="A13" s="50" t="s">
        <v>241</v>
      </c>
    </row>
    <row r="14" spans="1:4">
      <c r="A14" s="50" t="s">
        <v>865</v>
      </c>
    </row>
    <row r="15" spans="1:4">
      <c r="A15" s="50" t="s">
        <v>1248</v>
      </c>
    </row>
    <row r="17" spans="1:8">
      <c r="A17" s="108" t="s">
        <v>1249</v>
      </c>
    </row>
    <row r="18" spans="1:8">
      <c r="A18" s="50" t="s">
        <v>241</v>
      </c>
    </row>
    <row r="19" spans="1:8">
      <c r="A19" s="50" t="s">
        <v>1250</v>
      </c>
      <c r="B19" s="50"/>
      <c r="C19" s="50"/>
    </row>
    <row r="20" spans="1:8">
      <c r="A20" s="50" t="s">
        <v>1251</v>
      </c>
      <c r="B20" s="50"/>
      <c r="C20" s="50"/>
    </row>
    <row r="22" spans="1:8">
      <c r="A22" s="108" t="s">
        <v>1247</v>
      </c>
    </row>
    <row r="23" spans="1:8">
      <c r="A23" s="50" t="s">
        <v>522</v>
      </c>
    </row>
    <row r="25" spans="1:8">
      <c r="A25" s="54" t="s">
        <v>607</v>
      </c>
      <c r="C25" t="s">
        <v>515</v>
      </c>
    </row>
    <row r="26" spans="1:8">
      <c r="A26" t="s">
        <v>608</v>
      </c>
      <c r="C26" s="15" t="s">
        <v>359</v>
      </c>
      <c r="D26" s="37">
        <v>2</v>
      </c>
    </row>
    <row r="27" spans="1:8">
      <c r="C27" s="15" t="s">
        <v>360</v>
      </c>
      <c r="D27" s="37">
        <v>2</v>
      </c>
    </row>
    <row r="28" spans="1:8">
      <c r="C28" s="15" t="s">
        <v>361</v>
      </c>
      <c r="D28" s="37">
        <v>4</v>
      </c>
    </row>
    <row r="29" spans="1:8">
      <c r="C29" s="15" t="s">
        <v>609</v>
      </c>
      <c r="D29" s="37">
        <f>D26*D27+D28</f>
        <v>8</v>
      </c>
      <c r="E29" s="50"/>
      <c r="F29" s="50" t="s">
        <v>520</v>
      </c>
    </row>
    <row r="31" spans="1:8">
      <c r="A31" s="50" t="s">
        <v>521</v>
      </c>
      <c r="D31" s="50" t="s">
        <v>516</v>
      </c>
      <c r="G31" s="50"/>
      <c r="H31" s="50"/>
    </row>
    <row r="33" spans="1:7">
      <c r="A33" s="54" t="s">
        <v>610</v>
      </c>
      <c r="E33" s="15" t="s">
        <v>359</v>
      </c>
      <c r="F33" s="37">
        <v>2</v>
      </c>
    </row>
    <row r="34" spans="1:7">
      <c r="A34" t="s">
        <v>364</v>
      </c>
      <c r="E34" s="15" t="s">
        <v>360</v>
      </c>
      <c r="F34" s="37">
        <v>-12</v>
      </c>
    </row>
    <row r="35" spans="1:7">
      <c r="A35" t="s">
        <v>517</v>
      </c>
      <c r="E35" s="15" t="s">
        <v>361</v>
      </c>
      <c r="F35" s="37">
        <v>10</v>
      </c>
    </row>
    <row r="36" spans="1:7">
      <c r="A36" s="108" t="s">
        <v>611</v>
      </c>
      <c r="E36" s="15" t="s">
        <v>365</v>
      </c>
      <c r="F36" s="107">
        <v>10</v>
      </c>
    </row>
    <row r="37" spans="1:7">
      <c r="E37" s="15" t="s">
        <v>366</v>
      </c>
      <c r="F37" s="107">
        <f>F33*F36^2+F34*F36+F35</f>
        <v>90</v>
      </c>
      <c r="G37" s="50"/>
    </row>
    <row r="38" spans="1:7">
      <c r="A38" s="50" t="s">
        <v>241</v>
      </c>
      <c r="B38" s="50"/>
    </row>
    <row r="39" spans="1:7">
      <c r="A39" s="50" t="s">
        <v>612</v>
      </c>
      <c r="B39" s="50"/>
    </row>
    <row r="40" spans="1:7">
      <c r="A40" s="50" t="s">
        <v>613</v>
      </c>
      <c r="B40" s="50"/>
      <c r="F40" s="50" t="s">
        <v>523</v>
      </c>
    </row>
    <row r="41" spans="1:7">
      <c r="A41" s="50" t="s">
        <v>614</v>
      </c>
      <c r="B41" s="50"/>
    </row>
    <row r="43" spans="1:7">
      <c r="A43" s="88" t="s">
        <v>866</v>
      </c>
      <c r="B43" s="50"/>
      <c r="C43" s="50"/>
      <c r="D43" s="50"/>
      <c r="E43" s="50"/>
      <c r="F43" s="50"/>
      <c r="G43" s="50"/>
    </row>
    <row r="44" spans="1:7">
      <c r="A44" s="50"/>
      <c r="B44" s="50"/>
      <c r="C44" s="50"/>
      <c r="D44" s="50"/>
      <c r="E44" s="50" t="s">
        <v>526</v>
      </c>
      <c r="F44" s="50"/>
      <c r="G44" s="50"/>
    </row>
    <row r="45" spans="1:7">
      <c r="A45" s="50" t="s">
        <v>240</v>
      </c>
    </row>
    <row r="46" spans="1:7">
      <c r="A46" t="s">
        <v>615</v>
      </c>
      <c r="B46" t="s">
        <v>518</v>
      </c>
    </row>
    <row r="48" spans="1:7">
      <c r="A48" t="s">
        <v>527</v>
      </c>
    </row>
    <row r="49" spans="1:8">
      <c r="A49" t="s">
        <v>528</v>
      </c>
    </row>
    <row r="50" spans="1:8">
      <c r="A50" t="s">
        <v>525</v>
      </c>
      <c r="B50" t="s">
        <v>524</v>
      </c>
    </row>
    <row r="59" spans="1:8">
      <c r="C59" s="104"/>
      <c r="D59" s="104"/>
      <c r="E59" s="104"/>
      <c r="F59" s="104"/>
      <c r="G59" s="104"/>
      <c r="H59" s="104"/>
    </row>
    <row r="60" spans="1:8">
      <c r="C60" s="105"/>
      <c r="D60" s="105"/>
      <c r="E60" s="105"/>
      <c r="F60" s="105"/>
      <c r="G60" s="105"/>
      <c r="H60" s="105"/>
    </row>
    <row r="61" spans="1:8">
      <c r="C61" s="105"/>
      <c r="D61" s="105"/>
      <c r="E61" s="105"/>
      <c r="F61" s="105"/>
      <c r="G61" s="105"/>
      <c r="H61" s="105"/>
    </row>
    <row r="62" spans="1:8">
      <c r="C62" s="105"/>
      <c r="D62" s="105"/>
      <c r="E62" s="105"/>
      <c r="F62" s="105"/>
      <c r="G62" s="105"/>
      <c r="H62" s="105"/>
    </row>
    <row r="63" spans="1:8">
      <c r="C63" s="105"/>
      <c r="D63" s="105"/>
      <c r="E63" s="105"/>
      <c r="F63" s="105"/>
      <c r="G63" s="105"/>
      <c r="H63" s="105"/>
    </row>
    <row r="64" spans="1:8">
      <c r="C64" s="105"/>
      <c r="D64" s="105"/>
      <c r="E64" s="105"/>
      <c r="F64" s="105"/>
      <c r="G64" s="105"/>
      <c r="H64" s="105"/>
    </row>
    <row r="65" spans="3:8">
      <c r="C65" s="105"/>
      <c r="D65" s="105"/>
      <c r="E65" s="105"/>
      <c r="F65" s="105"/>
      <c r="G65" s="105"/>
      <c r="H65" s="105"/>
    </row>
    <row r="66" spans="3:8">
      <c r="C66" s="105"/>
      <c r="D66" s="105"/>
      <c r="E66" s="105"/>
      <c r="F66" s="105"/>
      <c r="G66" s="105"/>
      <c r="H66" s="105"/>
    </row>
  </sheetData>
  <phoneticPr fontId="0" type="noConversion"/>
  <printOptions headings="1" gridLines="1"/>
  <pageMargins left="0.74803149606299213" right="0.74803149606299213" top="0.98425196850393704" bottom="0.98425196850393704" header="0.51181102362204722" footer="0.51181102362204722"/>
  <pageSetup paperSize="9" orientation="portrait" horizontalDpi="300" verticalDpi="300" r:id="rId1"/>
  <headerFooter alignWithMargins="0">
    <oddHeader>&amp;LVježba 11 - Nakon drugog kolokvijuma</oddHead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09898-82C8-474F-94E0-C99F2AA6337B}">
  <dimension ref="A2:E62"/>
  <sheetViews>
    <sheetView topLeftCell="A25" workbookViewId="0">
      <selection activeCell="B54" sqref="B54"/>
    </sheetView>
  </sheetViews>
  <sheetFormatPr defaultRowHeight="12.75"/>
  <cols>
    <col min="2" max="2" width="9.7109375" bestFit="1" customWidth="1"/>
    <col min="3" max="3" width="12.28515625" bestFit="1" customWidth="1"/>
  </cols>
  <sheetData>
    <row r="2" spans="1:3">
      <c r="A2" s="88" t="s">
        <v>1302</v>
      </c>
      <c r="B2">
        <f>RADIANS(160)</f>
        <v>2.7925268031909272</v>
      </c>
    </row>
    <row r="4" spans="1:3">
      <c r="A4" s="88" t="s">
        <v>1303</v>
      </c>
      <c r="B4" s="200">
        <f>FV(4%,6,-200,,1)</f>
        <v>1379.658896179202</v>
      </c>
    </row>
    <row r="6" spans="1:3">
      <c r="A6" s="88" t="s">
        <v>1304</v>
      </c>
      <c r="B6">
        <v>5</v>
      </c>
      <c r="C6">
        <v>8</v>
      </c>
    </row>
    <row r="7" spans="1:3">
      <c r="C7">
        <v>8</v>
      </c>
    </row>
    <row r="8" spans="1:3">
      <c r="C8" s="11">
        <f>(3*B6^3-9)/(4*C6^2+1)^(1/3)+4*C7</f>
        <v>89.566529002965922</v>
      </c>
    </row>
    <row r="9" spans="1:3">
      <c r="A9" s="88" t="s">
        <v>1305</v>
      </c>
      <c r="B9">
        <v>5</v>
      </c>
      <c r="C9" s="88">
        <v>8</v>
      </c>
    </row>
    <row r="10" spans="1:3">
      <c r="C10">
        <v>2</v>
      </c>
    </row>
    <row r="11" spans="1:3">
      <c r="C11" s="11">
        <f>(3*B9^3-9)/(4*C9^2+1)^(1/3)+4*C10</f>
        <v>65.566529002965922</v>
      </c>
    </row>
    <row r="13" spans="1:3">
      <c r="A13" s="88" t="s">
        <v>1306</v>
      </c>
      <c r="B13">
        <v>5</v>
      </c>
      <c r="C13">
        <v>8</v>
      </c>
    </row>
    <row r="14" spans="1:3">
      <c r="C14">
        <v>3.3</v>
      </c>
    </row>
    <row r="15" spans="1:3">
      <c r="C15" s="11">
        <f>(3*B13^3-9)/(4*C13^2+1)^(1/3)+4*C14</f>
        <v>70.766529002965925</v>
      </c>
    </row>
    <row r="17" spans="1:3">
      <c r="A17" s="88" t="s">
        <v>1307</v>
      </c>
      <c r="C17" s="201">
        <v>46981.5</v>
      </c>
    </row>
    <row r="19" spans="1:3">
      <c r="A19" s="88" t="s">
        <v>1308</v>
      </c>
      <c r="B19">
        <v>5</v>
      </c>
      <c r="C19">
        <v>8</v>
      </c>
    </row>
    <row r="20" spans="1:3">
      <c r="C20">
        <v>8.1</v>
      </c>
    </row>
    <row r="21" spans="1:3">
      <c r="C21" s="11">
        <f>(3*B19^3-9)/(4*C19^2+1)^(1/3)+4*C20</f>
        <v>89.966529002965927</v>
      </c>
    </row>
    <row r="22" spans="1:3">
      <c r="A22" s="88" t="s">
        <v>1309</v>
      </c>
      <c r="B22" s="88"/>
      <c r="C22" s="108" t="s">
        <v>1310</v>
      </c>
    </row>
    <row r="24" spans="1:3">
      <c r="A24" s="88" t="s">
        <v>1311</v>
      </c>
      <c r="C24" s="202">
        <v>9878.9869999999992</v>
      </c>
    </row>
    <row r="26" spans="1:3">
      <c r="A26" s="88" t="s">
        <v>1312</v>
      </c>
      <c r="B26">
        <v>5</v>
      </c>
      <c r="C26">
        <v>8</v>
      </c>
    </row>
    <row r="27" spans="1:3">
      <c r="C27">
        <v>3.7</v>
      </c>
    </row>
    <row r="28" spans="1:3">
      <c r="C28" s="11">
        <f>(3*B26^3-9)/(4*C26^2+1)^(1/3)+4*C27</f>
        <v>72.366529002965919</v>
      </c>
    </row>
    <row r="30" spans="1:3">
      <c r="A30" s="88" t="s">
        <v>1313</v>
      </c>
      <c r="C30" s="178">
        <f>PV(1%,12,-100,,1)</f>
        <v>1136.762824821948</v>
      </c>
    </row>
    <row r="34" spans="1:5">
      <c r="A34" s="88" t="s">
        <v>1314</v>
      </c>
      <c r="B34">
        <v>5</v>
      </c>
      <c r="C34">
        <v>8</v>
      </c>
    </row>
    <row r="35" spans="1:5">
      <c r="C35">
        <v>5</v>
      </c>
    </row>
    <row r="36" spans="1:5">
      <c r="C36">
        <f>(3*B34^3-9)/(4*C34^2+1)^(1/3)+4*C35</f>
        <v>77.566529002965922</v>
      </c>
    </row>
    <row r="38" spans="1:5">
      <c r="A38" s="88" t="s">
        <v>1315</v>
      </c>
      <c r="C38" s="178">
        <f>PMT(6%/12,18*12,-7000,30000,1)</f>
        <v>-24.256053730622682</v>
      </c>
      <c r="D38" s="88" t="s">
        <v>1316</v>
      </c>
      <c r="E38" s="108" t="s">
        <v>1317</v>
      </c>
    </row>
    <row r="41" spans="1:5">
      <c r="A41" s="88" t="s">
        <v>1318</v>
      </c>
      <c r="C41" s="108" t="s">
        <v>1319</v>
      </c>
    </row>
    <row r="43" spans="1:5">
      <c r="A43" s="88" t="s">
        <v>1320</v>
      </c>
      <c r="C43" s="203">
        <v>46981.33</v>
      </c>
    </row>
    <row r="45" spans="1:5">
      <c r="A45" s="88" t="s">
        <v>1321</v>
      </c>
      <c r="C45" s="178">
        <f>FV(5%,4,,-1000)</f>
        <v>1215.5062499999999</v>
      </c>
    </row>
    <row r="47" spans="1:5">
      <c r="A47" s="88" t="s">
        <v>1322</v>
      </c>
      <c r="C47" s="178">
        <f>PV(1%,5*12,-100,10000,0)</f>
        <v>-1008.9923187551934</v>
      </c>
    </row>
    <row r="49" spans="1:4">
      <c r="A49" s="88" t="s">
        <v>1323</v>
      </c>
    </row>
    <row r="52" spans="1:4">
      <c r="A52">
        <v>5</v>
      </c>
      <c r="B52">
        <f>4*A52-D52</f>
        <v>9</v>
      </c>
      <c r="C52" t="str">
        <f>IF(A52&gt;B52,"4",IF(A52=B52,"8","6"))</f>
        <v>6</v>
      </c>
      <c r="D52">
        <v>11</v>
      </c>
    </row>
    <row r="53" spans="1:4">
      <c r="A53">
        <v>6</v>
      </c>
      <c r="B53">
        <f>4*A53-D52</f>
        <v>13</v>
      </c>
      <c r="C53" t="str">
        <f t="shared" ref="C53:C54" si="0">IF(A53&gt;B53,"4",IF(A53=B53,"8","6"))</f>
        <v>6</v>
      </c>
    </row>
    <row r="54" spans="1:4">
      <c r="A54">
        <v>7</v>
      </c>
      <c r="B54">
        <f t="shared" ref="B53:B54" si="1">4*A54-D54</f>
        <v>28</v>
      </c>
      <c r="C54" t="str">
        <f t="shared" si="0"/>
        <v>6</v>
      </c>
    </row>
    <row r="57" spans="1:4">
      <c r="A57" s="88" t="s">
        <v>1324</v>
      </c>
      <c r="C57" s="204">
        <v>17341</v>
      </c>
    </row>
    <row r="59" spans="1:4">
      <c r="A59" s="88" t="s">
        <v>1325</v>
      </c>
      <c r="C59" s="178">
        <f>PV(0.5%,5*12,,10000)</f>
        <v>-7413.7219624434711</v>
      </c>
    </row>
    <row r="62" spans="1:4">
      <c r="A62" s="88" t="s">
        <v>1326</v>
      </c>
      <c r="C62" s="62">
        <f>RATE(12,-500,4000,,1)</f>
        <v>8.4073683577053582E-2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4F06D-09E6-444D-AEA0-297D3F1C1845}">
  <dimension ref="A2:R109"/>
  <sheetViews>
    <sheetView tabSelected="1" topLeftCell="A91" workbookViewId="0">
      <selection activeCell="N117" sqref="I105:N117"/>
    </sheetView>
  </sheetViews>
  <sheetFormatPr defaultRowHeight="12.75"/>
  <cols>
    <col min="1" max="1" width="9.140625" style="4"/>
    <col min="2" max="2" width="11.5703125" style="4" bestFit="1" customWidth="1"/>
    <col min="3" max="3" width="12.28515625" style="4" bestFit="1" customWidth="1"/>
    <col min="4" max="4" width="15" style="4" customWidth="1"/>
    <col min="5" max="16384" width="9.140625" style="4"/>
  </cols>
  <sheetData>
    <row r="2" spans="1:12">
      <c r="B2" s="220" t="s">
        <v>1302</v>
      </c>
      <c r="C2" s="253">
        <f>RADIANS(160)</f>
        <v>2.7925268031909272</v>
      </c>
    </row>
    <row r="4" spans="1:12">
      <c r="B4" s="220" t="s">
        <v>1303</v>
      </c>
      <c r="C4" s="254">
        <f>FV(4%/12,6,-200,,1)</f>
        <v>1214.078037556166</v>
      </c>
    </row>
    <row r="6" spans="1:12">
      <c r="B6" s="220" t="s">
        <v>1304</v>
      </c>
      <c r="C6" s="4">
        <v>5</v>
      </c>
      <c r="D6" s="4">
        <v>8</v>
      </c>
    </row>
    <row r="7" spans="1:12">
      <c r="D7" s="4">
        <v>8</v>
      </c>
    </row>
    <row r="8" spans="1:12">
      <c r="D8" s="255">
        <f>(3*C6^3-9)/(4*D6^2+1)^(1/3)+4*D7</f>
        <v>89.566529002965922</v>
      </c>
      <c r="E8" s="256">
        <v>89567</v>
      </c>
    </row>
    <row r="10" spans="1:12">
      <c r="B10" s="220" t="s">
        <v>1305</v>
      </c>
      <c r="D10" s="257">
        <v>46981.5</v>
      </c>
    </row>
    <row r="12" spans="1:12">
      <c r="A12" s="220" t="s">
        <v>1306</v>
      </c>
      <c r="J12" s="220" t="s">
        <v>1307</v>
      </c>
    </row>
    <row r="14" spans="1:12">
      <c r="A14" s="258"/>
      <c r="B14" s="259" t="s">
        <v>1329</v>
      </c>
      <c r="C14" s="259" t="s">
        <v>1294</v>
      </c>
      <c r="D14" s="259" t="s">
        <v>1295</v>
      </c>
      <c r="E14" s="259" t="s">
        <v>1296</v>
      </c>
      <c r="J14" s="164" t="s">
        <v>1330</v>
      </c>
      <c r="K14" s="105"/>
      <c r="L14" s="105"/>
    </row>
    <row r="15" spans="1:12">
      <c r="A15" s="259" t="s">
        <v>1297</v>
      </c>
      <c r="B15" s="258">
        <v>10</v>
      </c>
      <c r="C15" s="258">
        <v>7</v>
      </c>
      <c r="D15" s="258">
        <v>8</v>
      </c>
      <c r="E15" s="258">
        <v>6</v>
      </c>
      <c r="J15" s="105"/>
      <c r="K15" s="105">
        <v>2</v>
      </c>
      <c r="L15" s="105">
        <v>3</v>
      </c>
    </row>
    <row r="16" spans="1:12">
      <c r="A16" s="259" t="s">
        <v>1328</v>
      </c>
      <c r="B16" s="258">
        <v>9</v>
      </c>
      <c r="C16" s="258">
        <v>8</v>
      </c>
      <c r="D16" s="258">
        <v>9</v>
      </c>
      <c r="E16" s="258">
        <v>7</v>
      </c>
      <c r="J16" s="105"/>
      <c r="K16" s="105">
        <v>3</v>
      </c>
      <c r="L16" s="105">
        <v>23</v>
      </c>
    </row>
    <row r="17" spans="1:18">
      <c r="A17" s="259" t="s">
        <v>1298</v>
      </c>
      <c r="B17" s="258">
        <v>8</v>
      </c>
      <c r="C17" s="258">
        <v>9</v>
      </c>
      <c r="D17" s="258">
        <v>10</v>
      </c>
      <c r="E17" s="258">
        <v>8</v>
      </c>
      <c r="J17" s="220" t="s">
        <v>619</v>
      </c>
      <c r="K17" s="4">
        <f>SUM(K15:K16)</f>
        <v>5</v>
      </c>
      <c r="L17" s="4">
        <f>SUM(L15:L16)</f>
        <v>26</v>
      </c>
    </row>
    <row r="18" spans="1:18">
      <c r="A18" s="259" t="s">
        <v>1299</v>
      </c>
      <c r="B18" s="258">
        <v>8</v>
      </c>
      <c r="C18" s="258">
        <v>10</v>
      </c>
      <c r="D18" s="258">
        <v>6</v>
      </c>
      <c r="E18" s="258">
        <v>9</v>
      </c>
    </row>
    <row r="19" spans="1:18">
      <c r="A19" s="259" t="s">
        <v>1300</v>
      </c>
      <c r="B19" s="258">
        <v>7</v>
      </c>
      <c r="C19" s="258">
        <v>6</v>
      </c>
      <c r="D19" s="258">
        <v>7</v>
      </c>
      <c r="E19" s="258">
        <v>10</v>
      </c>
    </row>
    <row r="20" spans="1:18">
      <c r="A20" s="259" t="s">
        <v>1301</v>
      </c>
      <c r="B20" s="258">
        <v>6</v>
      </c>
      <c r="C20" s="258">
        <v>7</v>
      </c>
      <c r="D20" s="258">
        <v>6</v>
      </c>
      <c r="E20" s="258">
        <v>10</v>
      </c>
    </row>
    <row r="22" spans="1:18">
      <c r="R22" s="105"/>
    </row>
    <row r="23" spans="1:18">
      <c r="A23" s="220" t="s">
        <v>1306</v>
      </c>
    </row>
    <row r="24" spans="1:18">
      <c r="A24" s="220" t="s">
        <v>1310</v>
      </c>
    </row>
    <row r="26" spans="1:18">
      <c r="A26" s="220" t="s">
        <v>1309</v>
      </c>
    </row>
    <row r="27" spans="1:18">
      <c r="B27" s="260">
        <v>9878.9869999999992</v>
      </c>
    </row>
    <row r="30" spans="1:18">
      <c r="D30" s="260">
        <v>9878.9869999999992</v>
      </c>
    </row>
    <row r="33" spans="1:5">
      <c r="A33" s="220" t="s">
        <v>1311</v>
      </c>
      <c r="B33" s="261">
        <f>PV(1%,12,-100,,1)</f>
        <v>1136.762824821948</v>
      </c>
    </row>
    <row r="35" spans="1:5">
      <c r="A35" s="220" t="s">
        <v>1312</v>
      </c>
      <c r="B35" s="254">
        <f>PMT(6%/12,18*12,-7000,30000,1)</f>
        <v>-24.256053730622682</v>
      </c>
    </row>
    <row r="37" spans="1:5">
      <c r="A37" s="220" t="s">
        <v>1313</v>
      </c>
      <c r="B37" s="262">
        <v>46981.33</v>
      </c>
    </row>
    <row r="39" spans="1:5">
      <c r="A39" s="220" t="s">
        <v>1314</v>
      </c>
      <c r="B39" s="254">
        <f>FV(5%,4,,-1000)</f>
        <v>1215.5062499999999</v>
      </c>
    </row>
    <row r="42" spans="1:5">
      <c r="A42" s="220" t="s">
        <v>1331</v>
      </c>
      <c r="B42" s="254">
        <f>PV(0.5%,12*5,,10000)</f>
        <v>-7413.7219624434711</v>
      </c>
    </row>
    <row r="44" spans="1:5">
      <c r="A44" s="220" t="s">
        <v>1315</v>
      </c>
      <c r="B44" s="254">
        <f>PV(1%,5*12,-100,10000,0)</f>
        <v>-1008.9923187551934</v>
      </c>
    </row>
    <row r="46" spans="1:5">
      <c r="A46" s="220" t="s">
        <v>1318</v>
      </c>
      <c r="B46" s="263">
        <f>RATE(12,-500,4000,,1)</f>
        <v>8.4073683577053582E-2</v>
      </c>
    </row>
    <row r="48" spans="1:5">
      <c r="A48" s="220" t="s">
        <v>1320</v>
      </c>
      <c r="B48" s="220" t="s">
        <v>1332</v>
      </c>
      <c r="C48" s="220" t="s">
        <v>1333</v>
      </c>
      <c r="D48" s="220" t="s">
        <v>1334</v>
      </c>
      <c r="E48" s="220" t="s">
        <v>1335</v>
      </c>
    </row>
    <row r="49" spans="1:5">
      <c r="B49" s="4">
        <v>5</v>
      </c>
      <c r="C49" s="4">
        <f>4*B$49-$E$49</f>
        <v>9</v>
      </c>
      <c r="D49" s="4" t="str">
        <f>IF(B$49&gt;C$49,"4",IF(B$49=C$49,"6","8"))</f>
        <v>8</v>
      </c>
      <c r="E49" s="4">
        <v>11</v>
      </c>
    </row>
    <row r="50" spans="1:5">
      <c r="B50" s="4">
        <v>6</v>
      </c>
      <c r="C50" s="4">
        <f>4*B$50-$E$49</f>
        <v>13</v>
      </c>
    </row>
    <row r="51" spans="1:5">
      <c r="B51" s="4">
        <v>7</v>
      </c>
      <c r="C51" s="4">
        <f>4*B$51-$E$49</f>
        <v>17</v>
      </c>
    </row>
    <row r="53" spans="1:5">
      <c r="A53" s="220" t="s">
        <v>1321</v>
      </c>
      <c r="B53" s="264">
        <v>17341</v>
      </c>
    </row>
    <row r="56" spans="1:5">
      <c r="A56" s="220" t="s">
        <v>1302</v>
      </c>
      <c r="B56" s="253">
        <f>RADIANS(160)</f>
        <v>2.7925268031909272</v>
      </c>
    </row>
    <row r="58" spans="1:5">
      <c r="A58" s="220" t="s">
        <v>1303</v>
      </c>
      <c r="B58" s="254">
        <f>FV(4%,6,-200,,1)</f>
        <v>1379.658896179202</v>
      </c>
    </row>
    <row r="60" spans="1:5">
      <c r="A60" s="220" t="s">
        <v>1304</v>
      </c>
      <c r="B60" s="4">
        <v>5</v>
      </c>
      <c r="C60" s="4">
        <v>8</v>
      </c>
    </row>
    <row r="61" spans="1:5">
      <c r="C61" s="4">
        <v>8</v>
      </c>
    </row>
    <row r="62" spans="1:5">
      <c r="C62" s="265">
        <f>(3*B60^3-9)/(4*C60^2+1)^(1/3)+4*C61</f>
        <v>89.566529002965922</v>
      </c>
    </row>
    <row r="64" spans="1:5">
      <c r="A64" s="220" t="s">
        <v>1305</v>
      </c>
      <c r="B64" s="4">
        <v>5</v>
      </c>
      <c r="C64" s="4">
        <v>8</v>
      </c>
    </row>
    <row r="65" spans="1:5">
      <c r="C65" s="4">
        <v>2</v>
      </c>
    </row>
    <row r="66" spans="1:5">
      <c r="C66" s="265">
        <f>(3*B64^3-9)/(4*C64^2+1)^(1/3)+4*C65</f>
        <v>65.566529002965922</v>
      </c>
    </row>
    <row r="67" spans="1:5">
      <c r="A67" s="220" t="s">
        <v>1306</v>
      </c>
      <c r="B67" s="4">
        <v>5</v>
      </c>
      <c r="C67" s="4">
        <v>8</v>
      </c>
    </row>
    <row r="68" spans="1:5">
      <c r="C68" s="4">
        <v>3.3</v>
      </c>
    </row>
    <row r="69" spans="1:5">
      <c r="C69" s="265">
        <f>(3*B67^3-9)/(4*C67^2+1)^(1/3)+4*C68</f>
        <v>70.766529002965925</v>
      </c>
    </row>
    <row r="71" spans="1:5">
      <c r="A71" s="220" t="s">
        <v>1307</v>
      </c>
      <c r="C71" s="257">
        <v>46981.5</v>
      </c>
    </row>
    <row r="73" spans="1:5">
      <c r="A73" s="220" t="s">
        <v>1308</v>
      </c>
      <c r="B73" s="4">
        <v>5</v>
      </c>
      <c r="C73" s="4">
        <v>8</v>
      </c>
    </row>
    <row r="74" spans="1:5">
      <c r="C74" s="4">
        <v>8.1</v>
      </c>
    </row>
    <row r="75" spans="1:5">
      <c r="C75" s="265">
        <f>(3*B73^3-9)/(4*C73^2+1)^(1/3)+4*C74</f>
        <v>89.966529002965927</v>
      </c>
    </row>
    <row r="77" spans="1:5">
      <c r="A77" s="4">
        <v>8</v>
      </c>
      <c r="B77" s="220" t="s">
        <v>1293</v>
      </c>
      <c r="C77" s="220" t="s">
        <v>1294</v>
      </c>
      <c r="D77" s="220" t="s">
        <v>1295</v>
      </c>
      <c r="E77" s="220" t="s">
        <v>1296</v>
      </c>
    </row>
    <row r="78" spans="1:5">
      <c r="A78" s="220" t="s">
        <v>1336</v>
      </c>
      <c r="B78" s="4">
        <v>10</v>
      </c>
      <c r="C78" s="4">
        <v>7</v>
      </c>
      <c r="D78" s="4">
        <v>8</v>
      </c>
      <c r="E78" s="4">
        <v>6</v>
      </c>
    </row>
    <row r="79" spans="1:5">
      <c r="A79" s="220" t="s">
        <v>1328</v>
      </c>
      <c r="B79" s="4">
        <v>9</v>
      </c>
      <c r="C79" s="4">
        <v>8</v>
      </c>
      <c r="D79" s="4">
        <v>9</v>
      </c>
      <c r="E79" s="4">
        <v>7</v>
      </c>
    </row>
    <row r="80" spans="1:5">
      <c r="A80" s="220" t="s">
        <v>1298</v>
      </c>
      <c r="B80" s="4">
        <v>8</v>
      </c>
      <c r="C80" s="4">
        <v>9</v>
      </c>
      <c r="D80" s="4">
        <v>10</v>
      </c>
      <c r="E80" s="4">
        <v>8</v>
      </c>
    </row>
    <row r="81" spans="1:5">
      <c r="A81" s="220" t="s">
        <v>1299</v>
      </c>
      <c r="B81" s="4">
        <v>8</v>
      </c>
      <c r="C81" s="4">
        <v>10</v>
      </c>
      <c r="D81" s="4">
        <v>6</v>
      </c>
      <c r="E81" s="4">
        <v>9</v>
      </c>
    </row>
    <row r="82" spans="1:5">
      <c r="A82" s="220" t="s">
        <v>1300</v>
      </c>
      <c r="B82" s="4">
        <v>7</v>
      </c>
      <c r="C82" s="4">
        <v>6</v>
      </c>
      <c r="D82" s="4">
        <v>7</v>
      </c>
      <c r="E82" s="4">
        <v>10</v>
      </c>
    </row>
    <row r="83" spans="1:5">
      <c r="A83" s="220" t="s">
        <v>1301</v>
      </c>
      <c r="B83" s="4">
        <v>6</v>
      </c>
      <c r="C83" s="4">
        <v>7</v>
      </c>
      <c r="D83" s="4">
        <v>6</v>
      </c>
      <c r="E83" s="4">
        <v>10</v>
      </c>
    </row>
    <row r="86" spans="1:5">
      <c r="A86" s="220" t="s">
        <v>1311</v>
      </c>
      <c r="B86" s="220" t="s">
        <v>1310</v>
      </c>
    </row>
    <row r="88" spans="1:5">
      <c r="A88" s="220" t="s">
        <v>1312</v>
      </c>
      <c r="B88" s="266">
        <v>9878.9869999999992</v>
      </c>
    </row>
    <row r="90" spans="1:5">
      <c r="A90" s="220" t="s">
        <v>1313</v>
      </c>
      <c r="C90" s="4">
        <v>5</v>
      </c>
      <c r="D90" s="4">
        <v>8</v>
      </c>
    </row>
    <row r="91" spans="1:5">
      <c r="D91" s="4">
        <v>3.7</v>
      </c>
    </row>
    <row r="92" spans="1:5">
      <c r="D92" s="265">
        <f>(3*C90^3-9)/(4*D90^2+1)^(1/3)+4*D91</f>
        <v>72.366529002965919</v>
      </c>
    </row>
    <row r="93" spans="1:5">
      <c r="A93" s="220" t="s">
        <v>1314</v>
      </c>
      <c r="B93" s="254">
        <f>PV(1%,12,-100,,1)</f>
        <v>1136.762824821948</v>
      </c>
    </row>
    <row r="96" spans="1:5">
      <c r="A96" s="220" t="s">
        <v>1331</v>
      </c>
      <c r="B96" s="254">
        <f>PMT(6%/12,18*12,-7000,30000,1)</f>
        <v>-24.256053730622682</v>
      </c>
    </row>
    <row r="99" spans="1:12">
      <c r="A99" s="220" t="s">
        <v>1315</v>
      </c>
      <c r="B99" s="254">
        <f>FV(5%,4,,-1000)</f>
        <v>1215.5062499999999</v>
      </c>
    </row>
    <row r="101" spans="1:12">
      <c r="A101" s="4">
        <v>15</v>
      </c>
      <c r="B101" s="254">
        <f>PV(0.5%,5*12,,10000)</f>
        <v>-7413.7219624434711</v>
      </c>
    </row>
    <row r="103" spans="1:12">
      <c r="A103" s="220" t="s">
        <v>1320</v>
      </c>
      <c r="B103" s="263">
        <f>RATE(12,-500,4000,,1)</f>
        <v>8.4073683577053582E-2</v>
      </c>
    </row>
    <row r="106" spans="1:12">
      <c r="A106" s="4">
        <v>17</v>
      </c>
      <c r="B106" s="220" t="s">
        <v>1332</v>
      </c>
      <c r="C106" s="220" t="s">
        <v>1333</v>
      </c>
      <c r="D106" s="220" t="s">
        <v>1334</v>
      </c>
      <c r="E106" s="220" t="s">
        <v>1335</v>
      </c>
      <c r="I106" s="220"/>
      <c r="J106" s="220"/>
      <c r="K106" s="220"/>
      <c r="L106" s="220"/>
    </row>
    <row r="107" spans="1:12">
      <c r="B107" s="4">
        <v>5</v>
      </c>
      <c r="C107" s="4">
        <f>4*B$107-E$107</f>
        <v>9</v>
      </c>
      <c r="D107" s="4" t="str">
        <f>IF(B$107&gt;C$107,"4",IF(B$107=C$107,"6","8"))</f>
        <v>8</v>
      </c>
      <c r="E107" s="4">
        <v>11</v>
      </c>
    </row>
    <row r="108" spans="1:12">
      <c r="B108" s="4">
        <v>6</v>
      </c>
      <c r="C108" s="4">
        <f>4*B$108-E$107</f>
        <v>13</v>
      </c>
    </row>
    <row r="109" spans="1:12">
      <c r="B109" s="4">
        <v>7</v>
      </c>
      <c r="C109" s="4">
        <f>4*B$109-E$107</f>
        <v>17</v>
      </c>
    </row>
  </sheetData>
  <sortState xmlns:xlrd2="http://schemas.microsoft.com/office/spreadsheetml/2017/richdata2" ref="B78:B83">
    <sortCondition descending="1" ref="B77:B83"/>
  </sortState>
  <phoneticPr fontId="5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106"/>
  <sheetViews>
    <sheetView topLeftCell="A25" workbookViewId="0">
      <selection activeCell="C113" sqref="C113"/>
    </sheetView>
  </sheetViews>
  <sheetFormatPr defaultRowHeight="12.75"/>
  <cols>
    <col min="4" max="4" width="9.85546875" bestFit="1" customWidth="1"/>
  </cols>
  <sheetData>
    <row r="1" spans="1:7">
      <c r="A1" s="54" t="s">
        <v>309</v>
      </c>
    </row>
    <row r="2" spans="1:7">
      <c r="A2" s="50" t="s">
        <v>310</v>
      </c>
      <c r="C2" s="50"/>
    </row>
    <row r="3" spans="1:7">
      <c r="A3" s="50" t="s">
        <v>311</v>
      </c>
    </row>
    <row r="4" spans="1:7">
      <c r="A4" s="50"/>
    </row>
    <row r="5" spans="1:7">
      <c r="A5" s="54" t="s">
        <v>885</v>
      </c>
    </row>
    <row r="6" spans="1:7">
      <c r="A6" s="50" t="s">
        <v>706</v>
      </c>
      <c r="B6" s="50"/>
      <c r="C6" s="50"/>
    </row>
    <row r="7" spans="1:7">
      <c r="A7" s="50" t="s">
        <v>716</v>
      </c>
      <c r="B7" s="50"/>
      <c r="C7" s="50"/>
      <c r="F7" s="108" t="s">
        <v>887</v>
      </c>
    </row>
    <row r="8" spans="1:7">
      <c r="A8" s="50"/>
      <c r="B8" s="50" t="s">
        <v>888</v>
      </c>
      <c r="F8" s="108" t="s">
        <v>886</v>
      </c>
    </row>
    <row r="9" spans="1:7">
      <c r="A9" s="50"/>
      <c r="B9" s="50"/>
      <c r="F9" s="108"/>
    </row>
    <row r="10" spans="1:7">
      <c r="A10" s="54" t="s">
        <v>394</v>
      </c>
      <c r="B10" s="50"/>
      <c r="C10" s="50"/>
    </row>
    <row r="11" spans="1:7">
      <c r="A11" s="50" t="s">
        <v>395</v>
      </c>
      <c r="B11" s="50"/>
      <c r="C11" s="50"/>
    </row>
    <row r="12" spans="1:7">
      <c r="A12" s="50" t="s">
        <v>889</v>
      </c>
      <c r="B12" s="50"/>
      <c r="C12" s="50"/>
    </row>
    <row r="13" spans="1:7">
      <c r="A13" s="108" t="s">
        <v>892</v>
      </c>
      <c r="B13" s="50"/>
      <c r="C13" s="50"/>
      <c r="G13" s="108"/>
    </row>
    <row r="14" spans="1:7">
      <c r="B14" s="50"/>
      <c r="C14" s="114"/>
    </row>
    <row r="15" spans="1:7">
      <c r="A15" s="54" t="s">
        <v>314</v>
      </c>
      <c r="B15" s="50"/>
      <c r="C15" s="50"/>
    </row>
    <row r="16" spans="1:7">
      <c r="A16" s="50" t="s">
        <v>396</v>
      </c>
      <c r="B16" s="50"/>
      <c r="C16" s="50"/>
    </row>
    <row r="17" spans="1:6">
      <c r="A17" s="50" t="s">
        <v>776</v>
      </c>
      <c r="B17" s="50"/>
      <c r="C17" s="50"/>
      <c r="F17" s="108" t="s">
        <v>890</v>
      </c>
    </row>
    <row r="18" spans="1:6">
      <c r="A18" s="50" t="s">
        <v>392</v>
      </c>
      <c r="B18" s="50"/>
      <c r="C18" s="50"/>
      <c r="E18" s="108" t="s">
        <v>891</v>
      </c>
    </row>
    <row r="19" spans="1:6">
      <c r="A19" s="50" t="s">
        <v>715</v>
      </c>
      <c r="B19" s="50"/>
      <c r="C19" s="50"/>
      <c r="E19" s="108" t="s">
        <v>891</v>
      </c>
    </row>
    <row r="20" spans="1:6">
      <c r="A20" s="84" t="s">
        <v>400</v>
      </c>
    </row>
    <row r="21" spans="1:6">
      <c r="A21" t="s">
        <v>694</v>
      </c>
    </row>
    <row r="22" spans="1:6">
      <c r="A22" t="s">
        <v>695</v>
      </c>
    </row>
    <row r="23" spans="1:6">
      <c r="A23" t="s">
        <v>696</v>
      </c>
    </row>
    <row r="24" spans="1:6">
      <c r="A24" t="s">
        <v>697</v>
      </c>
    </row>
    <row r="25" spans="1:6">
      <c r="A25" t="s">
        <v>698</v>
      </c>
    </row>
    <row r="26" spans="1:6">
      <c r="A26" t="s">
        <v>696</v>
      </c>
    </row>
    <row r="28" spans="1:6">
      <c r="A28" s="54" t="s">
        <v>642</v>
      </c>
    </row>
    <row r="29" spans="1:6">
      <c r="A29" s="50" t="s">
        <v>397</v>
      </c>
    </row>
    <row r="30" spans="1:6">
      <c r="A30" s="50" t="s">
        <v>312</v>
      </c>
    </row>
    <row r="31" spans="1:6">
      <c r="A31" s="50" t="s">
        <v>777</v>
      </c>
    </row>
    <row r="32" spans="1:6">
      <c r="A32" s="54" t="s">
        <v>643</v>
      </c>
    </row>
    <row r="33" spans="1:1">
      <c r="A33" s="50" t="s">
        <v>778</v>
      </c>
    </row>
    <row r="34" spans="1:1">
      <c r="A34" s="50" t="s">
        <v>705</v>
      </c>
    </row>
    <row r="36" spans="1:1">
      <c r="A36" s="84" t="s">
        <v>400</v>
      </c>
    </row>
    <row r="37" spans="1:1">
      <c r="A37" s="51" t="s">
        <v>398</v>
      </c>
    </row>
    <row r="38" spans="1:1">
      <c r="A38" s="51" t="s">
        <v>699</v>
      </c>
    </row>
    <row r="39" spans="1:1">
      <c r="A39" t="s">
        <v>700</v>
      </c>
    </row>
    <row r="40" spans="1:1">
      <c r="A40" t="s">
        <v>701</v>
      </c>
    </row>
    <row r="41" spans="1:1">
      <c r="A41" t="s">
        <v>702</v>
      </c>
    </row>
    <row r="42" spans="1:1">
      <c r="A42" t="s">
        <v>399</v>
      </c>
    </row>
    <row r="43" spans="1:1">
      <c r="A43" t="s">
        <v>703</v>
      </c>
    </row>
    <row r="44" spans="1:1">
      <c r="A44" t="s">
        <v>704</v>
      </c>
    </row>
    <row r="46" spans="1:1">
      <c r="A46" s="54" t="s">
        <v>313</v>
      </c>
    </row>
    <row r="47" spans="1:1">
      <c r="A47" s="50" t="s">
        <v>706</v>
      </c>
    </row>
    <row r="48" spans="1:1">
      <c r="A48" s="50" t="s">
        <v>707</v>
      </c>
    </row>
    <row r="49" spans="1:3">
      <c r="A49" s="50" t="s">
        <v>898</v>
      </c>
    </row>
    <row r="50" spans="1:3">
      <c r="A50" s="50" t="s">
        <v>779</v>
      </c>
    </row>
    <row r="54" spans="1:3">
      <c r="A54" s="51" t="s">
        <v>708</v>
      </c>
    </row>
    <row r="55" spans="1:3">
      <c r="A55" t="s">
        <v>709</v>
      </c>
    </row>
    <row r="56" spans="1:3">
      <c r="A56" t="s">
        <v>710</v>
      </c>
    </row>
    <row r="57" spans="1:3">
      <c r="A57" t="s">
        <v>711</v>
      </c>
    </row>
    <row r="58" spans="1:3">
      <c r="A58" t="s">
        <v>712</v>
      </c>
    </row>
    <row r="59" spans="1:3">
      <c r="A59" t="s">
        <v>713</v>
      </c>
    </row>
    <row r="60" spans="1:3">
      <c r="A60" t="s">
        <v>714</v>
      </c>
    </row>
    <row r="61" spans="1:3">
      <c r="A61" s="50"/>
      <c r="B61" s="50"/>
      <c r="C61" s="50"/>
    </row>
    <row r="62" spans="1:3">
      <c r="A62" s="54" t="s">
        <v>315</v>
      </c>
      <c r="B62" s="50"/>
      <c r="C62" s="50"/>
    </row>
    <row r="63" spans="1:3">
      <c r="A63" s="50" t="s">
        <v>780</v>
      </c>
      <c r="B63" s="50"/>
      <c r="C63" s="50" t="s">
        <v>316</v>
      </c>
    </row>
    <row r="64" spans="1:3">
      <c r="A64" s="50" t="s">
        <v>781</v>
      </c>
      <c r="B64" s="50"/>
      <c r="C64" s="50"/>
    </row>
    <row r="65" spans="1:5">
      <c r="B65" s="50"/>
      <c r="C65" s="50"/>
    </row>
    <row r="66" spans="1:5">
      <c r="A66" s="51" t="s">
        <v>721</v>
      </c>
    </row>
    <row r="67" spans="1:5">
      <c r="A67" t="s">
        <v>393</v>
      </c>
      <c r="B67" s="50"/>
      <c r="C67" s="50"/>
    </row>
    <row r="68" spans="1:5">
      <c r="B68" s="50"/>
      <c r="C68" s="50"/>
    </row>
    <row r="69" spans="1:5">
      <c r="A69" s="84" t="s">
        <v>317</v>
      </c>
      <c r="B69" s="50"/>
      <c r="C69" s="50"/>
    </row>
    <row r="70" spans="1:5">
      <c r="A70" s="50" t="s">
        <v>782</v>
      </c>
      <c r="B70" s="50"/>
      <c r="C70" s="50"/>
    </row>
    <row r="71" spans="1:5">
      <c r="A71" s="50" t="s">
        <v>784</v>
      </c>
      <c r="B71" s="50"/>
      <c r="C71" s="50"/>
    </row>
    <row r="72" spans="1:5">
      <c r="A72" s="50" t="s">
        <v>783</v>
      </c>
      <c r="B72" s="50"/>
      <c r="C72" s="50"/>
    </row>
    <row r="73" spans="1:5">
      <c r="B73" s="50"/>
      <c r="C73" s="50"/>
    </row>
    <row r="74" spans="1:5">
      <c r="A74" s="54" t="s">
        <v>318</v>
      </c>
      <c r="E74" s="108"/>
    </row>
    <row r="75" spans="1:5">
      <c r="A75" s="50" t="s">
        <v>893</v>
      </c>
    </row>
    <row r="76" spans="1:5">
      <c r="A76" s="50" t="s">
        <v>717</v>
      </c>
    </row>
    <row r="77" spans="1:5">
      <c r="A77" s="50" t="s">
        <v>718</v>
      </c>
    </row>
    <row r="78" spans="1:5">
      <c r="A78" s="50" t="s">
        <v>719</v>
      </c>
    </row>
    <row r="79" spans="1:5">
      <c r="A79" s="50" t="s">
        <v>894</v>
      </c>
    </row>
    <row r="80" spans="1:5">
      <c r="A80" s="50" t="s">
        <v>720</v>
      </c>
    </row>
    <row r="81" spans="1:1">
      <c r="A81" s="50"/>
    </row>
    <row r="83" spans="1:1">
      <c r="A83" s="108" t="s">
        <v>895</v>
      </c>
    </row>
    <row r="84" spans="1:1">
      <c r="A84" t="s">
        <v>899</v>
      </c>
    </row>
    <row r="85" spans="1:1">
      <c r="A85" t="s">
        <v>883</v>
      </c>
    </row>
    <row r="87" spans="1:1">
      <c r="A87" s="108" t="s">
        <v>896</v>
      </c>
    </row>
    <row r="88" spans="1:1">
      <c r="A88" s="108" t="s">
        <v>897</v>
      </c>
    </row>
    <row r="89" spans="1:1">
      <c r="A89" s="108" t="s">
        <v>884</v>
      </c>
    </row>
    <row r="90" spans="1:1">
      <c r="A90" s="50"/>
    </row>
    <row r="92" spans="1:1">
      <c r="A92" t="s">
        <v>722</v>
      </c>
    </row>
    <row r="93" spans="1:1">
      <c r="A93" t="s">
        <v>724</v>
      </c>
    </row>
    <row r="94" spans="1:1">
      <c r="A94" t="s">
        <v>723</v>
      </c>
    </row>
    <row r="96" spans="1:1">
      <c r="A96" s="54" t="s">
        <v>319</v>
      </c>
    </row>
    <row r="97" spans="1:6">
      <c r="A97" s="51" t="s">
        <v>729</v>
      </c>
      <c r="B97" s="50"/>
      <c r="C97" s="50"/>
    </row>
    <row r="98" spans="1:6">
      <c r="A98" s="50" t="s">
        <v>900</v>
      </c>
      <c r="B98" s="50"/>
      <c r="C98" s="50"/>
    </row>
    <row r="99" spans="1:6">
      <c r="A99" s="50" t="s">
        <v>901</v>
      </c>
      <c r="B99" s="50"/>
      <c r="C99" s="50"/>
    </row>
    <row r="100" spans="1:6">
      <c r="A100" s="50"/>
      <c r="B100" s="50"/>
      <c r="C100" s="50"/>
    </row>
    <row r="101" spans="1:6">
      <c r="A101" t="s">
        <v>401</v>
      </c>
      <c r="E101" s="28"/>
      <c r="F101" s="40" t="s">
        <v>320</v>
      </c>
    </row>
    <row r="102" spans="1:6">
      <c r="A102" t="s">
        <v>402</v>
      </c>
      <c r="E102" s="28" t="s">
        <v>725</v>
      </c>
      <c r="F102" s="28">
        <v>345</v>
      </c>
    </row>
    <row r="103" spans="1:6">
      <c r="E103" s="28" t="s">
        <v>726</v>
      </c>
      <c r="F103" s="28">
        <v>23</v>
      </c>
    </row>
    <row r="104" spans="1:6">
      <c r="E104" s="28" t="s">
        <v>727</v>
      </c>
      <c r="F104" s="28">
        <v>34</v>
      </c>
    </row>
    <row r="105" spans="1:6">
      <c r="E105" s="28" t="s">
        <v>728</v>
      </c>
      <c r="F105" s="28">
        <v>57</v>
      </c>
    </row>
    <row r="106" spans="1:6">
      <c r="E106" s="53" t="s">
        <v>321</v>
      </c>
      <c r="F106" s="28">
        <f>SUM(F102:F105)</f>
        <v>459</v>
      </c>
    </row>
  </sheetData>
  <phoneticPr fontId="0" type="noConversion"/>
  <printOptions headings="1" gridLines="1"/>
  <pageMargins left="0.75" right="0.75" top="1" bottom="1" header="0.5" footer="0.5"/>
  <pageSetup orientation="portrait" horizontalDpi="300" verticalDpi="300" r:id="rId1"/>
  <headerFooter alignWithMargins="0">
    <oddHeader>&amp;LVježba 2&amp;R&amp;P</oddHead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S188"/>
  <sheetViews>
    <sheetView topLeftCell="A145" zoomScale="136" zoomScaleNormal="136" workbookViewId="0">
      <selection activeCell="R158" sqref="R158"/>
    </sheetView>
  </sheetViews>
  <sheetFormatPr defaultRowHeight="12.75"/>
  <cols>
    <col min="1" max="1" width="9.140625" style="4"/>
    <col min="2" max="2" width="12.7109375" style="4" customWidth="1"/>
    <col min="3" max="3" width="10" style="4" customWidth="1"/>
    <col min="4" max="5" width="9.140625" style="4"/>
    <col min="6" max="6" width="10.28515625" style="4" customWidth="1"/>
    <col min="7" max="7" width="9.140625" style="4"/>
    <col min="8" max="8" width="10.140625" style="4" customWidth="1"/>
    <col min="9" max="16384" width="9.140625" style="4"/>
  </cols>
  <sheetData>
    <row r="2" spans="1:7" ht="18">
      <c r="A2" s="216" t="s">
        <v>730</v>
      </c>
    </row>
    <row r="3" spans="1:7">
      <c r="C3" s="217" t="s">
        <v>322</v>
      </c>
      <c r="D3" s="217" t="s">
        <v>323</v>
      </c>
      <c r="E3" s="217" t="s">
        <v>324</v>
      </c>
      <c r="F3" s="218" t="s">
        <v>731</v>
      </c>
      <c r="G3" s="218" t="s">
        <v>325</v>
      </c>
    </row>
    <row r="4" spans="1:7">
      <c r="C4" s="217" t="s">
        <v>326</v>
      </c>
      <c r="D4" s="217" t="s">
        <v>327</v>
      </c>
      <c r="E4" s="217" t="s">
        <v>328</v>
      </c>
    </row>
    <row r="5" spans="1:7">
      <c r="C5" s="217" t="s">
        <v>329</v>
      </c>
      <c r="D5" s="217" t="s">
        <v>330</v>
      </c>
      <c r="E5" s="217" t="s">
        <v>331</v>
      </c>
    </row>
    <row r="8" spans="1:7">
      <c r="A8" s="219" t="s">
        <v>407</v>
      </c>
    </row>
    <row r="9" spans="1:7">
      <c r="A9" s="218" t="s">
        <v>732</v>
      </c>
      <c r="B9" s="218"/>
      <c r="C9" s="218"/>
      <c r="D9" s="218"/>
      <c r="E9" s="218"/>
    </row>
    <row r="10" spans="1:7">
      <c r="A10" s="218" t="s">
        <v>733</v>
      </c>
      <c r="B10" s="218"/>
      <c r="C10" s="218" t="s">
        <v>902</v>
      </c>
      <c r="D10" s="218"/>
      <c r="E10" s="218"/>
    </row>
    <row r="12" spans="1:7">
      <c r="A12" s="219" t="s">
        <v>403</v>
      </c>
    </row>
    <row r="14" spans="1:7">
      <c r="A14" s="219" t="s">
        <v>406</v>
      </c>
    </row>
    <row r="15" spans="1:7">
      <c r="A15" s="218" t="s">
        <v>734</v>
      </c>
    </row>
    <row r="16" spans="1:7">
      <c r="A16" s="218" t="s">
        <v>735</v>
      </c>
    </row>
    <row r="18" spans="1:1">
      <c r="A18" s="219" t="s">
        <v>404</v>
      </c>
    </row>
    <row r="20" spans="1:1">
      <c r="A20" s="219" t="s">
        <v>405</v>
      </c>
    </row>
    <row r="21" spans="1:1">
      <c r="A21" s="218" t="s">
        <v>736</v>
      </c>
    </row>
    <row r="22" spans="1:1">
      <c r="A22" s="218" t="s">
        <v>737</v>
      </c>
    </row>
    <row r="23" spans="1:1">
      <c r="A23" s="218"/>
    </row>
    <row r="24" spans="1:1">
      <c r="A24" s="219" t="s">
        <v>408</v>
      </c>
    </row>
    <row r="25" spans="1:1">
      <c r="A25" s="218"/>
    </row>
    <row r="26" spans="1:1">
      <c r="A26" s="219" t="s">
        <v>410</v>
      </c>
    </row>
    <row r="27" spans="1:1">
      <c r="A27" s="218" t="s">
        <v>409</v>
      </c>
    </row>
    <row r="28" spans="1:1">
      <c r="A28" s="219" t="s">
        <v>411</v>
      </c>
    </row>
    <row r="30" spans="1:1">
      <c r="A30" s="219" t="s">
        <v>738</v>
      </c>
    </row>
    <row r="31" spans="1:1">
      <c r="A31" s="218" t="s">
        <v>739</v>
      </c>
    </row>
    <row r="32" spans="1:1">
      <c r="A32" s="218" t="s">
        <v>740</v>
      </c>
    </row>
    <row r="33" spans="1:9">
      <c r="A33" s="218" t="s">
        <v>741</v>
      </c>
    </row>
    <row r="35" spans="1:9">
      <c r="A35" s="219" t="s">
        <v>742</v>
      </c>
    </row>
    <row r="36" spans="1:9">
      <c r="A36" s="218" t="s">
        <v>743</v>
      </c>
    </row>
    <row r="37" spans="1:9">
      <c r="A37" s="218" t="s">
        <v>35</v>
      </c>
    </row>
    <row r="39" spans="1:9">
      <c r="A39" s="4" t="s">
        <v>332</v>
      </c>
    </row>
    <row r="40" spans="1:9">
      <c r="A40" s="4" t="s">
        <v>333</v>
      </c>
    </row>
    <row r="41" spans="1:9">
      <c r="A41" s="4" t="s">
        <v>334</v>
      </c>
    </row>
    <row r="42" spans="1:9">
      <c r="A42" s="4" t="s">
        <v>335</v>
      </c>
    </row>
    <row r="44" spans="1:9">
      <c r="A44" s="219" t="s">
        <v>786</v>
      </c>
      <c r="F44" s="218"/>
    </row>
    <row r="45" spans="1:9">
      <c r="E45" s="218" t="s">
        <v>336</v>
      </c>
    </row>
    <row r="46" spans="1:9">
      <c r="E46" s="218" t="s">
        <v>337</v>
      </c>
      <c r="F46" s="218" t="s">
        <v>36</v>
      </c>
      <c r="I46" s="220"/>
    </row>
    <row r="47" spans="1:9">
      <c r="E47" s="218" t="s">
        <v>785</v>
      </c>
    </row>
    <row r="49" spans="1:18">
      <c r="A49" s="219" t="s">
        <v>787</v>
      </c>
      <c r="C49" s="218"/>
      <c r="D49" s="218"/>
    </row>
    <row r="50" spans="1:18">
      <c r="C50" s="218"/>
      <c r="E50" s="218" t="s">
        <v>338</v>
      </c>
    </row>
    <row r="51" spans="1:18">
      <c r="C51" s="218"/>
      <c r="E51" s="218" t="s">
        <v>339</v>
      </c>
    </row>
    <row r="52" spans="1:18">
      <c r="C52" s="218"/>
      <c r="E52" s="218" t="s">
        <v>340</v>
      </c>
    </row>
    <row r="53" spans="1:18">
      <c r="C53" s="218"/>
      <c r="D53" s="218"/>
    </row>
    <row r="55" spans="1:18">
      <c r="A55" s="219" t="s">
        <v>412</v>
      </c>
    </row>
    <row r="57" spans="1:18" ht="15">
      <c r="B57" s="221" t="s">
        <v>341</v>
      </c>
      <c r="C57" s="221" t="s">
        <v>342</v>
      </c>
      <c r="D57" s="221" t="s">
        <v>343</v>
      </c>
      <c r="E57" s="221" t="s">
        <v>344</v>
      </c>
      <c r="J57" s="222" t="s">
        <v>341</v>
      </c>
      <c r="K57" s="222" t="s">
        <v>342</v>
      </c>
      <c r="L57" s="222" t="s">
        <v>343</v>
      </c>
      <c r="M57" s="222" t="s">
        <v>344</v>
      </c>
      <c r="O57" s="223" t="s">
        <v>341</v>
      </c>
      <c r="P57" s="223" t="s">
        <v>342</v>
      </c>
      <c r="Q57" s="223" t="s">
        <v>343</v>
      </c>
      <c r="R57" s="223" t="s">
        <v>344</v>
      </c>
    </row>
    <row r="58" spans="1:18" ht="15">
      <c r="B58" s="224" t="s">
        <v>345</v>
      </c>
      <c r="C58" s="224">
        <v>54</v>
      </c>
      <c r="D58" s="224">
        <v>3</v>
      </c>
      <c r="E58" s="224">
        <f>C58*D58</f>
        <v>162</v>
      </c>
      <c r="J58" s="225" t="s">
        <v>345</v>
      </c>
      <c r="K58" s="226">
        <v>54</v>
      </c>
      <c r="L58" s="226">
        <v>3</v>
      </c>
      <c r="M58" s="227">
        <f>K58*L58</f>
        <v>162</v>
      </c>
      <c r="O58" s="228" t="s">
        <v>345</v>
      </c>
      <c r="P58" s="228">
        <v>54</v>
      </c>
      <c r="Q58" s="228">
        <v>3</v>
      </c>
      <c r="R58" s="228">
        <v>162</v>
      </c>
    </row>
    <row r="59" spans="1:18" ht="15">
      <c r="B59" s="224" t="s">
        <v>346</v>
      </c>
      <c r="C59" s="224">
        <v>23</v>
      </c>
      <c r="D59" s="224">
        <v>5</v>
      </c>
      <c r="E59" s="224">
        <f>C59*D59</f>
        <v>115</v>
      </c>
      <c r="J59" s="225" t="s">
        <v>346</v>
      </c>
      <c r="K59" s="226">
        <v>23</v>
      </c>
      <c r="L59" s="226">
        <v>4</v>
      </c>
      <c r="M59" s="227">
        <f>K59*L59</f>
        <v>92</v>
      </c>
      <c r="O59" s="228" t="s">
        <v>346</v>
      </c>
      <c r="P59" s="228">
        <v>18</v>
      </c>
      <c r="Q59" s="228">
        <v>115</v>
      </c>
    </row>
    <row r="60" spans="1:18" ht="15">
      <c r="B60" s="224" t="s">
        <v>347</v>
      </c>
      <c r="C60" s="224">
        <v>18</v>
      </c>
      <c r="D60" s="224">
        <v>7</v>
      </c>
      <c r="E60" s="224">
        <f>C60*D60</f>
        <v>126</v>
      </c>
      <c r="J60" s="225" t="s">
        <v>347</v>
      </c>
      <c r="K60" s="226">
        <v>18</v>
      </c>
      <c r="L60" s="226">
        <v>7</v>
      </c>
      <c r="M60" s="227">
        <f>K60*L60</f>
        <v>126</v>
      </c>
      <c r="O60" s="228" t="s">
        <v>347</v>
      </c>
      <c r="P60" s="228">
        <v>27</v>
      </c>
      <c r="Q60" s="228">
        <v>7</v>
      </c>
      <c r="R60" s="228">
        <v>126</v>
      </c>
    </row>
    <row r="61" spans="1:18" ht="15">
      <c r="B61" s="224" t="s">
        <v>37</v>
      </c>
      <c r="C61" s="224">
        <v>27</v>
      </c>
      <c r="D61" s="224">
        <v>6</v>
      </c>
      <c r="E61" s="224">
        <f>C61*D61</f>
        <v>162</v>
      </c>
      <c r="J61" s="225" t="s">
        <v>37</v>
      </c>
      <c r="K61" s="226">
        <v>27</v>
      </c>
      <c r="L61" s="226">
        <v>6</v>
      </c>
      <c r="M61" s="227">
        <f>K61*L61</f>
        <v>162</v>
      </c>
      <c r="O61" s="228" t="s">
        <v>37</v>
      </c>
      <c r="Q61" s="228">
        <v>6</v>
      </c>
      <c r="R61" s="228">
        <v>162</v>
      </c>
    </row>
    <row r="63" spans="1:18">
      <c r="A63" s="4" t="s">
        <v>38</v>
      </c>
    </row>
    <row r="64" spans="1:18">
      <c r="A64" s="4" t="s">
        <v>39</v>
      </c>
    </row>
    <row r="65" spans="1:16">
      <c r="A65" s="4" t="s">
        <v>40</v>
      </c>
    </row>
    <row r="66" spans="1:16">
      <c r="A66" s="4" t="s">
        <v>41</v>
      </c>
    </row>
    <row r="67" spans="1:16">
      <c r="A67" s="4" t="s">
        <v>42</v>
      </c>
    </row>
    <row r="68" spans="1:16">
      <c r="A68" s="4" t="s">
        <v>43</v>
      </c>
    </row>
    <row r="69" spans="1:16">
      <c r="A69" s="4" t="s">
        <v>44</v>
      </c>
    </row>
    <row r="72" spans="1:16">
      <c r="A72" s="219" t="s">
        <v>348</v>
      </c>
    </row>
    <row r="73" spans="1:16">
      <c r="A73" s="219" t="s">
        <v>349</v>
      </c>
    </row>
    <row r="75" spans="1:16">
      <c r="A75" s="218" t="s">
        <v>788</v>
      </c>
      <c r="E75" s="220" t="s">
        <v>789</v>
      </c>
      <c r="I75" s="229" t="s">
        <v>480</v>
      </c>
      <c r="J75" s="230" t="s">
        <v>903</v>
      </c>
    </row>
    <row r="76" spans="1:16">
      <c r="A76" s="4" t="s">
        <v>54</v>
      </c>
      <c r="B76" s="218"/>
      <c r="D76" s="231" t="s">
        <v>45</v>
      </c>
      <c r="E76" s="231"/>
      <c r="F76" s="231"/>
      <c r="G76" s="231"/>
    </row>
    <row r="77" spans="1:16">
      <c r="D77" s="232" t="s">
        <v>341</v>
      </c>
      <c r="E77" s="232" t="s">
        <v>342</v>
      </c>
      <c r="F77" s="232" t="s">
        <v>343</v>
      </c>
      <c r="G77" s="232" t="s">
        <v>344</v>
      </c>
    </row>
    <row r="78" spans="1:16">
      <c r="A78" s="4" t="s">
        <v>47</v>
      </c>
      <c r="D78" s="233" t="s">
        <v>345</v>
      </c>
      <c r="E78" s="233">
        <v>54</v>
      </c>
      <c r="F78" s="233">
        <v>3</v>
      </c>
      <c r="G78" s="233">
        <f>E78*F78</f>
        <v>162</v>
      </c>
    </row>
    <row r="79" spans="1:16">
      <c r="A79" s="4" t="s">
        <v>52</v>
      </c>
      <c r="D79" s="234" t="s">
        <v>346</v>
      </c>
      <c r="E79" s="233">
        <v>23</v>
      </c>
      <c r="F79" s="233">
        <v>5</v>
      </c>
      <c r="G79" s="233">
        <f>E79*F79</f>
        <v>115</v>
      </c>
      <c r="P79" s="222" t="s">
        <v>344</v>
      </c>
    </row>
    <row r="80" spans="1:16">
      <c r="D80" s="233" t="s">
        <v>347</v>
      </c>
      <c r="E80" s="233">
        <v>18</v>
      </c>
      <c r="F80" s="233">
        <v>7</v>
      </c>
      <c r="G80" s="233">
        <f>E80*F80</f>
        <v>126</v>
      </c>
      <c r="M80" s="222" t="s">
        <v>341</v>
      </c>
      <c r="N80" s="222" t="s">
        <v>342</v>
      </c>
      <c r="O80" s="222" t="s">
        <v>343</v>
      </c>
      <c r="P80" s="227">
        <f>N81*O81</f>
        <v>162</v>
      </c>
    </row>
    <row r="81" spans="1:16" ht="12.75" customHeight="1">
      <c r="B81" s="235" t="s">
        <v>46</v>
      </c>
      <c r="D81" s="233" t="s">
        <v>37</v>
      </c>
      <c r="E81" s="233">
        <v>27</v>
      </c>
      <c r="F81" s="233">
        <v>6</v>
      </c>
      <c r="G81" s="233">
        <f>E81*F81</f>
        <v>162</v>
      </c>
      <c r="I81" s="236" t="s">
        <v>46</v>
      </c>
      <c r="M81" s="225" t="s">
        <v>345</v>
      </c>
      <c r="N81" s="226">
        <v>54</v>
      </c>
      <c r="O81" s="226">
        <v>3</v>
      </c>
      <c r="P81" s="227">
        <f>N82*O82</f>
        <v>92</v>
      </c>
    </row>
    <row r="82" spans="1:16" ht="12.75" customHeight="1">
      <c r="B82" s="235"/>
      <c r="I82" s="236"/>
      <c r="M82" s="225" t="s">
        <v>346</v>
      </c>
      <c r="N82" s="226">
        <v>23</v>
      </c>
      <c r="O82" s="226">
        <v>4</v>
      </c>
      <c r="P82" s="227">
        <f>N83*O83</f>
        <v>126</v>
      </c>
    </row>
    <row r="83" spans="1:16">
      <c r="A83" s="4" t="s">
        <v>53</v>
      </c>
      <c r="I83" s="237"/>
      <c r="J83" s="238"/>
      <c r="K83" s="238"/>
      <c r="L83" s="238"/>
      <c r="M83" s="225" t="s">
        <v>347</v>
      </c>
      <c r="N83" s="226">
        <v>18</v>
      </c>
      <c r="O83" s="226">
        <v>7</v>
      </c>
      <c r="P83" s="227">
        <f>N84*O84</f>
        <v>162</v>
      </c>
    </row>
    <row r="84" spans="1:16">
      <c r="A84" s="238" t="s">
        <v>622</v>
      </c>
      <c r="B84" s="238"/>
      <c r="C84" s="238"/>
      <c r="D84" s="238"/>
      <c r="E84" s="238"/>
      <c r="M84" s="225" t="s">
        <v>37</v>
      </c>
      <c r="N84" s="226">
        <v>27</v>
      </c>
      <c r="O84" s="226">
        <v>6</v>
      </c>
    </row>
    <row r="85" spans="1:16">
      <c r="A85" s="218" t="s">
        <v>790</v>
      </c>
      <c r="C85" s="4">
        <v>1</v>
      </c>
      <c r="D85" s="4">
        <v>1</v>
      </c>
      <c r="E85" s="4">
        <v>2</v>
      </c>
      <c r="F85" s="4">
        <v>3</v>
      </c>
      <c r="G85" s="4">
        <v>4</v>
      </c>
      <c r="J85" s="4">
        <v>1</v>
      </c>
    </row>
    <row r="86" spans="1:16">
      <c r="A86" s="218"/>
      <c r="B86" s="230" t="s">
        <v>350</v>
      </c>
      <c r="D86" s="4">
        <v>3</v>
      </c>
      <c r="E86" s="4">
        <v>4</v>
      </c>
      <c r="I86" s="238"/>
      <c r="K86" s="238"/>
      <c r="L86" s="238"/>
      <c r="M86" s="238"/>
    </row>
    <row r="87" spans="1:16">
      <c r="A87" s="218"/>
      <c r="B87" s="218" t="s">
        <v>351</v>
      </c>
      <c r="C87" s="239"/>
      <c r="D87" s="4">
        <v>5</v>
      </c>
      <c r="E87" s="4">
        <v>8</v>
      </c>
      <c r="F87" s="4">
        <v>1</v>
      </c>
      <c r="I87" s="238"/>
    </row>
    <row r="88" spans="1:16">
      <c r="A88" s="218"/>
      <c r="B88" s="218" t="s">
        <v>352</v>
      </c>
      <c r="D88" s="4">
        <v>7</v>
      </c>
      <c r="E88" s="4">
        <v>16</v>
      </c>
      <c r="I88" s="238"/>
    </row>
    <row r="89" spans="1:16">
      <c r="A89" s="218"/>
      <c r="B89" s="218" t="s">
        <v>353</v>
      </c>
      <c r="D89" s="4">
        <v>9</v>
      </c>
      <c r="E89" s="4">
        <v>32</v>
      </c>
      <c r="I89" s="238"/>
    </row>
    <row r="90" spans="1:16">
      <c r="A90" s="218"/>
      <c r="B90" s="218" t="s">
        <v>354</v>
      </c>
      <c r="D90" s="4">
        <v>11</v>
      </c>
      <c r="E90" s="4">
        <v>64</v>
      </c>
      <c r="I90" s="238"/>
    </row>
    <row r="91" spans="1:16">
      <c r="B91" s="218" t="s">
        <v>355</v>
      </c>
      <c r="D91" s="4">
        <v>13</v>
      </c>
      <c r="E91" s="4">
        <v>128</v>
      </c>
      <c r="I91" s="238"/>
    </row>
    <row r="92" spans="1:16" ht="14.25" customHeight="1">
      <c r="I92" s="238"/>
    </row>
    <row r="93" spans="1:16" ht="14.25" customHeight="1">
      <c r="A93" s="240" t="s">
        <v>413</v>
      </c>
    </row>
    <row r="94" spans="1:16" ht="14.25" customHeight="1">
      <c r="A94" s="220" t="s">
        <v>791</v>
      </c>
    </row>
    <row r="95" spans="1:16" ht="14.25" customHeight="1">
      <c r="A95" s="240" t="s">
        <v>414</v>
      </c>
    </row>
    <row r="96" spans="1:16" ht="14.25" customHeight="1">
      <c r="A96" s="4" t="s">
        <v>415</v>
      </c>
    </row>
    <row r="97" spans="1:8" ht="14.25" customHeight="1"/>
    <row r="98" spans="1:8" ht="14.25" customHeight="1">
      <c r="A98" s="4" t="s">
        <v>89</v>
      </c>
      <c r="H98" s="220"/>
    </row>
    <row r="99" spans="1:8" ht="14.25" customHeight="1"/>
    <row r="100" spans="1:8" ht="14.25" customHeight="1">
      <c r="A100" s="241" t="s">
        <v>792</v>
      </c>
    </row>
    <row r="101" spans="1:8">
      <c r="A101" s="230" t="s">
        <v>795</v>
      </c>
      <c r="B101" s="238"/>
      <c r="C101" s="238"/>
      <c r="D101" s="237"/>
    </row>
    <row r="102" spans="1:8">
      <c r="A102" s="220" t="s">
        <v>793</v>
      </c>
      <c r="B102" s="238"/>
      <c r="C102" s="238"/>
      <c r="D102" s="238"/>
    </row>
    <row r="103" spans="1:8">
      <c r="A103" s="218" t="s">
        <v>794</v>
      </c>
    </row>
    <row r="104" spans="1:8">
      <c r="A104" s="218"/>
    </row>
    <row r="105" spans="1:8" ht="18">
      <c r="A105" s="241" t="s">
        <v>796</v>
      </c>
    </row>
    <row r="106" spans="1:8">
      <c r="A106" s="230" t="s">
        <v>797</v>
      </c>
    </row>
    <row r="107" spans="1:8">
      <c r="A107" s="220" t="s">
        <v>798</v>
      </c>
      <c r="B107" s="238"/>
      <c r="C107" s="238"/>
      <c r="D107" s="238"/>
    </row>
    <row r="108" spans="1:8">
      <c r="A108" s="218" t="s">
        <v>799</v>
      </c>
      <c r="B108" s="238"/>
      <c r="C108" s="238"/>
      <c r="D108" s="238"/>
    </row>
    <row r="109" spans="1:8">
      <c r="A109" s="220" t="s">
        <v>800</v>
      </c>
      <c r="B109" s="238"/>
      <c r="C109" s="238"/>
      <c r="D109" s="238"/>
    </row>
    <row r="110" spans="1:8">
      <c r="A110" s="220"/>
      <c r="B110" s="238"/>
      <c r="C110" s="238"/>
      <c r="D110" s="238"/>
    </row>
    <row r="111" spans="1:8" ht="18">
      <c r="A111" s="216" t="s">
        <v>151</v>
      </c>
      <c r="C111" s="220"/>
      <c r="D111" s="238"/>
    </row>
    <row r="112" spans="1:8">
      <c r="A112" s="218" t="s">
        <v>904</v>
      </c>
      <c r="G112" s="220"/>
      <c r="H112" s="220"/>
    </row>
    <row r="113" spans="1:12">
      <c r="A113" s="218" t="s">
        <v>803</v>
      </c>
      <c r="G113" s="220"/>
      <c r="H113" s="220"/>
    </row>
    <row r="114" spans="1:12" ht="12.75" customHeight="1">
      <c r="D114" s="239"/>
    </row>
    <row r="115" spans="1:12">
      <c r="A115" s="218" t="s">
        <v>804</v>
      </c>
      <c r="F115" s="220" t="s">
        <v>905</v>
      </c>
    </row>
    <row r="117" spans="1:12">
      <c r="A117" s="4" t="s">
        <v>616</v>
      </c>
    </row>
    <row r="118" spans="1:12">
      <c r="A118" s="4" t="s">
        <v>152</v>
      </c>
    </row>
    <row r="120" spans="1:12">
      <c r="A120" s="4" t="s">
        <v>155</v>
      </c>
    </row>
    <row r="122" spans="1:12">
      <c r="B122" s="4" t="s">
        <v>153</v>
      </c>
      <c r="D122" s="105"/>
      <c r="E122" s="105" t="s">
        <v>154</v>
      </c>
      <c r="H122" s="105"/>
      <c r="I122" s="164" t="s">
        <v>153</v>
      </c>
      <c r="L122" s="220" t="s">
        <v>154</v>
      </c>
    </row>
    <row r="123" spans="1:12">
      <c r="A123" s="217"/>
      <c r="B123" s="217">
        <v>55</v>
      </c>
      <c r="D123" s="163"/>
      <c r="E123" s="163">
        <v>46</v>
      </c>
      <c r="H123" s="165"/>
      <c r="I123" s="165">
        <v>55</v>
      </c>
      <c r="K123" s="242"/>
      <c r="L123" s="242">
        <v>46</v>
      </c>
    </row>
    <row r="124" spans="1:12">
      <c r="A124" s="217"/>
      <c r="B124" s="217">
        <v>454</v>
      </c>
      <c r="D124" s="163"/>
      <c r="E124" s="163">
        <v>455</v>
      </c>
      <c r="F124" s="220"/>
      <c r="H124" s="165"/>
      <c r="I124" s="165">
        <v>454</v>
      </c>
      <c r="K124" s="242"/>
      <c r="L124" s="242">
        <v>554</v>
      </c>
    </row>
    <row r="125" spans="1:12">
      <c r="A125" s="243" t="s">
        <v>619</v>
      </c>
      <c r="B125" s="217">
        <f>SUM(B123:B124)</f>
        <v>509</v>
      </c>
      <c r="C125" s="220" t="s">
        <v>1327</v>
      </c>
      <c r="D125" s="166" t="s">
        <v>619</v>
      </c>
      <c r="E125" s="163">
        <f>E123+E124</f>
        <v>501</v>
      </c>
      <c r="F125" s="220"/>
      <c r="H125" s="167" t="s">
        <v>619</v>
      </c>
      <c r="I125" s="165">
        <v>853</v>
      </c>
      <c r="K125" s="244" t="s">
        <v>619</v>
      </c>
      <c r="L125" s="242">
        <f>L123+L124</f>
        <v>600</v>
      </c>
    </row>
    <row r="127" spans="1:12" ht="15">
      <c r="A127" s="162" t="s">
        <v>282</v>
      </c>
      <c r="B127" s="162"/>
      <c r="C127" s="162"/>
      <c r="D127" s="162"/>
      <c r="E127" s="162"/>
      <c r="F127" s="162"/>
      <c r="G127" s="162"/>
      <c r="I127" s="4">
        <f>SUM(1,2)</f>
        <v>3</v>
      </c>
    </row>
    <row r="128" spans="1:12" ht="15">
      <c r="A128" s="162" t="s">
        <v>283</v>
      </c>
      <c r="B128" s="162"/>
      <c r="C128" s="162"/>
      <c r="D128" s="162"/>
      <c r="E128" s="162"/>
      <c r="F128" s="162"/>
      <c r="G128" s="162"/>
    </row>
    <row r="129" spans="1:7" ht="15">
      <c r="A129" s="162"/>
      <c r="B129" s="162"/>
      <c r="C129" s="162"/>
      <c r="D129" s="162"/>
      <c r="E129" s="162"/>
      <c r="F129" s="162"/>
      <c r="G129" s="162"/>
    </row>
    <row r="130" spans="1:7" ht="15">
      <c r="A130" s="162" t="s">
        <v>284</v>
      </c>
      <c r="B130" s="162"/>
      <c r="C130" s="162"/>
      <c r="D130" s="162"/>
      <c r="E130" s="162"/>
      <c r="F130" s="162"/>
      <c r="G130" s="162"/>
    </row>
    <row r="131" spans="1:7" ht="15">
      <c r="A131" s="162" t="s">
        <v>293</v>
      </c>
      <c r="B131" s="162"/>
      <c r="C131" s="162"/>
      <c r="D131" s="162"/>
      <c r="E131" s="162"/>
      <c r="F131" s="162"/>
      <c r="G131" s="162"/>
    </row>
    <row r="132" spans="1:7" ht="15">
      <c r="A132" s="162" t="s">
        <v>294</v>
      </c>
      <c r="B132" s="162"/>
      <c r="C132" s="162"/>
      <c r="D132" s="162"/>
      <c r="E132" s="162"/>
      <c r="F132" s="162"/>
      <c r="G132" s="162"/>
    </row>
    <row r="133" spans="1:7" ht="15">
      <c r="A133" s="162"/>
      <c r="B133" s="162"/>
      <c r="C133" s="162"/>
      <c r="D133" s="162"/>
      <c r="E133" s="162"/>
      <c r="F133" s="162"/>
      <c r="G133" s="162"/>
    </row>
    <row r="134" spans="1:7" ht="12" customHeight="1">
      <c r="A134" s="162" t="s">
        <v>295</v>
      </c>
      <c r="B134" s="162"/>
      <c r="C134" s="162"/>
      <c r="D134" s="162"/>
      <c r="E134" s="162"/>
      <c r="F134" s="162"/>
      <c r="G134" s="162"/>
    </row>
    <row r="135" spans="1:7" ht="15">
      <c r="A135" s="162" t="s">
        <v>298</v>
      </c>
      <c r="B135" s="162"/>
      <c r="C135" s="162"/>
      <c r="D135" s="162"/>
      <c r="E135" s="162"/>
      <c r="F135" s="162"/>
      <c r="G135" s="162"/>
    </row>
    <row r="136" spans="1:7" ht="15">
      <c r="A136" s="162" t="s">
        <v>294</v>
      </c>
      <c r="B136" s="162"/>
      <c r="C136" s="162"/>
      <c r="D136" s="162"/>
      <c r="E136" s="162"/>
      <c r="F136" s="162"/>
      <c r="G136" s="162"/>
    </row>
    <row r="137" spans="1:7" ht="15">
      <c r="A137" s="245"/>
      <c r="B137" s="162"/>
      <c r="C137" s="162"/>
      <c r="D137" s="245"/>
      <c r="E137" s="162"/>
      <c r="F137" s="162"/>
      <c r="G137" s="162"/>
    </row>
    <row r="138" spans="1:7" ht="15">
      <c r="A138" s="246" t="s">
        <v>296</v>
      </c>
      <c r="B138" s="162"/>
      <c r="C138" s="162"/>
      <c r="D138" s="245"/>
      <c r="E138" s="162"/>
      <c r="F138" s="162"/>
      <c r="G138" s="162"/>
    </row>
    <row r="139" spans="1:7" ht="15">
      <c r="A139" s="246" t="s">
        <v>297</v>
      </c>
      <c r="B139" s="162"/>
      <c r="C139" s="162"/>
      <c r="D139" s="245"/>
      <c r="E139" s="162"/>
      <c r="F139" s="162"/>
      <c r="G139" s="162"/>
    </row>
    <row r="140" spans="1:7" ht="15">
      <c r="A140" s="246"/>
      <c r="B140" s="162"/>
      <c r="C140" s="162"/>
      <c r="D140" s="245"/>
      <c r="E140" s="162"/>
      <c r="F140" s="162"/>
      <c r="G140" s="162"/>
    </row>
    <row r="141" spans="1:7">
      <c r="A141" s="247"/>
      <c r="D141" s="248"/>
    </row>
    <row r="142" spans="1:7">
      <c r="A142" s="249" t="s">
        <v>356</v>
      </c>
      <c r="C142" s="220"/>
    </row>
    <row r="143" spans="1:7">
      <c r="A143" s="230" t="s">
        <v>805</v>
      </c>
      <c r="C143" s="220"/>
    </row>
    <row r="144" spans="1:7">
      <c r="A144" s="218" t="s">
        <v>802</v>
      </c>
    </row>
    <row r="145" spans="1:19">
      <c r="A145" s="4" t="s">
        <v>299</v>
      </c>
    </row>
    <row r="146" spans="1:19">
      <c r="A146" s="4" t="s">
        <v>301</v>
      </c>
    </row>
    <row r="148" spans="1:19">
      <c r="B148" s="4" t="s">
        <v>153</v>
      </c>
      <c r="E148" s="4" t="s">
        <v>154</v>
      </c>
      <c r="I148" s="4">
        <f>SUM(Tabela_5)+SUM(Tabela_2)</f>
        <v>2000</v>
      </c>
    </row>
    <row r="149" spans="1:19">
      <c r="A149" s="217"/>
      <c r="B149" s="217">
        <v>45</v>
      </c>
      <c r="D149" s="217"/>
      <c r="E149" s="217">
        <v>46</v>
      </c>
    </row>
    <row r="150" spans="1:19">
      <c r="A150" s="217"/>
      <c r="B150" s="217">
        <v>454</v>
      </c>
      <c r="D150" s="217"/>
      <c r="E150" s="217">
        <v>455</v>
      </c>
      <c r="G150" s="220"/>
    </row>
    <row r="151" spans="1:19">
      <c r="A151" s="243" t="s">
        <v>619</v>
      </c>
      <c r="B151" s="217">
        <f>SUM(B149:B150)</f>
        <v>499</v>
      </c>
      <c r="D151" s="243" t="s">
        <v>619</v>
      </c>
      <c r="E151" s="217">
        <f>E149+E150</f>
        <v>501</v>
      </c>
    </row>
    <row r="153" spans="1:19">
      <c r="E153" s="220"/>
      <c r="F153" s="220"/>
    </row>
    <row r="154" spans="1:19">
      <c r="A154" s="249" t="s">
        <v>300</v>
      </c>
    </row>
    <row r="155" spans="1:19">
      <c r="A155" s="218" t="s">
        <v>801</v>
      </c>
    </row>
    <row r="156" spans="1:19">
      <c r="A156" s="4" t="s">
        <v>302</v>
      </c>
    </row>
    <row r="157" spans="1:19">
      <c r="A157" s="4" t="s">
        <v>303</v>
      </c>
      <c r="H157" s="250">
        <v>1</v>
      </c>
      <c r="J157" s="4" t="s">
        <v>153</v>
      </c>
      <c r="K157" s="250">
        <v>2</v>
      </c>
      <c r="M157" s="4" t="s">
        <v>153</v>
      </c>
      <c r="O157" s="250">
        <v>3</v>
      </c>
      <c r="P157" s="4" t="s">
        <v>153</v>
      </c>
      <c r="Q157" s="217"/>
      <c r="R157" s="217"/>
      <c r="S157" s="243" t="s">
        <v>619</v>
      </c>
    </row>
    <row r="158" spans="1:19">
      <c r="A158" s="4" t="s">
        <v>304</v>
      </c>
      <c r="I158" s="217"/>
      <c r="J158" s="217">
        <v>45</v>
      </c>
      <c r="M158" s="4">
        <v>45</v>
      </c>
      <c r="Q158" s="217">
        <v>45</v>
      </c>
      <c r="R158" s="217">
        <v>454</v>
      </c>
      <c r="S158" s="217">
        <f>SUM(Q158:R158)</f>
        <v>499</v>
      </c>
    </row>
    <row r="159" spans="1:19">
      <c r="A159" s="4" t="s">
        <v>305</v>
      </c>
      <c r="I159" s="217"/>
      <c r="J159" s="217">
        <v>454</v>
      </c>
      <c r="M159" s="4">
        <v>454</v>
      </c>
    </row>
    <row r="160" spans="1:19">
      <c r="A160" s="4" t="s">
        <v>306</v>
      </c>
      <c r="I160" s="243" t="s">
        <v>619</v>
      </c>
      <c r="J160" s="217">
        <f>SUM(J158:J159)</f>
        <v>499</v>
      </c>
      <c r="L160" s="4" t="s">
        <v>619</v>
      </c>
      <c r="M160" s="4">
        <v>499</v>
      </c>
    </row>
    <row r="161" spans="1:14">
      <c r="A161" s="4" t="s">
        <v>307</v>
      </c>
    </row>
    <row r="162" spans="1:14">
      <c r="A162" s="4" t="s">
        <v>308</v>
      </c>
      <c r="H162" s="250">
        <v>4</v>
      </c>
      <c r="J162" s="4" t="s">
        <v>153</v>
      </c>
    </row>
    <row r="163" spans="1:14">
      <c r="I163" s="217"/>
      <c r="J163" s="217">
        <v>91</v>
      </c>
    </row>
    <row r="164" spans="1:14">
      <c r="I164" s="217"/>
      <c r="J164" s="217">
        <v>909</v>
      </c>
    </row>
    <row r="165" spans="1:14">
      <c r="I165" s="243" t="s">
        <v>619</v>
      </c>
      <c r="J165" s="217">
        <f>(SUM(J163:J164))+(J163+J164)</f>
        <v>2000</v>
      </c>
    </row>
    <row r="170" spans="1:14">
      <c r="E170" s="220"/>
    </row>
    <row r="172" spans="1:14">
      <c r="C172" s="4" t="s">
        <v>153</v>
      </c>
    </row>
    <row r="173" spans="1:14">
      <c r="B173" s="217"/>
      <c r="C173" s="217">
        <v>45</v>
      </c>
      <c r="G173" s="4" t="s">
        <v>153</v>
      </c>
      <c r="N173" s="4" t="s">
        <v>619</v>
      </c>
    </row>
    <row r="174" spans="1:14">
      <c r="B174" s="217"/>
      <c r="C174" s="217">
        <v>454</v>
      </c>
      <c r="G174" s="4">
        <v>45</v>
      </c>
      <c r="K174" s="4" t="s">
        <v>153</v>
      </c>
      <c r="L174" s="4">
        <v>45</v>
      </c>
      <c r="M174" s="4">
        <v>454</v>
      </c>
      <c r="N174" s="4">
        <v>499</v>
      </c>
    </row>
    <row r="175" spans="1:14">
      <c r="B175" s="243" t="s">
        <v>619</v>
      </c>
      <c r="C175" s="217">
        <f>SUM(C173:C174)</f>
        <v>499</v>
      </c>
      <c r="G175" s="4">
        <v>454</v>
      </c>
    </row>
    <row r="176" spans="1:14">
      <c r="F176" s="4" t="s">
        <v>619</v>
      </c>
      <c r="G176" s="4">
        <v>499</v>
      </c>
    </row>
    <row r="184" spans="12:13">
      <c r="M184" s="4" t="s">
        <v>153</v>
      </c>
    </row>
    <row r="185" spans="12:13">
      <c r="M185" s="4">
        <v>45</v>
      </c>
    </row>
    <row r="186" spans="12:13">
      <c r="L186" s="217"/>
      <c r="M186" s="217">
        <v>499</v>
      </c>
    </row>
    <row r="187" spans="12:13">
      <c r="L187" s="217" t="s">
        <v>619</v>
      </c>
      <c r="M187" s="217">
        <f>(SUM(M185:M186))+454</f>
        <v>998</v>
      </c>
    </row>
    <row r="188" spans="12:13">
      <c r="L188" s="243"/>
      <c r="M188" s="217">
        <f>0+(SUM(M186:M187))</f>
        <v>1497</v>
      </c>
    </row>
  </sheetData>
  <mergeCells count="3">
    <mergeCell ref="D76:G76"/>
    <mergeCell ref="I81:I82"/>
    <mergeCell ref="B81:B82"/>
  </mergeCells>
  <phoneticPr fontId="0" type="noConversion"/>
  <printOptions headings="1" gridLines="1"/>
  <pageMargins left="0.75" right="0.75" top="1" bottom="1" header="0.5" footer="0.5"/>
  <pageSetup paperSize="9" orientation="portrait" horizontalDpi="300" verticalDpi="300" r:id="rId1"/>
  <headerFooter alignWithMargins="0">
    <oddHeader>&amp;LVježba 3&amp;R&amp;P</oddHead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221"/>
  <sheetViews>
    <sheetView topLeftCell="A158" zoomScale="96" zoomScaleNormal="96" workbookViewId="0">
      <selection activeCell="D201" sqref="D201"/>
    </sheetView>
  </sheetViews>
  <sheetFormatPr defaultRowHeight="12.75"/>
  <cols>
    <col min="1" max="1" width="11.28515625" bestFit="1" customWidth="1"/>
    <col min="2" max="2" width="10.28515625" bestFit="1" customWidth="1"/>
    <col min="3" max="3" width="11.85546875" customWidth="1"/>
    <col min="4" max="4" width="13.5703125" customWidth="1"/>
    <col min="6" max="6" width="11.28515625" bestFit="1" customWidth="1"/>
    <col min="7" max="7" width="9.42578125" bestFit="1" customWidth="1"/>
    <col min="8" max="8" width="15" bestFit="1" customWidth="1"/>
    <col min="9" max="9" width="15.85546875" customWidth="1"/>
    <col min="10" max="10" width="14.85546875" bestFit="1" customWidth="1"/>
    <col min="11" max="11" width="14.42578125" bestFit="1" customWidth="1"/>
    <col min="12" max="12" width="10.28515625" bestFit="1" customWidth="1"/>
    <col min="13" max="13" width="11.28515625" bestFit="1" customWidth="1"/>
    <col min="14" max="14" width="13.7109375" customWidth="1"/>
    <col min="20" max="20" width="14" customWidth="1"/>
  </cols>
  <sheetData>
    <row r="1" spans="1:15">
      <c r="A1" s="4"/>
      <c r="B1" s="4"/>
      <c r="C1" s="4"/>
      <c r="D1" s="4"/>
    </row>
    <row r="2" spans="1:15">
      <c r="A2" s="4"/>
      <c r="B2" s="4"/>
      <c r="C2" s="4"/>
      <c r="D2" s="4"/>
    </row>
    <row r="3" spans="1:15" ht="15">
      <c r="A3" s="162" t="s">
        <v>357</v>
      </c>
      <c r="B3" s="162"/>
      <c r="C3" s="162"/>
      <c r="D3" s="162"/>
      <c r="E3" s="168"/>
      <c r="F3" s="168"/>
      <c r="G3" s="168"/>
      <c r="H3" s="168"/>
      <c r="I3" s="168"/>
      <c r="J3" s="168"/>
      <c r="K3" s="168"/>
      <c r="L3" s="168"/>
      <c r="M3" s="168"/>
      <c r="N3" s="168"/>
      <c r="O3" s="168"/>
    </row>
    <row r="4" spans="1:15" ht="15">
      <c r="A4" s="162" t="s">
        <v>156</v>
      </c>
      <c r="B4" s="168"/>
      <c r="C4" s="162"/>
      <c r="D4" s="162"/>
      <c r="E4" s="168"/>
      <c r="F4" s="168"/>
      <c r="G4" s="168"/>
      <c r="H4" s="168"/>
      <c r="I4" s="168"/>
      <c r="J4" s="168"/>
      <c r="K4" s="168"/>
      <c r="L4" s="168"/>
      <c r="M4" s="168"/>
      <c r="N4" s="168"/>
      <c r="O4" s="168"/>
    </row>
    <row r="5" spans="1:15" ht="15">
      <c r="A5" s="168" t="s">
        <v>157</v>
      </c>
      <c r="B5" s="168"/>
      <c r="C5" s="162"/>
      <c r="D5" s="162"/>
      <c r="E5" s="168"/>
      <c r="F5" s="168"/>
      <c r="G5" s="168"/>
      <c r="H5" s="168"/>
      <c r="I5" s="168"/>
      <c r="J5" s="168"/>
      <c r="K5" s="168"/>
      <c r="L5" s="168"/>
      <c r="M5" s="168"/>
      <c r="N5" s="168"/>
      <c r="O5" s="168"/>
    </row>
    <row r="6" spans="1:15" ht="15">
      <c r="A6" s="168" t="s">
        <v>158</v>
      </c>
      <c r="B6" s="168"/>
      <c r="C6" s="162"/>
      <c r="D6" s="162"/>
      <c r="E6" s="168"/>
      <c r="F6" s="168"/>
      <c r="G6" s="168"/>
      <c r="H6" s="168"/>
      <c r="I6" s="168"/>
      <c r="J6" s="168"/>
      <c r="K6" s="168"/>
      <c r="L6" s="168"/>
      <c r="M6" s="168"/>
      <c r="N6" s="168"/>
      <c r="O6" s="168"/>
    </row>
    <row r="7" spans="1:15" ht="15">
      <c r="A7" s="168"/>
      <c r="B7" s="168"/>
      <c r="C7" s="162"/>
      <c r="D7" s="162"/>
      <c r="E7" s="168"/>
      <c r="F7" s="168"/>
      <c r="G7" s="168"/>
      <c r="H7" s="168"/>
      <c r="I7" s="168"/>
      <c r="J7" s="168"/>
      <c r="K7" s="168"/>
      <c r="L7" s="168"/>
      <c r="M7" s="168"/>
      <c r="N7" s="168"/>
      <c r="O7" s="168"/>
    </row>
    <row r="8" spans="1:15" ht="15">
      <c r="A8" s="168" t="s">
        <v>616</v>
      </c>
      <c r="B8" s="168"/>
      <c r="C8" s="162"/>
      <c r="D8" s="162"/>
      <c r="E8" s="168"/>
      <c r="F8" s="168"/>
      <c r="G8" s="168"/>
      <c r="H8" s="168"/>
      <c r="I8" s="168"/>
      <c r="J8" s="168"/>
      <c r="K8" s="168"/>
      <c r="L8" s="168"/>
      <c r="M8" s="168"/>
      <c r="N8" s="168"/>
      <c r="O8" s="168"/>
    </row>
    <row r="9" spans="1:15" ht="15">
      <c r="A9" s="168" t="s">
        <v>1270</v>
      </c>
      <c r="B9" s="168"/>
      <c r="C9" s="162"/>
      <c r="D9" s="162"/>
      <c r="E9" s="168"/>
      <c r="F9" s="168"/>
      <c r="G9" s="168"/>
      <c r="H9" s="168"/>
      <c r="I9" s="168">
        <f>((3/4)^2*5^8)^(1/3)</f>
        <v>60.343086537851832</v>
      </c>
      <c r="J9" s="168">
        <f>((3/4)^2*5^8)^(1/3)</f>
        <v>60.343086537851832</v>
      </c>
      <c r="K9" s="168"/>
      <c r="L9" s="168"/>
      <c r="M9" s="168"/>
      <c r="N9" s="168"/>
      <c r="O9" s="168"/>
    </row>
    <row r="10" spans="1:15" ht="15">
      <c r="A10" s="168"/>
      <c r="B10" s="168"/>
      <c r="C10" s="162"/>
      <c r="D10" s="162"/>
      <c r="E10" s="168"/>
      <c r="F10" s="168"/>
      <c r="G10" s="168"/>
      <c r="H10" s="168"/>
      <c r="I10" s="168"/>
      <c r="J10" s="168"/>
      <c r="K10" s="168"/>
      <c r="L10" s="168"/>
      <c r="M10" s="168"/>
      <c r="N10" s="168"/>
      <c r="O10" s="168"/>
    </row>
    <row r="11" spans="1:15" ht="15">
      <c r="A11" s="168"/>
      <c r="B11" s="168">
        <f>((3/4)^2*5^8)^(1/3)</f>
        <v>60.343086537851832</v>
      </c>
      <c r="C11" s="168"/>
      <c r="D11" s="168" t="s">
        <v>159</v>
      </c>
      <c r="E11" s="168"/>
      <c r="F11" s="168"/>
      <c r="G11" s="168"/>
      <c r="H11" s="168"/>
      <c r="I11" s="168"/>
      <c r="J11" s="168">
        <f>((3/4)^2*5^8)^(1/3)</f>
        <v>60.343086537851832</v>
      </c>
      <c r="K11" s="168" t="s">
        <v>1267</v>
      </c>
      <c r="L11" s="168" t="s">
        <v>1268</v>
      </c>
      <c r="M11" s="168"/>
      <c r="N11" s="168"/>
      <c r="O11" s="168"/>
    </row>
    <row r="12" spans="1:15" ht="15">
      <c r="A12" s="168"/>
      <c r="B12" s="168"/>
      <c r="C12" s="162"/>
      <c r="D12" s="162"/>
      <c r="E12" s="168"/>
      <c r="F12" s="168"/>
      <c r="G12" s="168"/>
      <c r="H12" s="168"/>
      <c r="I12" s="168"/>
      <c r="J12" s="168"/>
      <c r="K12" s="168"/>
      <c r="L12" s="168"/>
      <c r="M12" s="168"/>
      <c r="N12" s="168"/>
      <c r="O12" s="168"/>
    </row>
    <row r="13" spans="1:15" ht="15">
      <c r="A13" s="168" t="s">
        <v>48</v>
      </c>
      <c r="B13" s="168"/>
      <c r="C13" s="168"/>
      <c r="D13" s="168"/>
      <c r="E13" s="168"/>
      <c r="F13" s="168"/>
      <c r="G13" s="168"/>
      <c r="H13" s="168"/>
      <c r="I13" s="168"/>
      <c r="J13" s="168"/>
      <c r="K13" s="168"/>
      <c r="L13" s="168"/>
      <c r="M13" s="168"/>
      <c r="N13" s="168"/>
      <c r="O13" s="168"/>
    </row>
    <row r="14" spans="1:15" ht="15">
      <c r="A14" s="168" t="s">
        <v>49</v>
      </c>
      <c r="B14" s="168"/>
      <c r="C14" s="168"/>
      <c r="D14" s="168"/>
      <c r="E14" s="168"/>
      <c r="F14" s="168"/>
      <c r="G14" s="168"/>
      <c r="H14" s="168"/>
      <c r="I14" s="168"/>
      <c r="J14" s="168"/>
      <c r="K14" s="168"/>
      <c r="L14" s="168"/>
      <c r="M14" s="168"/>
      <c r="N14" s="168"/>
      <c r="O14" s="168"/>
    </row>
    <row r="15" spans="1:15" ht="15">
      <c r="A15" s="168"/>
      <c r="B15" s="169"/>
      <c r="C15" s="168"/>
      <c r="D15" s="168"/>
      <c r="E15" s="168"/>
      <c r="F15" s="168"/>
      <c r="G15" s="168"/>
      <c r="H15" s="168"/>
      <c r="I15" s="168"/>
      <c r="J15" s="168"/>
      <c r="K15" s="168"/>
      <c r="L15" s="168"/>
      <c r="M15" s="168"/>
      <c r="N15" s="168"/>
      <c r="O15" s="168"/>
    </row>
    <row r="16" spans="1:15" ht="15">
      <c r="A16" s="168"/>
      <c r="B16" s="169"/>
      <c r="C16" s="168">
        <v>3</v>
      </c>
      <c r="D16" s="168"/>
      <c r="E16" s="168"/>
      <c r="F16" s="168">
        <f>(2*C16^2-3)^(1/2)/(3*C17+C18)</f>
        <v>0.11736313170325506</v>
      </c>
      <c r="G16" s="168"/>
      <c r="H16" s="168"/>
      <c r="I16" s="168">
        <v>3</v>
      </c>
      <c r="J16" s="168"/>
      <c r="K16" s="168">
        <v>3</v>
      </c>
      <c r="L16" s="168"/>
      <c r="M16" s="168"/>
      <c r="N16" s="168"/>
      <c r="O16" s="168"/>
    </row>
    <row r="17" spans="1:15" ht="15">
      <c r="A17" s="170"/>
      <c r="B17" s="169"/>
      <c r="C17" s="168">
        <v>6</v>
      </c>
      <c r="D17" s="168"/>
      <c r="E17" s="168"/>
      <c r="F17" s="168"/>
      <c r="G17" s="168">
        <f>(2*C16^2-3)^(1/2)/(3*C17+C18)</f>
        <v>0.11736313170325506</v>
      </c>
      <c r="H17" s="168"/>
      <c r="I17" s="168">
        <v>6</v>
      </c>
      <c r="J17" s="168"/>
      <c r="K17" s="168">
        <v>6</v>
      </c>
      <c r="L17" s="168"/>
      <c r="M17" s="168">
        <f>(2*K16^2-3)^(1/2)/(3*K17+K18)</f>
        <v>0.11736313170325506</v>
      </c>
      <c r="N17" s="168"/>
      <c r="O17" s="168"/>
    </row>
    <row r="18" spans="1:15" ht="15">
      <c r="A18" s="170"/>
      <c r="B18" s="169"/>
      <c r="C18" s="168">
        <v>15</v>
      </c>
      <c r="D18" s="168"/>
      <c r="E18" s="168"/>
      <c r="F18" s="168"/>
      <c r="G18" s="168"/>
      <c r="H18" s="168"/>
      <c r="I18" s="168">
        <v>15</v>
      </c>
      <c r="J18" s="168"/>
      <c r="K18" s="168">
        <v>15</v>
      </c>
      <c r="L18" s="168"/>
      <c r="M18" s="168" t="s">
        <v>1268</v>
      </c>
      <c r="N18" s="168"/>
      <c r="O18" s="168"/>
    </row>
    <row r="19" spans="1:15" ht="15">
      <c r="A19" s="168"/>
      <c r="B19" s="168"/>
      <c r="C19" s="168"/>
      <c r="D19" s="168"/>
      <c r="E19" s="168"/>
      <c r="F19" s="168"/>
      <c r="G19" s="168"/>
      <c r="H19" s="168"/>
      <c r="I19" s="168"/>
      <c r="J19" s="168"/>
      <c r="K19" s="168"/>
      <c r="L19" s="168"/>
      <c r="M19" s="168"/>
      <c r="N19" s="168"/>
      <c r="O19" s="168"/>
    </row>
    <row r="20" spans="1:15" ht="15">
      <c r="A20" s="170"/>
      <c r="B20" s="168"/>
      <c r="C20" s="168">
        <f>(2*C16^2-3)^(1/2)/(3*C17+C18)</f>
        <v>0.11736313170325506</v>
      </c>
      <c r="D20" s="168"/>
      <c r="E20" s="168" t="s">
        <v>159</v>
      </c>
      <c r="F20" s="168"/>
      <c r="G20" s="168"/>
      <c r="H20" s="168"/>
      <c r="I20" s="168">
        <f>(2*I16^2-3)^(1/2)/(3*I17+I18)</f>
        <v>0.11736313170325506</v>
      </c>
      <c r="J20" s="168"/>
      <c r="K20" s="168"/>
      <c r="L20" s="168"/>
      <c r="M20" s="168"/>
      <c r="N20" s="168"/>
      <c r="O20" s="168"/>
    </row>
    <row r="21" spans="1:15" ht="15">
      <c r="A21" s="170"/>
      <c r="B21" s="168"/>
      <c r="C21" s="168"/>
      <c r="D21" s="168"/>
      <c r="E21" s="168"/>
      <c r="F21" s="168"/>
      <c r="G21" s="168"/>
      <c r="H21" s="168"/>
      <c r="I21" s="168"/>
      <c r="J21" s="168"/>
      <c r="K21" s="168"/>
      <c r="L21" s="168"/>
      <c r="M21" s="168"/>
      <c r="N21" s="168"/>
      <c r="O21" s="168"/>
    </row>
    <row r="22" spans="1:15" ht="15">
      <c r="A22" s="168" t="s">
        <v>50</v>
      </c>
      <c r="B22" s="168"/>
      <c r="C22" s="168"/>
      <c r="D22" s="168"/>
      <c r="E22" s="168"/>
      <c r="F22" s="168"/>
      <c r="G22" s="168"/>
      <c r="H22" s="168"/>
      <c r="I22" s="168"/>
      <c r="J22" s="168"/>
      <c r="K22" s="168"/>
      <c r="L22" s="168"/>
      <c r="M22" s="168"/>
      <c r="N22" s="168"/>
      <c r="O22" s="168"/>
    </row>
    <row r="23" spans="1:15" ht="15">
      <c r="A23" s="168" t="s">
        <v>51</v>
      </c>
      <c r="B23" s="168"/>
      <c r="C23" s="168"/>
      <c r="D23" s="168"/>
      <c r="E23" s="168"/>
      <c r="F23" s="168"/>
      <c r="G23" s="168"/>
      <c r="H23" s="168"/>
      <c r="I23" s="168"/>
      <c r="J23" s="168"/>
      <c r="K23" s="168"/>
      <c r="L23" s="168"/>
      <c r="M23" s="168"/>
      <c r="N23" s="168"/>
      <c r="O23" s="168"/>
    </row>
    <row r="24" spans="1:15" ht="15">
      <c r="A24" s="168"/>
      <c r="B24" s="168"/>
      <c r="C24" s="168"/>
      <c r="D24" s="168"/>
      <c r="E24" s="168"/>
      <c r="F24" s="168"/>
      <c r="G24" s="168"/>
      <c r="H24" s="168"/>
      <c r="I24" s="168"/>
      <c r="J24" s="168"/>
      <c r="K24" s="168"/>
      <c r="L24" s="168"/>
      <c r="M24" s="168"/>
      <c r="N24" s="168"/>
      <c r="O24" s="168"/>
    </row>
    <row r="25" spans="1:15" ht="15">
      <c r="A25" s="168"/>
      <c r="B25" s="168"/>
      <c r="C25" s="168"/>
      <c r="D25" s="168">
        <v>5</v>
      </c>
      <c r="E25" s="168"/>
      <c r="F25" s="168">
        <f>5*D25 - (D25^2-5)/(D26+D27^2)</f>
        <v>24.714285714285715</v>
      </c>
      <c r="G25" s="168"/>
      <c r="H25" s="168"/>
      <c r="I25" s="168">
        <v>5</v>
      </c>
      <c r="J25" s="168"/>
      <c r="K25" s="168"/>
      <c r="L25" s="168"/>
      <c r="M25" s="168"/>
      <c r="N25" s="168"/>
      <c r="O25" s="168"/>
    </row>
    <row r="26" spans="1:15" ht="15">
      <c r="A26" s="168"/>
      <c r="B26" s="168"/>
      <c r="C26" s="168"/>
      <c r="D26" s="168">
        <v>6</v>
      </c>
      <c r="E26" s="168"/>
      <c r="F26" s="168"/>
      <c r="G26" s="168"/>
      <c r="H26" s="168"/>
      <c r="I26" s="168">
        <v>6</v>
      </c>
      <c r="J26" s="168"/>
      <c r="K26" s="168"/>
      <c r="L26" s="168"/>
      <c r="M26" s="168"/>
      <c r="N26" s="168"/>
      <c r="O26" s="168"/>
    </row>
    <row r="27" spans="1:15" ht="15">
      <c r="A27" s="168"/>
      <c r="B27" s="168"/>
      <c r="C27" s="168"/>
      <c r="D27" s="168">
        <v>8</v>
      </c>
      <c r="E27" s="168"/>
      <c r="F27" s="168"/>
      <c r="G27" s="168"/>
      <c r="H27" s="168"/>
      <c r="I27" s="168">
        <v>8</v>
      </c>
      <c r="J27" s="168"/>
      <c r="K27" s="168"/>
      <c r="L27" s="168"/>
      <c r="M27" s="168"/>
      <c r="N27" s="168"/>
      <c r="O27" s="168"/>
    </row>
    <row r="28" spans="1:15" ht="15">
      <c r="A28" s="168"/>
      <c r="B28" s="168"/>
      <c r="C28" s="168"/>
      <c r="D28" s="168">
        <f>5*D25 - (D25^2-5)/(D26+D27^2)</f>
        <v>24.714285714285715</v>
      </c>
      <c r="E28" s="168" t="s">
        <v>1269</v>
      </c>
      <c r="F28" s="168"/>
      <c r="G28" s="168"/>
      <c r="H28" s="168"/>
      <c r="I28" s="168"/>
      <c r="J28" s="168"/>
      <c r="K28" s="168"/>
      <c r="L28" s="168"/>
      <c r="M28" s="168"/>
      <c r="N28" s="168"/>
      <c r="O28" s="168"/>
    </row>
    <row r="29" spans="1:15" ht="15">
      <c r="A29" s="168"/>
      <c r="B29" s="168"/>
      <c r="C29" s="168">
        <f>5*D25-(D25^2-5)/(D26+D27^2)</f>
        <v>24.714285714285715</v>
      </c>
      <c r="D29" s="168"/>
      <c r="E29" s="168"/>
      <c r="F29" s="168"/>
      <c r="G29" s="168"/>
      <c r="H29" s="168"/>
      <c r="I29" s="168">
        <f>(5*I25)-(((I25^2)-5)/(I26+I27^2))</f>
        <v>24.714285714285715</v>
      </c>
      <c r="J29" s="168"/>
      <c r="K29" s="168"/>
      <c r="L29" s="168"/>
      <c r="M29" s="168"/>
      <c r="N29" s="168"/>
      <c r="O29" s="168"/>
    </row>
    <row r="30" spans="1:15" ht="15">
      <c r="A30" s="168"/>
      <c r="B30" s="168"/>
      <c r="C30" s="168"/>
      <c r="D30" s="168"/>
      <c r="E30" s="168"/>
      <c r="F30" s="168"/>
      <c r="G30" s="168"/>
      <c r="H30" s="168"/>
      <c r="I30" s="168"/>
      <c r="J30" s="168"/>
      <c r="K30" s="168"/>
      <c r="L30" s="168"/>
      <c r="M30" s="168"/>
      <c r="N30" s="168"/>
      <c r="O30" s="168"/>
    </row>
    <row r="31" spans="1:15" ht="15">
      <c r="A31" s="171" t="s">
        <v>163</v>
      </c>
      <c r="B31" s="171"/>
      <c r="C31" s="171"/>
      <c r="D31" s="171"/>
      <c r="E31" s="171"/>
      <c r="F31" s="171"/>
      <c r="G31" s="171"/>
      <c r="H31" s="171"/>
      <c r="I31" s="171"/>
      <c r="J31" s="171"/>
      <c r="K31" s="171"/>
      <c r="L31" s="171"/>
      <c r="M31" s="171"/>
      <c r="N31" s="171"/>
      <c r="O31" s="171"/>
    </row>
    <row r="32" spans="1:15" ht="15">
      <c r="A32" s="171" t="s">
        <v>806</v>
      </c>
      <c r="B32" s="171"/>
      <c r="C32" s="171"/>
      <c r="D32" s="171"/>
      <c r="E32" s="171"/>
      <c r="F32" s="171"/>
      <c r="G32" s="171"/>
      <c r="H32" s="171"/>
      <c r="I32" s="171"/>
      <c r="J32" s="171"/>
      <c r="K32" s="171"/>
      <c r="L32" s="171"/>
      <c r="M32" s="171"/>
      <c r="N32" s="171"/>
      <c r="O32" s="171"/>
    </row>
    <row r="33" spans="1:20" ht="15">
      <c r="A33" s="171" t="s">
        <v>165</v>
      </c>
      <c r="B33" s="171"/>
      <c r="C33" s="171"/>
      <c r="D33" s="171"/>
      <c r="E33" s="171"/>
      <c r="F33" s="171"/>
      <c r="G33" s="171"/>
      <c r="H33" s="171"/>
      <c r="I33" s="171"/>
      <c r="J33" s="171"/>
      <c r="K33" s="171"/>
      <c r="L33" s="171"/>
      <c r="M33" s="171"/>
      <c r="N33" s="171"/>
      <c r="O33" s="171"/>
    </row>
    <row r="34" spans="1:20" ht="15">
      <c r="A34" s="171"/>
      <c r="B34" s="171"/>
      <c r="C34" s="171"/>
      <c r="D34" s="171"/>
      <c r="E34" s="171"/>
      <c r="F34" s="171"/>
      <c r="G34" s="171"/>
      <c r="H34" s="171"/>
      <c r="I34" s="171"/>
      <c r="J34" s="171"/>
      <c r="K34" s="171"/>
      <c r="L34" s="171"/>
      <c r="M34" s="171"/>
      <c r="N34" s="171"/>
      <c r="O34" s="171"/>
      <c r="R34">
        <v>32</v>
      </c>
      <c r="S34">
        <f>R34*2</f>
        <v>64</v>
      </c>
    </row>
    <row r="35" spans="1:20" ht="15">
      <c r="A35" s="171" t="s">
        <v>1272</v>
      </c>
      <c r="B35" s="171"/>
      <c r="C35" s="171"/>
      <c r="D35" s="171"/>
      <c r="E35" s="171"/>
      <c r="F35" s="171"/>
      <c r="G35" s="171"/>
      <c r="H35" s="171"/>
      <c r="I35" s="171"/>
      <c r="J35" s="171"/>
      <c r="K35" s="171"/>
      <c r="L35" s="171"/>
      <c r="M35" s="171"/>
      <c r="N35" s="171"/>
      <c r="O35" s="171"/>
      <c r="R35" s="108" t="s">
        <v>160</v>
      </c>
      <c r="S35" s="108" t="s">
        <v>161</v>
      </c>
      <c r="T35" s="108" t="s">
        <v>162</v>
      </c>
    </row>
    <row r="36" spans="1:20" ht="15">
      <c r="A36" s="171" t="s">
        <v>164</v>
      </c>
      <c r="B36" s="171"/>
      <c r="C36" s="171"/>
      <c r="D36" s="171"/>
      <c r="E36" s="171"/>
      <c r="F36" s="171"/>
      <c r="G36" s="171"/>
      <c r="H36" s="171"/>
      <c r="I36" s="171"/>
      <c r="J36" s="171"/>
      <c r="K36" s="171"/>
      <c r="L36" s="171"/>
      <c r="M36" s="171"/>
      <c r="N36" s="171"/>
      <c r="O36" s="171"/>
      <c r="R36">
        <v>12</v>
      </c>
      <c r="S36">
        <f>2*R36</f>
        <v>24</v>
      </c>
      <c r="T36">
        <f>3*R36</f>
        <v>36</v>
      </c>
    </row>
    <row r="37" spans="1:20" ht="15">
      <c r="A37" s="171" t="s">
        <v>166</v>
      </c>
      <c r="B37" s="171"/>
      <c r="C37" s="171"/>
      <c r="D37" s="171"/>
      <c r="E37" s="171"/>
      <c r="F37" s="171"/>
      <c r="G37" s="171"/>
      <c r="H37" s="171"/>
      <c r="I37" s="171"/>
      <c r="J37" s="171"/>
      <c r="K37" s="171"/>
      <c r="L37" s="171"/>
      <c r="M37" s="171"/>
      <c r="N37" s="171"/>
      <c r="O37" s="171"/>
    </row>
    <row r="38" spans="1:20" ht="15">
      <c r="A38" s="171"/>
      <c r="B38" s="171" t="s">
        <v>160</v>
      </c>
      <c r="C38" s="171"/>
      <c r="D38" s="171" t="s">
        <v>161</v>
      </c>
      <c r="E38" s="171"/>
      <c r="F38" s="171" t="s">
        <v>162</v>
      </c>
      <c r="G38" s="171"/>
      <c r="H38" s="171"/>
      <c r="I38" s="171"/>
      <c r="J38" s="171"/>
      <c r="K38" s="171" t="s">
        <v>160</v>
      </c>
      <c r="L38" s="171" t="s">
        <v>161</v>
      </c>
      <c r="M38" s="171" t="s">
        <v>162</v>
      </c>
      <c r="N38" s="171"/>
      <c r="O38" s="171"/>
    </row>
    <row r="39" spans="1:20" ht="15">
      <c r="A39" s="171"/>
      <c r="B39" s="171">
        <v>43</v>
      </c>
      <c r="C39" s="171"/>
      <c r="D39" s="171">
        <f>2*B39</f>
        <v>86</v>
      </c>
      <c r="E39" s="171"/>
      <c r="F39" s="171">
        <f>3*D39</f>
        <v>258</v>
      </c>
      <c r="G39" s="171"/>
      <c r="H39" s="171"/>
      <c r="I39" s="171"/>
      <c r="J39" s="171"/>
      <c r="K39" s="171">
        <v>44</v>
      </c>
      <c r="L39" s="171">
        <f>K39*2</f>
        <v>88</v>
      </c>
      <c r="M39" s="171">
        <f>3*L39</f>
        <v>264</v>
      </c>
      <c r="N39" s="171" t="s">
        <v>1271</v>
      </c>
      <c r="O39" s="171"/>
    </row>
    <row r="40" spans="1:20" ht="15">
      <c r="A40" s="172"/>
      <c r="B40" s="172"/>
      <c r="C40" s="172"/>
      <c r="D40" s="172"/>
      <c r="E40" s="172"/>
      <c r="F40" s="172"/>
      <c r="G40" s="172"/>
      <c r="H40" s="172"/>
      <c r="I40" s="172"/>
      <c r="J40" s="172"/>
      <c r="K40" s="172"/>
      <c r="L40" s="172"/>
      <c r="M40" s="172"/>
      <c r="N40" s="172"/>
      <c r="O40" s="172"/>
      <c r="P40" s="172"/>
    </row>
    <row r="41" spans="1:20" ht="15">
      <c r="A41" s="172" t="s">
        <v>167</v>
      </c>
      <c r="B41" s="172"/>
      <c r="C41" s="172"/>
      <c r="D41" s="172"/>
      <c r="E41" s="172"/>
      <c r="F41" s="172"/>
      <c r="G41" s="172"/>
      <c r="H41" s="172"/>
      <c r="I41" s="172"/>
      <c r="J41" s="172"/>
      <c r="K41" s="172"/>
      <c r="L41" s="172"/>
      <c r="M41" s="172"/>
      <c r="N41" s="172"/>
      <c r="O41" s="172"/>
      <c r="P41" s="172"/>
    </row>
    <row r="42" spans="1:20" ht="15">
      <c r="A42" s="172" t="s">
        <v>1273</v>
      </c>
      <c r="B42" s="172"/>
      <c r="C42" s="172"/>
      <c r="D42" s="172"/>
      <c r="E42" s="172"/>
      <c r="F42" s="172"/>
      <c r="G42" s="172"/>
      <c r="H42" s="172"/>
      <c r="I42" s="172"/>
      <c r="J42" s="172"/>
      <c r="K42" s="172"/>
      <c r="L42" s="172"/>
      <c r="M42" s="172"/>
      <c r="N42" s="172"/>
      <c r="O42" s="172"/>
      <c r="P42" s="172"/>
    </row>
    <row r="43" spans="1:20" ht="15">
      <c r="A43" s="172" t="s">
        <v>221</v>
      </c>
      <c r="B43" s="172"/>
      <c r="C43" s="172"/>
      <c r="D43" s="172"/>
      <c r="E43" s="172"/>
      <c r="F43" s="172"/>
      <c r="G43" s="172"/>
      <c r="H43" s="172"/>
      <c r="I43" s="172"/>
      <c r="J43" s="172"/>
      <c r="K43" s="172"/>
      <c r="L43" s="172"/>
      <c r="M43" s="172"/>
      <c r="N43" s="172"/>
      <c r="O43" s="172"/>
      <c r="P43" s="172"/>
    </row>
    <row r="44" spans="1:20" ht="15">
      <c r="A44" s="172"/>
      <c r="B44" s="172"/>
      <c r="C44" s="172"/>
      <c r="D44" s="172"/>
      <c r="E44" s="172"/>
      <c r="F44" s="172"/>
      <c r="G44" s="172"/>
      <c r="H44" s="172"/>
      <c r="I44" s="172"/>
      <c r="J44" s="172"/>
      <c r="K44" s="172"/>
      <c r="L44" s="172"/>
      <c r="M44" s="172"/>
      <c r="N44" s="172"/>
      <c r="O44" s="172"/>
      <c r="P44" s="172"/>
    </row>
    <row r="45" spans="1:20" ht="15">
      <c r="A45" s="172"/>
      <c r="B45" s="172">
        <v>9</v>
      </c>
      <c r="C45" s="172"/>
      <c r="D45" s="172"/>
      <c r="E45" s="172"/>
      <c r="F45" s="172"/>
      <c r="G45" s="172"/>
      <c r="H45" s="172">
        <v>9</v>
      </c>
      <c r="I45" s="172"/>
      <c r="J45" s="172">
        <v>9</v>
      </c>
      <c r="K45" s="172"/>
      <c r="L45" s="172">
        <v>3</v>
      </c>
      <c r="M45" s="172"/>
      <c r="N45" s="172"/>
      <c r="O45" s="172"/>
      <c r="P45" s="172"/>
      <c r="R45">
        <v>4</v>
      </c>
    </row>
    <row r="46" spans="1:20" ht="15">
      <c r="A46" s="172"/>
      <c r="B46" s="172">
        <v>8</v>
      </c>
      <c r="C46" s="172"/>
      <c r="D46" s="172"/>
      <c r="E46" s="172"/>
      <c r="F46" s="172"/>
      <c r="G46" s="172"/>
      <c r="H46" s="172">
        <v>8</v>
      </c>
      <c r="I46" s="172"/>
      <c r="J46" s="172">
        <v>8</v>
      </c>
      <c r="K46" s="172"/>
      <c r="L46" s="172">
        <v>4</v>
      </c>
      <c r="M46" s="172"/>
      <c r="N46" s="172"/>
      <c r="O46" s="172"/>
      <c r="P46" s="172"/>
      <c r="R46">
        <v>5</v>
      </c>
    </row>
    <row r="47" spans="1:20" ht="15">
      <c r="A47" s="172" t="s">
        <v>240</v>
      </c>
      <c r="B47" s="172" t="b">
        <f>B45&gt;B46</f>
        <v>1</v>
      </c>
      <c r="C47" s="172"/>
      <c r="D47" s="172" t="s">
        <v>242</v>
      </c>
      <c r="E47" s="172"/>
      <c r="F47" s="172"/>
      <c r="G47" s="172"/>
      <c r="H47" s="172" t="b">
        <f>H45&gt;H46</f>
        <v>1</v>
      </c>
      <c r="I47" s="172"/>
      <c r="J47" s="172" t="b">
        <f>J45&gt;J46</f>
        <v>1</v>
      </c>
      <c r="K47" s="172"/>
      <c r="L47" s="172" t="b">
        <f>L45&gt;L46</f>
        <v>0</v>
      </c>
      <c r="M47" s="172"/>
      <c r="N47" s="172"/>
      <c r="O47" s="172"/>
      <c r="P47" s="172"/>
      <c r="R47" t="b">
        <f>R46&gt;R45</f>
        <v>1</v>
      </c>
    </row>
    <row r="48" spans="1:20" ht="15">
      <c r="A48" s="172"/>
      <c r="B48" s="172"/>
      <c r="C48" s="172"/>
      <c r="D48" s="172"/>
      <c r="E48" s="172"/>
      <c r="F48" s="172"/>
      <c r="G48" s="172"/>
      <c r="H48" s="172"/>
      <c r="I48" s="172"/>
      <c r="J48" s="172"/>
      <c r="K48" s="172"/>
      <c r="L48" s="172"/>
      <c r="M48" s="172"/>
      <c r="N48" s="172"/>
      <c r="O48" s="172"/>
      <c r="P48" s="172"/>
    </row>
    <row r="49" spans="1:20" ht="15">
      <c r="A49" s="172"/>
      <c r="B49" s="172"/>
      <c r="C49" s="172"/>
      <c r="D49" s="172"/>
      <c r="E49" s="172"/>
      <c r="F49" s="172"/>
      <c r="G49" s="172"/>
      <c r="H49" s="172"/>
      <c r="I49" s="172"/>
      <c r="J49" s="172"/>
      <c r="K49" s="172"/>
      <c r="L49" s="172"/>
      <c r="M49" s="172"/>
      <c r="N49" s="172"/>
      <c r="O49" s="172"/>
      <c r="P49" s="172"/>
    </row>
    <row r="50" spans="1:20" ht="15">
      <c r="A50" s="172"/>
      <c r="B50" s="172"/>
      <c r="C50" s="172"/>
      <c r="D50" s="172"/>
      <c r="E50" s="172"/>
      <c r="F50" s="172"/>
      <c r="G50" s="172"/>
      <c r="H50" s="172"/>
      <c r="I50" s="172"/>
      <c r="J50" s="172"/>
      <c r="K50" s="172"/>
      <c r="L50" s="172"/>
      <c r="M50" s="172"/>
      <c r="N50" s="172"/>
      <c r="O50" s="172"/>
      <c r="P50" s="172"/>
    </row>
    <row r="51" spans="1:20" ht="15">
      <c r="A51" s="172"/>
      <c r="B51" s="172"/>
      <c r="C51" s="172"/>
      <c r="D51" s="172"/>
      <c r="E51" s="172"/>
      <c r="F51" s="172"/>
      <c r="G51" s="172"/>
      <c r="H51" s="172"/>
      <c r="I51" s="172"/>
      <c r="J51" s="172"/>
      <c r="K51" s="172"/>
      <c r="L51" s="172"/>
      <c r="M51" s="172"/>
      <c r="N51" s="172"/>
      <c r="O51" s="172"/>
      <c r="P51" s="172"/>
    </row>
    <row r="52" spans="1:20" ht="15">
      <c r="A52" s="172" t="s">
        <v>367</v>
      </c>
      <c r="B52" s="172"/>
      <c r="C52" s="172"/>
      <c r="D52" s="172"/>
      <c r="E52" s="172"/>
      <c r="F52" s="172"/>
      <c r="G52" s="172"/>
      <c r="H52" s="172"/>
      <c r="I52" s="172"/>
      <c r="J52" s="172"/>
      <c r="K52" s="172"/>
      <c r="L52" s="172"/>
      <c r="M52" s="172"/>
      <c r="N52" s="172"/>
      <c r="O52" s="172"/>
      <c r="P52" s="172"/>
    </row>
    <row r="53" spans="1:20" ht="15">
      <c r="A53" s="172" t="s">
        <v>222</v>
      </c>
      <c r="B53" s="172"/>
      <c r="C53" s="172"/>
      <c r="D53" s="172"/>
      <c r="E53" s="172"/>
      <c r="F53" s="172"/>
      <c r="G53" s="172"/>
      <c r="H53" s="172"/>
      <c r="I53" s="172"/>
      <c r="J53" s="172"/>
      <c r="K53" s="172"/>
      <c r="L53" s="172"/>
      <c r="M53" s="172"/>
      <c r="N53" s="172"/>
      <c r="O53" s="172"/>
      <c r="P53" s="172"/>
    </row>
    <row r="54" spans="1:20" ht="15">
      <c r="A54" s="172" t="s">
        <v>229</v>
      </c>
      <c r="B54" s="172"/>
      <c r="C54" s="172"/>
      <c r="D54" s="172"/>
      <c r="E54" s="172"/>
      <c r="F54" s="172"/>
      <c r="G54" s="172"/>
      <c r="H54" s="172"/>
      <c r="I54" s="172"/>
      <c r="J54" s="172"/>
      <c r="K54" s="172"/>
      <c r="L54" s="172"/>
      <c r="M54" s="172"/>
      <c r="N54" s="172"/>
      <c r="O54" s="172"/>
      <c r="P54" s="172"/>
    </row>
    <row r="55" spans="1:20" ht="15">
      <c r="A55" s="172"/>
      <c r="B55" s="172"/>
      <c r="C55" s="172"/>
      <c r="D55" s="172"/>
      <c r="E55" s="172"/>
      <c r="F55" s="172"/>
      <c r="G55" s="172"/>
      <c r="H55" s="172" t="s">
        <v>906</v>
      </c>
      <c r="I55" s="172"/>
      <c r="J55" s="172"/>
      <c r="K55" s="172"/>
      <c r="L55" s="172"/>
      <c r="M55" s="172"/>
      <c r="N55" s="172"/>
      <c r="O55" s="172"/>
      <c r="P55" s="172"/>
    </row>
    <row r="56" spans="1:20" ht="15">
      <c r="A56" s="172" t="s">
        <v>362</v>
      </c>
      <c r="B56" s="172">
        <v>7</v>
      </c>
      <c r="C56" s="172"/>
      <c r="D56" s="172"/>
      <c r="E56" s="172"/>
      <c r="F56" s="172"/>
      <c r="G56" s="172"/>
      <c r="H56" s="172"/>
      <c r="I56" s="172" t="s">
        <v>586</v>
      </c>
      <c r="J56" s="172" t="s">
        <v>907</v>
      </c>
      <c r="K56" s="172"/>
      <c r="L56" s="172"/>
      <c r="M56" s="172"/>
      <c r="N56" s="172"/>
      <c r="O56" s="172" t="s">
        <v>580</v>
      </c>
      <c r="P56" s="172" t="s">
        <v>579</v>
      </c>
    </row>
    <row r="57" spans="1:20" ht="15">
      <c r="A57" s="172"/>
      <c r="B57" s="172"/>
      <c r="C57" s="172"/>
      <c r="D57" s="172"/>
      <c r="E57" s="172"/>
      <c r="F57" s="172"/>
      <c r="G57" s="172"/>
      <c r="H57" s="172"/>
      <c r="I57" s="172"/>
      <c r="J57" s="172"/>
      <c r="K57" s="172" t="s">
        <v>362</v>
      </c>
      <c r="L57" s="172">
        <v>7</v>
      </c>
      <c r="M57" s="172"/>
      <c r="N57" s="172" t="str">
        <f>K57&amp;"="&amp;L57</f>
        <v>x=7</v>
      </c>
      <c r="O57" s="208" t="str">
        <f>O56&amp;" "&amp;P56</f>
        <v>Marko Markovic</v>
      </c>
      <c r="P57" s="208"/>
      <c r="R57" s="108" t="s">
        <v>580</v>
      </c>
      <c r="S57" s="108" t="s">
        <v>579</v>
      </c>
      <c r="T57" t="str">
        <f>R57&amp;" "&amp;S57</f>
        <v>Marko Markovic</v>
      </c>
    </row>
    <row r="58" spans="1:20" ht="15">
      <c r="A58" s="172"/>
      <c r="B58" s="172" t="str">
        <f>A56&amp;"="&amp;B56</f>
        <v>x=7</v>
      </c>
      <c r="C58" s="172"/>
      <c r="D58" s="172" t="str">
        <f>"x="&amp;B56</f>
        <v>x=7</v>
      </c>
      <c r="E58" s="172"/>
      <c r="F58" s="172" t="s">
        <v>243</v>
      </c>
      <c r="G58" s="172"/>
      <c r="H58" s="172"/>
      <c r="I58" s="172" t="str">
        <f>I56&amp;" "&amp;J56</f>
        <v>Petar Petrović</v>
      </c>
      <c r="J58" s="172"/>
      <c r="K58" s="172"/>
      <c r="L58" s="172"/>
      <c r="M58" s="172"/>
      <c r="N58" s="172"/>
      <c r="O58" s="172"/>
      <c r="P58" s="172"/>
    </row>
    <row r="59" spans="1:20" ht="15">
      <c r="A59" s="172"/>
      <c r="B59" s="172"/>
      <c r="C59" s="172"/>
      <c r="D59" s="172"/>
      <c r="E59" s="172"/>
      <c r="F59" s="172"/>
      <c r="G59" s="172"/>
      <c r="H59" s="172"/>
      <c r="I59" s="172"/>
      <c r="J59" s="172"/>
      <c r="K59" s="172" t="str">
        <f>"x="&amp;L57</f>
        <v>x=7</v>
      </c>
      <c r="L59" s="172"/>
      <c r="M59" s="172"/>
      <c r="N59" s="172"/>
      <c r="O59" s="172"/>
      <c r="P59" s="172"/>
    </row>
    <row r="61" spans="1:20">
      <c r="A61" s="54" t="s">
        <v>368</v>
      </c>
    </row>
    <row r="62" spans="1:20">
      <c r="A62" s="50" t="s">
        <v>369</v>
      </c>
      <c r="B62" s="50"/>
    </row>
    <row r="63" spans="1:20">
      <c r="A63" s="50" t="s">
        <v>230</v>
      </c>
      <c r="B63" s="50"/>
    </row>
    <row r="64" spans="1:20">
      <c r="A64" s="50" t="s">
        <v>908</v>
      </c>
      <c r="B64" s="50"/>
      <c r="D64" s="108"/>
    </row>
    <row r="65" spans="1:12">
      <c r="A65" s="50"/>
      <c r="B65" s="50" t="s">
        <v>909</v>
      </c>
    </row>
    <row r="66" spans="1:12">
      <c r="A66" s="50"/>
      <c r="B66" s="50" t="s">
        <v>370</v>
      </c>
      <c r="D66" s="108"/>
    </row>
    <row r="67" spans="1:12">
      <c r="A67" s="50"/>
      <c r="B67" s="50" t="s">
        <v>910</v>
      </c>
    </row>
    <row r="69" spans="1:12">
      <c r="A69" t="s">
        <v>417</v>
      </c>
      <c r="B69" s="28">
        <v>3</v>
      </c>
      <c r="F69">
        <v>3</v>
      </c>
      <c r="I69">
        <v>3</v>
      </c>
      <c r="L69">
        <f>SUM(3,5,6)</f>
        <v>14</v>
      </c>
    </row>
    <row r="70" spans="1:12">
      <c r="A70" t="s">
        <v>231</v>
      </c>
      <c r="B70" s="28">
        <v>5</v>
      </c>
      <c r="F70">
        <v>5</v>
      </c>
      <c r="I70">
        <v>5</v>
      </c>
      <c r="L70">
        <v>14</v>
      </c>
    </row>
    <row r="71" spans="1:12">
      <c r="A71" t="s">
        <v>618</v>
      </c>
      <c r="B71" s="28">
        <v>6</v>
      </c>
      <c r="F71">
        <v>6</v>
      </c>
      <c r="I71">
        <v>6</v>
      </c>
      <c r="L71">
        <v>34</v>
      </c>
    </row>
    <row r="72" spans="1:12">
      <c r="L72">
        <f>SUM(L69:L71)</f>
        <v>62</v>
      </c>
    </row>
    <row r="74" spans="1:12">
      <c r="B74" s="42">
        <f>SUM(B69:B71)</f>
        <v>14</v>
      </c>
      <c r="D74" t="s">
        <v>619</v>
      </c>
      <c r="F74" s="161">
        <f>SUM(F69:F73)</f>
        <v>14</v>
      </c>
      <c r="I74">
        <f>SUM(I69:I71)</f>
        <v>14</v>
      </c>
    </row>
    <row r="75" spans="1:12">
      <c r="F75" s="88"/>
    </row>
    <row r="77" spans="1:12" ht="15">
      <c r="A77" s="168" t="s">
        <v>416</v>
      </c>
      <c r="B77" s="168"/>
      <c r="C77" s="168"/>
      <c r="D77" s="168"/>
      <c r="E77" s="168"/>
      <c r="F77" s="168"/>
      <c r="G77" s="168"/>
    </row>
    <row r="78" spans="1:12" ht="15">
      <c r="A78" s="168" t="s">
        <v>235</v>
      </c>
      <c r="B78" s="168"/>
      <c r="C78" s="168"/>
      <c r="D78" s="168"/>
      <c r="E78" s="168"/>
      <c r="F78" s="168"/>
      <c r="G78" s="168"/>
    </row>
    <row r="79" spans="1:12">
      <c r="L79">
        <v>2</v>
      </c>
    </row>
    <row r="80" spans="1:12">
      <c r="B80" s="28">
        <v>123</v>
      </c>
      <c r="D80" s="50" t="s">
        <v>232</v>
      </c>
      <c r="I80">
        <v>123</v>
      </c>
      <c r="J80">
        <v>123</v>
      </c>
      <c r="L80">
        <v>123</v>
      </c>
    </row>
    <row r="81" spans="1:16">
      <c r="B81" s="28">
        <v>23</v>
      </c>
      <c r="D81" s="50" t="s">
        <v>620</v>
      </c>
      <c r="I81">
        <v>23</v>
      </c>
      <c r="J81">
        <v>23</v>
      </c>
      <c r="L81">
        <v>23</v>
      </c>
      <c r="O81">
        <f>INT(B80/B81)</f>
        <v>5</v>
      </c>
      <c r="P81">
        <f>23/123</f>
        <v>0.18699186991869918</v>
      </c>
    </row>
    <row r="82" spans="1:16">
      <c r="I82">
        <f>I80/I81</f>
        <v>5.3478260869565215</v>
      </c>
      <c r="J82">
        <f>123/23</f>
        <v>5.3478260869565215</v>
      </c>
      <c r="L82">
        <f>INT(L80/L81)</f>
        <v>5</v>
      </c>
      <c r="M82" s="108" t="s">
        <v>1274</v>
      </c>
      <c r="O82">
        <f>MOD(B80,B81)</f>
        <v>8</v>
      </c>
    </row>
    <row r="83" spans="1:16">
      <c r="B83" s="30">
        <f>INT(B80/B81)</f>
        <v>5</v>
      </c>
      <c r="E83" t="s">
        <v>621</v>
      </c>
      <c r="F83">
        <f>5*23</f>
        <v>115</v>
      </c>
      <c r="I83" s="160">
        <f>INT(I82)</f>
        <v>5</v>
      </c>
      <c r="J83" s="160">
        <f>MOD(123/23,1)</f>
        <v>0.34782608695652151</v>
      </c>
      <c r="L83">
        <f>MOD(L80,L81)</f>
        <v>8</v>
      </c>
      <c r="M83" s="108" t="s">
        <v>1275</v>
      </c>
    </row>
    <row r="84" spans="1:16">
      <c r="B84" s="30">
        <f>MOD(B80,B81)</f>
        <v>8</v>
      </c>
      <c r="F84" s="108"/>
    </row>
    <row r="87" spans="1:16" ht="15">
      <c r="A87" s="168" t="s">
        <v>236</v>
      </c>
      <c r="B87" s="168"/>
      <c r="C87" s="168"/>
      <c r="D87" s="168"/>
      <c r="E87" s="168"/>
      <c r="F87" s="168"/>
    </row>
    <row r="88" spans="1:16" ht="15">
      <c r="A88" s="168" t="s">
        <v>807</v>
      </c>
      <c r="B88" s="168"/>
      <c r="C88" s="168"/>
      <c r="D88" s="168"/>
      <c r="E88" s="168"/>
      <c r="F88" s="168"/>
      <c r="M88" s="108" t="s">
        <v>1276</v>
      </c>
    </row>
    <row r="89" spans="1:16">
      <c r="B89" s="39">
        <v>234</v>
      </c>
      <c r="I89">
        <v>234</v>
      </c>
      <c r="J89">
        <v>219</v>
      </c>
      <c r="K89">
        <v>228</v>
      </c>
      <c r="M89">
        <f>AVERAGE(I89:K89)</f>
        <v>227</v>
      </c>
    </row>
    <row r="90" spans="1:16">
      <c r="E90" s="39">
        <v>228</v>
      </c>
      <c r="G90" t="s">
        <v>241</v>
      </c>
    </row>
    <row r="91" spans="1:16">
      <c r="C91" s="39">
        <v>219</v>
      </c>
      <c r="G91" s="50" t="s">
        <v>237</v>
      </c>
      <c r="J91" s="160">
        <f>AVERAGE(J89,K89,I89)</f>
        <v>227</v>
      </c>
    </row>
    <row r="92" spans="1:16">
      <c r="A92" t="s">
        <v>240</v>
      </c>
    </row>
    <row r="93" spans="1:16">
      <c r="A93" s="39">
        <f>AVERAGE(B89,C91,E90)</f>
        <v>227</v>
      </c>
      <c r="B93" t="s">
        <v>246</v>
      </c>
      <c r="L93">
        <f>AVERAGE(B89,C91,E90)</f>
        <v>227</v>
      </c>
    </row>
    <row r="95" spans="1:16">
      <c r="J95" s="108"/>
    </row>
    <row r="96" spans="1:16" ht="15.75" thickBot="1">
      <c r="A96" s="168" t="s">
        <v>371</v>
      </c>
      <c r="B96" s="168"/>
      <c r="C96" s="168"/>
      <c r="D96" s="168"/>
      <c r="E96" s="168"/>
      <c r="F96" s="168"/>
      <c r="G96" s="168"/>
    </row>
    <row r="97" spans="1:13" ht="16.5" thickTop="1" thickBot="1">
      <c r="A97" s="168" t="s">
        <v>931</v>
      </c>
      <c r="B97" s="168"/>
      <c r="C97" s="168"/>
      <c r="D97" s="168"/>
      <c r="E97" s="168"/>
      <c r="F97" s="168"/>
      <c r="G97" s="168"/>
      <c r="I97" s="108"/>
      <c r="J97" s="173">
        <v>25</v>
      </c>
    </row>
    <row r="98" spans="1:13" ht="16.5" thickTop="1" thickBot="1">
      <c r="A98" s="168" t="s">
        <v>932</v>
      </c>
      <c r="B98" s="168"/>
      <c r="C98" s="168"/>
      <c r="D98" s="168"/>
      <c r="E98" s="168"/>
      <c r="F98" s="168"/>
      <c r="G98" s="168"/>
      <c r="J98" s="173">
        <v>24</v>
      </c>
      <c r="L98" t="str">
        <f>IF(A100&gt;A101,"Veće A100","A100 nije veće od A101")</f>
        <v>Veće A100</v>
      </c>
      <c r="M98" t="b">
        <f>IF(A100&gt;A101,TRUE,FALSE)</f>
        <v>1</v>
      </c>
    </row>
    <row r="99" spans="1:13" ht="16.5" thickTop="1" thickBot="1">
      <c r="A99" s="168" t="s">
        <v>933</v>
      </c>
      <c r="B99" s="168"/>
      <c r="C99" s="168"/>
      <c r="D99" s="168"/>
      <c r="E99" s="168"/>
      <c r="F99" s="168"/>
      <c r="G99" s="168"/>
      <c r="J99" s="173" t="str">
        <f>IF(J97&gt;J98,"Veće A100","A100 nije veće od A101")</f>
        <v>Veće A100</v>
      </c>
    </row>
    <row r="100" spans="1:13" ht="13.5" thickTop="1">
      <c r="A100">
        <v>25</v>
      </c>
      <c r="C100" s="50" t="s">
        <v>240</v>
      </c>
      <c r="K100">
        <v>25</v>
      </c>
    </row>
    <row r="101" spans="1:13">
      <c r="A101">
        <v>24</v>
      </c>
      <c r="C101" t="str">
        <f>IF(A100&gt;A101,"veće A100","A100 nije veće od A101")</f>
        <v>veće A100</v>
      </c>
      <c r="K101">
        <v>24</v>
      </c>
    </row>
    <row r="102" spans="1:13">
      <c r="E102" s="50" t="s">
        <v>245</v>
      </c>
      <c r="F102" s="50" t="s">
        <v>422</v>
      </c>
      <c r="K102" s="160" t="str">
        <f>IF(K100&gt;L101, "vece K100","L100 nije vece od K101")</f>
        <v>vece K100</v>
      </c>
    </row>
    <row r="103" spans="1:13">
      <c r="A103" s="41"/>
      <c r="B103" s="41"/>
      <c r="C103" s="41"/>
      <c r="D103" s="41"/>
      <c r="E103" s="41"/>
      <c r="F103" s="41"/>
      <c r="G103" s="41"/>
      <c r="H103" s="41"/>
    </row>
    <row r="104" spans="1:13" ht="15.75" thickBot="1">
      <c r="A104" s="168" t="s">
        <v>418</v>
      </c>
      <c r="B104" s="168"/>
      <c r="C104" s="168"/>
      <c r="D104" s="168"/>
      <c r="E104" s="168"/>
      <c r="F104" s="168"/>
      <c r="G104" s="168"/>
    </row>
    <row r="105" spans="1:13" ht="16.5" thickTop="1" thickBot="1">
      <c r="A105" s="174">
        <v>4</v>
      </c>
      <c r="B105" s="168"/>
      <c r="C105" s="168">
        <f>IF(A105&gt;0,1,0)</f>
        <v>1</v>
      </c>
      <c r="D105" s="168"/>
      <c r="E105" s="168"/>
      <c r="F105" s="168" t="str">
        <f>IF(A105&gt;0,"1","0")</f>
        <v>1</v>
      </c>
      <c r="G105" s="168"/>
      <c r="J105" s="50" t="s">
        <v>239</v>
      </c>
      <c r="M105" s="175" t="str">
        <f>IF(A105&gt;0,"1","0")</f>
        <v>1</v>
      </c>
    </row>
    <row r="106" spans="1:13" ht="13.5" thickTop="1"/>
    <row r="107" spans="1:13" ht="15">
      <c r="A107" s="168" t="s">
        <v>419</v>
      </c>
      <c r="B107" s="168"/>
      <c r="C107" s="176"/>
      <c r="D107" s="176"/>
      <c r="E107" s="176"/>
      <c r="F107" s="176"/>
      <c r="G107" s="41"/>
      <c r="H107" s="41"/>
    </row>
    <row r="108" spans="1:13" ht="15">
      <c r="A108" s="168" t="s">
        <v>238</v>
      </c>
      <c r="B108" s="168"/>
      <c r="C108" s="168"/>
      <c r="D108" s="168"/>
      <c r="E108" s="168"/>
      <c r="F108" s="168"/>
    </row>
    <row r="109" spans="1:13" ht="15">
      <c r="A109" s="168">
        <v>44</v>
      </c>
      <c r="B109" s="168"/>
      <c r="C109" s="168" t="str">
        <f>IF(A109&gt;0,A111,IF(A109=0,A113,A112))</f>
        <v>Broj pozitivan</v>
      </c>
      <c r="D109" s="168"/>
      <c r="E109" s="168"/>
      <c r="F109" s="168"/>
      <c r="J109" s="50" t="s">
        <v>244</v>
      </c>
    </row>
    <row r="110" spans="1:13" ht="15.75" thickBot="1">
      <c r="A110" s="168"/>
      <c r="B110" s="168"/>
      <c r="C110" s="168"/>
      <c r="D110" s="168"/>
      <c r="E110" s="168"/>
      <c r="F110" s="168"/>
      <c r="G110" t="str">
        <f>IF(A109&gt;0,"Broj pozitivan",IF(A109=0,"Broj jednak nuli","Broj negativan"))</f>
        <v>Broj pozitivan</v>
      </c>
    </row>
    <row r="111" spans="1:13" ht="16.5" thickTop="1" thickBot="1">
      <c r="A111" s="168" t="s">
        <v>372</v>
      </c>
      <c r="B111" s="168"/>
      <c r="C111" s="168" t="s">
        <v>243</v>
      </c>
      <c r="D111" s="168"/>
      <c r="E111" s="168"/>
      <c r="F111" s="168"/>
      <c r="J111" s="173" t="str">
        <f>IF(A109&gt;0,A111,IF(A109=0,A112:A113))</f>
        <v>Broj pozitivan</v>
      </c>
      <c r="K111" s="173" t="s">
        <v>1277</v>
      </c>
      <c r="L111" s="173"/>
      <c r="M111" s="173"/>
    </row>
    <row r="112" spans="1:13" ht="15.75" thickTop="1">
      <c r="A112" s="168" t="s">
        <v>373</v>
      </c>
      <c r="B112" s="168"/>
      <c r="C112" s="168"/>
      <c r="D112" s="168"/>
      <c r="E112" s="168" t="str">
        <f>IF(A109&lt;0,"broj negativan",IF(A109&gt;0,"broj pozitivan","broj jednak nuli"))</f>
        <v>broj pozitivan</v>
      </c>
      <c r="F112" s="168"/>
    </row>
    <row r="113" spans="1:20" ht="15">
      <c r="A113" s="168" t="s">
        <v>374</v>
      </c>
      <c r="B113" s="168"/>
      <c r="C113" s="168"/>
      <c r="D113" s="168"/>
      <c r="E113" s="168"/>
      <c r="F113" s="168"/>
    </row>
    <row r="115" spans="1:20" ht="15.75" thickBot="1">
      <c r="A115" s="172" t="s">
        <v>420</v>
      </c>
      <c r="B115" s="172"/>
      <c r="C115" s="172"/>
      <c r="D115" s="172"/>
      <c r="E115" s="172"/>
      <c r="F115" s="172"/>
      <c r="G115" s="172"/>
    </row>
    <row r="116" spans="1:20" ht="16.5" thickTop="1" thickBot="1">
      <c r="A116" s="172">
        <v>55</v>
      </c>
      <c r="B116" s="172"/>
      <c r="C116" s="172" t="s">
        <v>249</v>
      </c>
      <c r="D116" s="172"/>
      <c r="E116" s="172"/>
      <c r="F116" s="172"/>
      <c r="G116" s="172"/>
      <c r="I116">
        <v>55</v>
      </c>
      <c r="K116" s="173">
        <v>55</v>
      </c>
    </row>
    <row r="117" spans="1:20" ht="16.5" thickTop="1" thickBot="1">
      <c r="A117" s="172">
        <v>22</v>
      </c>
      <c r="B117" s="172"/>
      <c r="C117" s="172" t="s">
        <v>250</v>
      </c>
      <c r="D117" s="172"/>
      <c r="E117" s="172"/>
      <c r="F117" s="172"/>
      <c r="G117" s="172"/>
      <c r="I117">
        <v>22</v>
      </c>
      <c r="K117" s="173">
        <v>22</v>
      </c>
    </row>
    <row r="118" spans="1:20" ht="16.5" thickTop="1" thickBot="1">
      <c r="A118" s="172">
        <v>34</v>
      </c>
      <c r="B118" s="172"/>
      <c r="C118" s="172"/>
      <c r="D118" s="172"/>
      <c r="E118" s="172"/>
      <c r="F118" s="172"/>
      <c r="G118" s="172"/>
      <c r="I118">
        <v>34</v>
      </c>
      <c r="K118" s="173">
        <v>34</v>
      </c>
    </row>
    <row r="119" spans="1:20" ht="16.5" thickTop="1" thickBot="1">
      <c r="I119" s="160">
        <f>MIN(I116,I117,J118)</f>
        <v>22</v>
      </c>
      <c r="K119" s="173">
        <f>MIN(K116:K118)</f>
        <v>22</v>
      </c>
    </row>
    <row r="120" spans="1:20" ht="16.5" thickTop="1" thickBot="1">
      <c r="A120" s="30">
        <f>MIN(A116:A118)</f>
        <v>22</v>
      </c>
      <c r="B120" t="s">
        <v>248</v>
      </c>
      <c r="K120" s="173"/>
    </row>
    <row r="121" spans="1:20" ht="16.5" thickTop="1" thickBot="1">
      <c r="A121" s="30" t="str">
        <f>IF(A116=A120,"A116",IF(A117=A120,"A117","A118"))</f>
        <v>A117</v>
      </c>
      <c r="B121" t="s">
        <v>247</v>
      </c>
      <c r="K121" s="173" t="s">
        <v>1278</v>
      </c>
    </row>
    <row r="122" spans="1:20" ht="16.5" thickTop="1" thickBot="1">
      <c r="G122">
        <f>MIN(A116:A118)</f>
        <v>22</v>
      </c>
      <c r="K122" s="173"/>
    </row>
    <row r="123" spans="1:20" ht="16.5" thickTop="1" thickBot="1">
      <c r="D123" s="173" t="str">
        <f>IF(A116=A120,"A116",IF(A117=A120,"A117","A118"))</f>
        <v>A117</v>
      </c>
      <c r="G123" t="str">
        <f>IF(A117=G122,"A117",IF(A117&gt;G122,"A116","A118"))</f>
        <v>A117</v>
      </c>
    </row>
    <row r="124" spans="1:20" ht="14.25" thickTop="1" thickBot="1">
      <c r="A124" s="54" t="s">
        <v>375</v>
      </c>
      <c r="M124" t="s">
        <v>913</v>
      </c>
      <c r="O124" t="s">
        <v>465</v>
      </c>
      <c r="P124" t="s">
        <v>914</v>
      </c>
    </row>
    <row r="125" spans="1:20" ht="13.5" thickBot="1">
      <c r="A125" t="s">
        <v>252</v>
      </c>
      <c r="J125" s="108" t="s">
        <v>911</v>
      </c>
      <c r="M125" s="177" t="s">
        <v>915</v>
      </c>
      <c r="O125" s="116" t="str">
        <f>LEFT(M125,2)</f>
        <v>21</v>
      </c>
      <c r="P125" s="116" t="str">
        <f>RIGHT(M125,4)</f>
        <v>2011</v>
      </c>
      <c r="S125">
        <f>CODE(44)</f>
        <v>52</v>
      </c>
      <c r="T125" t="str">
        <f>CHAR(77)</f>
        <v>M</v>
      </c>
    </row>
    <row r="126" spans="1:20" ht="13.5" thickBot="1">
      <c r="A126" t="str">
        <f>CHAR(65)</f>
        <v>A</v>
      </c>
      <c r="B126" s="50"/>
      <c r="C126" s="50" t="s">
        <v>243</v>
      </c>
      <c r="E126" t="str">
        <f>CHAR(169)</f>
        <v>©</v>
      </c>
      <c r="F126">
        <f>CODE(E126)</f>
        <v>169</v>
      </c>
      <c r="J126" s="108" t="s">
        <v>912</v>
      </c>
    </row>
    <row r="127" spans="1:20" ht="16.5" thickTop="1" thickBot="1">
      <c r="A127">
        <f>CODE("b")</f>
        <v>98</v>
      </c>
      <c r="E127" t="str">
        <f>CHAR(64)</f>
        <v>@</v>
      </c>
      <c r="F127">
        <f>CODE(E127)</f>
        <v>64</v>
      </c>
      <c r="G127" s="173" t="s">
        <v>1279</v>
      </c>
      <c r="H127" s="173">
        <f>CODE("b")</f>
        <v>98</v>
      </c>
      <c r="J127" s="108" t="s">
        <v>917</v>
      </c>
      <c r="M127" s="115" t="s">
        <v>46</v>
      </c>
      <c r="O127">
        <f>FIND(" ",M127)</f>
        <v>6</v>
      </c>
      <c r="P127">
        <f>LEN(M127)</f>
        <v>14</v>
      </c>
      <c r="Q127" s="116" t="str">
        <f>LEFT(M127,O127-1)</f>
        <v>Marko</v>
      </c>
      <c r="R127" s="116" t="str">
        <f>RIGHT(M127,P127-O127)</f>
        <v>Marković</v>
      </c>
    </row>
    <row r="128" spans="1:20" ht="16.5" thickTop="1" thickBot="1">
      <c r="A128" s="41"/>
      <c r="B128" s="41"/>
      <c r="C128" s="41"/>
      <c r="D128" s="41"/>
      <c r="E128" s="19" t="str">
        <f>CHAR(94)</f>
        <v>^</v>
      </c>
      <c r="F128" t="str">
        <f>CHAR(174)</f>
        <v>®</v>
      </c>
      <c r="G128" s="173" t="s">
        <v>1280</v>
      </c>
      <c r="H128" s="173" t="str">
        <f>CHAR(65)</f>
        <v>A</v>
      </c>
      <c r="M128" s="115" t="s">
        <v>916</v>
      </c>
      <c r="O128">
        <f>FIND(" ",M128)</f>
        <v>9</v>
      </c>
      <c r="P128">
        <f>LEN(M128)</f>
        <v>14</v>
      </c>
      <c r="Q128" s="116" t="str">
        <f>LEFT(M128,O128-1)</f>
        <v>Jankovic</v>
      </c>
      <c r="R128" s="116" t="str">
        <f>RIGHT(M128,P128-O128)</f>
        <v>Janko</v>
      </c>
    </row>
    <row r="129" spans="1:20" ht="15.75" thickTop="1">
      <c r="A129" s="172" t="s">
        <v>254</v>
      </c>
      <c r="B129" s="172"/>
      <c r="C129" s="172"/>
      <c r="D129" s="172"/>
      <c r="E129" s="172"/>
      <c r="F129" s="172"/>
      <c r="J129">
        <f>CODE("a")</f>
        <v>97</v>
      </c>
      <c r="K129" t="str">
        <f>CHAR(97)</f>
        <v>a</v>
      </c>
    </row>
    <row r="130" spans="1:20" ht="15">
      <c r="A130" s="172" t="s">
        <v>255</v>
      </c>
      <c r="B130" s="172"/>
      <c r="C130" s="172"/>
      <c r="D130" s="172"/>
      <c r="E130" s="172"/>
      <c r="F130" s="172"/>
    </row>
    <row r="131" spans="1:20" ht="15">
      <c r="A131" s="172" t="s">
        <v>257</v>
      </c>
      <c r="B131" s="172"/>
      <c r="C131" s="172"/>
      <c r="D131" s="172"/>
      <c r="E131" s="172"/>
      <c r="F131" s="172"/>
      <c r="H131" s="117">
        <f>WEEKDAY(340054)</f>
        <v>1</v>
      </c>
      <c r="J131" s="117">
        <f ca="1">NOW()</f>
        <v>44700.084397106482</v>
      </c>
    </row>
    <row r="132" spans="1:20" ht="15">
      <c r="A132" s="172" t="s">
        <v>256</v>
      </c>
      <c r="B132" s="172"/>
      <c r="C132" s="172"/>
      <c r="D132" s="172"/>
      <c r="E132" s="172"/>
      <c r="F132" s="172"/>
      <c r="H132" s="8"/>
      <c r="J132" s="8">
        <f ca="1">TODAY()</f>
        <v>44700</v>
      </c>
      <c r="M132" t="str">
        <f>LEFT(M125,2)</f>
        <v>21</v>
      </c>
      <c r="N132" t="str">
        <f>RIGHT(M125,2)</f>
        <v>11</v>
      </c>
    </row>
    <row r="133" spans="1:20" ht="15">
      <c r="A133" s="172"/>
      <c r="B133" s="172"/>
      <c r="C133" s="172"/>
      <c r="D133" s="172"/>
      <c r="E133" s="172"/>
      <c r="F133" s="172"/>
      <c r="H133" s="108" t="s">
        <v>926</v>
      </c>
      <c r="J133" s="117">
        <f ca="1">NOW()</f>
        <v>44700.084397222221</v>
      </c>
    </row>
    <row r="134" spans="1:20" ht="15">
      <c r="A134" s="172" t="s">
        <v>253</v>
      </c>
      <c r="B134" s="172"/>
      <c r="C134" s="172"/>
      <c r="D134" s="172"/>
      <c r="E134" s="172"/>
      <c r="F134" s="172"/>
      <c r="H134" s="108" t="s">
        <v>925</v>
      </c>
      <c r="J134" s="8">
        <f ca="1">TODAY()</f>
        <v>44700</v>
      </c>
      <c r="M134">
        <v>1</v>
      </c>
      <c r="N134" t="s">
        <v>918</v>
      </c>
    </row>
    <row r="135" spans="1:20" ht="15">
      <c r="A135" s="172">
        <f>DATE(98,5,15)</f>
        <v>35930</v>
      </c>
      <c r="B135" s="172" t="s">
        <v>259</v>
      </c>
      <c r="C135" s="172"/>
      <c r="D135" s="172"/>
      <c r="E135" s="172"/>
      <c r="F135" s="172"/>
      <c r="M135">
        <v>2</v>
      </c>
      <c r="N135" t="s">
        <v>919</v>
      </c>
    </row>
    <row r="136" spans="1:20" ht="15">
      <c r="A136" s="172">
        <f>WEEKDAY(A135)</f>
        <v>6</v>
      </c>
      <c r="B136" s="172" t="s">
        <v>258</v>
      </c>
      <c r="C136" s="172"/>
      <c r="D136" s="172"/>
      <c r="E136" s="172"/>
      <c r="F136" s="172"/>
      <c r="H136" s="108" t="s">
        <v>927</v>
      </c>
      <c r="J136">
        <f ca="1">WEEKDAY(TODAY())</f>
        <v>5</v>
      </c>
      <c r="K136" t="str">
        <f ca="1">VLOOKUP(J136,M134:N140,2)</f>
        <v>Četvrtak</v>
      </c>
      <c r="M136">
        <v>3</v>
      </c>
      <c r="N136" t="s">
        <v>920</v>
      </c>
    </row>
    <row r="137" spans="1:20" ht="15">
      <c r="A137" s="172">
        <f>WEEKDAY(DATE(98,5,15))</f>
        <v>6</v>
      </c>
      <c r="B137" s="172"/>
      <c r="C137" s="172"/>
      <c r="D137" s="172"/>
      <c r="E137" s="172"/>
      <c r="F137" s="172"/>
      <c r="H137">
        <f>WEEKDAY(I137)</f>
        <v>6</v>
      </c>
      <c r="I137" s="192">
        <v>35930</v>
      </c>
      <c r="M137">
        <v>4</v>
      </c>
      <c r="N137" t="s">
        <v>921</v>
      </c>
      <c r="R137">
        <f>WEEKDAY(T137)</f>
        <v>4</v>
      </c>
      <c r="S137" s="108">
        <f>WEEKDAY(T137)</f>
        <v>4</v>
      </c>
      <c r="T137" s="192">
        <v>44699</v>
      </c>
    </row>
    <row r="138" spans="1:20" ht="15">
      <c r="A138" s="172"/>
      <c r="B138" s="172"/>
      <c r="C138" s="172"/>
      <c r="D138" s="172"/>
      <c r="E138" s="172"/>
      <c r="F138" s="172"/>
      <c r="H138" s="8">
        <f ca="1">NOW()</f>
        <v>44700.084397106482</v>
      </c>
      <c r="I138" s="108" t="s">
        <v>1281</v>
      </c>
      <c r="M138">
        <v>5</v>
      </c>
      <c r="N138" t="s">
        <v>922</v>
      </c>
      <c r="S138">
        <f>WEEKDAY(T137)</f>
        <v>4</v>
      </c>
    </row>
    <row r="139" spans="1:20" ht="15">
      <c r="A139" s="172" t="s">
        <v>421</v>
      </c>
      <c r="B139" s="172"/>
      <c r="C139" s="172"/>
      <c r="D139" s="172"/>
      <c r="E139" s="172"/>
      <c r="F139" s="172"/>
      <c r="H139" s="8">
        <f ca="1">TODAY()</f>
        <v>44700</v>
      </c>
      <c r="I139">
        <f>WEEKDAY(4335)</f>
        <v>2</v>
      </c>
      <c r="M139">
        <v>6</v>
      </c>
      <c r="N139" t="s">
        <v>923</v>
      </c>
    </row>
    <row r="140" spans="1:20" ht="15">
      <c r="A140" s="172"/>
      <c r="B140" s="172"/>
      <c r="C140" s="172"/>
      <c r="D140" s="172"/>
      <c r="E140" s="172"/>
      <c r="F140" s="172"/>
      <c r="M140">
        <v>7</v>
      </c>
      <c r="N140" t="s">
        <v>924</v>
      </c>
    </row>
    <row r="141" spans="1:20" ht="15">
      <c r="A141" s="172">
        <f>DATE(2001,3,13)-DATE(1960,3,21)</f>
        <v>14967</v>
      </c>
      <c r="B141" s="172" t="s">
        <v>260</v>
      </c>
      <c r="C141" s="172"/>
      <c r="D141" s="172">
        <f ca="1">NOW()-DATE(2004,1,1)</f>
        <v>6713.0843971064824</v>
      </c>
      <c r="E141" s="172"/>
      <c r="F141" s="172"/>
      <c r="I141" s="8">
        <f>DATE(2002,5,1)</f>
        <v>37377</v>
      </c>
      <c r="J141" s="108" t="s">
        <v>1282</v>
      </c>
    </row>
    <row r="142" spans="1:20">
      <c r="A142" s="41"/>
      <c r="B142" s="41"/>
      <c r="C142" s="41"/>
      <c r="D142" s="41"/>
      <c r="E142" s="41"/>
      <c r="F142" s="41"/>
      <c r="K142" s="108" t="s">
        <v>1283</v>
      </c>
      <c r="Q142" s="8">
        <f>DATE(2002,1,5)</f>
        <v>37261</v>
      </c>
      <c r="T142" s="192">
        <f>DATE(2022,5,18)</f>
        <v>44699</v>
      </c>
    </row>
    <row r="143" spans="1:20">
      <c r="A143" s="25" t="s">
        <v>261</v>
      </c>
      <c r="B143" s="25"/>
      <c r="C143" s="25"/>
      <c r="D143" s="25"/>
      <c r="E143" s="25"/>
      <c r="F143" s="25"/>
      <c r="I143" s="8">
        <f>DATE(1998,5,15)</f>
        <v>35930</v>
      </c>
      <c r="J143">
        <v>35930</v>
      </c>
      <c r="K143">
        <f>WEEKDAY(J143)</f>
        <v>6</v>
      </c>
      <c r="Q143" s="8">
        <f>DATE(2001,6,6)</f>
        <v>37048</v>
      </c>
    </row>
    <row r="144" spans="1:20">
      <c r="A144" s="25" t="s">
        <v>262</v>
      </c>
      <c r="B144" s="25"/>
      <c r="C144" s="25"/>
      <c r="D144" s="25"/>
      <c r="E144" s="25"/>
      <c r="F144" s="25"/>
      <c r="N144" s="192">
        <f>DATE(1960,3,21)</f>
        <v>21996</v>
      </c>
    </row>
    <row r="145" spans="1:14">
      <c r="A145" s="25" t="s">
        <v>263</v>
      </c>
      <c r="B145" s="25"/>
      <c r="C145" s="25"/>
      <c r="D145" s="25"/>
      <c r="E145" s="25"/>
      <c r="F145" s="25"/>
      <c r="N145" s="192">
        <f>DATE(2001,3,13)</f>
        <v>36963</v>
      </c>
    </row>
    <row r="146" spans="1:14">
      <c r="A146" s="25">
        <f>DEGREES(1)</f>
        <v>57.295779513082323</v>
      </c>
      <c r="B146" s="25" t="s">
        <v>264</v>
      </c>
      <c r="C146" s="25"/>
      <c r="D146" s="25">
        <v>100</v>
      </c>
      <c r="E146" s="25" t="s">
        <v>494</v>
      </c>
      <c r="F146" s="25"/>
      <c r="I146" s="8">
        <f>DATE(1960,3,21)</f>
        <v>21996</v>
      </c>
      <c r="J146">
        <f>I147-I146</f>
        <v>14967</v>
      </c>
      <c r="K146" s="117"/>
      <c r="N146">
        <f>N145-N144</f>
        <v>14967</v>
      </c>
    </row>
    <row r="147" spans="1:14">
      <c r="A147" s="25">
        <f>RADIANS(180)</f>
        <v>3.1415926535897931</v>
      </c>
      <c r="B147" s="25" t="s">
        <v>265</v>
      </c>
      <c r="C147" s="25"/>
      <c r="D147" s="25">
        <f>CONVERT(D146,"F","C")</f>
        <v>37.777777777777779</v>
      </c>
      <c r="E147" s="25"/>
      <c r="F147" s="25"/>
      <c r="I147" s="8">
        <f>DATE(2001,3,13)</f>
        <v>36963</v>
      </c>
    </row>
    <row r="148" spans="1:14">
      <c r="A148" s="25"/>
      <c r="B148" s="25"/>
      <c r="C148" s="25"/>
      <c r="D148" s="25"/>
      <c r="E148" s="25"/>
      <c r="F148" s="25"/>
      <c r="H148">
        <f>DEGREES(1)</f>
        <v>57.295779513082323</v>
      </c>
    </row>
    <row r="149" spans="1:14">
      <c r="A149" s="25">
        <f>DEGREES(3.14159)</f>
        <v>179.9998479605043</v>
      </c>
      <c r="B149" s="25"/>
      <c r="C149" s="25"/>
      <c r="D149" s="25">
        <f>CONVERT(0,"K","C")</f>
        <v>-273.14999999999998</v>
      </c>
      <c r="E149" s="25"/>
      <c r="F149" s="25"/>
      <c r="H149">
        <f>RADIANS(180)</f>
        <v>3.1415926535897931</v>
      </c>
    </row>
    <row r="150" spans="1:14">
      <c r="A150" s="25">
        <f>RADIANS(270)</f>
        <v>4.7123889803846897</v>
      </c>
      <c r="B150" s="25"/>
      <c r="C150" s="25"/>
      <c r="D150" s="25"/>
      <c r="E150" s="25"/>
      <c r="F150" s="25"/>
      <c r="J150">
        <f>RADIANS(1)</f>
        <v>1.7453292519943295E-2</v>
      </c>
      <c r="K150">
        <f>DEGREES(1)</f>
        <v>57.295779513082323</v>
      </c>
      <c r="L150" s="108" t="s">
        <v>1285</v>
      </c>
    </row>
    <row r="151" spans="1:14">
      <c r="B151" s="50"/>
      <c r="H151">
        <f>CONVERT(217,"C","F")</f>
        <v>422.6</v>
      </c>
      <c r="K151">
        <f>RADIANS(180)</f>
        <v>3.1415926535897931</v>
      </c>
      <c r="L151" s="108" t="s">
        <v>1284</v>
      </c>
    </row>
    <row r="153" spans="1:14">
      <c r="A153" s="25" t="s">
        <v>928</v>
      </c>
      <c r="B153" s="25"/>
      <c r="C153" s="25"/>
      <c r="D153" s="25"/>
      <c r="E153" s="25"/>
      <c r="F153" s="25"/>
      <c r="G153" s="25"/>
    </row>
    <row r="154" spans="1:14">
      <c r="A154" s="25" t="s">
        <v>1286</v>
      </c>
      <c r="B154" s="25"/>
      <c r="C154" s="25"/>
      <c r="D154" s="25"/>
      <c r="E154" s="25"/>
      <c r="F154" s="25"/>
      <c r="G154" s="25"/>
    </row>
    <row r="155" spans="1:14">
      <c r="A155" s="25" t="s">
        <v>808</v>
      </c>
      <c r="B155" s="25"/>
      <c r="C155" s="25"/>
      <c r="D155" s="25"/>
      <c r="E155" s="25"/>
      <c r="F155" s="25"/>
      <c r="G155" s="25"/>
    </row>
    <row r="156" spans="1:14">
      <c r="A156" s="25" t="s">
        <v>266</v>
      </c>
      <c r="B156" s="25"/>
      <c r="C156" s="25"/>
      <c r="D156" s="25"/>
      <c r="E156" s="25"/>
      <c r="F156" s="25"/>
      <c r="G156" s="25"/>
      <c r="H156" s="251">
        <f>$A$157</f>
        <v>1</v>
      </c>
    </row>
    <row r="157" spans="1:14">
      <c r="A157" s="25">
        <v>1</v>
      </c>
      <c r="B157" s="25"/>
      <c r="C157" s="25">
        <f>A157</f>
        <v>1</v>
      </c>
      <c r="D157" s="25">
        <f>$A$157</f>
        <v>1</v>
      </c>
      <c r="E157" s="25" t="s">
        <v>623</v>
      </c>
      <c r="F157" s="25"/>
      <c r="G157" s="25"/>
      <c r="I157">
        <v>1</v>
      </c>
      <c r="K157">
        <f>I157</f>
        <v>1</v>
      </c>
      <c r="L157">
        <f>$I$157</f>
        <v>1</v>
      </c>
    </row>
    <row r="158" spans="1:14">
      <c r="A158" s="25"/>
      <c r="B158" s="25"/>
      <c r="C158" s="25">
        <f>$C157:D$157</f>
        <v>1</v>
      </c>
      <c r="D158" s="25">
        <f>$C157:E$157</f>
        <v>1</v>
      </c>
      <c r="E158" s="25"/>
      <c r="F158" s="25"/>
      <c r="G158" s="25"/>
    </row>
    <row r="159" spans="1:14">
      <c r="A159" s="25"/>
      <c r="B159" s="25"/>
      <c r="C159" s="25"/>
      <c r="D159" s="25"/>
      <c r="E159" s="25"/>
      <c r="F159" s="25"/>
      <c r="G159" s="25"/>
      <c r="L159">
        <f>$I$157</f>
        <v>1</v>
      </c>
      <c r="M159">
        <f>K159</f>
        <v>0</v>
      </c>
    </row>
    <row r="160" spans="1:14">
      <c r="A160" s="25"/>
      <c r="B160" s="25"/>
      <c r="C160" s="25"/>
      <c r="D160" s="25">
        <f>B160</f>
        <v>0</v>
      </c>
      <c r="E160" s="25">
        <f>$A$157</f>
        <v>1</v>
      </c>
      <c r="F160" s="25" t="s">
        <v>267</v>
      </c>
      <c r="G160" s="25"/>
    </row>
    <row r="161" spans="1:12">
      <c r="L161">
        <f>$I$157</f>
        <v>1</v>
      </c>
    </row>
    <row r="162" spans="1:12">
      <c r="A162" s="2" t="s">
        <v>193</v>
      </c>
      <c r="B162" t="s">
        <v>194</v>
      </c>
    </row>
    <row r="163" spans="1:12">
      <c r="B163" t="s">
        <v>196</v>
      </c>
    </row>
    <row r="164" spans="1:12">
      <c r="B164" s="28">
        <v>30</v>
      </c>
      <c r="H164">
        <v>30</v>
      </c>
      <c r="J164">
        <v>30</v>
      </c>
    </row>
    <row r="165" spans="1:12">
      <c r="B165" s="28">
        <v>20</v>
      </c>
      <c r="H165">
        <v>20</v>
      </c>
      <c r="J165">
        <v>20</v>
      </c>
    </row>
    <row r="166" spans="1:12" ht="13.5" thickBot="1">
      <c r="A166" s="15" t="s">
        <v>321</v>
      </c>
      <c r="B166" s="28">
        <f>SUM(B164:B165)</f>
        <v>50</v>
      </c>
      <c r="D166" s="28">
        <f>SUM(D164:D165)</f>
        <v>0</v>
      </c>
      <c r="E166" s="108" t="s">
        <v>929</v>
      </c>
      <c r="H166">
        <f>SUM(H164:H165)</f>
        <v>50</v>
      </c>
      <c r="I166">
        <f>$H166</f>
        <v>50</v>
      </c>
      <c r="J166">
        <f>SUM(J164:J165)</f>
        <v>50</v>
      </c>
      <c r="L166">
        <f>SUM(L164:L165)</f>
        <v>0</v>
      </c>
    </row>
    <row r="167" spans="1:12" ht="13.5" thickBot="1">
      <c r="D167" s="97">
        <f>$B$166</f>
        <v>50</v>
      </c>
      <c r="E167" t="s">
        <v>195</v>
      </c>
      <c r="G167" s="41"/>
      <c r="H167" s="41"/>
      <c r="L167">
        <f>$J$166</f>
        <v>50</v>
      </c>
    </row>
    <row r="168" spans="1:12">
      <c r="G168" s="41"/>
      <c r="H168" s="41"/>
      <c r="I168">
        <f>SUM(I166:I167)</f>
        <v>50</v>
      </c>
      <c r="J168">
        <f>SUM(J166:J167)</f>
        <v>50</v>
      </c>
      <c r="K168">
        <f>$D167</f>
        <v>50</v>
      </c>
    </row>
    <row r="169" spans="1:12">
      <c r="A169" t="s">
        <v>276</v>
      </c>
      <c r="G169" s="41"/>
      <c r="I169">
        <f>$H166+$H$165</f>
        <v>70</v>
      </c>
    </row>
    <row r="170" spans="1:12" ht="14.25">
      <c r="A170" t="s">
        <v>272</v>
      </c>
      <c r="G170" t="s">
        <v>617</v>
      </c>
      <c r="H170" s="41"/>
    </row>
    <row r="172" spans="1:12">
      <c r="A172" s="15" t="s">
        <v>359</v>
      </c>
      <c r="B172" s="37">
        <v>1</v>
      </c>
      <c r="C172" s="45" t="s">
        <v>362</v>
      </c>
      <c r="D172" s="45" t="s">
        <v>363</v>
      </c>
      <c r="F172" s="98" t="s">
        <v>362</v>
      </c>
      <c r="G172" s="99">
        <v>1</v>
      </c>
      <c r="H172" s="99">
        <v>2</v>
      </c>
      <c r="I172" s="99">
        <v>3</v>
      </c>
    </row>
    <row r="173" spans="1:12">
      <c r="A173" s="15" t="s">
        <v>360</v>
      </c>
      <c r="B173" s="37">
        <v>-5</v>
      </c>
      <c r="C173" s="45">
        <v>1</v>
      </c>
      <c r="D173" s="40">
        <f>B$172*C173^2+B$173*C173+B$174</f>
        <v>0</v>
      </c>
      <c r="F173" s="98" t="s">
        <v>363</v>
      </c>
      <c r="G173" s="99">
        <f>$B172*G172^2+$B173*G172+$B174</f>
        <v>0</v>
      </c>
      <c r="H173" s="99">
        <f>$B172*H172^2+$B173*H172+$B174</f>
        <v>-2</v>
      </c>
      <c r="I173" s="99">
        <f>$B172*I172^2+$B173*I172+$B174</f>
        <v>-2</v>
      </c>
    </row>
    <row r="174" spans="1:12">
      <c r="A174" s="15" t="s">
        <v>361</v>
      </c>
      <c r="B174" s="37">
        <v>4</v>
      </c>
      <c r="C174" s="45">
        <v>2</v>
      </c>
      <c r="D174" s="40">
        <f t="shared" ref="D174:D180" si="0">B$172*C174^2+B$173*C174+B$174</f>
        <v>-2</v>
      </c>
    </row>
    <row r="175" spans="1:12" ht="14.25">
      <c r="A175" t="s">
        <v>617</v>
      </c>
      <c r="C175" s="45">
        <v>3</v>
      </c>
      <c r="D175" s="40">
        <f t="shared" si="0"/>
        <v>-2</v>
      </c>
      <c r="F175">
        <f>B$172*C173^2+B$173*C173+B$174</f>
        <v>0</v>
      </c>
    </row>
    <row r="176" spans="1:12">
      <c r="C176" s="45">
        <v>4</v>
      </c>
      <c r="D176" s="40">
        <f t="shared" si="0"/>
        <v>0</v>
      </c>
      <c r="F176">
        <f t="shared" ref="F176:F182" si="1">B$172*C174^2+B$173*C174+B$174</f>
        <v>-2</v>
      </c>
    </row>
    <row r="177" spans="1:6">
      <c r="C177" s="45">
        <v>5</v>
      </c>
      <c r="D177" s="40">
        <f t="shared" si="0"/>
        <v>4</v>
      </c>
      <c r="F177">
        <f t="shared" si="1"/>
        <v>-2</v>
      </c>
    </row>
    <row r="178" spans="1:6">
      <c r="C178" s="45">
        <v>6</v>
      </c>
      <c r="D178" s="40">
        <f t="shared" si="0"/>
        <v>10</v>
      </c>
      <c r="F178">
        <f t="shared" si="1"/>
        <v>0</v>
      </c>
    </row>
    <row r="179" spans="1:6">
      <c r="C179" s="45">
        <v>7</v>
      </c>
      <c r="D179" s="40">
        <f t="shared" si="0"/>
        <v>18</v>
      </c>
      <c r="F179">
        <f t="shared" si="1"/>
        <v>4</v>
      </c>
    </row>
    <row r="180" spans="1:6">
      <c r="C180" s="45">
        <v>8</v>
      </c>
      <c r="D180" s="40">
        <f t="shared" si="0"/>
        <v>28</v>
      </c>
      <c r="F180">
        <f t="shared" si="1"/>
        <v>10</v>
      </c>
    </row>
    <row r="181" spans="1:6">
      <c r="F181">
        <f t="shared" si="1"/>
        <v>18</v>
      </c>
    </row>
    <row r="182" spans="1:6">
      <c r="A182" t="s">
        <v>270</v>
      </c>
    </row>
    <row r="183" spans="1:6">
      <c r="A183" t="s">
        <v>271</v>
      </c>
    </row>
    <row r="184" spans="1:6">
      <c r="A184" t="s">
        <v>275</v>
      </c>
    </row>
    <row r="185" spans="1:6">
      <c r="B185" s="3"/>
      <c r="C185" s="207" t="s">
        <v>269</v>
      </c>
      <c r="D185" s="207"/>
      <c r="E185" s="207"/>
      <c r="F185" s="207"/>
    </row>
    <row r="186" spans="1:6">
      <c r="B186" s="3" t="s">
        <v>268</v>
      </c>
      <c r="C186" s="57">
        <v>0.05</v>
      </c>
      <c r="D186" s="57">
        <v>0.06</v>
      </c>
      <c r="E186" s="57">
        <v>7.0000000000000007E-2</v>
      </c>
      <c r="F186" s="57">
        <v>0.08</v>
      </c>
    </row>
    <row r="187" spans="1:6">
      <c r="B187" s="3">
        <v>100</v>
      </c>
      <c r="C187" s="28">
        <f>$B187*C$186</f>
        <v>5</v>
      </c>
      <c r="D187" s="28">
        <f>$B187*D$186</f>
        <v>6</v>
      </c>
      <c r="E187" s="28">
        <f>$B187*E$186</f>
        <v>7.0000000000000009</v>
      </c>
      <c r="F187" s="28">
        <f>$B187*F$186</f>
        <v>8</v>
      </c>
    </row>
    <row r="188" spans="1:6">
      <c r="B188" s="3">
        <v>200</v>
      </c>
      <c r="C188" s="28">
        <f>$B188*C$186</f>
        <v>10</v>
      </c>
      <c r="D188" s="28">
        <f t="shared" ref="D188:F190" si="2">$B188*D$186</f>
        <v>12</v>
      </c>
      <c r="E188" s="28">
        <f t="shared" si="2"/>
        <v>14.000000000000002</v>
      </c>
      <c r="F188" s="28">
        <f t="shared" si="2"/>
        <v>16</v>
      </c>
    </row>
    <row r="189" spans="1:6">
      <c r="B189" s="3">
        <v>300</v>
      </c>
      <c r="C189" s="28">
        <f t="shared" ref="C189:C190" si="3">$B189*C$186</f>
        <v>15</v>
      </c>
      <c r="D189" s="28">
        <f t="shared" si="2"/>
        <v>18</v>
      </c>
      <c r="E189" s="28">
        <f t="shared" si="2"/>
        <v>21.000000000000004</v>
      </c>
      <c r="F189" s="28">
        <f t="shared" si="2"/>
        <v>24</v>
      </c>
    </row>
    <row r="190" spans="1:6">
      <c r="B190" s="3">
        <v>400</v>
      </c>
      <c r="C190" s="28">
        <f t="shared" si="3"/>
        <v>20</v>
      </c>
      <c r="D190" s="28">
        <f t="shared" si="2"/>
        <v>24</v>
      </c>
      <c r="E190" s="28">
        <f t="shared" si="2"/>
        <v>28.000000000000004</v>
      </c>
      <c r="F190" s="28">
        <f t="shared" si="2"/>
        <v>32</v>
      </c>
    </row>
    <row r="193" spans="1:4">
      <c r="A193" t="s">
        <v>358</v>
      </c>
      <c r="B193" s="108" t="s">
        <v>930</v>
      </c>
    </row>
    <row r="194" spans="1:4">
      <c r="B194" t="s">
        <v>280</v>
      </c>
    </row>
    <row r="195" spans="1:4">
      <c r="B195" t="s">
        <v>281</v>
      </c>
    </row>
    <row r="197" spans="1:4">
      <c r="B197" t="s">
        <v>342</v>
      </c>
      <c r="C197" s="50" t="s">
        <v>273</v>
      </c>
    </row>
    <row r="198" spans="1:4">
      <c r="A198" s="3" t="s">
        <v>376</v>
      </c>
      <c r="B198" s="3">
        <v>1000</v>
      </c>
      <c r="C198" s="3" t="str">
        <f>IF(B198=B$203,"Dobra","Loša")</f>
        <v>Dobra</v>
      </c>
      <c r="D198" t="str">
        <f>IF(B198=Min,"dobra","losa")</f>
        <v>dobra</v>
      </c>
    </row>
    <row r="199" spans="1:4">
      <c r="A199" s="3" t="s">
        <v>377</v>
      </c>
      <c r="B199" s="3">
        <v>1394</v>
      </c>
      <c r="C199" s="3" t="str">
        <f>IF(B199=B$203,"Dobra","Loša")</f>
        <v>Loša</v>
      </c>
      <c r="D199" t="str">
        <f>IF(B199='Cetvrta-n.'!$B$203,"Dobra","Loša")</f>
        <v>Loša</v>
      </c>
    </row>
    <row r="200" spans="1:4">
      <c r="A200" s="3" t="s">
        <v>378</v>
      </c>
      <c r="B200" s="3">
        <v>1812</v>
      </c>
      <c r="C200" s="3" t="str">
        <f>IF(B200=B$203,"Dobra","Loša")</f>
        <v>Loša</v>
      </c>
      <c r="D200" t="str">
        <f>IF(B200=$B$203,"Dobra","Loša")</f>
        <v>Loša</v>
      </c>
    </row>
    <row r="201" spans="1:4">
      <c r="A201" s="3" t="s">
        <v>379</v>
      </c>
      <c r="B201" s="3">
        <v>1225</v>
      </c>
      <c r="C201" s="3" t="str">
        <f>IF(B201=B$203,"Dobra","Loša")</f>
        <v>Loša</v>
      </c>
      <c r="D201" t="str">
        <f>IF(B201=$B$203,"Dobra","Loša")</f>
        <v>Loša</v>
      </c>
    </row>
    <row r="203" spans="1:4">
      <c r="A203" s="15" t="s">
        <v>380</v>
      </c>
      <c r="B203" s="37">
        <f>MIN(B198:B201)</f>
        <v>1000</v>
      </c>
      <c r="C203" t="s">
        <v>274</v>
      </c>
    </row>
    <row r="204" spans="1:4">
      <c r="A204" s="15"/>
      <c r="B204" s="37"/>
    </row>
    <row r="206" spans="1:4">
      <c r="A206" s="54" t="s">
        <v>358</v>
      </c>
      <c r="B206" t="s">
        <v>570</v>
      </c>
    </row>
    <row r="207" spans="1:4">
      <c r="B207" t="s">
        <v>571</v>
      </c>
    </row>
    <row r="208" spans="1:4">
      <c r="B208" t="s">
        <v>278</v>
      </c>
    </row>
    <row r="209" spans="1:5">
      <c r="B209" t="s">
        <v>279</v>
      </c>
    </row>
    <row r="211" spans="1:5">
      <c r="A211" t="s">
        <v>624</v>
      </c>
      <c r="C211">
        <v>150000</v>
      </c>
    </row>
    <row r="212" spans="1:5">
      <c r="A212" t="s">
        <v>625</v>
      </c>
      <c r="C212" s="7">
        <v>5.5E-2</v>
      </c>
    </row>
    <row r="213" spans="1:5">
      <c r="A213" t="s">
        <v>626</v>
      </c>
      <c r="C213" s="7">
        <v>6.5000000000000002E-2</v>
      </c>
    </row>
    <row r="215" spans="1:5">
      <c r="C215" s="50" t="s">
        <v>277</v>
      </c>
      <c r="D215" s="43"/>
    </row>
    <row r="216" spans="1:5">
      <c r="A216" s="99" t="s">
        <v>627</v>
      </c>
      <c r="B216" s="99" t="s">
        <v>251</v>
      </c>
      <c r="C216" s="99" t="s">
        <v>628</v>
      </c>
      <c r="D216" s="99" t="s">
        <v>628</v>
      </c>
    </row>
    <row r="217" spans="1:5">
      <c r="A217" s="3" t="s">
        <v>629</v>
      </c>
      <c r="B217" s="3">
        <v>141000</v>
      </c>
      <c r="C217" s="28">
        <f>IF(B217&gt;=Planirano,B217*Nagradna,B217*Provizija)</f>
        <v>7755</v>
      </c>
      <c r="D217" s="28">
        <f>IF(B217&gt;=$C$211,B217*$C$213,B217*$C$212)</f>
        <v>7755</v>
      </c>
      <c r="E217">
        <f>IF(B217&lt;Planirano,Provizija*B217,Nagradna*B217)</f>
        <v>7755</v>
      </c>
    </row>
    <row r="218" spans="1:5">
      <c r="A218" s="3" t="s">
        <v>630</v>
      </c>
      <c r="B218" s="3">
        <v>154000</v>
      </c>
      <c r="C218" s="28">
        <f>IF(B218&gt;=Planirano,B218*Nagradna,B218*Provizija)</f>
        <v>10010</v>
      </c>
      <c r="D218" s="28">
        <f t="shared" ref="D218:D221" si="4">IF(B218&gt;=$C$211,B218*$C$213,B218*$C$212)</f>
        <v>10010</v>
      </c>
      <c r="E218">
        <f>IF(B218&lt;Planirano,Provizija*B218,Nagradna*B218)</f>
        <v>10010</v>
      </c>
    </row>
    <row r="219" spans="1:5">
      <c r="A219" s="3" t="s">
        <v>631</v>
      </c>
      <c r="B219" s="3">
        <v>131000</v>
      </c>
      <c r="C219" s="28">
        <f>IF(B219&gt;=Planirano,B219*Nagradna,B219*Provizija)</f>
        <v>7205</v>
      </c>
      <c r="D219" s="28">
        <f t="shared" si="4"/>
        <v>7205</v>
      </c>
      <c r="E219">
        <f>IF(B219&lt;Planirano,Provizija*B219,Nagradna*B219)</f>
        <v>7205</v>
      </c>
    </row>
    <row r="220" spans="1:5">
      <c r="A220" s="3" t="s">
        <v>589</v>
      </c>
      <c r="B220" s="3">
        <v>161000</v>
      </c>
      <c r="C220" s="28">
        <f>IF(B220&gt;=Planirano,B220*Nagradna,B220*Provizija)</f>
        <v>10465</v>
      </c>
      <c r="D220" s="28">
        <f t="shared" si="4"/>
        <v>10465</v>
      </c>
      <c r="E220">
        <f>IF(B220&lt;Planirano,Provizija*B220,Nagradna*B220)</f>
        <v>10465</v>
      </c>
    </row>
    <row r="221" spans="1:5">
      <c r="A221" s="3" t="s">
        <v>632</v>
      </c>
      <c r="B221" s="3">
        <v>148000</v>
      </c>
      <c r="C221" s="28">
        <f>IF(B221&gt;=Planirano,B221*Nagradna,B221*Provizija)</f>
        <v>8140</v>
      </c>
      <c r="D221" s="28">
        <f t="shared" si="4"/>
        <v>8140</v>
      </c>
      <c r="E221">
        <f>IF(B221&lt;Planirano,Provizija*B221,Nagradna*B221)</f>
        <v>8140</v>
      </c>
    </row>
  </sheetData>
  <mergeCells count="2">
    <mergeCell ref="C185:F185"/>
    <mergeCell ref="O57:P57"/>
  </mergeCells>
  <phoneticPr fontId="0" type="noConversion"/>
  <printOptions headings="1" gridLines="1"/>
  <pageMargins left="0.74803149606299213" right="0.74803149606299213" top="0.98425196850393704" bottom="0.98425196850393704" header="0.51181102362204722" footer="0.51181102362204722"/>
  <pageSetup orientation="portrait" horizontalDpi="300" verticalDpi="300" r:id="rId1"/>
  <headerFooter alignWithMargins="0">
    <oddHeader>&amp;LVježba 4&amp;R&amp;P</oddHeader>
  </headerFooter>
  <drawing r:id="rId2"/>
  <legacyDrawing r:id="rId3"/>
  <oleObjects>
    <mc:AlternateContent xmlns:mc="http://schemas.openxmlformats.org/markup-compatibility/2006">
      <mc:Choice Requires="x14">
        <oleObject progId="Equation.DSMT4" shapeId="18047" r:id="rId4">
          <objectPr defaultSize="0" autoPict="0" r:id="rId5">
            <anchor moveWithCells="1">
              <from>
                <xdr:col>4</xdr:col>
                <xdr:colOff>57150</xdr:colOff>
                <xdr:row>6</xdr:row>
                <xdr:rowOff>114300</xdr:rowOff>
              </from>
              <to>
                <xdr:col>5</xdr:col>
                <xdr:colOff>419100</xdr:colOff>
                <xdr:row>10</xdr:row>
                <xdr:rowOff>66675</xdr:rowOff>
              </to>
            </anchor>
          </objectPr>
        </oleObject>
      </mc:Choice>
      <mc:Fallback>
        <oleObject progId="Equation.DSMT4" shapeId="18047" r:id="rId4"/>
      </mc:Fallback>
    </mc:AlternateContent>
    <mc:AlternateContent xmlns:mc="http://schemas.openxmlformats.org/markup-compatibility/2006">
      <mc:Choice Requires="x14">
        <oleObject progId="Equation.DSMT4" shapeId="18048" r:id="rId6">
          <objectPr defaultSize="0" autoPict="0" r:id="rId7">
            <anchor moveWithCells="1" sizeWithCells="1">
              <from>
                <xdr:col>0</xdr:col>
                <xdr:colOff>66675</xdr:colOff>
                <xdr:row>14</xdr:row>
                <xdr:rowOff>66675</xdr:rowOff>
              </from>
              <to>
                <xdr:col>1</xdr:col>
                <xdr:colOff>38100</xdr:colOff>
                <xdr:row>17</xdr:row>
                <xdr:rowOff>28575</xdr:rowOff>
              </to>
            </anchor>
          </objectPr>
        </oleObject>
      </mc:Choice>
      <mc:Fallback>
        <oleObject progId="Equation.DSMT4" shapeId="18048" r:id="rId6"/>
      </mc:Fallback>
    </mc:AlternateContent>
    <mc:AlternateContent xmlns:mc="http://schemas.openxmlformats.org/markup-compatibility/2006">
      <mc:Choice Requires="x14">
        <oleObject progId="Equation.DSMT4" shapeId="18051" r:id="rId8">
          <objectPr defaultSize="0" autoPict="0" r:id="rId9">
            <anchor moveWithCells="1" sizeWithCells="1">
              <from>
                <xdr:col>0</xdr:col>
                <xdr:colOff>47625</xdr:colOff>
                <xdr:row>22</xdr:row>
                <xdr:rowOff>133350</xdr:rowOff>
              </from>
              <to>
                <xdr:col>1</xdr:col>
                <xdr:colOff>152400</xdr:colOff>
                <xdr:row>25</xdr:row>
                <xdr:rowOff>66675</xdr:rowOff>
              </to>
            </anchor>
          </objectPr>
        </oleObject>
      </mc:Choice>
      <mc:Fallback>
        <oleObject progId="Equation.DSMT4" shapeId="18051" r:id="rId8"/>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S202"/>
  <sheetViews>
    <sheetView topLeftCell="A16" workbookViewId="0">
      <selection activeCell="C58" sqref="C58"/>
    </sheetView>
  </sheetViews>
  <sheetFormatPr defaultRowHeight="12.75"/>
  <cols>
    <col min="1" max="1" width="12.140625" customWidth="1"/>
    <col min="2" max="2" width="12.85546875" customWidth="1"/>
    <col min="3" max="3" width="13.140625" customWidth="1"/>
    <col min="4" max="4" width="10.140625" bestFit="1" customWidth="1"/>
    <col min="5" max="5" width="10.42578125" bestFit="1" customWidth="1"/>
    <col min="6" max="6" width="11.7109375" bestFit="1" customWidth="1"/>
    <col min="7" max="7" width="10.5703125" bestFit="1" customWidth="1"/>
    <col min="8" max="9" width="11.28515625" bestFit="1" customWidth="1"/>
    <col min="10" max="10" width="10.28515625" bestFit="1" customWidth="1"/>
    <col min="11" max="11" width="9.7109375" bestFit="1" customWidth="1"/>
    <col min="19" max="19" width="12.140625" bestFit="1" customWidth="1"/>
  </cols>
  <sheetData>
    <row r="1" spans="1:10" ht="15.75">
      <c r="A1" s="69" t="s">
        <v>934</v>
      </c>
    </row>
    <row r="3" spans="1:10">
      <c r="A3" s="25" t="s">
        <v>423</v>
      </c>
      <c r="B3" s="25"/>
      <c r="C3" s="25"/>
      <c r="D3" s="25"/>
      <c r="E3" s="25"/>
    </row>
    <row r="4" spans="1:10">
      <c r="A4" s="25" t="s">
        <v>381</v>
      </c>
      <c r="B4" s="25"/>
      <c r="C4" s="25"/>
      <c r="D4" s="25"/>
      <c r="E4" s="25"/>
    </row>
    <row r="5" spans="1:10">
      <c r="A5" s="25" t="s">
        <v>935</v>
      </c>
      <c r="B5" s="25"/>
      <c r="C5" s="25"/>
      <c r="D5" s="25"/>
      <c r="E5" s="25"/>
    </row>
    <row r="6" spans="1:10">
      <c r="A6" s="25" t="s">
        <v>382</v>
      </c>
      <c r="B6" s="25"/>
      <c r="C6" s="25"/>
      <c r="D6" s="25"/>
      <c r="E6" s="25"/>
    </row>
    <row r="7" spans="1:10">
      <c r="A7" s="25" t="s">
        <v>168</v>
      </c>
      <c r="B7" s="25"/>
      <c r="C7" s="25"/>
      <c r="D7" s="25"/>
      <c r="E7" s="25"/>
    </row>
    <row r="8" spans="1:10">
      <c r="A8" s="25" t="s">
        <v>169</v>
      </c>
      <c r="B8" s="25"/>
      <c r="C8" s="25"/>
      <c r="D8" s="25"/>
      <c r="E8" s="25"/>
      <c r="G8" s="109"/>
    </row>
    <row r="9" spans="1:10">
      <c r="A9" s="25" t="s">
        <v>941</v>
      </c>
      <c r="B9" s="25"/>
      <c r="C9" s="25"/>
      <c r="D9" s="25"/>
      <c r="E9" s="25"/>
    </row>
    <row r="10" spans="1:10">
      <c r="A10" s="25"/>
      <c r="B10" s="25" t="s">
        <v>170</v>
      </c>
      <c r="C10" s="25"/>
      <c r="D10" s="25"/>
      <c r="E10" s="25"/>
    </row>
    <row r="12" spans="1:10" ht="15">
      <c r="A12" s="172" t="s">
        <v>171</v>
      </c>
      <c r="B12" s="172"/>
      <c r="C12" s="172"/>
      <c r="D12" s="172"/>
      <c r="E12" s="172"/>
    </row>
    <row r="13" spans="1:10" ht="15">
      <c r="A13" s="172" t="s">
        <v>936</v>
      </c>
      <c r="B13" s="172"/>
      <c r="C13" s="172"/>
      <c r="D13" s="172"/>
      <c r="E13" s="172"/>
      <c r="H13" s="178">
        <f>PV(0.5%,5*12,,10000)</f>
        <v>-7413.7219624434711</v>
      </c>
    </row>
    <row r="15" spans="1:10">
      <c r="A15" s="50" t="s">
        <v>172</v>
      </c>
    </row>
    <row r="16" spans="1:10">
      <c r="A16" s="50" t="s">
        <v>383</v>
      </c>
      <c r="C16" s="59">
        <f>PV(0.5%,60,0,10000)</f>
        <v>-7413.7219624434711</v>
      </c>
      <c r="E16" s="50" t="s">
        <v>243</v>
      </c>
      <c r="F16" s="178">
        <f>PV(0.5%,60,0,10000)</f>
        <v>-7413.7219624434711</v>
      </c>
      <c r="H16" s="178">
        <f>PV(0.5%,5*12,,10000)</f>
        <v>-7413.7219624434711</v>
      </c>
      <c r="J16" s="178">
        <f>PV(0.5%,5*12,,10000,0)</f>
        <v>-7413.7219624434711</v>
      </c>
    </row>
    <row r="17" spans="1:11">
      <c r="A17" s="50" t="s">
        <v>384</v>
      </c>
    </row>
    <row r="19" spans="1:11" ht="15">
      <c r="A19" s="172" t="s">
        <v>607</v>
      </c>
      <c r="B19" s="172"/>
      <c r="C19" s="172"/>
      <c r="D19" s="172"/>
      <c r="E19" s="172"/>
      <c r="F19" s="172"/>
    </row>
    <row r="20" spans="1:11" ht="15">
      <c r="A20" s="172" t="s">
        <v>385</v>
      </c>
      <c r="B20" s="172"/>
      <c r="C20" s="172"/>
      <c r="D20" s="172"/>
      <c r="E20" s="172"/>
      <c r="F20" s="172"/>
      <c r="J20" s="178">
        <f>PV(1%,12,-100,,1)</f>
        <v>1136.762824821948</v>
      </c>
    </row>
    <row r="21" spans="1:11" ht="15">
      <c r="A21" s="172" t="s">
        <v>173</v>
      </c>
      <c r="B21" s="172"/>
      <c r="C21" s="172"/>
      <c r="D21" s="172"/>
      <c r="E21" s="172"/>
      <c r="F21" s="172"/>
      <c r="H21" s="178">
        <f>PV(1%,12,-100,,1)</f>
        <v>1136.762824821948</v>
      </c>
    </row>
    <row r="22" spans="1:11" ht="15">
      <c r="A22" s="172" t="s">
        <v>937</v>
      </c>
      <c r="B22" s="172"/>
      <c r="C22" s="172"/>
      <c r="D22" s="172"/>
      <c r="E22" s="172"/>
      <c r="F22" s="172"/>
      <c r="I22" s="178">
        <f>PV(1%,12,-100,,0)</f>
        <v>1125.5077473484635</v>
      </c>
    </row>
    <row r="23" spans="1:11">
      <c r="I23" s="178">
        <f>PV(1%,12,-100,,1)</f>
        <v>1136.762824821948</v>
      </c>
    </row>
    <row r="24" spans="1:11">
      <c r="A24" s="50" t="s">
        <v>940</v>
      </c>
    </row>
    <row r="25" spans="1:11">
      <c r="A25" s="50" t="s">
        <v>386</v>
      </c>
    </row>
    <row r="26" spans="1:11">
      <c r="A26" s="50" t="s">
        <v>387</v>
      </c>
      <c r="J26" s="178">
        <f>PV(1%,12,-100,0,0)</f>
        <v>1125.5077473484635</v>
      </c>
    </row>
    <row r="27" spans="1:11">
      <c r="A27" s="6"/>
      <c r="C27" s="59">
        <f>PV(1%,12,-100,0,0)</f>
        <v>1125.5077473484635</v>
      </c>
      <c r="E27" s="50" t="s">
        <v>174</v>
      </c>
      <c r="H27" s="178">
        <f>PV(1%,12,-100,0,0)</f>
        <v>1125.5077473484635</v>
      </c>
      <c r="J27" s="178">
        <f>PV(1%,12,-100,0,1)</f>
        <v>1136.762824821948</v>
      </c>
      <c r="K27" t="s">
        <v>1290</v>
      </c>
    </row>
    <row r="28" spans="1:11">
      <c r="C28" s="59">
        <f>PV(1%,12,-100,0,1)</f>
        <v>1136.762824821948</v>
      </c>
      <c r="E28" s="108" t="s">
        <v>942</v>
      </c>
      <c r="H28" s="178">
        <f>PV(1%,12,-100,0,1)</f>
        <v>1136.762824821948</v>
      </c>
    </row>
    <row r="30" spans="1:11" ht="15">
      <c r="A30" s="172" t="s">
        <v>175</v>
      </c>
      <c r="B30" s="172"/>
      <c r="C30" s="172"/>
      <c r="D30" s="172"/>
      <c r="E30" s="172"/>
    </row>
    <row r="31" spans="1:11" ht="15">
      <c r="A31" s="172" t="s">
        <v>939</v>
      </c>
      <c r="B31" s="172"/>
      <c r="C31" s="172"/>
      <c r="D31" s="172"/>
      <c r="E31" s="172"/>
    </row>
    <row r="32" spans="1:11" ht="15">
      <c r="A32" s="172" t="s">
        <v>176</v>
      </c>
      <c r="B32" s="172"/>
      <c r="C32" s="172"/>
      <c r="D32" s="172"/>
      <c r="E32" s="172"/>
    </row>
    <row r="33" spans="1:11" ht="15">
      <c r="A33" s="172" t="s">
        <v>938</v>
      </c>
      <c r="B33" s="172"/>
      <c r="C33" s="172"/>
      <c r="D33" s="172"/>
      <c r="E33" s="172"/>
      <c r="G33" s="178">
        <f>PV(1%,5*12,-100,10000,0)</f>
        <v>-1008.9923187551934</v>
      </c>
    </row>
    <row r="34" spans="1:11">
      <c r="A34" s="50" t="s">
        <v>940</v>
      </c>
    </row>
    <row r="35" spans="1:11">
      <c r="A35" s="50" t="s">
        <v>172</v>
      </c>
      <c r="C35" s="59">
        <f>PV(1%,5*12,-100,10000,0)</f>
        <v>-1008.9923187551934</v>
      </c>
      <c r="E35" s="50" t="s">
        <v>243</v>
      </c>
      <c r="F35" s="178">
        <f>PV(1%,5*12,-100,10000,0)</f>
        <v>-1008.9923187551934</v>
      </c>
      <c r="H35" s="178">
        <f>PV(1%,5*12,-100,10000,0)</f>
        <v>-1008.9923187551934</v>
      </c>
      <c r="I35" s="178">
        <f>PV(1%,5*12,-100,10000,0)</f>
        <v>-1008.9923187551934</v>
      </c>
      <c r="K35" s="178">
        <f>PV(1%,5*12,-100,10000,0)</f>
        <v>-1008.9923187551934</v>
      </c>
    </row>
    <row r="36" spans="1:11">
      <c r="A36" s="50" t="s">
        <v>384</v>
      </c>
      <c r="I36" s="178">
        <f>PV(1%,5*12,-100,10000,0)</f>
        <v>-1008.9923187551934</v>
      </c>
      <c r="J36" s="108"/>
    </row>
    <row r="37" spans="1:11">
      <c r="A37" s="50" t="s">
        <v>386</v>
      </c>
    </row>
    <row r="38" spans="1:11">
      <c r="A38" s="50" t="s">
        <v>388</v>
      </c>
    </row>
    <row r="40" spans="1:11" ht="15">
      <c r="A40" s="172" t="s">
        <v>177</v>
      </c>
      <c r="B40" s="172"/>
      <c r="C40" s="172"/>
      <c r="D40" s="172"/>
      <c r="E40" s="172"/>
      <c r="F40" s="172"/>
    </row>
    <row r="41" spans="1:11" ht="15">
      <c r="A41" s="172" t="s">
        <v>389</v>
      </c>
      <c r="B41" s="172"/>
      <c r="C41" s="172"/>
      <c r="D41" s="172"/>
      <c r="E41" s="172"/>
      <c r="F41" s="172"/>
    </row>
    <row r="42" spans="1:11" ht="15">
      <c r="A42" s="172" t="s">
        <v>390</v>
      </c>
      <c r="B42" s="172"/>
      <c r="C42" s="172"/>
      <c r="D42" s="172"/>
      <c r="E42" s="172"/>
      <c r="F42" s="172"/>
    </row>
    <row r="43" spans="1:11" ht="15">
      <c r="A43" s="172"/>
      <c r="B43" s="172"/>
      <c r="C43" s="172"/>
      <c r="D43" s="172"/>
      <c r="E43" s="172"/>
      <c r="F43" s="172"/>
    </row>
    <row r="44" spans="1:11" ht="15">
      <c r="A44" s="172" t="s">
        <v>178</v>
      </c>
      <c r="B44" s="172"/>
      <c r="C44" s="172"/>
      <c r="D44" s="172"/>
      <c r="E44" s="172"/>
      <c r="F44" s="172"/>
    </row>
    <row r="45" spans="1:11" ht="15">
      <c r="A45" s="172" t="s">
        <v>943</v>
      </c>
      <c r="B45" s="172"/>
      <c r="C45" s="172"/>
      <c r="D45" s="172"/>
      <c r="E45" s="172"/>
      <c r="F45" s="172"/>
      <c r="H45" s="178">
        <f>FV(5%,6,,-1000)</f>
        <v>1340.095640625</v>
      </c>
    </row>
    <row r="46" spans="1:11" ht="15">
      <c r="A46" s="172" t="s">
        <v>973</v>
      </c>
      <c r="B46" s="172"/>
      <c r="C46" s="172"/>
      <c r="D46" s="172"/>
      <c r="E46" s="172"/>
      <c r="F46" s="172"/>
    </row>
    <row r="47" spans="1:11">
      <c r="A47" s="50" t="s">
        <v>391</v>
      </c>
    </row>
    <row r="48" spans="1:11">
      <c r="A48" s="50" t="s">
        <v>424</v>
      </c>
      <c r="C48" s="59">
        <f>FV(5%,6,0,-1000)</f>
        <v>1340.095640625</v>
      </c>
      <c r="E48" s="50" t="s">
        <v>243</v>
      </c>
      <c r="F48" s="178">
        <f>FV(5%,6,0,-1000)</f>
        <v>1340.095640625</v>
      </c>
      <c r="I48" s="178">
        <f>FV(5%,4,,-1000)</f>
        <v>1215.5062499999999</v>
      </c>
    </row>
    <row r="49" spans="1:11">
      <c r="A49" s="50" t="s">
        <v>946</v>
      </c>
    </row>
    <row r="50" spans="1:11">
      <c r="A50" s="50" t="s">
        <v>425</v>
      </c>
      <c r="C50" s="109"/>
    </row>
    <row r="53" spans="1:11" ht="15">
      <c r="A53" s="172" t="s">
        <v>607</v>
      </c>
      <c r="B53" s="172"/>
      <c r="C53" s="172"/>
      <c r="D53" s="172"/>
      <c r="E53" s="172"/>
      <c r="F53" s="172"/>
    </row>
    <row r="54" spans="1:11" ht="15">
      <c r="A54" s="172" t="s">
        <v>179</v>
      </c>
      <c r="B54" s="172"/>
      <c r="C54" s="172"/>
      <c r="D54" s="172"/>
      <c r="E54" s="172"/>
      <c r="F54" s="172"/>
    </row>
    <row r="55" spans="1:11" ht="15">
      <c r="A55" s="172" t="s">
        <v>951</v>
      </c>
      <c r="B55" s="172"/>
      <c r="C55" s="172"/>
      <c r="D55" s="172"/>
      <c r="E55" s="172"/>
      <c r="F55" s="172"/>
    </row>
    <row r="56" spans="1:11">
      <c r="I56" s="178">
        <f>FV(5%,6,-200,0,1)</f>
        <v>1428.4016906249999</v>
      </c>
    </row>
    <row r="57" spans="1:11">
      <c r="A57" s="50" t="s">
        <v>391</v>
      </c>
      <c r="K57" s="178">
        <f>FV(5%,6,-200,,1)</f>
        <v>1428.4016906249999</v>
      </c>
    </row>
    <row r="58" spans="1:11">
      <c r="A58" s="50" t="s">
        <v>424</v>
      </c>
      <c r="C58" s="59">
        <f>FV(5%,6,-200,0,1)</f>
        <v>1428.4016906249999</v>
      </c>
      <c r="E58" s="50" t="s">
        <v>243</v>
      </c>
      <c r="F58" s="178">
        <f>FV(5%,6,-200,0,1)</f>
        <v>1428.4016906249999</v>
      </c>
      <c r="H58" s="178" t="e">
        <f>[1]Sheet1!$C$6:$K$14</f>
        <v>#VALUE!</v>
      </c>
    </row>
    <row r="59" spans="1:11">
      <c r="A59" s="50" t="s">
        <v>426</v>
      </c>
    </row>
    <row r="60" spans="1:11">
      <c r="A60" s="50" t="s">
        <v>425</v>
      </c>
    </row>
    <row r="61" spans="1:11">
      <c r="A61" s="50" t="s">
        <v>947</v>
      </c>
      <c r="C61" s="109"/>
    </row>
    <row r="63" spans="1:11">
      <c r="A63" s="25" t="s">
        <v>175</v>
      </c>
      <c r="B63" s="25"/>
      <c r="C63" s="25"/>
      <c r="D63" s="25"/>
      <c r="E63" s="25"/>
    </row>
    <row r="64" spans="1:11">
      <c r="A64" s="25" t="s">
        <v>180</v>
      </c>
      <c r="B64" s="25"/>
      <c r="C64" s="25"/>
      <c r="D64" s="25"/>
      <c r="E64" s="25"/>
      <c r="H64" s="178">
        <f>FV(0.5%,18,-200,-2000,0)</f>
        <v>5945.01546183764</v>
      </c>
    </row>
    <row r="65" spans="1:9">
      <c r="A65" s="25" t="s">
        <v>181</v>
      </c>
      <c r="B65" s="25"/>
      <c r="C65" s="25"/>
      <c r="D65" s="25"/>
      <c r="E65" s="25"/>
    </row>
    <row r="66" spans="1:9">
      <c r="A66" s="25" t="s">
        <v>944</v>
      </c>
      <c r="B66" s="25"/>
      <c r="C66" s="25"/>
      <c r="D66" s="25"/>
      <c r="E66" s="25"/>
    </row>
    <row r="67" spans="1:9">
      <c r="A67" s="50" t="s">
        <v>948</v>
      </c>
      <c r="I67" s="178">
        <f>FV(0.5%,18,-200,-2000)</f>
        <v>5945.01546183764</v>
      </c>
    </row>
    <row r="68" spans="1:9">
      <c r="A68" s="50" t="s">
        <v>949</v>
      </c>
      <c r="C68" s="59">
        <f>FV(0.5%,18,-200,-2000,0)</f>
        <v>5945.01546183764</v>
      </c>
      <c r="E68" s="50" t="s">
        <v>243</v>
      </c>
    </row>
    <row r="69" spans="1:9">
      <c r="A69" s="50" t="s">
        <v>388</v>
      </c>
    </row>
    <row r="70" spans="1:9">
      <c r="A70" s="50" t="s">
        <v>427</v>
      </c>
      <c r="C70" s="109">
        <f>FV(0.5%,18,-200,-2000,0)</f>
        <v>5945.01546183764</v>
      </c>
    </row>
    <row r="71" spans="1:9">
      <c r="A71" s="50" t="s">
        <v>428</v>
      </c>
    </row>
    <row r="72" spans="1:9">
      <c r="A72" s="50"/>
    </row>
    <row r="73" spans="1:9">
      <c r="A73" s="108" t="s">
        <v>945</v>
      </c>
    </row>
    <row r="75" spans="1:9">
      <c r="A75" s="55" t="s">
        <v>429</v>
      </c>
      <c r="B75" s="43">
        <v>-2000</v>
      </c>
    </row>
    <row r="76" spans="1:9">
      <c r="A76" s="55" t="s">
        <v>430</v>
      </c>
      <c r="B76" s="43">
        <v>-200</v>
      </c>
      <c r="C76" s="178">
        <f>FV(B78,B79,-B75,-B76,B77)</f>
        <v>-37790.361614938658</v>
      </c>
      <c r="G76" s="178">
        <f>FV(B78,B79,B76,B75,B77)</f>
        <v>5945.01546183764</v>
      </c>
    </row>
    <row r="77" spans="1:9">
      <c r="A77" s="55" t="s">
        <v>431</v>
      </c>
      <c r="B77" s="43">
        <v>0</v>
      </c>
    </row>
    <row r="78" spans="1:9">
      <c r="A78" s="55" t="s">
        <v>432</v>
      </c>
      <c r="B78" s="58">
        <v>5.0000000000000001E-3</v>
      </c>
    </row>
    <row r="79" spans="1:9">
      <c r="A79" s="55" t="s">
        <v>433</v>
      </c>
      <c r="B79" s="43">
        <v>18</v>
      </c>
    </row>
    <row r="81" spans="1:10">
      <c r="A81" s="56" t="s">
        <v>434</v>
      </c>
      <c r="B81" s="59">
        <f>FV(B78,B79,-B76,-B75,B77)</f>
        <v>-5945.01546183764</v>
      </c>
      <c r="D81" s="50" t="s">
        <v>243</v>
      </c>
    </row>
    <row r="83" spans="1:10">
      <c r="A83" s="5" t="s">
        <v>197</v>
      </c>
    </row>
    <row r="84" spans="1:10">
      <c r="A84" s="50" t="s">
        <v>435</v>
      </c>
    </row>
    <row r="85" spans="1:10">
      <c r="A85" s="50" t="s">
        <v>182</v>
      </c>
    </row>
    <row r="87" spans="1:10">
      <c r="A87" s="25" t="s">
        <v>178</v>
      </c>
      <c r="B87" s="25"/>
      <c r="C87" s="25"/>
      <c r="D87" s="25"/>
      <c r="E87" s="25"/>
      <c r="F87" s="25"/>
    </row>
    <row r="88" spans="1:10">
      <c r="A88" s="25" t="s">
        <v>183</v>
      </c>
      <c r="B88" s="25"/>
      <c r="C88" s="25"/>
      <c r="D88" s="25"/>
      <c r="E88" s="25"/>
      <c r="F88" s="25"/>
    </row>
    <row r="89" spans="1:10">
      <c r="A89" s="25" t="s">
        <v>950</v>
      </c>
      <c r="B89" s="25"/>
      <c r="C89" s="25"/>
      <c r="D89" s="25"/>
      <c r="E89" s="25"/>
      <c r="F89" s="25"/>
    </row>
    <row r="90" spans="1:10">
      <c r="A90" s="25" t="s">
        <v>184</v>
      </c>
      <c r="B90" s="25"/>
      <c r="C90" s="25"/>
      <c r="D90" s="25"/>
      <c r="E90" s="25"/>
      <c r="F90" s="25"/>
      <c r="I90" s="178">
        <f>PMT(1%,60,10000,,0)</f>
        <v>-222.44447684901775</v>
      </c>
      <c r="J90" s="178">
        <f>PMT(1%,5*12,10000,,0)</f>
        <v>-222.44447684901775</v>
      </c>
    </row>
    <row r="92" spans="1:10">
      <c r="A92" s="50" t="s">
        <v>185</v>
      </c>
      <c r="C92" s="59">
        <f>PMT(1%,5*12,10000,,0)</f>
        <v>-222.44447684901775</v>
      </c>
      <c r="E92" s="50" t="s">
        <v>243</v>
      </c>
      <c r="F92" s="178">
        <f>PMT(1%,60,-10000,0,0)</f>
        <v>222.44447684901775</v>
      </c>
    </row>
    <row r="93" spans="1:10">
      <c r="A93" s="50" t="s">
        <v>436</v>
      </c>
      <c r="C93" s="6"/>
    </row>
    <row r="94" spans="1:10">
      <c r="A94" s="50" t="s">
        <v>437</v>
      </c>
      <c r="C94" s="110"/>
    </row>
    <row r="95" spans="1:10">
      <c r="A95" s="50" t="s">
        <v>438</v>
      </c>
    </row>
    <row r="100" spans="1:13">
      <c r="A100" t="s">
        <v>607</v>
      </c>
    </row>
    <row r="101" spans="1:13">
      <c r="A101" s="25" t="s">
        <v>187</v>
      </c>
      <c r="B101" s="25"/>
      <c r="C101" s="25"/>
      <c r="D101" s="25"/>
      <c r="E101" s="25"/>
      <c r="I101" s="178">
        <f>PMT(6%/12,18*12,-7000,30000,1)</f>
        <v>-24.256053730622682</v>
      </c>
    </row>
    <row r="102" spans="1:13">
      <c r="A102" s="25" t="s">
        <v>186</v>
      </c>
      <c r="B102" s="25"/>
      <c r="C102" s="25"/>
      <c r="D102" s="25"/>
      <c r="E102" s="25"/>
      <c r="I102" s="108" t="s">
        <v>1291</v>
      </c>
      <c r="M102" s="178">
        <f>PMT(6%/12,18*12,,20000,1)</f>
        <v>-51.375586415120743</v>
      </c>
    </row>
    <row r="103" spans="1:13">
      <c r="A103" s="25" t="s">
        <v>952</v>
      </c>
      <c r="B103" s="25"/>
      <c r="C103" s="25"/>
      <c r="D103" s="25"/>
      <c r="E103" s="25"/>
      <c r="I103" s="108" t="s">
        <v>1292</v>
      </c>
    </row>
    <row r="105" spans="1:13">
      <c r="A105" s="50" t="s">
        <v>439</v>
      </c>
      <c r="D105" s="66"/>
      <c r="E105" s="109"/>
    </row>
    <row r="106" spans="1:13">
      <c r="A106" s="50" t="s">
        <v>440</v>
      </c>
      <c r="I106" s="178">
        <f>PMT(6%/12,18*12,,20000,1)</f>
        <v>-51.375586415120743</v>
      </c>
    </row>
    <row r="107" spans="1:13">
      <c r="A107" s="50" t="s">
        <v>441</v>
      </c>
      <c r="B107" s="50" t="s">
        <v>189</v>
      </c>
      <c r="C107" s="59">
        <f>PMT(6%/12,18*12,,20000,1)</f>
        <v>-51.375586415120743</v>
      </c>
      <c r="E107" s="50" t="s">
        <v>243</v>
      </c>
      <c r="F107" s="178">
        <f>PMT(6%/12,18*12,0,20000,1)</f>
        <v>-51.375586415120743</v>
      </c>
      <c r="H107" s="178">
        <f>PMT(6%/12,18*12,-7000,30000,1)</f>
        <v>-24.256053730622682</v>
      </c>
    </row>
    <row r="108" spans="1:13">
      <c r="A108" s="50" t="s">
        <v>188</v>
      </c>
    </row>
    <row r="109" spans="1:13">
      <c r="A109" s="50" t="s">
        <v>442</v>
      </c>
    </row>
    <row r="111" spans="1:13">
      <c r="A111" s="25" t="s">
        <v>953</v>
      </c>
      <c r="B111" s="25"/>
      <c r="C111" s="25"/>
      <c r="D111" s="25"/>
      <c r="E111" s="25"/>
    </row>
    <row r="113" spans="1:19">
      <c r="A113" s="50" t="s">
        <v>443</v>
      </c>
      <c r="C113" s="59" t="b">
        <f>I102=PMT(6%/12,18*12,-5000,20000,1)</f>
        <v>0</v>
      </c>
      <c r="E113" s="50" t="s">
        <v>243</v>
      </c>
      <c r="G113" s="178">
        <f>PMT(6%/12,18*12,-5000,20000,1)</f>
        <v>-13.656067920793289</v>
      </c>
      <c r="J113" s="178">
        <f>PMT(6%/12,18*12,-5000,20000,1)</f>
        <v>-13.656067920793289</v>
      </c>
    </row>
    <row r="115" spans="1:19">
      <c r="A115" s="2" t="s">
        <v>954</v>
      </c>
      <c r="N115" t="e">
        <f>MOD(A1,A2)</f>
        <v>#VALUE!</v>
      </c>
      <c r="S115" s="179">
        <v>17341</v>
      </c>
    </row>
    <row r="116" spans="1:19">
      <c r="A116" s="50" t="s">
        <v>444</v>
      </c>
    </row>
    <row r="117" spans="1:19">
      <c r="A117" s="50" t="s">
        <v>445</v>
      </c>
    </row>
    <row r="118" spans="1:19">
      <c r="A118" s="50" t="s">
        <v>955</v>
      </c>
    </row>
    <row r="120" spans="1:19" ht="15">
      <c r="A120" s="172" t="s">
        <v>446</v>
      </c>
      <c r="B120" s="172"/>
      <c r="C120" s="172"/>
      <c r="D120" s="172"/>
      <c r="E120" s="172"/>
      <c r="F120" s="172"/>
    </row>
    <row r="121" spans="1:19" ht="15">
      <c r="A121" s="172" t="s">
        <v>959</v>
      </c>
      <c r="B121" s="172"/>
      <c r="C121" s="172"/>
      <c r="D121" s="172"/>
      <c r="E121" s="172"/>
      <c r="F121" s="172"/>
      <c r="H121" s="62">
        <f>RATE(12,-500,4000,,1)</f>
        <v>8.4073683577053582E-2</v>
      </c>
    </row>
    <row r="122" spans="1:19" ht="15">
      <c r="A122" s="172" t="s">
        <v>958</v>
      </c>
      <c r="B122" s="172"/>
      <c r="C122" s="172"/>
      <c r="D122" s="172"/>
      <c r="E122" s="172"/>
      <c r="F122" s="172"/>
    </row>
    <row r="123" spans="1:19" ht="13.5" thickBot="1">
      <c r="H123" s="62">
        <f>RATE(12,-500,5000,,0)</f>
        <v>2.9228540769137404E-2</v>
      </c>
    </row>
    <row r="124" spans="1:19" ht="13.5" thickBot="1">
      <c r="A124" s="50" t="s">
        <v>447</v>
      </c>
      <c r="C124" s="121">
        <f>RATE(12,-500,5000)</f>
        <v>2.9228540769137404E-2</v>
      </c>
      <c r="E124" s="50" t="s">
        <v>174</v>
      </c>
      <c r="H124" s="62">
        <f>RATE(12,-500,5000,,1)</f>
        <v>3.5031530362277373E-2</v>
      </c>
    </row>
    <row r="125" spans="1:19">
      <c r="A125" s="50" t="s">
        <v>448</v>
      </c>
      <c r="C125" s="7">
        <f>RATE(12,-500,5000,,1)</f>
        <v>3.5031530362277373E-2</v>
      </c>
      <c r="E125" s="50"/>
      <c r="F125" s="62">
        <f>RATE(12,-500,5000,,0)</f>
        <v>2.9228540769137404E-2</v>
      </c>
    </row>
    <row r="126" spans="1:19">
      <c r="A126" s="50" t="s">
        <v>388</v>
      </c>
      <c r="C126" s="62">
        <f>RATE(12,-500,5000,0,0)</f>
        <v>2.9228540769137404E-2</v>
      </c>
      <c r="F126" s="62">
        <f>RATE(12,-500,5000,,1)</f>
        <v>3.5031530362277373E-2</v>
      </c>
    </row>
    <row r="127" spans="1:19">
      <c r="A127" s="50" t="s">
        <v>387</v>
      </c>
    </row>
    <row r="128" spans="1:19">
      <c r="A128" s="50" t="s">
        <v>190</v>
      </c>
    </row>
    <row r="130" spans="1:8" ht="15">
      <c r="A130" s="172" t="s">
        <v>191</v>
      </c>
      <c r="B130" s="172"/>
      <c r="C130" s="172"/>
      <c r="D130" s="172"/>
      <c r="E130" s="172"/>
      <c r="F130" s="172"/>
    </row>
    <row r="131" spans="1:8" ht="15">
      <c r="A131" s="172" t="s">
        <v>192</v>
      </c>
      <c r="B131" s="172"/>
      <c r="C131" s="172"/>
      <c r="D131" s="172"/>
      <c r="E131" s="172"/>
      <c r="F131" s="172"/>
    </row>
    <row r="133" spans="1:8" ht="13.5" thickBot="1">
      <c r="A133" s="50" t="s">
        <v>449</v>
      </c>
      <c r="H133" s="62">
        <f>RATE(12,-500,5000,-1000,0)</f>
        <v>4.9632718825656459E-2</v>
      </c>
    </row>
    <row r="134" spans="1:8" ht="13.5" thickBot="1">
      <c r="C134" s="121">
        <f>RATE(12,-500,5000,-1000,0)</f>
        <v>4.9632718825656459E-2</v>
      </c>
      <c r="E134" s="50" t="s">
        <v>174</v>
      </c>
      <c r="F134" s="62">
        <f>RATE(12,-500,5000,-1000,0)</f>
        <v>4.9632718825656459E-2</v>
      </c>
      <c r="H134" s="62">
        <f>RATE(12,-500,5000,-1000,1)</f>
        <v>5.7712748809309503E-2</v>
      </c>
    </row>
    <row r="135" spans="1:8">
      <c r="C135" s="7">
        <f>RATE(12,-500,5000,-1000,1)</f>
        <v>5.7712748809309503E-2</v>
      </c>
      <c r="E135" s="50"/>
    </row>
    <row r="136" spans="1:8">
      <c r="C136" s="7"/>
      <c r="E136" s="50"/>
      <c r="F136" s="62">
        <f>RATE(12,-500,5000,-1000,0)</f>
        <v>4.9632718825656459E-2</v>
      </c>
    </row>
    <row r="137" spans="1:8">
      <c r="A137" t="s">
        <v>607</v>
      </c>
      <c r="C137" s="7"/>
      <c r="E137" s="50"/>
      <c r="F137" s="62">
        <f>RATE(12,-500,5000,-1000,1)</f>
        <v>5.7712748809309503E-2</v>
      </c>
    </row>
    <row r="138" spans="1:8" ht="15">
      <c r="A138" s="172" t="s">
        <v>200</v>
      </c>
      <c r="B138" s="172"/>
      <c r="C138" s="172"/>
      <c r="D138" s="172"/>
      <c r="E138" s="172"/>
      <c r="F138" s="172"/>
    </row>
    <row r="139" spans="1:8" ht="15">
      <c r="A139" s="172" t="s">
        <v>960</v>
      </c>
      <c r="B139" s="172"/>
      <c r="C139" s="172"/>
      <c r="D139" s="172"/>
      <c r="E139" s="172"/>
      <c r="F139" s="172"/>
    </row>
    <row r="140" spans="1:8" ht="15">
      <c r="A140" s="172" t="s">
        <v>198</v>
      </c>
      <c r="B140" s="172"/>
      <c r="C140" s="172"/>
      <c r="D140" s="172"/>
      <c r="E140" s="172"/>
      <c r="F140" s="172"/>
      <c r="H140" s="62">
        <f>RATE(12,-500,-1000,5000,0)</f>
        <v>-5.4563726185811873E-2</v>
      </c>
    </row>
    <row r="141" spans="1:8" ht="13.5" thickBot="1"/>
    <row r="142" spans="1:8" ht="13.5" thickBot="1">
      <c r="A142" s="50" t="s">
        <v>199</v>
      </c>
      <c r="C142" s="121">
        <f>RATE(12,-500,4000)</f>
        <v>6.8653458115696703E-2</v>
      </c>
      <c r="E142" s="50" t="s">
        <v>174</v>
      </c>
    </row>
    <row r="143" spans="1:8">
      <c r="A143" s="50" t="s">
        <v>448</v>
      </c>
      <c r="C143" s="7">
        <f>RATE(12,-500,4000,,1)</f>
        <v>8.4073683577053582E-2</v>
      </c>
      <c r="E143" s="50"/>
    </row>
    <row r="144" spans="1:8">
      <c r="A144" s="50" t="s">
        <v>388</v>
      </c>
      <c r="G144" s="7"/>
    </row>
    <row r="145" spans="1:5">
      <c r="A145" s="50" t="s">
        <v>387</v>
      </c>
      <c r="C145" s="7"/>
      <c r="E145" s="62">
        <f>RATE(12,-500,4000,,0)</f>
        <v>6.8653458115696703E-2</v>
      </c>
    </row>
    <row r="146" spans="1:5">
      <c r="A146" s="50" t="s">
        <v>190</v>
      </c>
    </row>
    <row r="150" spans="1:5">
      <c r="A150" s="54" t="s">
        <v>202</v>
      </c>
    </row>
    <row r="152" spans="1:5">
      <c r="A152" s="38" t="s">
        <v>451</v>
      </c>
    </row>
    <row r="153" spans="1:5">
      <c r="A153" s="38" t="s">
        <v>212</v>
      </c>
    </row>
    <row r="154" spans="1:5">
      <c r="A154" s="38" t="s">
        <v>213</v>
      </c>
    </row>
    <row r="155" spans="1:5">
      <c r="A155" s="38"/>
    </row>
    <row r="156" spans="1:5">
      <c r="A156" s="38"/>
    </row>
    <row r="157" spans="1:5">
      <c r="A157" s="108" t="s">
        <v>961</v>
      </c>
    </row>
    <row r="158" spans="1:5">
      <c r="A158" s="50" t="s">
        <v>209</v>
      </c>
    </row>
    <row r="159" spans="1:5">
      <c r="A159" s="51" t="s">
        <v>203</v>
      </c>
    </row>
    <row r="160" spans="1:5" ht="13.5" thickBot="1">
      <c r="A160" s="50" t="s">
        <v>208</v>
      </c>
    </row>
    <row r="161" spans="1:10" ht="13.5" thickBot="1">
      <c r="A161" s="51" t="s">
        <v>203</v>
      </c>
      <c r="F161" s="209" t="s">
        <v>956</v>
      </c>
      <c r="G161" s="210"/>
      <c r="H161" s="210"/>
      <c r="I161" s="118">
        <f>(1+12%)^(1/12)-1</f>
        <v>9.4887929345830457E-3</v>
      </c>
    </row>
    <row r="162" spans="1:10" ht="13.5" thickBot="1">
      <c r="A162" s="50" t="s">
        <v>207</v>
      </c>
      <c r="F162" s="211" t="s">
        <v>957</v>
      </c>
      <c r="G162" s="212"/>
      <c r="H162" s="212"/>
      <c r="I162" s="119">
        <f>(1+1%)^12-1</f>
        <v>0.12682503013196977</v>
      </c>
      <c r="J162" s="120">
        <f>EFFECT(12%,12)</f>
        <v>0.12682503013196977</v>
      </c>
    </row>
    <row r="163" spans="1:10">
      <c r="A163" s="50"/>
    </row>
    <row r="164" spans="1:10">
      <c r="A164" s="108" t="s">
        <v>962</v>
      </c>
    </row>
    <row r="165" spans="1:10">
      <c r="A165" s="50" t="s">
        <v>206</v>
      </c>
    </row>
    <row r="166" spans="1:10">
      <c r="A166" s="108" t="s">
        <v>963</v>
      </c>
    </row>
    <row r="167" spans="1:10">
      <c r="A167" s="50" t="s">
        <v>205</v>
      </c>
    </row>
    <row r="168" spans="1:10">
      <c r="A168" s="50"/>
    </row>
    <row r="170" spans="1:10">
      <c r="A170" s="108" t="s">
        <v>964</v>
      </c>
    </row>
    <row r="171" spans="1:10">
      <c r="A171" s="50"/>
      <c r="B171" t="s">
        <v>211</v>
      </c>
      <c r="C171" s="62">
        <v>0.12</v>
      </c>
    </row>
    <row r="172" spans="1:10">
      <c r="B172" s="50" t="s">
        <v>204</v>
      </c>
      <c r="C172" s="61">
        <f>(1+C171)^(1/12)-1</f>
        <v>9.4887929345830457E-3</v>
      </c>
      <c r="E172" s="50" t="s">
        <v>174</v>
      </c>
    </row>
    <row r="173" spans="1:10">
      <c r="B173" s="50" t="s">
        <v>210</v>
      </c>
      <c r="C173" s="61">
        <f>(1+C171)^(1/365)-1</f>
        <v>3.1053775565537123E-4</v>
      </c>
      <c r="E173" s="50"/>
    </row>
    <row r="177" spans="1:9">
      <c r="A177" s="51" t="s">
        <v>175</v>
      </c>
    </row>
    <row r="178" spans="1:9">
      <c r="A178" s="108" t="s">
        <v>965</v>
      </c>
    </row>
    <row r="179" spans="1:9">
      <c r="A179" t="s">
        <v>216</v>
      </c>
    </row>
    <row r="180" spans="1:9">
      <c r="A180" s="108" t="s">
        <v>450</v>
      </c>
    </row>
    <row r="181" spans="1:9">
      <c r="A181" s="108" t="s">
        <v>966</v>
      </c>
      <c r="C181" s="60">
        <f>FV(365%,1,,-1000)</f>
        <v>4650</v>
      </c>
      <c r="E181" s="50" t="s">
        <v>174</v>
      </c>
      <c r="H181" s="108"/>
    </row>
    <row r="182" spans="1:9">
      <c r="A182" s="108" t="s">
        <v>967</v>
      </c>
      <c r="C182" s="60">
        <f>FV(1%,365,,-1000)</f>
        <v>37783.434332887315</v>
      </c>
      <c r="E182" s="50" t="s">
        <v>214</v>
      </c>
      <c r="H182" s="122"/>
      <c r="I182" s="108"/>
    </row>
    <row r="183" spans="1:9">
      <c r="C183" s="60"/>
      <c r="E183" s="50"/>
    </row>
    <row r="184" spans="1:9">
      <c r="A184" s="38" t="s">
        <v>451</v>
      </c>
      <c r="C184" s="60">
        <f>1000*(1+365%)</f>
        <v>4650</v>
      </c>
      <c r="E184" s="50" t="s">
        <v>174</v>
      </c>
    </row>
    <row r="185" spans="1:9">
      <c r="C185" s="60">
        <f>1000*(1+1%)^365</f>
        <v>37783.434332887315</v>
      </c>
      <c r="E185" s="50" t="s">
        <v>215</v>
      </c>
    </row>
    <row r="186" spans="1:9">
      <c r="C186" s="60"/>
      <c r="E186" s="50"/>
    </row>
    <row r="187" spans="1:9">
      <c r="A187" t="s">
        <v>201</v>
      </c>
    </row>
    <row r="188" spans="1:9">
      <c r="A188" s="108" t="s">
        <v>968</v>
      </c>
    </row>
    <row r="189" spans="1:9">
      <c r="A189" s="50" t="s">
        <v>219</v>
      </c>
    </row>
    <row r="190" spans="1:9">
      <c r="C190" s="7">
        <f>(1+365%)^(1/365)-1</f>
        <v>4.2194721326238582E-3</v>
      </c>
      <c r="E190" s="50" t="s">
        <v>217</v>
      </c>
    </row>
    <row r="191" spans="1:9">
      <c r="C191" s="7">
        <f>RATE(365,,-1000,4650)</f>
        <v>4.2194721326269417E-3</v>
      </c>
      <c r="E191" s="50" t="s">
        <v>218</v>
      </c>
    </row>
    <row r="193" spans="1:8">
      <c r="A193" s="108" t="s">
        <v>970</v>
      </c>
    </row>
    <row r="194" spans="1:8">
      <c r="A194" s="108" t="s">
        <v>971</v>
      </c>
    </row>
    <row r="195" spans="1:8">
      <c r="A195" s="108" t="s">
        <v>972</v>
      </c>
    </row>
    <row r="196" spans="1:8">
      <c r="A196" s="50" t="s">
        <v>969</v>
      </c>
      <c r="C196" s="43">
        <f>DATE(2015,3,4)-DATE(2014,11,10)</f>
        <v>114</v>
      </c>
      <c r="E196" s="50" t="s">
        <v>220</v>
      </c>
    </row>
    <row r="197" spans="1:8">
      <c r="A197" s="50" t="s">
        <v>633</v>
      </c>
      <c r="C197" s="59">
        <f>FV(0.02%,C196,0,-10000)</f>
        <v>10230.595744357481</v>
      </c>
      <c r="E197" s="50" t="s">
        <v>243</v>
      </c>
      <c r="H197" s="7"/>
    </row>
    <row r="198" spans="1:8">
      <c r="A198" s="50" t="s">
        <v>754</v>
      </c>
      <c r="H198" s="44"/>
    </row>
    <row r="199" spans="1:8">
      <c r="A199" s="50" t="s">
        <v>425</v>
      </c>
      <c r="C199" s="8"/>
    </row>
    <row r="200" spans="1:8">
      <c r="C200" s="123"/>
      <c r="E200" s="8"/>
    </row>
    <row r="202" spans="1:8">
      <c r="E202" s="59"/>
    </row>
  </sheetData>
  <mergeCells count="2">
    <mergeCell ref="F161:H161"/>
    <mergeCell ref="F162:H162"/>
  </mergeCells>
  <phoneticPr fontId="0" type="noConversion"/>
  <printOptions headings="1" gridLines="1"/>
  <pageMargins left="0.75" right="0.75" top="1" bottom="1" header="0.5" footer="0.5"/>
  <pageSetup orientation="portrait" blackAndWhite="1" horizontalDpi="300" verticalDpi="300" r:id="rId1"/>
  <headerFooter alignWithMargins="0">
    <oddHeader>&amp;LVježba 5&amp;R&amp;P</oddHead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226"/>
  <sheetViews>
    <sheetView topLeftCell="A40" workbookViewId="0">
      <selection activeCell="F37" sqref="F37"/>
    </sheetView>
  </sheetViews>
  <sheetFormatPr defaultRowHeight="12.75"/>
  <cols>
    <col min="1" max="1" width="19.7109375" customWidth="1"/>
    <col min="2" max="2" width="16.7109375" customWidth="1"/>
    <col min="3" max="3" width="17" customWidth="1"/>
    <col min="4" max="4" width="13.28515625" customWidth="1"/>
    <col min="5" max="5" width="10.85546875" customWidth="1"/>
    <col min="6" max="6" width="19.5703125" customWidth="1"/>
    <col min="7" max="7" width="20" bestFit="1" customWidth="1"/>
    <col min="8" max="8" width="16" customWidth="1"/>
    <col min="9" max="9" width="15" bestFit="1" customWidth="1"/>
  </cols>
  <sheetData>
    <row r="1" spans="1:9" ht="18">
      <c r="A1" s="70" t="s">
        <v>452</v>
      </c>
    </row>
    <row r="2" spans="1:9" ht="18">
      <c r="A2" s="71" t="s">
        <v>976</v>
      </c>
      <c r="E2" t="s">
        <v>91</v>
      </c>
    </row>
    <row r="3" spans="1:9" ht="18">
      <c r="A3" s="71"/>
      <c r="B3" s="108" t="s">
        <v>974</v>
      </c>
    </row>
    <row r="4" spans="1:9" ht="18">
      <c r="A4" s="71" t="s">
        <v>975</v>
      </c>
    </row>
    <row r="6" spans="1:9" ht="15.75">
      <c r="A6" s="69" t="s">
        <v>90</v>
      </c>
    </row>
    <row r="7" spans="1:9">
      <c r="A7" s="50" t="s">
        <v>809</v>
      </c>
    </row>
    <row r="8" spans="1:9">
      <c r="A8" s="108" t="s">
        <v>977</v>
      </c>
      <c r="F8">
        <v>1212121212</v>
      </c>
      <c r="G8">
        <v>1212121212</v>
      </c>
      <c r="I8">
        <v>1212121212</v>
      </c>
    </row>
    <row r="9" spans="1:9">
      <c r="A9" t="s">
        <v>92</v>
      </c>
      <c r="G9">
        <v>1.2121212121212101E+19</v>
      </c>
      <c r="I9" s="180">
        <v>121212121212</v>
      </c>
    </row>
    <row r="10" spans="1:9">
      <c r="A10" t="s">
        <v>93</v>
      </c>
      <c r="G10">
        <v>1.8888888880000001</v>
      </c>
      <c r="I10" s="181">
        <v>1.8888888800000001</v>
      </c>
    </row>
    <row r="11" spans="1:9">
      <c r="G11">
        <v>1.88888888888888</v>
      </c>
      <c r="I11" s="182">
        <v>1.8888888880000001</v>
      </c>
    </row>
    <row r="12" spans="1:9">
      <c r="D12">
        <v>1212121212</v>
      </c>
    </row>
    <row r="13" spans="1:9">
      <c r="B13" s="72" t="s">
        <v>174</v>
      </c>
      <c r="D13">
        <v>121212121212</v>
      </c>
    </row>
    <row r="14" spans="1:9">
      <c r="B14" s="9"/>
      <c r="D14">
        <v>1.8888879999999999</v>
      </c>
    </row>
    <row r="15" spans="1:9">
      <c r="B15" s="9"/>
      <c r="D15">
        <v>1.888888888888</v>
      </c>
    </row>
    <row r="17" spans="1:11" ht="15.75">
      <c r="A17" s="69" t="s">
        <v>510</v>
      </c>
    </row>
    <row r="18" spans="1:11">
      <c r="A18" s="50" t="s">
        <v>810</v>
      </c>
    </row>
    <row r="19" spans="1:11">
      <c r="A19" s="51" t="s">
        <v>94</v>
      </c>
    </row>
    <row r="20" spans="1:11">
      <c r="A20" s="51" t="s">
        <v>95</v>
      </c>
    </row>
    <row r="21" spans="1:11">
      <c r="A21" s="51" t="s">
        <v>96</v>
      </c>
    </row>
    <row r="22" spans="1:11">
      <c r="A22" s="51" t="s">
        <v>97</v>
      </c>
      <c r="F22" s="10">
        <v>123456</v>
      </c>
    </row>
    <row r="23" spans="1:11">
      <c r="A23" s="51" t="s">
        <v>98</v>
      </c>
      <c r="F23" s="11">
        <v>12.123699999999999</v>
      </c>
    </row>
    <row r="24" spans="1:11">
      <c r="A24" s="51" t="s">
        <v>102</v>
      </c>
      <c r="F24" s="183">
        <v>123</v>
      </c>
    </row>
    <row r="25" spans="1:11">
      <c r="A25" s="51" t="s">
        <v>103</v>
      </c>
      <c r="F25" s="73">
        <v>123</v>
      </c>
    </row>
    <row r="26" spans="1:11">
      <c r="A26" s="50" t="s">
        <v>99</v>
      </c>
      <c r="B26" s="10">
        <v>123456</v>
      </c>
      <c r="D26" s="10">
        <v>123456</v>
      </c>
    </row>
    <row r="27" spans="1:11">
      <c r="A27" s="50" t="s">
        <v>100</v>
      </c>
      <c r="B27" s="11">
        <v>12.123699999999999</v>
      </c>
      <c r="D27" s="100">
        <v>12.127000000000001</v>
      </c>
    </row>
    <row r="28" spans="1:11">
      <c r="A28" s="50" t="s">
        <v>101</v>
      </c>
      <c r="B28" s="73">
        <v>123</v>
      </c>
      <c r="D28" s="73"/>
    </row>
    <row r="29" spans="1:11">
      <c r="A29" s="50" t="s">
        <v>101</v>
      </c>
      <c r="B29" s="73">
        <v>-123</v>
      </c>
      <c r="D29" s="73"/>
    </row>
    <row r="30" spans="1:11">
      <c r="A30" s="50"/>
      <c r="B30" s="73"/>
    </row>
    <row r="31" spans="1:11">
      <c r="A31" s="2" t="s">
        <v>104</v>
      </c>
      <c r="K31" s="252">
        <v>37299</v>
      </c>
    </row>
    <row r="32" spans="1:11">
      <c r="A32" s="50" t="s">
        <v>811</v>
      </c>
    </row>
    <row r="33" spans="1:8">
      <c r="A33" s="51" t="s">
        <v>105</v>
      </c>
    </row>
    <row r="34" spans="1:8">
      <c r="A34" s="51" t="s">
        <v>106</v>
      </c>
    </row>
    <row r="35" spans="1:8">
      <c r="A35" s="51" t="s">
        <v>107</v>
      </c>
    </row>
    <row r="36" spans="1:8">
      <c r="A36" s="65">
        <v>1234</v>
      </c>
      <c r="C36" s="50" t="s">
        <v>174</v>
      </c>
      <c r="D36" s="66">
        <v>1223</v>
      </c>
      <c r="F36" s="184">
        <v>1234</v>
      </c>
      <c r="H36" s="8">
        <v>152323224</v>
      </c>
    </row>
    <row r="37" spans="1:8">
      <c r="A37" s="66">
        <v>-1234</v>
      </c>
      <c r="F37" s="178">
        <v>1234</v>
      </c>
    </row>
    <row r="39" spans="1:8">
      <c r="A39" s="2" t="s">
        <v>108</v>
      </c>
    </row>
    <row r="40" spans="1:8">
      <c r="A40" s="50" t="s">
        <v>812</v>
      </c>
      <c r="G40" s="65"/>
    </row>
    <row r="41" spans="1:8">
      <c r="A41" s="51" t="s">
        <v>109</v>
      </c>
    </row>
    <row r="42" spans="1:8">
      <c r="A42" s="51" t="s">
        <v>110</v>
      </c>
    </row>
    <row r="43" spans="1:8">
      <c r="A43" s="51" t="s">
        <v>111</v>
      </c>
      <c r="F43" s="185">
        <v>-99</v>
      </c>
    </row>
    <row r="44" spans="1:8">
      <c r="A44" s="68">
        <v>-99</v>
      </c>
      <c r="C44" s="50" t="s">
        <v>174</v>
      </c>
      <c r="D44" s="101"/>
      <c r="F44" s="124">
        <v>12351</v>
      </c>
      <c r="G44" s="186">
        <v>12351</v>
      </c>
    </row>
    <row r="45" spans="1:8">
      <c r="A45" s="124">
        <v>12351</v>
      </c>
      <c r="G45" s="67">
        <v>12351</v>
      </c>
    </row>
    <row r="47" spans="1:8">
      <c r="A47" s="2" t="s">
        <v>453</v>
      </c>
    </row>
    <row r="48" spans="1:8">
      <c r="A48" s="50" t="s">
        <v>813</v>
      </c>
    </row>
    <row r="49" spans="1:9" ht="13.5" thickBot="1">
      <c r="A49" s="108" t="s">
        <v>982</v>
      </c>
    </row>
    <row r="50" spans="1:9" ht="13.5" thickBot="1">
      <c r="A50" s="130" t="s">
        <v>1015</v>
      </c>
      <c r="B50" s="125"/>
      <c r="C50" s="126" t="s">
        <v>1016</v>
      </c>
      <c r="D50" s="127"/>
      <c r="E50" s="127"/>
      <c r="F50" s="127"/>
      <c r="H50" s="187">
        <v>36964</v>
      </c>
      <c r="I50" s="189">
        <v>36964</v>
      </c>
    </row>
    <row r="51" spans="1:9" ht="13.5" thickBot="1">
      <c r="A51" s="131" t="s">
        <v>983</v>
      </c>
      <c r="B51" s="128"/>
      <c r="C51" s="129" t="s">
        <v>978</v>
      </c>
      <c r="D51" s="129"/>
      <c r="E51" s="129"/>
      <c r="F51" s="129"/>
      <c r="H51" s="188">
        <v>36964</v>
      </c>
      <c r="I51" s="8">
        <v>36964</v>
      </c>
    </row>
    <row r="52" spans="1:9">
      <c r="A52" s="108" t="s">
        <v>984</v>
      </c>
    </row>
    <row r="53" spans="1:9">
      <c r="B53" s="55" t="s">
        <v>112</v>
      </c>
      <c r="C53" s="55" t="s">
        <v>113</v>
      </c>
    </row>
    <row r="54" spans="1:9">
      <c r="A54">
        <v>41212</v>
      </c>
      <c r="B54" s="132">
        <f>A54</f>
        <v>41212</v>
      </c>
      <c r="C54" s="133">
        <f>A54</f>
        <v>41212</v>
      </c>
      <c r="E54" s="50" t="s">
        <v>174</v>
      </c>
      <c r="G54" s="191">
        <v>41212</v>
      </c>
      <c r="H54" s="132">
        <v>41212</v>
      </c>
      <c r="I54" s="190">
        <v>41212</v>
      </c>
    </row>
    <row r="55" spans="1:9">
      <c r="A55" s="51"/>
      <c r="B55" s="55" t="s">
        <v>979</v>
      </c>
      <c r="C55" s="55" t="s">
        <v>980</v>
      </c>
      <c r="G55">
        <v>41212</v>
      </c>
    </row>
    <row r="56" spans="1:9">
      <c r="B56" s="141">
        <f>A54</f>
        <v>41212</v>
      </c>
      <c r="C56" s="143">
        <f>A54</f>
        <v>41212</v>
      </c>
    </row>
    <row r="58" spans="1:9">
      <c r="A58" s="108" t="s">
        <v>981</v>
      </c>
    </row>
    <row r="60" spans="1:9">
      <c r="A60" s="142"/>
      <c r="B60" s="12"/>
      <c r="C60" s="134" t="s">
        <v>985</v>
      </c>
    </row>
    <row r="61" spans="1:9">
      <c r="A61" s="143">
        <v>36658</v>
      </c>
      <c r="C61">
        <v>36658</v>
      </c>
      <c r="F61" s="192">
        <v>36658</v>
      </c>
    </row>
    <row r="62" spans="1:9">
      <c r="A62" s="143">
        <v>36983</v>
      </c>
      <c r="C62">
        <v>36983</v>
      </c>
      <c r="F62" s="192">
        <v>36983</v>
      </c>
    </row>
    <row r="63" spans="1:9">
      <c r="A63">
        <f>A62-A61</f>
        <v>325</v>
      </c>
      <c r="C63">
        <f>C62-C61</f>
        <v>325</v>
      </c>
      <c r="E63" s="50" t="s">
        <v>174</v>
      </c>
      <c r="F63">
        <f>F62-F61</f>
        <v>325</v>
      </c>
    </row>
    <row r="65" spans="1:6">
      <c r="A65" s="140">
        <f>A62-A61</f>
        <v>325</v>
      </c>
      <c r="C65">
        <v>325</v>
      </c>
    </row>
    <row r="66" spans="1:6">
      <c r="A66" s="74"/>
    </row>
    <row r="67" spans="1:6">
      <c r="A67" s="74" t="s">
        <v>114</v>
      </c>
    </row>
    <row r="68" spans="1:6">
      <c r="A68" s="136" t="s">
        <v>1017</v>
      </c>
    </row>
    <row r="69" spans="1:6">
      <c r="D69" s="50" t="s">
        <v>263</v>
      </c>
    </row>
    <row r="70" spans="1:6">
      <c r="B70">
        <v>36981.5</v>
      </c>
      <c r="D70" s="135">
        <v>36981.5</v>
      </c>
      <c r="F70" s="117">
        <v>36981.5</v>
      </c>
    </row>
    <row r="71" spans="1:6">
      <c r="B71">
        <v>36981</v>
      </c>
      <c r="D71" s="135">
        <v>36981</v>
      </c>
      <c r="F71" s="193">
        <v>36981</v>
      </c>
    </row>
    <row r="72" spans="1:6">
      <c r="B72">
        <v>36981.33</v>
      </c>
      <c r="D72" s="135">
        <v>36981.33</v>
      </c>
      <c r="F72" s="194">
        <v>35981.33</v>
      </c>
    </row>
    <row r="74" spans="1:6">
      <c r="A74" s="2" t="s">
        <v>115</v>
      </c>
    </row>
    <row r="75" spans="1:6">
      <c r="A75" s="50" t="s">
        <v>814</v>
      </c>
    </row>
    <row r="76" spans="1:6">
      <c r="A76" s="51" t="s">
        <v>116</v>
      </c>
    </row>
    <row r="77" spans="1:6">
      <c r="A77" t="s">
        <v>117</v>
      </c>
    </row>
    <row r="78" spans="1:6">
      <c r="A78" s="51"/>
      <c r="D78" s="75"/>
    </row>
    <row r="79" spans="1:6">
      <c r="A79" s="43">
        <v>0.5</v>
      </c>
      <c r="B79" s="13">
        <v>0.5</v>
      </c>
      <c r="E79" s="195">
        <v>0.5</v>
      </c>
    </row>
    <row r="80" spans="1:6">
      <c r="A80" s="43">
        <v>0.54200000000000004</v>
      </c>
      <c r="B80" s="13">
        <v>0.54200000000000004</v>
      </c>
      <c r="E80" s="196">
        <v>0.54200000000000004</v>
      </c>
    </row>
    <row r="81" spans="1:5">
      <c r="B81" s="13">
        <v>0</v>
      </c>
      <c r="C81">
        <v>0</v>
      </c>
      <c r="E81" s="196">
        <v>0</v>
      </c>
    </row>
    <row r="82" spans="1:5">
      <c r="B82" s="13">
        <v>1</v>
      </c>
      <c r="C82">
        <v>1</v>
      </c>
      <c r="E82" s="197">
        <v>1</v>
      </c>
    </row>
    <row r="84" spans="1:5">
      <c r="A84" t="s">
        <v>511</v>
      </c>
    </row>
    <row r="85" spans="1:5">
      <c r="A85" t="s">
        <v>118</v>
      </c>
      <c r="B85" s="14">
        <v>0.5</v>
      </c>
    </row>
    <row r="86" spans="1:5">
      <c r="A86" t="s">
        <v>454</v>
      </c>
      <c r="B86" s="14">
        <v>0.5221527777777778</v>
      </c>
      <c r="C86" s="55" t="s">
        <v>119</v>
      </c>
      <c r="D86" s="55" t="s">
        <v>120</v>
      </c>
      <c r="E86" s="55" t="s">
        <v>121</v>
      </c>
    </row>
    <row r="87" spans="1:5">
      <c r="A87" s="108" t="s">
        <v>988</v>
      </c>
      <c r="B87" s="76">
        <f>B86-B85</f>
        <v>2.2152777777777799E-2</v>
      </c>
      <c r="C87" s="50">
        <v>2.2152777777777799E-2</v>
      </c>
      <c r="D87" s="50">
        <f>C87*24</f>
        <v>0.53166666666666718</v>
      </c>
      <c r="E87" s="55">
        <f>D87*60*60</f>
        <v>1914.0000000000018</v>
      </c>
    </row>
    <row r="88" spans="1:5">
      <c r="A88" s="108" t="s">
        <v>989</v>
      </c>
      <c r="B88" s="15">
        <v>10</v>
      </c>
      <c r="C88" t="s">
        <v>455</v>
      </c>
    </row>
    <row r="89" spans="1:5">
      <c r="B89" s="50" t="s">
        <v>240</v>
      </c>
      <c r="C89" s="50"/>
    </row>
    <row r="90" spans="1:5">
      <c r="A90" s="50" t="s">
        <v>986</v>
      </c>
      <c r="B90" s="50">
        <f>B88/D87</f>
        <v>18.808777429467067</v>
      </c>
      <c r="C90" s="50" t="s">
        <v>456</v>
      </c>
    </row>
    <row r="91" spans="1:5">
      <c r="A91" s="50" t="s">
        <v>987</v>
      </c>
      <c r="B91" s="50">
        <f>B88*1000/E87</f>
        <v>5.2246603970741852</v>
      </c>
      <c r="C91" s="50" t="s">
        <v>457</v>
      </c>
    </row>
    <row r="93" spans="1:5">
      <c r="A93" s="2" t="s">
        <v>122</v>
      </c>
    </row>
    <row r="94" spans="1:5">
      <c r="A94" s="50" t="s">
        <v>815</v>
      </c>
    </row>
    <row r="95" spans="1:5">
      <c r="A95" s="108" t="s">
        <v>990</v>
      </c>
    </row>
    <row r="96" spans="1:5">
      <c r="A96" s="108" t="s">
        <v>991</v>
      </c>
    </row>
    <row r="97" spans="1:5">
      <c r="A97" s="7">
        <v>5</v>
      </c>
      <c r="C97" s="50" t="s">
        <v>174</v>
      </c>
      <c r="E97" s="7">
        <v>5</v>
      </c>
    </row>
    <row r="98" spans="1:5">
      <c r="A98" s="7">
        <v>0.05</v>
      </c>
      <c r="E98" s="7">
        <v>0.05</v>
      </c>
    </row>
    <row r="100" spans="1:5">
      <c r="A100" s="2" t="s">
        <v>123</v>
      </c>
    </row>
    <row r="101" spans="1:5">
      <c r="A101" s="50" t="s">
        <v>816</v>
      </c>
    </row>
    <row r="102" spans="1:5">
      <c r="A102" s="51" t="s">
        <v>124</v>
      </c>
    </row>
    <row r="103" spans="1:5">
      <c r="A103" s="51" t="s">
        <v>125</v>
      </c>
    </row>
    <row r="104" spans="1:5">
      <c r="A104">
        <v>1.234</v>
      </c>
      <c r="B104" s="16">
        <v>1.234</v>
      </c>
      <c r="E104" s="16">
        <v>1.234</v>
      </c>
    </row>
    <row r="105" spans="1:5">
      <c r="A105">
        <v>1.234</v>
      </c>
      <c r="B105" s="77">
        <v>1.234</v>
      </c>
      <c r="D105" s="50" t="s">
        <v>174</v>
      </c>
      <c r="E105" s="77">
        <v>1.234</v>
      </c>
    </row>
    <row r="106" spans="1:5">
      <c r="A106">
        <v>1.234</v>
      </c>
      <c r="B106" s="17">
        <v>1.234</v>
      </c>
      <c r="E106" s="17">
        <v>1.234</v>
      </c>
    </row>
    <row r="108" spans="1:5">
      <c r="A108" s="2" t="s">
        <v>126</v>
      </c>
      <c r="D108" s="18"/>
    </row>
    <row r="109" spans="1:5">
      <c r="A109" s="50" t="s">
        <v>817</v>
      </c>
    </row>
    <row r="110" spans="1:5">
      <c r="A110" s="51" t="s">
        <v>127</v>
      </c>
    </row>
    <row r="111" spans="1:5">
      <c r="A111">
        <v>120</v>
      </c>
      <c r="B111" s="18">
        <v>120</v>
      </c>
      <c r="D111" s="50" t="s">
        <v>174</v>
      </c>
      <c r="E111" s="18">
        <v>120</v>
      </c>
    </row>
    <row r="112" spans="1:5">
      <c r="A112">
        <v>1.2E-2</v>
      </c>
      <c r="B112" s="18">
        <v>1.2E-2</v>
      </c>
      <c r="E112" s="18">
        <v>1.2E-2</v>
      </c>
    </row>
    <row r="114" spans="1:5">
      <c r="A114" s="2" t="s">
        <v>128</v>
      </c>
    </row>
    <row r="115" spans="1:5">
      <c r="A115" s="50" t="s">
        <v>818</v>
      </c>
    </row>
    <row r="116" spans="1:5">
      <c r="A116" s="108" t="s">
        <v>1018</v>
      </c>
      <c r="B116" s="19"/>
    </row>
    <row r="118" spans="1:5">
      <c r="A118" s="19"/>
      <c r="B118">
        <v>98</v>
      </c>
      <c r="D118" s="19" t="s">
        <v>129</v>
      </c>
      <c r="E118" s="19">
        <v>98</v>
      </c>
    </row>
    <row r="119" spans="1:5">
      <c r="A119" s="19"/>
      <c r="B119" t="s">
        <v>160</v>
      </c>
      <c r="D119" s="19" t="s">
        <v>160</v>
      </c>
      <c r="E119" s="198" t="s">
        <v>160</v>
      </c>
    </row>
    <row r="121" spans="1:5">
      <c r="A121" s="2" t="s">
        <v>130</v>
      </c>
    </row>
    <row r="122" spans="1:5">
      <c r="A122" s="50" t="s">
        <v>819</v>
      </c>
    </row>
    <row r="123" spans="1:5">
      <c r="A123" t="s">
        <v>131</v>
      </c>
      <c r="D123" s="20"/>
    </row>
    <row r="124" spans="1:5">
      <c r="A124">
        <v>234586</v>
      </c>
      <c r="B124" s="20">
        <v>234586</v>
      </c>
      <c r="C124" s="50" t="s">
        <v>458</v>
      </c>
      <c r="D124" s="19"/>
      <c r="E124" s="199" t="s">
        <v>1287</v>
      </c>
    </row>
    <row r="126" spans="1:5">
      <c r="D126" s="63"/>
    </row>
    <row r="127" spans="1:5">
      <c r="A127" s="2" t="s">
        <v>132</v>
      </c>
    </row>
    <row r="128" spans="1:5">
      <c r="A128" s="50" t="s">
        <v>820</v>
      </c>
    </row>
    <row r="129" spans="1:7">
      <c r="A129" s="108" t="s">
        <v>1019</v>
      </c>
      <c r="D129" t="s">
        <v>512</v>
      </c>
    </row>
    <row r="130" spans="1:7">
      <c r="C130" s="144">
        <v>6</v>
      </c>
      <c r="D130" s="145">
        <v>87</v>
      </c>
      <c r="E130" s="64">
        <f>C130+D130</f>
        <v>93</v>
      </c>
    </row>
    <row r="132" spans="1:7">
      <c r="A132" t="s">
        <v>148</v>
      </c>
    </row>
    <row r="133" spans="1:7">
      <c r="A133" t="s">
        <v>133</v>
      </c>
    </row>
    <row r="134" spans="1:7">
      <c r="A134" s="43">
        <v>15</v>
      </c>
      <c r="B134" s="78">
        <v>15</v>
      </c>
      <c r="G134" s="78">
        <v>15</v>
      </c>
    </row>
    <row r="135" spans="1:7">
      <c r="A135" s="79" t="s">
        <v>821</v>
      </c>
    </row>
    <row r="137" spans="1:7">
      <c r="A137" s="51" t="s">
        <v>135</v>
      </c>
    </row>
    <row r="138" spans="1:7">
      <c r="A138" t="s">
        <v>136</v>
      </c>
    </row>
    <row r="139" spans="1:7">
      <c r="A139" t="s">
        <v>137</v>
      </c>
    </row>
    <row r="140" spans="1:7">
      <c r="A140" s="108" t="s">
        <v>992</v>
      </c>
    </row>
    <row r="141" spans="1:7">
      <c r="A141" s="108" t="s">
        <v>993</v>
      </c>
    </row>
    <row r="142" spans="1:7">
      <c r="G142" s="102"/>
    </row>
    <row r="143" spans="1:7">
      <c r="A143" s="102">
        <v>1.07</v>
      </c>
      <c r="B143" s="43" t="s">
        <v>134</v>
      </c>
      <c r="C143" s="43" t="s">
        <v>459</v>
      </c>
    </row>
    <row r="144" spans="1:7">
      <c r="B144" s="80">
        <v>274</v>
      </c>
      <c r="C144" s="21">
        <f>A$143*B144</f>
        <v>293.18</v>
      </c>
    </row>
    <row r="145" spans="1:7">
      <c r="B145" s="80">
        <v>1017</v>
      </c>
      <c r="C145" s="21">
        <f>A$143*B145</f>
        <v>1088.19</v>
      </c>
      <c r="G145" s="102"/>
    </row>
    <row r="146" spans="1:7">
      <c r="B146" s="80">
        <v>1458</v>
      </c>
      <c r="C146" s="21">
        <f>A$143*B146</f>
        <v>1560.0600000000002</v>
      </c>
    </row>
    <row r="148" spans="1:7">
      <c r="A148" s="108" t="s">
        <v>139</v>
      </c>
      <c r="B148" s="22"/>
    </row>
    <row r="149" spans="1:7">
      <c r="A149" t="s">
        <v>138</v>
      </c>
      <c r="B149" s="22"/>
    </row>
    <row r="150" spans="1:7">
      <c r="A150" s="12">
        <v>36984</v>
      </c>
      <c r="C150" s="103"/>
    </row>
    <row r="151" spans="1:7">
      <c r="A151" s="81">
        <v>36984</v>
      </c>
      <c r="C151" s="103"/>
    </row>
    <row r="152" spans="1:7">
      <c r="C152" s="81"/>
    </row>
    <row r="153" spans="1:7">
      <c r="A153" s="137" t="s">
        <v>994</v>
      </c>
      <c r="C153" s="81"/>
      <c r="D153" s="24"/>
    </row>
    <row r="154" spans="1:7" ht="13.5" thickBot="1">
      <c r="B154" s="138" t="s">
        <v>995</v>
      </c>
      <c r="D154" s="24"/>
    </row>
    <row r="155" spans="1:7" ht="13.5" thickBot="1">
      <c r="B155" s="139">
        <v>9485</v>
      </c>
      <c r="D155" s="50" t="s">
        <v>174</v>
      </c>
    </row>
    <row r="156" spans="1:7">
      <c r="A156" s="79" t="s">
        <v>822</v>
      </c>
      <c r="B156" s="24"/>
      <c r="D156" s="50"/>
    </row>
    <row r="157" spans="1:7">
      <c r="A157" s="82"/>
    </row>
    <row r="158" spans="1:7">
      <c r="A158" s="2" t="s">
        <v>460</v>
      </c>
    </row>
    <row r="159" spans="1:7">
      <c r="A159" s="50" t="s">
        <v>823</v>
      </c>
    </row>
    <row r="160" spans="1:7">
      <c r="A160" s="50" t="s">
        <v>824</v>
      </c>
      <c r="C160" s="23"/>
    </row>
    <row r="161" spans="1:5">
      <c r="A161" s="50" t="s">
        <v>825</v>
      </c>
    </row>
    <row r="162" spans="1:5">
      <c r="A162" s="51" t="s">
        <v>140</v>
      </c>
    </row>
    <row r="163" spans="1:5">
      <c r="A163" s="51" t="s">
        <v>141</v>
      </c>
    </row>
    <row r="164" spans="1:5">
      <c r="A164" s="51"/>
      <c r="C164" s="55" t="s">
        <v>243</v>
      </c>
    </row>
    <row r="165" spans="1:5">
      <c r="A165" s="83" t="s">
        <v>142</v>
      </c>
      <c r="C165" s="81">
        <f ca="1">TODAY()</f>
        <v>44700</v>
      </c>
    </row>
    <row r="166" spans="1:5">
      <c r="A166" s="81"/>
    </row>
    <row r="167" spans="1:5">
      <c r="A167" s="2" t="s">
        <v>461</v>
      </c>
    </row>
    <row r="168" spans="1:5">
      <c r="A168" s="50" t="s">
        <v>826</v>
      </c>
    </row>
    <row r="169" spans="1:5">
      <c r="A169" s="51" t="s">
        <v>143</v>
      </c>
    </row>
    <row r="170" spans="1:5">
      <c r="A170" s="56" t="s">
        <v>144</v>
      </c>
      <c r="B170" s="37">
        <f ca="1">TODAY()</f>
        <v>44700</v>
      </c>
    </row>
    <row r="172" spans="1:5">
      <c r="A172" s="2" t="s">
        <v>145</v>
      </c>
    </row>
    <row r="173" spans="1:5">
      <c r="A173" s="50" t="s">
        <v>996</v>
      </c>
      <c r="E173" s="108"/>
    </row>
    <row r="174" spans="1:5">
      <c r="A174" s="108" t="s">
        <v>997</v>
      </c>
    </row>
    <row r="175" spans="1:5">
      <c r="A175" s="51" t="s">
        <v>146</v>
      </c>
    </row>
    <row r="176" spans="1:5">
      <c r="A176">
        <v>1</v>
      </c>
      <c r="B176">
        <v>2</v>
      </c>
      <c r="C176">
        <f>A176+B176</f>
        <v>3</v>
      </c>
    </row>
    <row r="178" spans="1:4">
      <c r="C178" s="50" t="s">
        <v>998</v>
      </c>
    </row>
    <row r="180" spans="1:4">
      <c r="A180" s="54" t="s">
        <v>999</v>
      </c>
      <c r="D180" s="108"/>
    </row>
    <row r="181" spans="1:4">
      <c r="A181" s="50" t="s">
        <v>1001</v>
      </c>
    </row>
    <row r="182" spans="1:4">
      <c r="B182" s="50" t="s">
        <v>1002</v>
      </c>
    </row>
    <row r="184" spans="1:4">
      <c r="A184" s="108"/>
      <c r="B184" s="108" t="s">
        <v>1027</v>
      </c>
    </row>
    <row r="185" spans="1:4">
      <c r="B185" s="50" t="s">
        <v>1003</v>
      </c>
    </row>
    <row r="186" spans="1:4">
      <c r="B186" s="50" t="s">
        <v>147</v>
      </c>
    </row>
    <row r="187" spans="1:4">
      <c r="A187" s="50"/>
      <c r="B187" s="108" t="s">
        <v>1028</v>
      </c>
    </row>
    <row r="188" spans="1:4">
      <c r="B188" s="111" t="s">
        <v>1014</v>
      </c>
    </row>
    <row r="190" spans="1:4">
      <c r="A190" s="108" t="s">
        <v>1029</v>
      </c>
    </row>
    <row r="191" spans="1:4">
      <c r="A191" t="s">
        <v>149</v>
      </c>
    </row>
    <row r="193" spans="1:6">
      <c r="A193" s="50" t="s">
        <v>150</v>
      </c>
      <c r="B193" s="25" t="s">
        <v>1023</v>
      </c>
      <c r="C193" s="25" t="s">
        <v>466</v>
      </c>
      <c r="D193" s="25" t="s">
        <v>320</v>
      </c>
    </row>
    <row r="194" spans="1:6">
      <c r="A194" s="108" t="s">
        <v>1025</v>
      </c>
      <c r="B194" s="25" t="s">
        <v>1020</v>
      </c>
      <c r="C194" s="25" t="s">
        <v>467</v>
      </c>
      <c r="D194" s="25">
        <v>123</v>
      </c>
    </row>
    <row r="195" spans="1:6">
      <c r="B195" s="25" t="s">
        <v>1021</v>
      </c>
      <c r="C195" s="25" t="s">
        <v>468</v>
      </c>
      <c r="D195" s="25">
        <v>234</v>
      </c>
    </row>
    <row r="196" spans="1:6">
      <c r="B196" s="25" t="s">
        <v>1022</v>
      </c>
      <c r="C196" s="25" t="s">
        <v>469</v>
      </c>
      <c r="D196" s="25">
        <v>2342</v>
      </c>
    </row>
    <row r="199" spans="1:6">
      <c r="A199" s="54" t="s">
        <v>1000</v>
      </c>
      <c r="B199" s="108"/>
    </row>
    <row r="200" spans="1:6">
      <c r="A200" s="111" t="s">
        <v>1005</v>
      </c>
      <c r="D200" s="108"/>
    </row>
    <row r="201" spans="1:6">
      <c r="A201" s="111"/>
      <c r="B201" s="50" t="s">
        <v>1002</v>
      </c>
    </row>
    <row r="202" spans="1:6">
      <c r="A202" s="111"/>
      <c r="B202" s="108" t="s">
        <v>1024</v>
      </c>
    </row>
    <row r="203" spans="1:6">
      <c r="A203" s="111"/>
    </row>
    <row r="204" spans="1:6">
      <c r="A204" s="111"/>
      <c r="B204" s="108" t="s">
        <v>358</v>
      </c>
      <c r="F204" s="108" t="s">
        <v>1008</v>
      </c>
    </row>
    <row r="205" spans="1:6">
      <c r="A205" s="111"/>
      <c r="C205" s="108" t="s">
        <v>1004</v>
      </c>
      <c r="D205" t="s">
        <v>320</v>
      </c>
      <c r="F205" s="108" t="s">
        <v>1006</v>
      </c>
    </row>
    <row r="206" spans="1:6">
      <c r="A206" s="111"/>
      <c r="C206" t="s">
        <v>462</v>
      </c>
      <c r="D206">
        <v>34</v>
      </c>
      <c r="F206" s="108" t="s">
        <v>1007</v>
      </c>
    </row>
    <row r="207" spans="1:6">
      <c r="A207" s="111"/>
      <c r="C207" t="s">
        <v>463</v>
      </c>
      <c r="D207">
        <v>4353</v>
      </c>
    </row>
    <row r="208" spans="1:6">
      <c r="A208" s="111"/>
      <c r="C208" t="s">
        <v>464</v>
      </c>
      <c r="D208">
        <v>345</v>
      </c>
    </row>
    <row r="209" spans="1:5">
      <c r="A209" s="111"/>
    </row>
    <row r="210" spans="1:5">
      <c r="A210" s="111"/>
    </row>
    <row r="211" spans="1:5">
      <c r="A211" s="111"/>
    </row>
    <row r="212" spans="1:5">
      <c r="A212" s="111"/>
      <c r="B212" s="108" t="s">
        <v>1009</v>
      </c>
      <c r="D212" s="108"/>
    </row>
    <row r="213" spans="1:5">
      <c r="A213" s="111"/>
      <c r="B213" s="50" t="s">
        <v>1010</v>
      </c>
      <c r="D213" s="108"/>
    </row>
    <row r="214" spans="1:5">
      <c r="A214" s="2"/>
      <c r="B214" s="50" t="s">
        <v>1011</v>
      </c>
      <c r="D214" s="108"/>
    </row>
    <row r="215" spans="1:5">
      <c r="B215" s="111" t="s">
        <v>1012</v>
      </c>
    </row>
    <row r="217" spans="1:5">
      <c r="B217" s="108" t="s">
        <v>1026</v>
      </c>
    </row>
    <row r="219" spans="1:5">
      <c r="B219">
        <v>1</v>
      </c>
      <c r="C219">
        <v>2</v>
      </c>
      <c r="D219">
        <v>3</v>
      </c>
      <c r="E219">
        <v>4</v>
      </c>
    </row>
    <row r="220" spans="1:5">
      <c r="B220">
        <v>5</v>
      </c>
      <c r="C220">
        <v>6</v>
      </c>
      <c r="D220">
        <v>7</v>
      </c>
      <c r="E220">
        <v>8</v>
      </c>
    </row>
    <row r="221" spans="1:5">
      <c r="B221">
        <v>9</v>
      </c>
      <c r="C221">
        <v>10</v>
      </c>
      <c r="D221">
        <v>11</v>
      </c>
      <c r="E221">
        <v>12</v>
      </c>
    </row>
    <row r="222" spans="1:5">
      <c r="B222">
        <v>13</v>
      </c>
      <c r="C222">
        <v>14</v>
      </c>
      <c r="D222">
        <v>15</v>
      </c>
      <c r="E222">
        <v>16</v>
      </c>
    </row>
    <row r="225" spans="2:2">
      <c r="B225" s="108" t="s">
        <v>1013</v>
      </c>
    </row>
    <row r="226" spans="2:2">
      <c r="B226" s="111" t="s">
        <v>1014</v>
      </c>
    </row>
  </sheetData>
  <phoneticPr fontId="0" type="noConversion"/>
  <printOptions headings="1" gridLines="1"/>
  <pageMargins left="0.74803149606299213" right="0.74803149606299213" top="0.98425196850393704" bottom="0.98425196850393704" header="0.51181102362204722" footer="0.51181102362204722"/>
  <pageSetup paperSize="9" orientation="portrait" horizontalDpi="300" verticalDpi="300" r:id="rId1"/>
  <headerFooter alignWithMargins="0">
    <oddHeader>&amp;LVježba 6&amp;R&amp;P</oddHeader>
  </headerFooter>
  <cellWatches>
    <cellWatch r="C176"/>
  </cellWatches>
  <drawing r:id="rId2"/>
  <legacyDrawing r:id="rId3"/>
  <tableParts count="2">
    <tablePart r:id="rId4"/>
    <tablePart r:id="rId5"/>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autoPageBreaks="0"/>
  </sheetPr>
  <dimension ref="A1:K171"/>
  <sheetViews>
    <sheetView topLeftCell="A98" workbookViewId="0">
      <selection activeCell="J45" sqref="J45"/>
    </sheetView>
  </sheetViews>
  <sheetFormatPr defaultRowHeight="12.75"/>
  <cols>
    <col min="1" max="1" width="10.42578125" customWidth="1"/>
    <col min="3" max="4" width="9.140625" customWidth="1"/>
    <col min="6" max="6" width="20.7109375" customWidth="1"/>
    <col min="8" max="8" width="18.42578125" customWidth="1"/>
    <col min="9" max="10" width="9.140625" customWidth="1"/>
  </cols>
  <sheetData>
    <row r="1" spans="1:8">
      <c r="A1" s="1" t="s">
        <v>470</v>
      </c>
    </row>
    <row r="2" spans="1:8">
      <c r="A2" s="2" t="s">
        <v>744</v>
      </c>
    </row>
    <row r="3" spans="1:8">
      <c r="A3" s="2"/>
    </row>
    <row r="4" spans="1:8" ht="18">
      <c r="A4" s="71" t="s">
        <v>1039</v>
      </c>
      <c r="G4" s="108"/>
      <c r="H4" s="51"/>
    </row>
    <row r="5" spans="1:8" ht="18">
      <c r="A5" s="71"/>
      <c r="G5" s="108"/>
      <c r="H5" s="51"/>
    </row>
    <row r="6" spans="1:8">
      <c r="A6" s="108" t="s">
        <v>1032</v>
      </c>
      <c r="D6" s="52" t="s">
        <v>1038</v>
      </c>
      <c r="E6" s="52" t="s">
        <v>1035</v>
      </c>
    </row>
    <row r="7" spans="1:8">
      <c r="E7" s="52" t="s">
        <v>1031</v>
      </c>
    </row>
    <row r="8" spans="1:8">
      <c r="A8" s="50"/>
      <c r="C8" s="50"/>
      <c r="E8" s="52" t="s">
        <v>1034</v>
      </c>
      <c r="H8" s="108"/>
    </row>
    <row r="9" spans="1:8">
      <c r="E9" s="52" t="s">
        <v>1033</v>
      </c>
    </row>
    <row r="11" spans="1:8">
      <c r="A11" s="108" t="s">
        <v>616</v>
      </c>
      <c r="G11" s="108"/>
    </row>
    <row r="12" spans="1:8">
      <c r="A12" s="52" t="s">
        <v>1037</v>
      </c>
      <c r="E12" s="108" t="s">
        <v>851</v>
      </c>
    </row>
    <row r="13" spans="1:8">
      <c r="B13" s="108" t="s">
        <v>1036</v>
      </c>
      <c r="G13" s="108"/>
    </row>
    <row r="14" spans="1:8">
      <c r="H14" s="108"/>
    </row>
    <row r="15" spans="1:8">
      <c r="A15" s="52" t="s">
        <v>1041</v>
      </c>
      <c r="H15" s="108"/>
    </row>
    <row r="16" spans="1:8">
      <c r="B16" s="50" t="s">
        <v>471</v>
      </c>
    </row>
    <row r="17" spans="1:6">
      <c r="B17" t="s">
        <v>745</v>
      </c>
    </row>
    <row r="18" spans="1:6">
      <c r="B18" t="s">
        <v>1030</v>
      </c>
    </row>
    <row r="20" spans="1:6">
      <c r="B20" s="50" t="s">
        <v>849</v>
      </c>
    </row>
    <row r="21" spans="1:6">
      <c r="B21" t="s">
        <v>746</v>
      </c>
    </row>
    <row r="23" spans="1:6">
      <c r="A23" t="s">
        <v>747</v>
      </c>
    </row>
    <row r="25" spans="1:6">
      <c r="A25" s="52" t="s">
        <v>1042</v>
      </c>
    </row>
    <row r="26" spans="1:6">
      <c r="B26" s="111" t="s">
        <v>1043</v>
      </c>
      <c r="E26" s="108" t="s">
        <v>1044</v>
      </c>
    </row>
    <row r="27" spans="1:6">
      <c r="B27" s="111"/>
      <c r="E27" s="108"/>
    </row>
    <row r="28" spans="1:6">
      <c r="A28" s="108" t="s">
        <v>1047</v>
      </c>
      <c r="B28" s="111"/>
      <c r="E28" s="108"/>
    </row>
    <row r="29" spans="1:6">
      <c r="A29" s="52" t="s">
        <v>1040</v>
      </c>
    </row>
    <row r="30" spans="1:6">
      <c r="B30" s="111" t="s">
        <v>1045</v>
      </c>
      <c r="F30" s="111" t="s">
        <v>1049</v>
      </c>
    </row>
    <row r="31" spans="1:6">
      <c r="B31" s="111" t="s">
        <v>1046</v>
      </c>
      <c r="F31" s="111" t="s">
        <v>1050</v>
      </c>
    </row>
    <row r="32" spans="1:6">
      <c r="B32" s="111" t="s">
        <v>1048</v>
      </c>
    </row>
    <row r="34" spans="1:9">
      <c r="A34" s="52" t="s">
        <v>1053</v>
      </c>
    </row>
    <row r="35" spans="1:9">
      <c r="B35" s="50" t="s">
        <v>1054</v>
      </c>
    </row>
    <row r="36" spans="1:9">
      <c r="B36" s="50" t="s">
        <v>850</v>
      </c>
    </row>
    <row r="37" spans="1:9">
      <c r="A37" t="s">
        <v>748</v>
      </c>
      <c r="B37" s="50"/>
    </row>
    <row r="38" spans="1:9">
      <c r="B38" s="50"/>
    </row>
    <row r="39" spans="1:9">
      <c r="A39" s="52" t="s">
        <v>1051</v>
      </c>
    </row>
    <row r="40" spans="1:9">
      <c r="B40" s="50" t="s">
        <v>1052</v>
      </c>
    </row>
    <row r="41" spans="1:9">
      <c r="B41" s="50"/>
    </row>
    <row r="43" spans="1:9">
      <c r="A43" s="2" t="s">
        <v>472</v>
      </c>
    </row>
    <row r="44" spans="1:9">
      <c r="A44" s="2"/>
    </row>
    <row r="45" spans="1:9">
      <c r="A45" s="52" t="s">
        <v>1055</v>
      </c>
    </row>
    <row r="46" spans="1:9">
      <c r="A46" s="88" t="s">
        <v>1056</v>
      </c>
      <c r="D46" s="108"/>
    </row>
    <row r="48" spans="1:9">
      <c r="A48" s="50" t="s">
        <v>827</v>
      </c>
      <c r="D48" s="50" t="s">
        <v>829</v>
      </c>
    </row>
    <row r="49" spans="1:11">
      <c r="D49" s="50" t="s">
        <v>828</v>
      </c>
    </row>
    <row r="50" spans="1:11">
      <c r="D50" s="50" t="s">
        <v>830</v>
      </c>
    </row>
    <row r="51" spans="1:11">
      <c r="C51" s="50"/>
    </row>
    <row r="52" spans="1:11">
      <c r="A52" t="s">
        <v>749</v>
      </c>
      <c r="C52" s="50"/>
    </row>
    <row r="53" spans="1:11">
      <c r="A53" t="s">
        <v>750</v>
      </c>
      <c r="C53" s="50"/>
    </row>
    <row r="54" spans="1:11">
      <c r="A54" t="s">
        <v>751</v>
      </c>
      <c r="C54" s="50"/>
    </row>
    <row r="56" spans="1:11">
      <c r="A56" s="112">
        <f ca="1">TODAY()</f>
        <v>44700</v>
      </c>
      <c r="C56" s="50" t="s">
        <v>831</v>
      </c>
      <c r="I56" s="8">
        <f ca="1">TODAY()</f>
        <v>44700</v>
      </c>
    </row>
    <row r="58" spans="1:11">
      <c r="A58" t="s">
        <v>358</v>
      </c>
    </row>
    <row r="59" spans="1:11">
      <c r="A59" s="108" t="s">
        <v>1057</v>
      </c>
    </row>
    <row r="60" spans="1:11">
      <c r="A60" s="108" t="s">
        <v>1058</v>
      </c>
    </row>
    <row r="61" spans="1:11">
      <c r="A61" s="108" t="s">
        <v>1059</v>
      </c>
    </row>
    <row r="63" spans="1:11">
      <c r="A63">
        <v>34</v>
      </c>
      <c r="B63">
        <v>56</v>
      </c>
      <c r="C63">
        <f>2*A63+B63</f>
        <v>124</v>
      </c>
      <c r="F63" s="50" t="s">
        <v>752</v>
      </c>
      <c r="I63">
        <v>34</v>
      </c>
      <c r="J63">
        <v>56</v>
      </c>
      <c r="K63">
        <v>124</v>
      </c>
    </row>
    <row r="64" spans="1:11">
      <c r="F64" s="50" t="s">
        <v>1060</v>
      </c>
    </row>
    <row r="65" spans="1:7">
      <c r="F65" s="50"/>
    </row>
    <row r="66" spans="1:7">
      <c r="A66" s="84" t="s">
        <v>473</v>
      </c>
    </row>
    <row r="67" spans="1:7">
      <c r="A67" s="50" t="s">
        <v>832</v>
      </c>
      <c r="E67" s="111" t="s">
        <v>833</v>
      </c>
      <c r="G67" s="111" t="s">
        <v>836</v>
      </c>
    </row>
    <row r="68" spans="1:7">
      <c r="A68" s="108" t="s">
        <v>1061</v>
      </c>
    </row>
    <row r="70" spans="1:7">
      <c r="A70" s="84" t="s">
        <v>1062</v>
      </c>
    </row>
    <row r="71" spans="1:7">
      <c r="A71" s="50" t="s">
        <v>1063</v>
      </c>
    </row>
    <row r="72" spans="1:7">
      <c r="A72" s="50"/>
    </row>
    <row r="73" spans="1:7">
      <c r="A73" s="108" t="s">
        <v>1064</v>
      </c>
    </row>
    <row r="75" spans="1:7">
      <c r="A75" s="108" t="s">
        <v>753</v>
      </c>
    </row>
    <row r="76" spans="1:7">
      <c r="A76" s="50" t="s">
        <v>837</v>
      </c>
      <c r="G76" s="108" t="s">
        <v>1065</v>
      </c>
    </row>
    <row r="77" spans="1:7">
      <c r="A77" s="50" t="s">
        <v>1066</v>
      </c>
      <c r="F77" s="108" t="s">
        <v>1067</v>
      </c>
    </row>
    <row r="78" spans="1:7">
      <c r="A78" s="51" t="s">
        <v>755</v>
      </c>
    </row>
    <row r="80" spans="1:7">
      <c r="A80" s="84" t="s">
        <v>474</v>
      </c>
    </row>
    <row r="81" spans="1:11">
      <c r="A81" t="s">
        <v>756</v>
      </c>
    </row>
    <row r="82" spans="1:11">
      <c r="A82" s="50" t="s">
        <v>834</v>
      </c>
      <c r="D82" s="113" t="s">
        <v>835</v>
      </c>
    </row>
    <row r="83" spans="1:11">
      <c r="A83" t="s">
        <v>757</v>
      </c>
    </row>
    <row r="85" spans="1:11" ht="15.75">
      <c r="A85" s="108" t="s">
        <v>762</v>
      </c>
    </row>
    <row r="86" spans="1:11" ht="15.75">
      <c r="A86" t="s">
        <v>761</v>
      </c>
    </row>
    <row r="87" spans="1:11">
      <c r="A87" t="s">
        <v>760</v>
      </c>
    </row>
    <row r="89" spans="1:11" ht="15.75">
      <c r="B89" s="45" t="s">
        <v>758</v>
      </c>
      <c r="C89" s="45" t="s">
        <v>759</v>
      </c>
      <c r="D89" s="45" t="s">
        <v>362</v>
      </c>
      <c r="E89" s="45" t="s">
        <v>363</v>
      </c>
      <c r="H89" s="151" t="s">
        <v>1288</v>
      </c>
      <c r="I89" s="151" t="s">
        <v>1289</v>
      </c>
      <c r="J89" s="151" t="s">
        <v>362</v>
      </c>
      <c r="K89" s="151" t="s">
        <v>363</v>
      </c>
    </row>
    <row r="90" spans="1:11">
      <c r="B90" s="45">
        <v>2</v>
      </c>
      <c r="C90" s="45">
        <v>3</v>
      </c>
      <c r="D90" s="45">
        <v>4</v>
      </c>
      <c r="E90" s="45">
        <f>B90*D90^2+C90</f>
        <v>35</v>
      </c>
      <c r="H90" s="3">
        <v>2</v>
      </c>
      <c r="I90" s="3">
        <v>3</v>
      </c>
      <c r="J90" s="3">
        <v>4</v>
      </c>
      <c r="K90" s="3">
        <f>H90*J90^2+I90</f>
        <v>35</v>
      </c>
    </row>
    <row r="92" spans="1:11"/>
    <row r="93" spans="1:11" ht="15.75">
      <c r="A93" s="69" t="s">
        <v>475</v>
      </c>
    </row>
    <row r="94" spans="1:11">
      <c r="A94" t="s">
        <v>763</v>
      </c>
    </row>
    <row r="96" spans="1:11">
      <c r="A96" s="108" t="s">
        <v>838</v>
      </c>
    </row>
    <row r="98" spans="1:7">
      <c r="A98" s="108" t="s">
        <v>839</v>
      </c>
    </row>
    <row r="100" spans="1:7">
      <c r="A100" t="s">
        <v>6</v>
      </c>
      <c r="G100" s="108"/>
    </row>
    <row r="101" spans="1:7">
      <c r="A101" t="s">
        <v>7</v>
      </c>
    </row>
    <row r="103" spans="1:7">
      <c r="A103" s="108" t="s">
        <v>844</v>
      </c>
    </row>
    <row r="104" spans="1:7">
      <c r="A104" s="108" t="s">
        <v>845</v>
      </c>
    </row>
    <row r="105" spans="1:7">
      <c r="A105" s="108" t="s">
        <v>846</v>
      </c>
    </row>
    <row r="106" spans="1:7">
      <c r="A106" s="108" t="s">
        <v>840</v>
      </c>
    </row>
    <row r="107" spans="1:7">
      <c r="B107" t="s">
        <v>0</v>
      </c>
    </row>
    <row r="108" spans="1:7">
      <c r="B108" t="s">
        <v>2</v>
      </c>
    </row>
    <row r="109" spans="1:7">
      <c r="B109" t="s">
        <v>1</v>
      </c>
    </row>
    <row r="110" spans="1:7">
      <c r="B110" t="s">
        <v>3</v>
      </c>
    </row>
    <row r="112" spans="1:7">
      <c r="A112" s="84" t="s">
        <v>9</v>
      </c>
    </row>
    <row r="113" spans="1:6">
      <c r="A113" s="84" t="s">
        <v>10</v>
      </c>
    </row>
    <row r="114" spans="1:6">
      <c r="A114" s="84" t="s">
        <v>11</v>
      </c>
    </row>
    <row r="115" spans="1:6">
      <c r="A115" t="s">
        <v>8</v>
      </c>
    </row>
    <row r="116" spans="1:6">
      <c r="A116" s="84" t="s">
        <v>12</v>
      </c>
      <c r="D116" s="108"/>
    </row>
    <row r="117" spans="1:6">
      <c r="A117" s="51" t="s">
        <v>13</v>
      </c>
    </row>
    <row r="119" spans="1:6">
      <c r="A119" t="s">
        <v>4</v>
      </c>
    </row>
    <row r="120" spans="1:6">
      <c r="A120" s="50" t="s">
        <v>841</v>
      </c>
      <c r="B120" s="50"/>
      <c r="E120" s="50" t="s">
        <v>842</v>
      </c>
    </row>
    <row r="121" spans="1:6">
      <c r="A121" s="50"/>
      <c r="B121" s="50"/>
      <c r="E121" s="50" t="s">
        <v>843</v>
      </c>
    </row>
    <row r="122" spans="1:6">
      <c r="A122" s="50" t="s">
        <v>847</v>
      </c>
      <c r="B122" s="50"/>
      <c r="E122" s="50" t="s">
        <v>476</v>
      </c>
      <c r="F122" t="s">
        <v>5</v>
      </c>
    </row>
    <row r="123" spans="1:6">
      <c r="A123" s="50"/>
      <c r="B123" s="50"/>
      <c r="E123" s="50" t="s">
        <v>477</v>
      </c>
      <c r="F123" t="s">
        <v>478</v>
      </c>
    </row>
    <row r="124" spans="1:6">
      <c r="A124" s="50"/>
      <c r="B124" s="50"/>
      <c r="C124" s="50"/>
    </row>
    <row r="125" spans="1:6">
      <c r="A125" s="84" t="s">
        <v>14</v>
      </c>
      <c r="B125" s="50"/>
      <c r="C125" s="50"/>
    </row>
    <row r="126" spans="1:6">
      <c r="A126" s="51" t="s">
        <v>15</v>
      </c>
      <c r="B126" s="50"/>
      <c r="C126" s="50"/>
    </row>
    <row r="127" spans="1:6">
      <c r="B127" s="50"/>
      <c r="C127" s="50"/>
    </row>
    <row r="128" spans="1:6">
      <c r="A128" s="84" t="s">
        <v>16</v>
      </c>
      <c r="B128" s="50"/>
      <c r="C128" s="50"/>
    </row>
    <row r="129" spans="1:6">
      <c r="A129" s="51" t="s">
        <v>17</v>
      </c>
      <c r="B129" s="26"/>
    </row>
    <row r="130" spans="1:6">
      <c r="B130" s="26"/>
    </row>
    <row r="131" spans="1:6">
      <c r="A131" s="84" t="s">
        <v>18</v>
      </c>
    </row>
    <row r="132" spans="1:6">
      <c r="A132" t="s">
        <v>19</v>
      </c>
    </row>
    <row r="135" spans="1:6" ht="15.75">
      <c r="A135" s="69" t="s">
        <v>479</v>
      </c>
    </row>
    <row r="136" spans="1:6">
      <c r="A136" s="108" t="s">
        <v>1072</v>
      </c>
    </row>
    <row r="137" spans="1:6">
      <c r="A137" s="50" t="s">
        <v>848</v>
      </c>
    </row>
    <row r="139" spans="1:6">
      <c r="A139" s="111" t="s">
        <v>1073</v>
      </c>
    </row>
    <row r="140" spans="1:6">
      <c r="A140" s="111"/>
    </row>
    <row r="141" spans="1:6">
      <c r="A141" s="108" t="s">
        <v>1074</v>
      </c>
    </row>
    <row r="142" spans="1:6">
      <c r="B142" s="111" t="s">
        <v>1075</v>
      </c>
      <c r="F142" s="108"/>
    </row>
    <row r="143" spans="1:6">
      <c r="B143" s="111" t="s">
        <v>1068</v>
      </c>
    </row>
    <row r="145" spans="1:4">
      <c r="A145" s="108" t="s">
        <v>1069</v>
      </c>
    </row>
    <row r="146" spans="1:4">
      <c r="C146" s="108" t="s">
        <v>1076</v>
      </c>
    </row>
    <row r="148" spans="1:4">
      <c r="A148" s="108" t="s">
        <v>1070</v>
      </c>
    </row>
    <row r="149" spans="1:4">
      <c r="D149" s="108" t="s">
        <v>1071</v>
      </c>
    </row>
    <row r="151" spans="1:4">
      <c r="A151" t="s">
        <v>34</v>
      </c>
    </row>
    <row r="153" spans="1:4">
      <c r="A153" t="s">
        <v>20</v>
      </c>
    </row>
    <row r="154" spans="1:4">
      <c r="A154" t="s">
        <v>21</v>
      </c>
    </row>
    <row r="155" spans="1:4">
      <c r="B155" t="s">
        <v>22</v>
      </c>
    </row>
    <row r="156" spans="1:4">
      <c r="B156" s="38" t="s">
        <v>23</v>
      </c>
    </row>
    <row r="157" spans="1:4">
      <c r="A157" s="15" t="s">
        <v>480</v>
      </c>
      <c r="B157" s="38" t="s">
        <v>24</v>
      </c>
    </row>
    <row r="159" spans="1:4">
      <c r="A159" s="108" t="s">
        <v>1077</v>
      </c>
    </row>
    <row r="160" spans="1:4">
      <c r="A160" t="s">
        <v>25</v>
      </c>
    </row>
    <row r="161" spans="1:2">
      <c r="B161" t="s">
        <v>30</v>
      </c>
    </row>
    <row r="162" spans="1:2">
      <c r="B162" s="50" t="s">
        <v>26</v>
      </c>
    </row>
    <row r="163" spans="1:2">
      <c r="A163" s="15"/>
      <c r="B163" s="38" t="s">
        <v>27</v>
      </c>
    </row>
    <row r="164" spans="1:2">
      <c r="A164" s="50" t="s">
        <v>28</v>
      </c>
    </row>
    <row r="165" spans="1:2">
      <c r="A165" s="50" t="s">
        <v>29</v>
      </c>
    </row>
    <row r="167" spans="1:2">
      <c r="A167" s="108" t="s">
        <v>1078</v>
      </c>
    </row>
    <row r="168" spans="1:2">
      <c r="A168" t="s">
        <v>31</v>
      </c>
    </row>
    <row r="170" spans="1:2">
      <c r="A170" t="s">
        <v>32</v>
      </c>
    </row>
    <row r="171" spans="1:2">
      <c r="A171" t="s">
        <v>33</v>
      </c>
    </row>
  </sheetData>
  <phoneticPr fontId="0" type="noConversion"/>
  <printOptions headings="1" gridLines="1"/>
  <pageMargins left="0.74803149606299213" right="0.74803149606299213" top="0.98425196850393704" bottom="0.98425196850393704" header="0.51181102362204722" footer="0.51181102362204722"/>
  <pageSetup paperSize="9" orientation="portrait" cellComments="asDisplayed" horizontalDpi="300" verticalDpi="300" r:id="rId1"/>
  <headerFooter alignWithMargins="0">
    <oddHeader>&amp;LVježba 7&amp;R&amp;P</oddHeader>
  </headerFooter>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autoPageBreaks="0"/>
  </sheetPr>
  <dimension ref="A1:Q185"/>
  <sheetViews>
    <sheetView workbookViewId="0"/>
  </sheetViews>
  <sheetFormatPr defaultRowHeight="12.75"/>
  <cols>
    <col min="1" max="1" width="7.28515625" customWidth="1"/>
    <col min="2" max="2" width="10.42578125" customWidth="1"/>
    <col min="3" max="5" width="8.42578125" customWidth="1"/>
    <col min="6" max="6" width="7.28515625" customWidth="1"/>
  </cols>
  <sheetData>
    <row r="1" spans="1:4">
      <c r="A1" s="27" t="s">
        <v>483</v>
      </c>
    </row>
    <row r="2" spans="1:4">
      <c r="A2" s="50" t="s">
        <v>1088</v>
      </c>
      <c r="C2" t="s">
        <v>485</v>
      </c>
    </row>
    <row r="3" spans="1:4">
      <c r="A3" t="s">
        <v>1079</v>
      </c>
    </row>
    <row r="5" spans="1:4">
      <c r="A5" s="84" t="s">
        <v>484</v>
      </c>
    </row>
    <row r="6" spans="1:4">
      <c r="A6" s="108" t="s">
        <v>1087</v>
      </c>
    </row>
    <row r="7" spans="1:4">
      <c r="A7" t="s">
        <v>480</v>
      </c>
    </row>
    <row r="8" spans="1:4">
      <c r="A8" s="108" t="s">
        <v>1086</v>
      </c>
    </row>
    <row r="9" spans="1:4">
      <c r="B9" s="108" t="s">
        <v>1081</v>
      </c>
      <c r="C9" s="50" t="s">
        <v>1080</v>
      </c>
    </row>
    <row r="10" spans="1:4">
      <c r="A10" t="s">
        <v>480</v>
      </c>
    </row>
    <row r="11" spans="1:4">
      <c r="A11" s="108" t="s">
        <v>1089</v>
      </c>
    </row>
    <row r="12" spans="1:4">
      <c r="A12" s="108" t="s">
        <v>1144</v>
      </c>
    </row>
    <row r="14" spans="1:4">
      <c r="A14" s="84" t="s">
        <v>486</v>
      </c>
    </row>
    <row r="16" spans="1:4">
      <c r="A16" s="50" t="s">
        <v>1130</v>
      </c>
      <c r="B16" s="50"/>
      <c r="D16" s="50" t="s">
        <v>481</v>
      </c>
    </row>
    <row r="17" spans="1:5">
      <c r="A17" s="50" t="s">
        <v>1082</v>
      </c>
      <c r="B17" s="50"/>
      <c r="D17" s="50" t="s">
        <v>482</v>
      </c>
    </row>
    <row r="18" spans="1:5">
      <c r="A18" s="50"/>
      <c r="B18" s="50"/>
      <c r="D18" s="50" t="s">
        <v>1131</v>
      </c>
    </row>
    <row r="19" spans="1:5">
      <c r="A19" s="50"/>
      <c r="B19" s="50"/>
      <c r="D19" s="50" t="s">
        <v>1132</v>
      </c>
    </row>
    <row r="21" spans="1:5" ht="15.75">
      <c r="A21" s="69" t="s">
        <v>487</v>
      </c>
    </row>
    <row r="22" spans="1:5">
      <c r="A22" s="51" t="s">
        <v>488</v>
      </c>
    </row>
    <row r="23" spans="1:5">
      <c r="A23" s="51" t="s">
        <v>489</v>
      </c>
    </row>
    <row r="24" spans="1:5">
      <c r="A24" s="108" t="s">
        <v>1083</v>
      </c>
      <c r="D24" s="50" t="s">
        <v>1084</v>
      </c>
    </row>
    <row r="25" spans="1:5">
      <c r="A25" s="54"/>
    </row>
    <row r="26" spans="1:5">
      <c r="A26" t="s">
        <v>492</v>
      </c>
    </row>
    <row r="28" spans="1:5">
      <c r="B28" s="213" t="s">
        <v>491</v>
      </c>
      <c r="C28" s="213"/>
      <c r="D28" s="213"/>
      <c r="E28" s="213"/>
    </row>
    <row r="30" spans="1:5">
      <c r="B30" s="28" t="s">
        <v>490</v>
      </c>
      <c r="C30" s="29" t="s">
        <v>537</v>
      </c>
      <c r="D30" s="29" t="s">
        <v>538</v>
      </c>
      <c r="E30" s="29" t="s">
        <v>539</v>
      </c>
    </row>
    <row r="31" spans="1:5">
      <c r="B31" s="30" t="s">
        <v>345</v>
      </c>
      <c r="C31" s="3">
        <v>327</v>
      </c>
      <c r="D31" s="3">
        <v>311</v>
      </c>
      <c r="E31" s="3">
        <v>315</v>
      </c>
    </row>
    <row r="32" spans="1:5">
      <c r="B32" s="30" t="s">
        <v>346</v>
      </c>
      <c r="C32" s="3">
        <v>234</v>
      </c>
      <c r="D32" s="3">
        <v>254</v>
      </c>
      <c r="E32" s="3">
        <v>260</v>
      </c>
    </row>
    <row r="33" spans="1:5">
      <c r="B33" s="30" t="s">
        <v>347</v>
      </c>
      <c r="C33" s="3">
        <v>456</v>
      </c>
      <c r="D33" s="3">
        <v>333</v>
      </c>
      <c r="E33" s="3">
        <v>428</v>
      </c>
    </row>
    <row r="34" spans="1:5">
      <c r="B34" s="30" t="s">
        <v>37</v>
      </c>
      <c r="C34" s="3">
        <v>567</v>
      </c>
      <c r="D34" s="3">
        <v>444</v>
      </c>
      <c r="E34" s="3">
        <v>476</v>
      </c>
    </row>
    <row r="36" spans="1:5">
      <c r="A36" s="50" t="s">
        <v>241</v>
      </c>
    </row>
    <row r="50" spans="1:10">
      <c r="A50" s="50"/>
      <c r="B50" s="108" t="s">
        <v>493</v>
      </c>
    </row>
    <row r="52" spans="1:10">
      <c r="A52" s="108" t="s">
        <v>1085</v>
      </c>
    </row>
    <row r="54" spans="1:10">
      <c r="A54" s="84" t="s">
        <v>852</v>
      </c>
    </row>
    <row r="56" spans="1:10">
      <c r="A56" s="50" t="s">
        <v>1093</v>
      </c>
      <c r="E56" s="108" t="s">
        <v>1090</v>
      </c>
    </row>
    <row r="57" spans="1:10">
      <c r="B57" s="50" t="s">
        <v>1094</v>
      </c>
      <c r="E57" s="108" t="s">
        <v>1091</v>
      </c>
    </row>
    <row r="59" spans="1:10">
      <c r="A59" s="50" t="s">
        <v>1092</v>
      </c>
      <c r="E59" s="108" t="s">
        <v>1095</v>
      </c>
    </row>
    <row r="60" spans="1:10">
      <c r="B60" s="50" t="s">
        <v>1096</v>
      </c>
    </row>
    <row r="61" spans="1:10">
      <c r="C61" s="111" t="s">
        <v>853</v>
      </c>
      <c r="E61" s="108" t="s">
        <v>1097</v>
      </c>
    </row>
    <row r="62" spans="1:10">
      <c r="C62" s="111" t="s">
        <v>1100</v>
      </c>
    </row>
    <row r="63" spans="1:10">
      <c r="D63" s="113" t="s">
        <v>1098</v>
      </c>
      <c r="J63" s="108"/>
    </row>
    <row r="64" spans="1:10">
      <c r="E64" s="108" t="s">
        <v>1099</v>
      </c>
      <c r="J64" s="108"/>
    </row>
    <row r="66" spans="1:4">
      <c r="C66" s="111" t="s">
        <v>1101</v>
      </c>
    </row>
    <row r="67" spans="1:4">
      <c r="D67" s="108" t="s">
        <v>1102</v>
      </c>
    </row>
    <row r="69" spans="1:4">
      <c r="A69" s="50" t="s">
        <v>1103</v>
      </c>
      <c r="D69" s="108" t="s">
        <v>1106</v>
      </c>
    </row>
    <row r="70" spans="1:4">
      <c r="A70" s="50" t="s">
        <v>1104</v>
      </c>
      <c r="D70" s="108" t="s">
        <v>1105</v>
      </c>
    </row>
    <row r="71" spans="1:4">
      <c r="A71" s="50"/>
    </row>
    <row r="72" spans="1:4">
      <c r="A72" s="50" t="s">
        <v>1107</v>
      </c>
      <c r="D72" s="108" t="s">
        <v>1108</v>
      </c>
    </row>
    <row r="73" spans="1:4">
      <c r="A73" s="50"/>
      <c r="B73" s="50" t="s">
        <v>855</v>
      </c>
      <c r="C73" s="108" t="s">
        <v>1109</v>
      </c>
    </row>
    <row r="74" spans="1:4">
      <c r="A74" s="50"/>
      <c r="B74" s="50" t="s">
        <v>856</v>
      </c>
      <c r="C74" s="108" t="s">
        <v>1110</v>
      </c>
    </row>
    <row r="76" spans="1:4">
      <c r="A76" s="50" t="s">
        <v>1111</v>
      </c>
      <c r="B76" s="50"/>
      <c r="C76" s="108"/>
    </row>
    <row r="77" spans="1:4">
      <c r="B77" s="50"/>
      <c r="C77" s="108"/>
    </row>
    <row r="78" spans="1:4">
      <c r="A78" s="50" t="s">
        <v>1113</v>
      </c>
      <c r="B78" s="50"/>
    </row>
    <row r="79" spans="1:4">
      <c r="B79" s="50" t="s">
        <v>1114</v>
      </c>
      <c r="C79" s="108" t="s">
        <v>1112</v>
      </c>
    </row>
    <row r="80" spans="1:4">
      <c r="B80" s="50" t="s">
        <v>854</v>
      </c>
      <c r="C80" s="108" t="s">
        <v>1115</v>
      </c>
    </row>
    <row r="81" spans="1:17">
      <c r="B81" s="50" t="s">
        <v>542</v>
      </c>
      <c r="C81" s="108" t="s">
        <v>1116</v>
      </c>
    </row>
    <row r="82" spans="1:17">
      <c r="B82" s="50" t="s">
        <v>543</v>
      </c>
      <c r="C82" s="108" t="s">
        <v>1117</v>
      </c>
    </row>
    <row r="83" spans="1:17">
      <c r="B83" s="50" t="s">
        <v>495</v>
      </c>
      <c r="C83" s="108" t="s">
        <v>1118</v>
      </c>
    </row>
    <row r="85" spans="1:17">
      <c r="A85" s="50" t="s">
        <v>1122</v>
      </c>
    </row>
    <row r="86" spans="1:17">
      <c r="B86" s="50" t="s">
        <v>1119</v>
      </c>
      <c r="C86" s="108" t="s">
        <v>1120</v>
      </c>
    </row>
    <row r="87" spans="1:17">
      <c r="B87" s="50" t="s">
        <v>496</v>
      </c>
      <c r="C87" s="108" t="s">
        <v>1133</v>
      </c>
    </row>
    <row r="88" spans="1:17">
      <c r="B88" s="50"/>
      <c r="C88" s="108"/>
    </row>
    <row r="89" spans="1:17">
      <c r="A89" s="50" t="s">
        <v>1121</v>
      </c>
      <c r="C89" s="108"/>
    </row>
    <row r="90" spans="1:17">
      <c r="A90" s="50" t="s">
        <v>1134</v>
      </c>
      <c r="C90" s="108" t="s">
        <v>1123</v>
      </c>
    </row>
    <row r="91" spans="1:17">
      <c r="B91" s="50"/>
      <c r="C91" s="108"/>
    </row>
    <row r="92" spans="1:17">
      <c r="A92" s="50" t="s">
        <v>1124</v>
      </c>
    </row>
    <row r="93" spans="1:17">
      <c r="J93" s="50"/>
      <c r="Q93" s="108"/>
    </row>
    <row r="94" spans="1:17">
      <c r="J94" s="50"/>
    </row>
    <row r="95" spans="1:17">
      <c r="A95" s="5" t="s">
        <v>1135</v>
      </c>
      <c r="J95" s="50"/>
      <c r="P95" s="108"/>
    </row>
    <row r="96" spans="1:17">
      <c r="A96" s="108" t="s">
        <v>857</v>
      </c>
    </row>
    <row r="97" spans="1:1">
      <c r="A97" s="50" t="s">
        <v>1125</v>
      </c>
    </row>
    <row r="99" spans="1:1">
      <c r="A99" t="s">
        <v>497</v>
      </c>
    </row>
    <row r="109" spans="1:1">
      <c r="A109" s="50"/>
    </row>
    <row r="113" spans="1:9">
      <c r="A113" t="s">
        <v>498</v>
      </c>
    </row>
    <row r="114" spans="1:9">
      <c r="A114" t="s">
        <v>499</v>
      </c>
    </row>
    <row r="115" spans="1:9">
      <c r="A115" s="50" t="s">
        <v>500</v>
      </c>
    </row>
    <row r="116" spans="1:9">
      <c r="B116" t="s">
        <v>501</v>
      </c>
    </row>
    <row r="117" spans="1:9">
      <c r="B117" s="50" t="s">
        <v>858</v>
      </c>
    </row>
    <row r="118" spans="1:9">
      <c r="B118" s="108" t="s">
        <v>859</v>
      </c>
    </row>
    <row r="119" spans="1:9">
      <c r="B119" s="50" t="s">
        <v>502</v>
      </c>
    </row>
    <row r="120" spans="1:9">
      <c r="B120" s="108" t="s">
        <v>1126</v>
      </c>
      <c r="I120" s="108"/>
    </row>
    <row r="121" spans="1:9">
      <c r="G121" s="108" t="s">
        <v>1136</v>
      </c>
    </row>
    <row r="122" spans="1:9">
      <c r="G122" s="108" t="s">
        <v>1137</v>
      </c>
    </row>
    <row r="123" spans="1:9">
      <c r="B123" s="108"/>
      <c r="D123" s="108" t="s">
        <v>1127</v>
      </c>
    </row>
    <row r="124" spans="1:9">
      <c r="B124" s="108"/>
      <c r="E124" s="108" t="s">
        <v>1128</v>
      </c>
      <c r="G124" s="108" t="s">
        <v>1138</v>
      </c>
    </row>
    <row r="125" spans="1:9">
      <c r="B125" s="108"/>
      <c r="E125" s="108"/>
      <c r="G125" s="108"/>
    </row>
    <row r="126" spans="1:9">
      <c r="A126" s="108" t="s">
        <v>1129</v>
      </c>
    </row>
    <row r="127" spans="1:9">
      <c r="B127" s="108"/>
    </row>
    <row r="128" spans="1:9">
      <c r="H128" s="108"/>
    </row>
    <row r="129" spans="1:2">
      <c r="A129" t="s">
        <v>508</v>
      </c>
      <c r="B129" s="108"/>
    </row>
    <row r="130" spans="1:2">
      <c r="A130" t="s">
        <v>509</v>
      </c>
    </row>
    <row r="143" spans="1:2">
      <c r="A143" s="50" t="s">
        <v>860</v>
      </c>
    </row>
    <row r="145" spans="1:2">
      <c r="A145" s="84" t="s">
        <v>1139</v>
      </c>
    </row>
    <row r="146" spans="1:2">
      <c r="A146" t="s">
        <v>544</v>
      </c>
    </row>
    <row r="147" spans="1:2">
      <c r="A147" t="s">
        <v>530</v>
      </c>
    </row>
    <row r="148" spans="1:2">
      <c r="A148" s="108" t="s">
        <v>861</v>
      </c>
    </row>
    <row r="149" spans="1:2">
      <c r="A149" t="s">
        <v>545</v>
      </c>
    </row>
    <row r="150" spans="1:2">
      <c r="B150" t="s">
        <v>531</v>
      </c>
    </row>
    <row r="151" spans="1:2">
      <c r="B151" t="s">
        <v>532</v>
      </c>
    </row>
    <row r="152" spans="1:2">
      <c r="B152" t="s">
        <v>533</v>
      </c>
    </row>
    <row r="153" spans="1:2">
      <c r="B153" s="108" t="s">
        <v>534</v>
      </c>
    </row>
    <row r="154" spans="1:2">
      <c r="B154" t="s">
        <v>535</v>
      </c>
    </row>
    <row r="155" spans="1:2">
      <c r="A155" t="s">
        <v>32</v>
      </c>
    </row>
    <row r="156" spans="1:2">
      <c r="B156" s="108" t="s">
        <v>1140</v>
      </c>
    </row>
    <row r="161" spans="1:6">
      <c r="A161" t="s">
        <v>536</v>
      </c>
    </row>
    <row r="163" spans="1:6">
      <c r="A163" s="214" t="s">
        <v>546</v>
      </c>
      <c r="B163" s="214"/>
      <c r="C163" s="214"/>
      <c r="D163" s="214"/>
      <c r="E163" s="214"/>
      <c r="F163" s="214"/>
    </row>
    <row r="164" spans="1:6">
      <c r="A164" s="3" t="s">
        <v>547</v>
      </c>
      <c r="B164" s="3" t="s">
        <v>552</v>
      </c>
      <c r="C164" s="3" t="s">
        <v>553</v>
      </c>
      <c r="D164" s="3" t="s">
        <v>554</v>
      </c>
      <c r="E164" s="3" t="s">
        <v>555</v>
      </c>
      <c r="F164" s="3" t="s">
        <v>344</v>
      </c>
    </row>
    <row r="165" spans="1:6">
      <c r="A165" s="3" t="s">
        <v>548</v>
      </c>
      <c r="B165" s="3">
        <v>45132</v>
      </c>
      <c r="C165" s="3">
        <v>32205</v>
      </c>
      <c r="D165" s="3">
        <v>12345</v>
      </c>
      <c r="E165" s="3">
        <v>8924</v>
      </c>
      <c r="F165" s="3">
        <f>SUM(B165:E165)</f>
        <v>98606</v>
      </c>
    </row>
    <row r="166" spans="1:6">
      <c r="A166" s="3" t="s">
        <v>549</v>
      </c>
      <c r="B166" s="3">
        <v>35124</v>
      </c>
      <c r="C166" s="3">
        <v>21895</v>
      </c>
      <c r="D166" s="3">
        <v>8238</v>
      </c>
      <c r="E166" s="3">
        <v>3150</v>
      </c>
      <c r="F166" s="3">
        <f>SUM(B166:E166)</f>
        <v>68407</v>
      </c>
    </row>
    <row r="167" spans="1:6">
      <c r="A167" s="3" t="s">
        <v>550</v>
      </c>
      <c r="B167" s="3">
        <v>23145</v>
      </c>
      <c r="C167" s="3">
        <v>13752</v>
      </c>
      <c r="D167" s="3">
        <v>5794</v>
      </c>
      <c r="E167" s="3">
        <v>2198</v>
      </c>
      <c r="F167" s="3">
        <f>SUM(B167:E167)</f>
        <v>44889</v>
      </c>
    </row>
    <row r="168" spans="1:6">
      <c r="A168" s="3" t="s">
        <v>551</v>
      </c>
      <c r="B168" s="3">
        <v>18523</v>
      </c>
      <c r="C168" s="3">
        <v>12895</v>
      </c>
      <c r="D168" s="3">
        <v>4270</v>
      </c>
      <c r="E168" s="3">
        <v>1965</v>
      </c>
      <c r="F168" s="3">
        <f>SUM(B168:E168)</f>
        <v>37653</v>
      </c>
    </row>
    <row r="169" spans="1:6">
      <c r="A169" s="3" t="s">
        <v>344</v>
      </c>
      <c r="B169" s="3">
        <f>SUM(B165:B168)</f>
        <v>121924</v>
      </c>
      <c r="C169" s="3">
        <f>SUM(C165:C168)</f>
        <v>80747</v>
      </c>
      <c r="D169" s="3">
        <f>SUM(D165:D168)</f>
        <v>30647</v>
      </c>
      <c r="E169" s="3">
        <f>SUM(E165:E168)</f>
        <v>16237</v>
      </c>
      <c r="F169" s="3">
        <f>SUM(F165:F168)</f>
        <v>249555</v>
      </c>
    </row>
    <row r="171" spans="1:6">
      <c r="A171" t="s">
        <v>507</v>
      </c>
    </row>
    <row r="172" spans="1:6">
      <c r="A172" t="s">
        <v>506</v>
      </c>
    </row>
    <row r="173" spans="1:6">
      <c r="A173" t="s">
        <v>505</v>
      </c>
    </row>
    <row r="174" spans="1:6">
      <c r="A174" t="s">
        <v>504</v>
      </c>
    </row>
    <row r="175" spans="1:6">
      <c r="A175" t="s">
        <v>556</v>
      </c>
    </row>
    <row r="176" spans="1:6">
      <c r="A176" t="s">
        <v>557</v>
      </c>
    </row>
    <row r="177" spans="1:1">
      <c r="A177" t="s">
        <v>503</v>
      </c>
    </row>
    <row r="178" spans="1:1">
      <c r="A178" s="108" t="s">
        <v>1141</v>
      </c>
    </row>
    <row r="179" spans="1:1">
      <c r="A179" t="s">
        <v>558</v>
      </c>
    </row>
    <row r="180" spans="1:1">
      <c r="A180" t="s">
        <v>559</v>
      </c>
    </row>
    <row r="181" spans="1:1">
      <c r="A181" t="s">
        <v>560</v>
      </c>
    </row>
    <row r="182" spans="1:1">
      <c r="A182" s="108" t="s">
        <v>1142</v>
      </c>
    </row>
    <row r="183" spans="1:1">
      <c r="A183" t="s">
        <v>561</v>
      </c>
    </row>
    <row r="184" spans="1:1">
      <c r="A184" s="108" t="s">
        <v>1143</v>
      </c>
    </row>
    <row r="185" spans="1:1">
      <c r="A185" t="s">
        <v>562</v>
      </c>
    </row>
  </sheetData>
  <mergeCells count="2">
    <mergeCell ref="B28:E28"/>
    <mergeCell ref="A163:F163"/>
  </mergeCells>
  <phoneticPr fontId="0" type="noConversion"/>
  <printOptions headings="1" gridLines="1"/>
  <pageMargins left="0.74803149606299202" right="0.74803149606299202" top="0.98425196850393704" bottom="0.98425196850393704" header="0.511811023622047" footer="0.511811023622047"/>
  <pageSetup paperSize="9" orientation="portrait" horizontalDpi="300" verticalDpi="300" r:id="rId1"/>
  <headerFooter alignWithMargins="0">
    <oddHeader>&amp;LVježba 8&amp;R&amp;P</oddHeader>
  </headerFooter>
  <rowBreaks count="1" manualBreakCount="1">
    <brk id="112"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J306"/>
  <sheetViews>
    <sheetView workbookViewId="0"/>
  </sheetViews>
  <sheetFormatPr defaultRowHeight="12.75"/>
  <cols>
    <col min="4" max="4" width="9.7109375" customWidth="1"/>
  </cols>
  <sheetData>
    <row r="1" spans="1:8">
      <c r="A1" s="2" t="s">
        <v>1154</v>
      </c>
    </row>
    <row r="3" spans="1:8">
      <c r="A3" s="108" t="s">
        <v>1156</v>
      </c>
    </row>
    <row r="4" spans="1:8">
      <c r="A4" s="108" t="s">
        <v>1155</v>
      </c>
    </row>
    <row r="5" spans="1:8">
      <c r="A5" s="108" t="s">
        <v>1157</v>
      </c>
      <c r="G5" s="108"/>
    </row>
    <row r="6" spans="1:8">
      <c r="A6" s="146" t="s">
        <v>1158</v>
      </c>
    </row>
    <row r="7" spans="1:8">
      <c r="A7" s="108" t="s">
        <v>867</v>
      </c>
    </row>
    <row r="9" spans="1:8">
      <c r="A9" s="54" t="s">
        <v>1145</v>
      </c>
    </row>
    <row r="10" spans="1:8" ht="13.5" thickBot="1"/>
    <row r="11" spans="1:8" ht="13.5" thickBot="1">
      <c r="C11" s="85" t="s">
        <v>569</v>
      </c>
      <c r="D11" s="86">
        <v>91</v>
      </c>
    </row>
    <row r="13" spans="1:8">
      <c r="A13" s="215" t="s">
        <v>1146</v>
      </c>
      <c r="B13" s="215"/>
      <c r="C13" s="215"/>
      <c r="D13" s="215"/>
      <c r="E13" s="215"/>
      <c r="F13" s="215"/>
      <c r="G13" s="215"/>
      <c r="H13" s="215"/>
    </row>
    <row r="14" spans="1:8">
      <c r="A14" s="3" t="s">
        <v>1147</v>
      </c>
      <c r="B14" s="3" t="s">
        <v>1148</v>
      </c>
      <c r="C14" s="3" t="s">
        <v>1149</v>
      </c>
      <c r="D14" s="3" t="s">
        <v>1150</v>
      </c>
      <c r="E14" s="3" t="s">
        <v>1151</v>
      </c>
      <c r="F14" s="3" t="s">
        <v>1152</v>
      </c>
      <c r="G14" s="3" t="s">
        <v>223</v>
      </c>
      <c r="H14" s="3" t="s">
        <v>224</v>
      </c>
    </row>
    <row r="15" spans="1:8">
      <c r="A15" s="3" t="s">
        <v>563</v>
      </c>
      <c r="B15" s="45">
        <v>14</v>
      </c>
      <c r="C15" s="45">
        <v>21</v>
      </c>
      <c r="D15" s="45">
        <v>17</v>
      </c>
      <c r="E15" s="45">
        <v>15</v>
      </c>
      <c r="F15" s="45">
        <v>6</v>
      </c>
      <c r="G15" s="45">
        <f>SUM(B15:F15)</f>
        <v>73</v>
      </c>
      <c r="H15" s="45">
        <f>$D$11-G15</f>
        <v>18</v>
      </c>
    </row>
    <row r="16" spans="1:8">
      <c r="A16" s="3" t="s">
        <v>564</v>
      </c>
      <c r="B16" s="45">
        <v>13</v>
      </c>
      <c r="C16" s="45">
        <v>17</v>
      </c>
      <c r="D16" s="45">
        <v>19</v>
      </c>
      <c r="E16" s="45">
        <v>11</v>
      </c>
      <c r="F16" s="45">
        <v>3</v>
      </c>
      <c r="G16" s="45"/>
      <c r="H16" s="45"/>
    </row>
    <row r="17" spans="1:8">
      <c r="A17" s="3" t="s">
        <v>565</v>
      </c>
      <c r="B17" s="45">
        <v>19</v>
      </c>
      <c r="C17" s="45">
        <v>26</v>
      </c>
      <c r="D17" s="45">
        <v>31</v>
      </c>
      <c r="E17" s="45">
        <v>4</v>
      </c>
      <c r="F17" s="45">
        <v>3</v>
      </c>
      <c r="G17" s="45"/>
      <c r="H17" s="45"/>
    </row>
    <row r="18" spans="1:8">
      <c r="A18" s="3" t="s">
        <v>566</v>
      </c>
      <c r="B18" s="45">
        <v>5</v>
      </c>
      <c r="C18" s="45">
        <v>9</v>
      </c>
      <c r="D18" s="45">
        <v>26</v>
      </c>
      <c r="E18" s="45">
        <v>24</v>
      </c>
      <c r="F18" s="45">
        <v>20</v>
      </c>
      <c r="G18" s="45"/>
      <c r="H18" s="45"/>
    </row>
    <row r="19" spans="1:8">
      <c r="A19" s="3" t="s">
        <v>567</v>
      </c>
      <c r="B19" s="45">
        <v>11</v>
      </c>
      <c r="C19" s="45">
        <v>26</v>
      </c>
      <c r="D19" s="45">
        <v>21</v>
      </c>
      <c r="E19" s="45">
        <v>15</v>
      </c>
      <c r="F19" s="45">
        <v>12</v>
      </c>
      <c r="G19" s="45"/>
      <c r="H19" s="45"/>
    </row>
    <row r="20" spans="1:8">
      <c r="A20" s="3" t="s">
        <v>568</v>
      </c>
      <c r="B20" s="45">
        <v>8</v>
      </c>
      <c r="C20" s="45">
        <v>13</v>
      </c>
      <c r="D20" s="45">
        <v>29</v>
      </c>
      <c r="E20" s="45">
        <v>21</v>
      </c>
      <c r="F20" s="45">
        <v>15</v>
      </c>
      <c r="G20" s="45"/>
      <c r="H20" s="45"/>
    </row>
    <row r="22" spans="1:8">
      <c r="A22" t="s">
        <v>225</v>
      </c>
    </row>
    <row r="23" spans="1:8">
      <c r="A23" t="s">
        <v>226</v>
      </c>
    </row>
    <row r="24" spans="1:8">
      <c r="A24" s="50" t="s">
        <v>241</v>
      </c>
    </row>
    <row r="38" spans="1:1">
      <c r="A38" t="s">
        <v>227</v>
      </c>
    </row>
    <row r="55" spans="1:9">
      <c r="A55" t="s">
        <v>88</v>
      </c>
    </row>
    <row r="57" spans="1:9">
      <c r="A57" s="84" t="s">
        <v>228</v>
      </c>
    </row>
    <row r="58" spans="1:9">
      <c r="A58" s="108" t="s">
        <v>1160</v>
      </c>
      <c r="I58" s="108"/>
    </row>
    <row r="59" spans="1:9">
      <c r="A59" s="108" t="s">
        <v>1159</v>
      </c>
      <c r="I59" s="108"/>
    </row>
    <row r="61" spans="1:9">
      <c r="A61" s="108" t="s">
        <v>1153</v>
      </c>
      <c r="D61" s="50"/>
    </row>
    <row r="63" spans="1:9">
      <c r="A63" t="s">
        <v>55</v>
      </c>
    </row>
    <row r="64" spans="1:9">
      <c r="A64" s="108" t="s">
        <v>868</v>
      </c>
    </row>
    <row r="65" spans="1:10">
      <c r="A65" s="108"/>
    </row>
    <row r="66" spans="1:10">
      <c r="A66" s="108" t="s">
        <v>1161</v>
      </c>
    </row>
    <row r="68" spans="1:10">
      <c r="A68" s="108" t="s">
        <v>1162</v>
      </c>
    </row>
    <row r="69" spans="1:10">
      <c r="A69" s="108" t="s">
        <v>1163</v>
      </c>
    </row>
    <row r="70" spans="1:10">
      <c r="A70" s="108"/>
    </row>
    <row r="71" spans="1:10">
      <c r="A71" s="108" t="s">
        <v>1164</v>
      </c>
      <c r="G71" s="108"/>
      <c r="H71" s="111"/>
      <c r="I71" s="111"/>
      <c r="J71" s="111"/>
    </row>
    <row r="73" spans="1:10">
      <c r="A73" s="108" t="s">
        <v>1170</v>
      </c>
    </row>
    <row r="74" spans="1:10">
      <c r="B74" s="108" t="s">
        <v>1165</v>
      </c>
    </row>
    <row r="75" spans="1:10">
      <c r="A75" s="108"/>
      <c r="C75" s="146" t="s">
        <v>1166</v>
      </c>
    </row>
    <row r="76" spans="1:10">
      <c r="B76" s="108" t="s">
        <v>1167</v>
      </c>
    </row>
    <row r="77" spans="1:10">
      <c r="B77" s="108"/>
      <c r="C77" s="146" t="s">
        <v>1168</v>
      </c>
      <c r="E77" s="146"/>
    </row>
    <row r="78" spans="1:10">
      <c r="C78" s="108" t="s">
        <v>1171</v>
      </c>
      <c r="D78" s="108"/>
    </row>
    <row r="79" spans="1:10">
      <c r="C79" s="108" t="s">
        <v>1169</v>
      </c>
      <c r="D79" s="108"/>
    </row>
    <row r="80" spans="1:10">
      <c r="A80" s="108" t="s">
        <v>1174</v>
      </c>
      <c r="F80" s="108"/>
    </row>
    <row r="81" spans="1:6">
      <c r="B81" s="146" t="s">
        <v>1173</v>
      </c>
      <c r="F81" s="108"/>
    </row>
    <row r="82" spans="1:6">
      <c r="B82" s="108" t="s">
        <v>1171</v>
      </c>
      <c r="F82" s="108"/>
    </row>
    <row r="83" spans="1:6">
      <c r="B83" s="108" t="s">
        <v>1172</v>
      </c>
    </row>
    <row r="84" spans="1:6">
      <c r="A84" s="51"/>
    </row>
    <row r="85" spans="1:6">
      <c r="A85" t="s">
        <v>58</v>
      </c>
    </row>
    <row r="86" spans="1:6">
      <c r="A86" s="50" t="s">
        <v>869</v>
      </c>
    </row>
    <row r="87" spans="1:6">
      <c r="A87" t="s">
        <v>59</v>
      </c>
    </row>
    <row r="88" spans="1:6">
      <c r="A88" s="108" t="s">
        <v>870</v>
      </c>
    </row>
    <row r="90" spans="1:6">
      <c r="A90" s="108" t="s">
        <v>1178</v>
      </c>
    </row>
    <row r="91" spans="1:6">
      <c r="A91" s="108" t="s">
        <v>1179</v>
      </c>
    </row>
    <row r="92" spans="1:6">
      <c r="A92" s="50" t="s">
        <v>241</v>
      </c>
    </row>
    <row r="108" spans="1:1">
      <c r="A108" s="84" t="s">
        <v>228</v>
      </c>
    </row>
    <row r="109" spans="1:1">
      <c r="A109" t="s">
        <v>64</v>
      </c>
    </row>
    <row r="110" spans="1:1">
      <c r="A110" s="108" t="s">
        <v>871</v>
      </c>
    </row>
    <row r="112" spans="1:1">
      <c r="A112" s="108" t="s">
        <v>872</v>
      </c>
    </row>
    <row r="113" spans="1:3">
      <c r="C113" t="s">
        <v>66</v>
      </c>
    </row>
    <row r="114" spans="1:3">
      <c r="C114" s="108" t="s">
        <v>873</v>
      </c>
    </row>
    <row r="116" spans="1:3">
      <c r="A116" t="s">
        <v>65</v>
      </c>
    </row>
    <row r="117" spans="1:3">
      <c r="A117" s="108" t="s">
        <v>874</v>
      </c>
    </row>
    <row r="119" spans="1:3">
      <c r="A119" s="108" t="s">
        <v>1175</v>
      </c>
    </row>
    <row r="120" spans="1:3">
      <c r="A120" t="s">
        <v>67</v>
      </c>
    </row>
    <row r="121" spans="1:3">
      <c r="A121" s="50" t="s">
        <v>241</v>
      </c>
    </row>
    <row r="138" spans="1:3">
      <c r="A138" s="108" t="s">
        <v>1183</v>
      </c>
    </row>
    <row r="139" spans="1:3">
      <c r="B139" s="108" t="s">
        <v>1180</v>
      </c>
    </row>
    <row r="140" spans="1:3">
      <c r="B140" s="108"/>
      <c r="C140" s="111" t="s">
        <v>1181</v>
      </c>
    </row>
    <row r="141" spans="1:3">
      <c r="C141" s="108" t="s">
        <v>1182</v>
      </c>
    </row>
    <row r="142" spans="1:3">
      <c r="C142" s="108"/>
    </row>
    <row r="143" spans="1:3">
      <c r="A143" t="s">
        <v>68</v>
      </c>
    </row>
    <row r="144" spans="1:3">
      <c r="A144" t="s">
        <v>69</v>
      </c>
    </row>
    <row r="145" spans="1:1">
      <c r="A145" t="s">
        <v>70</v>
      </c>
    </row>
    <row r="146" spans="1:1">
      <c r="A146" s="50" t="s">
        <v>241</v>
      </c>
    </row>
    <row r="160" spans="1:1">
      <c r="A160" s="108" t="s">
        <v>1184</v>
      </c>
    </row>
    <row r="161" spans="1:2">
      <c r="B161" s="108" t="s">
        <v>1185</v>
      </c>
    </row>
    <row r="162" spans="1:2">
      <c r="B162" s="108"/>
    </row>
    <row r="163" spans="1:2">
      <c r="A163" s="108" t="s">
        <v>1176</v>
      </c>
    </row>
    <row r="164" spans="1:2">
      <c r="A164" t="s">
        <v>72</v>
      </c>
    </row>
    <row r="165" spans="1:2">
      <c r="B165" t="s">
        <v>71</v>
      </c>
    </row>
    <row r="166" spans="1:2">
      <c r="A166" s="50" t="s">
        <v>241</v>
      </c>
    </row>
    <row r="182" spans="1:1">
      <c r="A182" s="108" t="s">
        <v>1177</v>
      </c>
    </row>
    <row r="184" spans="1:1">
      <c r="A184" s="50" t="s">
        <v>241</v>
      </c>
    </row>
    <row r="198" spans="1:5">
      <c r="A198" s="54" t="s">
        <v>358</v>
      </c>
    </row>
    <row r="199" spans="1:5">
      <c r="A199" t="s">
        <v>74</v>
      </c>
    </row>
    <row r="201" spans="1:5">
      <c r="A201" s="214" t="s">
        <v>73</v>
      </c>
      <c r="B201" s="214"/>
      <c r="C201" s="214"/>
      <c r="D201" s="214"/>
      <c r="E201" s="214"/>
    </row>
    <row r="202" spans="1:5">
      <c r="A202" s="3"/>
      <c r="B202" s="3">
        <v>1</v>
      </c>
      <c r="C202" s="3">
        <v>2</v>
      </c>
      <c r="D202" s="3">
        <v>5</v>
      </c>
      <c r="E202" s="3">
        <v>6</v>
      </c>
    </row>
    <row r="203" spans="1:5">
      <c r="A203" s="3" t="s">
        <v>540</v>
      </c>
      <c r="B203" s="3">
        <v>220</v>
      </c>
      <c r="C203" s="3">
        <v>250</v>
      </c>
      <c r="D203" s="3">
        <v>180</v>
      </c>
      <c r="E203" s="3">
        <v>170</v>
      </c>
    </row>
    <row r="204" spans="1:5">
      <c r="A204" s="3" t="s">
        <v>541</v>
      </c>
      <c r="B204" s="3">
        <v>100</v>
      </c>
      <c r="C204" s="3">
        <v>110</v>
      </c>
      <c r="D204" s="3">
        <v>140</v>
      </c>
      <c r="E204" s="3">
        <v>150</v>
      </c>
    </row>
    <row r="206" spans="1:5">
      <c r="A206" t="s">
        <v>75</v>
      </c>
    </row>
    <row r="207" spans="1:5">
      <c r="A207" t="s">
        <v>76</v>
      </c>
    </row>
    <row r="208" spans="1:5">
      <c r="A208" t="s">
        <v>77</v>
      </c>
    </row>
    <row r="210" spans="1:1">
      <c r="A210" s="50" t="s">
        <v>241</v>
      </c>
    </row>
    <row r="221" spans="1:1">
      <c r="A221" t="s">
        <v>78</v>
      </c>
    </row>
    <row r="222" spans="1:1">
      <c r="A222" t="s">
        <v>76</v>
      </c>
    </row>
    <row r="223" spans="1:1">
      <c r="A223" t="s">
        <v>79</v>
      </c>
    </row>
    <row r="237" spans="1:1">
      <c r="A237" t="s">
        <v>80</v>
      </c>
    </row>
    <row r="238" spans="1:1">
      <c r="A238" t="s">
        <v>81</v>
      </c>
    </row>
    <row r="239" spans="1:1">
      <c r="A239" t="s">
        <v>82</v>
      </c>
    </row>
    <row r="241" spans="1:2">
      <c r="A241" s="50" t="s">
        <v>241</v>
      </c>
    </row>
    <row r="252" spans="1:2">
      <c r="A252" t="s">
        <v>83</v>
      </c>
    </row>
    <row r="253" spans="1:2">
      <c r="A253" s="108" t="s">
        <v>876</v>
      </c>
    </row>
    <row r="254" spans="1:2">
      <c r="A254" s="108" t="s">
        <v>1186</v>
      </c>
    </row>
    <row r="255" spans="1:2">
      <c r="B255" s="108" t="s">
        <v>1187</v>
      </c>
    </row>
    <row r="256" spans="1:2">
      <c r="A256" t="s">
        <v>877</v>
      </c>
    </row>
    <row r="257" spans="1:1">
      <c r="A257" t="s">
        <v>875</v>
      </c>
    </row>
    <row r="259" spans="1:1">
      <c r="A259" t="s">
        <v>84</v>
      </c>
    </row>
    <row r="260" spans="1:1">
      <c r="A260" t="s">
        <v>85</v>
      </c>
    </row>
    <row r="262" spans="1:1">
      <c r="A262" s="50" t="s">
        <v>241</v>
      </c>
    </row>
    <row r="273" spans="1:4">
      <c r="A273" t="s">
        <v>86</v>
      </c>
    </row>
    <row r="274" spans="1:4">
      <c r="A274" t="s">
        <v>87</v>
      </c>
    </row>
    <row r="275" spans="1:4">
      <c r="B275" t="s">
        <v>878</v>
      </c>
    </row>
    <row r="278" spans="1:4">
      <c r="A278" t="s">
        <v>56</v>
      </c>
    </row>
    <row r="279" spans="1:4">
      <c r="A279" t="s">
        <v>57</v>
      </c>
    </row>
    <row r="282" spans="1:4">
      <c r="A282" s="3" t="s">
        <v>285</v>
      </c>
      <c r="B282" s="3" t="s">
        <v>286</v>
      </c>
      <c r="C282" s="3" t="s">
        <v>287</v>
      </c>
      <c r="D282" s="3" t="s">
        <v>288</v>
      </c>
    </row>
    <row r="283" spans="1:4">
      <c r="A283" s="3">
        <v>1</v>
      </c>
      <c r="B283" s="3" t="s">
        <v>289</v>
      </c>
      <c r="C283" s="3">
        <v>95</v>
      </c>
      <c r="D283" s="3">
        <v>190</v>
      </c>
    </row>
    <row r="284" spans="1:4">
      <c r="A284" s="3">
        <v>2</v>
      </c>
      <c r="B284" s="3" t="s">
        <v>290</v>
      </c>
      <c r="C284" s="3">
        <v>75</v>
      </c>
      <c r="D284" s="3">
        <v>160</v>
      </c>
    </row>
    <row r="285" spans="1:4">
      <c r="A285" s="3">
        <v>3</v>
      </c>
      <c r="B285" s="3" t="s">
        <v>291</v>
      </c>
      <c r="C285" s="3">
        <v>75</v>
      </c>
      <c r="D285" s="3">
        <v>170</v>
      </c>
    </row>
    <row r="286" spans="1:4">
      <c r="A286" s="3">
        <v>4</v>
      </c>
      <c r="B286" s="3" t="s">
        <v>292</v>
      </c>
      <c r="C286" s="3">
        <v>55</v>
      </c>
      <c r="D286" s="3">
        <v>145</v>
      </c>
    </row>
    <row r="287" spans="1:4">
      <c r="A287" s="3">
        <v>5</v>
      </c>
      <c r="B287" s="3" t="s">
        <v>289</v>
      </c>
      <c r="C287" s="3">
        <v>70</v>
      </c>
      <c r="D287" s="3">
        <v>170</v>
      </c>
    </row>
    <row r="288" spans="1:4">
      <c r="A288" s="3">
        <v>6</v>
      </c>
      <c r="B288" s="3" t="s">
        <v>289</v>
      </c>
      <c r="C288" s="3">
        <v>55</v>
      </c>
      <c r="D288" s="3">
        <v>155</v>
      </c>
    </row>
    <row r="289" spans="1:4">
      <c r="A289" s="3">
        <v>7</v>
      </c>
      <c r="B289" s="3" t="s">
        <v>292</v>
      </c>
      <c r="C289" s="3">
        <v>45</v>
      </c>
      <c r="D289" s="3">
        <v>135</v>
      </c>
    </row>
    <row r="290" spans="1:4">
      <c r="A290" s="3">
        <v>8</v>
      </c>
      <c r="B290" s="3" t="s">
        <v>292</v>
      </c>
      <c r="C290" s="3">
        <v>55</v>
      </c>
      <c r="D290" s="3">
        <v>145</v>
      </c>
    </row>
    <row r="291" spans="1:4">
      <c r="A291" s="3">
        <v>9</v>
      </c>
      <c r="B291" s="3" t="s">
        <v>291</v>
      </c>
      <c r="C291" s="3">
        <v>65</v>
      </c>
      <c r="D291" s="3">
        <v>165</v>
      </c>
    </row>
    <row r="292" spans="1:4">
      <c r="A292" s="3">
        <v>10</v>
      </c>
      <c r="B292" s="3" t="s">
        <v>290</v>
      </c>
      <c r="C292" s="3">
        <v>80</v>
      </c>
      <c r="D292" s="3">
        <v>165</v>
      </c>
    </row>
    <row r="294" spans="1:4">
      <c r="A294" s="108" t="s">
        <v>1188</v>
      </c>
    </row>
    <row r="296" spans="1:4">
      <c r="A296" s="3" t="s">
        <v>285</v>
      </c>
      <c r="B296" s="3" t="s">
        <v>286</v>
      </c>
      <c r="C296" s="3" t="s">
        <v>233</v>
      </c>
      <c r="D296" s="3" t="s">
        <v>234</v>
      </c>
    </row>
    <row r="297" spans="1:4">
      <c r="A297" s="3">
        <v>1</v>
      </c>
      <c r="B297" s="3" t="s">
        <v>289</v>
      </c>
      <c r="C297" s="3">
        <v>1993</v>
      </c>
      <c r="D297" s="3">
        <v>1900</v>
      </c>
    </row>
    <row r="298" spans="1:4">
      <c r="A298" s="3">
        <v>2</v>
      </c>
      <c r="B298" s="3" t="s">
        <v>290</v>
      </c>
      <c r="C298" s="3">
        <v>1988</v>
      </c>
      <c r="D298" s="3">
        <v>1500</v>
      </c>
    </row>
    <row r="299" spans="1:4">
      <c r="A299" s="3">
        <v>3</v>
      </c>
      <c r="B299" s="3" t="s">
        <v>291</v>
      </c>
      <c r="C299" s="3">
        <v>1992</v>
      </c>
      <c r="D299" s="3">
        <v>1400</v>
      </c>
    </row>
    <row r="300" spans="1:4">
      <c r="A300" s="3">
        <v>4</v>
      </c>
      <c r="B300" s="3" t="s">
        <v>292</v>
      </c>
      <c r="C300" s="3">
        <v>1988</v>
      </c>
      <c r="D300" s="3">
        <v>1100</v>
      </c>
    </row>
    <row r="301" spans="1:4">
      <c r="A301" s="3">
        <v>5</v>
      </c>
      <c r="B301" s="3" t="s">
        <v>289</v>
      </c>
      <c r="C301" s="3">
        <v>1990</v>
      </c>
      <c r="D301" s="3">
        <v>1300</v>
      </c>
    </row>
    <row r="302" spans="1:4">
      <c r="A302" s="3">
        <v>6</v>
      </c>
      <c r="B302" s="3" t="s">
        <v>289</v>
      </c>
      <c r="C302" s="3">
        <v>1987</v>
      </c>
      <c r="D302" s="3">
        <v>1100</v>
      </c>
    </row>
    <row r="303" spans="1:4">
      <c r="A303" s="3">
        <v>7</v>
      </c>
      <c r="B303" s="3" t="s">
        <v>292</v>
      </c>
      <c r="C303" s="3">
        <v>1989</v>
      </c>
      <c r="D303" s="3">
        <v>900</v>
      </c>
    </row>
    <row r="304" spans="1:4">
      <c r="A304" s="3">
        <v>8</v>
      </c>
      <c r="B304" s="3" t="s">
        <v>292</v>
      </c>
      <c r="C304" s="3">
        <v>1991</v>
      </c>
      <c r="D304" s="3">
        <v>1100</v>
      </c>
    </row>
    <row r="305" spans="1:4">
      <c r="A305" s="3">
        <v>9</v>
      </c>
      <c r="B305" s="3" t="s">
        <v>291</v>
      </c>
      <c r="C305" s="3">
        <v>1985</v>
      </c>
      <c r="D305" s="3">
        <v>1300</v>
      </c>
    </row>
    <row r="306" spans="1:4">
      <c r="A306" s="3">
        <v>10</v>
      </c>
      <c r="B306" s="3" t="s">
        <v>290</v>
      </c>
      <c r="C306" s="3">
        <v>1989</v>
      </c>
      <c r="D306" s="3">
        <v>1600</v>
      </c>
    </row>
  </sheetData>
  <mergeCells count="2">
    <mergeCell ref="A13:H13"/>
    <mergeCell ref="A201:E201"/>
  </mergeCells>
  <phoneticPr fontId="0" type="noConversion"/>
  <printOptions headings="1" gridLines="1"/>
  <pageMargins left="0.74803149606299213" right="0.74803149606299213" top="0.98425196850393704" bottom="0.98425196850393704" header="0.51181102362204722" footer="0.51181102362204722"/>
  <pageSetup paperSize="9" orientation="portrait" horizontalDpi="300" verticalDpi="300" r:id="rId1"/>
  <headerFooter alignWithMargins="0">
    <oddHeader>&amp;LVježba 9&amp;R&amp;P</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Prva-nedjelja</vt:lpstr>
      <vt:lpstr>Druga-nedjelja</vt:lpstr>
      <vt:lpstr>Treca-n.</vt:lpstr>
      <vt:lpstr>Cetvrta-n.</vt:lpstr>
      <vt:lpstr>Peta-n.</vt:lpstr>
      <vt:lpstr>Sedma-n.</vt:lpstr>
      <vt:lpstr>Osma-n.</vt:lpstr>
      <vt:lpstr>Deveta-n.</vt:lpstr>
      <vt:lpstr>Deseta-n.</vt:lpstr>
      <vt:lpstr>Jedanaesta-n.</vt:lpstr>
      <vt:lpstr>Dodatak</vt:lpstr>
      <vt:lpstr>Vezbalje</vt:lpstr>
      <vt:lpstr>Sheet1</vt:lpstr>
      <vt:lpstr>blok1</vt:lpstr>
      <vt:lpstr>ffff</vt:lpstr>
      <vt:lpstr>ma</vt:lpstr>
      <vt:lpstr>Min</vt:lpstr>
      <vt:lpstr>Nagradna</vt:lpstr>
      <vt:lpstr>Planirano</vt:lpstr>
      <vt:lpstr>podaci1</vt:lpstr>
      <vt:lpstr>podaci2</vt:lpstr>
      <vt:lpstr>Provizija</vt:lpstr>
      <vt:lpstr>Tabela_2</vt:lpstr>
      <vt:lpstr>Tabela_5</vt:lpstr>
    </vt:vector>
  </TitlesOfParts>
  <Company>ETF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vrs1</dc:creator>
  <cp:lastModifiedBy>MirkoPC</cp:lastModifiedBy>
  <cp:lastPrinted>2020-04-20T13:54:14Z</cp:lastPrinted>
  <dcterms:created xsi:type="dcterms:W3CDTF">2001-02-27T15:44:03Z</dcterms:created>
  <dcterms:modified xsi:type="dcterms:W3CDTF">2022-05-19T00:01:33Z</dcterms:modified>
</cp:coreProperties>
</file>