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5" yWindow="-105" windowWidth="15465" windowHeight="7050" tabRatio="598" firstSheet="0" activeTab="7" autoFilterDateGrouping="1"/>
  </bookViews>
  <sheets>
    <sheet name="Dash Board" sheetId="1" state="visible" r:id="rId1"/>
    <sheet name="Software" sheetId="2" state="hidden" r:id="rId2"/>
    <sheet name="Calibration Data" sheetId="3" state="hidden" r:id="rId3"/>
    <sheet name="Load Cell db" sheetId="4" state="hidden" r:id="rId4"/>
    <sheet name="Data" sheetId="5" state="visible" r:id="rId5"/>
    <sheet name="Certificate 10PTS" sheetId="6" state="hidden" r:id="rId6"/>
    <sheet name="Certificate 10 pts" sheetId="7" state="hidden" r:id="rId7"/>
    <sheet name="Certificate 5 pts (SI)" sheetId="8" state="visible" r:id="rId8"/>
    <sheet name="Records" sheetId="9" state="visible" r:id="rId9"/>
    <sheet name="Others db" sheetId="10" state="visible" r:id="rId10"/>
    <sheet name="123" sheetId="11" state="hidden" r:id="rId11"/>
  </sheets>
  <externalReferences>
    <externalReference r:id="rId12"/>
    <externalReference r:id="rId13"/>
  </externalReferences>
  <definedNames>
    <definedName name="calibrators">calibratorsdb[Name]</definedName>
    <definedName name="LoadCell">Table1[Description]</definedName>
    <definedName name="LoadCelldb">Table1[]</definedName>
    <definedName name="sadasda">[2]!TypesMachinedb[#Data]</definedName>
    <definedName name="TypesMachine">TypesMachinedb3[Types of Machine]</definedName>
    <definedName name="_xlnm.Print_Area" localSheetId="1">'Software'!$Q$5:$AH$51</definedName>
    <definedName name="_xlnm.Print_Area" localSheetId="2">'Calibration Data'!$A$1:$AS$35</definedName>
    <definedName name="_xlnm.Print_Area" localSheetId="4">'Data'!$B$1:$M$105</definedName>
    <definedName name="LoadCell" localSheetId="5">Table1[Description]</definedName>
    <definedName name="LoadCelldb" localSheetId="5">Table1[]</definedName>
    <definedName name="TypesMachine" localSheetId="5">#REF!</definedName>
    <definedName name="_xlnm.Print_Area" localSheetId="5">'Certificate 10PTS'!$A$1:$R$89</definedName>
    <definedName name="calibrators" localSheetId="6">calibratorsdb[Name]</definedName>
    <definedName name="LoadCell" localSheetId="6">Table1[Description]</definedName>
    <definedName name="LoadCelldb" localSheetId="6">Table1[]</definedName>
    <definedName name="TypesMachine" localSheetId="6">#REF!</definedName>
    <definedName name="_xlnm.Print_Area" localSheetId="6">'Certificate 10 pts'!$A$1:$R$92</definedName>
    <definedName name="calibrators" localSheetId="7">[1]!calibratorsdb[Name]</definedName>
    <definedName name="LoadCell" localSheetId="7">[1]!Table1[Description]</definedName>
    <definedName name="LoadCelldb" localSheetId="7">[1]!Table1[#Data]</definedName>
    <definedName name="TypesMachine" localSheetId="7">[1]!TypesMachinedb3[#Data]</definedName>
    <definedName name="_xlnm.Print_Area" localSheetId="8">'Records'!$A$1:$Y$43</definedName>
  </definedNames>
  <calcPr calcId="191029" fullCalcOnLoad="1"/>
</workbook>
</file>

<file path=xl/styles.xml><?xml version="1.0" encoding="utf-8"?>
<styleSheet xmlns="http://schemas.openxmlformats.org/spreadsheetml/2006/main">
  <numFmts count="19">
    <numFmt numFmtId="164" formatCode="0.000000"/>
    <numFmt numFmtId="165" formatCode="0.000"/>
    <numFmt numFmtId="166" formatCode="[$-409]dd\ mmmm\ yyyy"/>
    <numFmt numFmtId="167" formatCode="0.000000E+00"/>
    <numFmt numFmtId="168" formatCode="[$-3409]mmmm\ dd\,\ yyyy;@"/>
    <numFmt numFmtId="169" formatCode="[$-F800]dddd\,\ mmmm\ dd\,\ yyyy"/>
    <numFmt numFmtId="170" formatCode="0.0"/>
    <numFmt numFmtId="171" formatCode="[$-3409]dd\ mmmm\,\ yyyy;@"/>
    <numFmt numFmtId="172" formatCode="#.0&quot; ℃&quot;"/>
    <numFmt numFmtId="173" formatCode="0.00000"/>
    <numFmt numFmtId="174" formatCode="0.0000"/>
    <numFmt numFmtId="175" formatCode="0.00000000"/>
    <numFmt numFmtId="176" formatCode="0.0000000000"/>
    <numFmt numFmtId="177" formatCode="#&quot; ℃&quot;"/>
    <numFmt numFmtId="178" formatCode="[$-3409]dddd\,\ mmmm\ dd\,\ yyyy;@"/>
    <numFmt numFmtId="179" formatCode="###\ ###"/>
    <numFmt numFmtId="180" formatCode="yyyy\-mm\-dd;@"/>
    <numFmt numFmtId="181" formatCode="dd\ mmmm\ yyyy"/>
    <numFmt numFmtId="182" formatCode="_(* #,##0.00_);_(* \(#,##0.00\);_(* \-??_);_(@_)"/>
  </numFmts>
  <fonts count="91">
    <font>
      <name val="Calibri"/>
      <family val="2"/>
      <color theme="1"/>
      <sz val="11"/>
      <scheme val="minor"/>
    </font>
    <font>
      <name val="Arial"/>
      <family val="2"/>
      <sz val="10"/>
    </font>
    <font>
      <name val="Calibri"/>
      <family val="2"/>
      <sz val="11"/>
      <scheme val="minor"/>
    </font>
    <font>
      <name val="Calibri"/>
      <family val="2"/>
      <b val="1"/>
      <sz val="11"/>
      <scheme val="minor"/>
    </font>
    <font>
      <name val="Calibri"/>
      <family val="2"/>
      <color theme="0" tint="-0.1499984740745262"/>
      <sz val="11"/>
      <scheme val="minor"/>
    </font>
    <font>
      <name val="Calibri"/>
      <family val="2"/>
      <color theme="1"/>
      <sz val="10"/>
      <scheme val="minor"/>
    </font>
    <font>
      <name val="Calibri"/>
      <family val="2"/>
      <b val="1"/>
      <color theme="1"/>
      <sz val="12"/>
      <u val="single"/>
      <scheme val="minor"/>
    </font>
    <font>
      <name val="Calibri"/>
      <family val="2"/>
      <b val="1"/>
      <color rgb="FF000099"/>
      <sz val="16"/>
      <scheme val="minor"/>
    </font>
    <font>
      <name val="Calibri"/>
      <family val="2"/>
      <color theme="10"/>
      <sz val="11"/>
      <u val="single"/>
    </font>
    <font>
      <name val="Calibri"/>
      <family val="2"/>
      <sz val="10"/>
      <scheme val="minor"/>
    </font>
    <font>
      <name val="Calibri"/>
      <family val="2"/>
      <sz val="10"/>
      <u val="single"/>
    </font>
    <font>
      <name val="Calibri"/>
      <family val="2"/>
      <b val="1"/>
      <color rgb="FF000099"/>
      <sz val="12"/>
      <scheme val="minor"/>
    </font>
    <font>
      <name val="Calibri"/>
      <family val="2"/>
      <b val="1"/>
      <color rgb="FFFF0000"/>
      <sz val="20"/>
      <scheme val="minor"/>
    </font>
    <font>
      <name val="Tahoma"/>
      <family val="2"/>
      <color rgb="FF000000"/>
      <sz val="8"/>
    </font>
    <font>
      <name val="Times New Roman"/>
      <family val="1"/>
      <color theme="1"/>
      <sz val="12"/>
    </font>
    <font>
      <name val="Times New Roman"/>
      <family val="1"/>
      <color theme="1"/>
      <sz val="14"/>
    </font>
    <font>
      <name val="Times New Roman"/>
      <family val="1"/>
      <color theme="1"/>
      <sz val="8"/>
    </font>
    <font>
      <name val="Calibri"/>
      <family val="2"/>
      <color theme="1"/>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theme="0"/>
      <sz val="11"/>
      <scheme val="minor"/>
    </font>
    <font>
      <name val="Calibri"/>
      <family val="2"/>
      <i val="1"/>
      <color theme="1"/>
      <sz val="11"/>
      <scheme val="minor"/>
    </font>
    <font>
      <name val="Calibri"/>
      <family val="2"/>
      <color rgb="FFC00000"/>
      <sz val="8"/>
      <scheme val="minor"/>
    </font>
    <font>
      <name val="Calibri"/>
      <family val="2"/>
      <color rgb="FFC00000"/>
      <sz val="11"/>
      <scheme val="minor"/>
    </font>
    <font>
      <name val="Calibri"/>
      <family val="2"/>
      <b val="1"/>
      <i val="1"/>
      <color rgb="FFC00000"/>
      <sz val="8"/>
      <scheme val="minor"/>
    </font>
    <font>
      <name val="Times New Roman"/>
      <family val="1"/>
      <b val="1"/>
      <color theme="1"/>
      <sz val="14"/>
    </font>
    <font>
      <name val="Times New Roman"/>
      <family val="1"/>
      <b val="1"/>
      <color theme="1"/>
      <sz val="12"/>
    </font>
    <font>
      <name val="Times New Roman"/>
      <family val="1"/>
      <b val="1"/>
      <color theme="1"/>
      <sz val="15"/>
    </font>
    <font>
      <name val="Calibri"/>
      <family val="2"/>
      <color theme="1"/>
      <sz val="12"/>
      <scheme val="minor"/>
    </font>
    <font>
      <name val="Times New Roman"/>
      <family val="1"/>
      <color theme="1"/>
      <sz val="13"/>
    </font>
    <font>
      <name val="Times New Roman"/>
      <family val="1"/>
      <color rgb="FF000000"/>
      <sz val="12"/>
    </font>
    <font>
      <name val="Times New Roman"/>
      <family val="1"/>
      <i val="1"/>
      <color indexed="8"/>
      <sz val="12"/>
    </font>
    <font>
      <name val="Times New Roman"/>
      <family val="1"/>
      <color indexed="8"/>
      <sz val="12"/>
    </font>
    <font>
      <name val="Times New Roman"/>
      <family val="1"/>
      <i val="1"/>
      <color theme="1"/>
      <sz val="8"/>
    </font>
    <font>
      <name val="Symbol"/>
      <charset val="2"/>
      <family val="1"/>
      <color theme="1"/>
      <sz val="12"/>
    </font>
    <font>
      <name val="Calibri"/>
      <family val="2"/>
      <color theme="1"/>
      <sz val="8"/>
      <scheme val="minor"/>
    </font>
    <font>
      <name val="Tahoma"/>
      <family val="2"/>
      <b val="1"/>
      <color indexed="81"/>
      <sz val="9"/>
    </font>
    <font>
      <name val="Times New Roman"/>
      <family val="1"/>
      <b val="1"/>
      <color theme="1"/>
      <sz val="14"/>
      <u val="single"/>
    </font>
    <font>
      <name val="Times New Roman"/>
      <family val="1"/>
      <sz val="10"/>
    </font>
    <font>
      <name val="Times New Roman"/>
      <family val="1"/>
      <b val="1"/>
      <sz val="12"/>
      <u val="single"/>
    </font>
    <font>
      <name val="Times New Roman"/>
      <family val="1"/>
      <i val="1"/>
      <sz val="12"/>
    </font>
    <font>
      <name val="Times New Roman"/>
      <family val="1"/>
      <sz val="12"/>
    </font>
    <font>
      <name val="Calibri"/>
      <family val="2"/>
      <color theme="1"/>
      <sz val="9"/>
      <scheme val="minor"/>
    </font>
    <font>
      <name val="Calibri"/>
      <family val="2"/>
      <i val="1"/>
      <color theme="1"/>
      <sz val="8"/>
      <u val="single"/>
      <scheme val="minor"/>
    </font>
    <font>
      <name val="Calibri"/>
      <family val="2"/>
      <sz val="12"/>
      <scheme val="minor"/>
    </font>
    <font>
      <name val="Arial"/>
      <family val="2"/>
      <sz val="12"/>
    </font>
    <font>
      <name val="Calibri"/>
      <family val="2"/>
      <sz val="9"/>
      <scheme val="minor"/>
    </font>
    <font>
      <name val="Calibri"/>
      <family val="2"/>
      <color rgb="FFFF0000"/>
      <sz val="9"/>
      <scheme val="minor"/>
    </font>
    <font>
      <name val="Calibri"/>
      <family val="2"/>
      <b val="1"/>
      <color rgb="FF000099"/>
      <sz val="11"/>
      <scheme val="minor"/>
    </font>
    <font>
      <name val="Arial"/>
      <family val="2"/>
      <sz val="9"/>
    </font>
    <font>
      <name val="Calibri"/>
      <family val="2"/>
      <color rgb="FFFF0066"/>
      <sz val="9"/>
      <scheme val="minor"/>
    </font>
    <font>
      <name val="Calibri"/>
      <family val="2"/>
      <sz val="8"/>
    </font>
    <font>
      <name val="Calibri"/>
      <family val="2"/>
      <b val="1"/>
      <color rgb="FF000099"/>
      <sz val="8"/>
      <scheme val="minor"/>
    </font>
    <font>
      <name val="Calibri"/>
      <family val="2"/>
      <color theme="0"/>
      <sz val="10"/>
      <scheme val="minor"/>
    </font>
    <font>
      <name val="Calibri"/>
      <family val="2"/>
      <b val="1"/>
      <color theme="0"/>
      <sz val="10"/>
      <u val="single"/>
      <scheme val="minor"/>
    </font>
    <font>
      <name val="Segoe UI"/>
      <family val="2"/>
      <color rgb="FF000000"/>
      <sz val="8"/>
    </font>
    <font>
      <name val="Calibri"/>
      <family val="2"/>
      <sz val="10"/>
    </font>
    <font>
      <name val="Calibri"/>
      <family val="2"/>
      <i val="1"/>
      <sz val="10"/>
      <scheme val="minor"/>
    </font>
    <font>
      <name val="Calibri"/>
      <family val="2"/>
      <i val="1"/>
      <color theme="1"/>
      <sz val="9"/>
      <scheme val="minor"/>
    </font>
    <font>
      <name val="Calibri"/>
      <family val="2"/>
      <i val="1"/>
      <sz val="12"/>
      <scheme val="minor"/>
    </font>
    <font>
      <name val="Calibri"/>
      <family val="2"/>
      <i val="1"/>
      <sz val="9"/>
      <scheme val="minor"/>
    </font>
    <font>
      <name val="Calibri"/>
      <family val="2"/>
      <color indexed="8"/>
      <sz val="9"/>
      <scheme val="minor"/>
    </font>
    <font>
      <name val="Calibri"/>
      <family val="2"/>
      <color indexed="8"/>
      <sz val="9"/>
      <vertAlign val="subscript"/>
      <scheme val="minor"/>
    </font>
    <font>
      <name val="돋움"/>
      <charset val="129"/>
      <family val="3"/>
      <color indexed="8"/>
      <sz val="11"/>
      <vertAlign val="subscript"/>
    </font>
    <font>
      <name val="Calibri"/>
      <family val="2"/>
      <sz val="9"/>
      <vertAlign val="subscript"/>
      <scheme val="minor"/>
    </font>
    <font>
      <name val="Times New Roman"/>
      <family val="1"/>
      <i val="1"/>
      <color theme="1"/>
      <sz val="12"/>
      <u val="single"/>
    </font>
    <font>
      <name val="Times New Roman"/>
      <family val="1"/>
      <i val="1"/>
      <color theme="1"/>
      <sz val="12"/>
    </font>
    <font>
      <name val="Calibri"/>
      <family val="2"/>
      <color theme="1"/>
      <sz val="12"/>
      <u val="single"/>
      <scheme val="minor"/>
    </font>
    <font>
      <name val="Calibri"/>
      <family val="2"/>
      <sz val="8"/>
      <scheme val="minor"/>
    </font>
    <font>
      <name val="Calibri"/>
      <family val="2"/>
      <color theme="3"/>
      <sz val="9"/>
      <scheme val="minor"/>
    </font>
    <font>
      <name val="Calibri"/>
      <family val="2"/>
      <color indexed="8"/>
      <sz val="8"/>
      <scheme val="minor"/>
    </font>
    <font>
      <name val="Calibri"/>
      <family val="2"/>
      <color indexed="8"/>
      <sz val="8"/>
      <vertAlign val="subscript"/>
      <scheme val="minor"/>
    </font>
    <font>
      <name val="돋움"/>
      <charset val="129"/>
      <family val="3"/>
      <color indexed="8"/>
      <sz val="8"/>
      <vertAlign val="subscript"/>
    </font>
    <font>
      <name val="Arial"/>
      <family val="2"/>
      <sz val="8"/>
    </font>
    <font>
      <name val="Calibri"/>
      <family val="2"/>
      <color theme="1"/>
      <sz val="9"/>
      <u val="single"/>
      <scheme val="minor"/>
    </font>
    <font>
      <name val="Calibri"/>
      <family val="2"/>
      <b val="1"/>
      <color theme="1"/>
      <sz val="9"/>
      <scheme val="minor"/>
    </font>
    <font>
      <name val="Calibri"/>
      <family val="2"/>
      <b val="1"/>
      <color theme="1"/>
      <sz val="9"/>
      <u val="single"/>
      <scheme val="minor"/>
    </font>
    <font>
      <name val="Calibri"/>
      <family val="2"/>
      <color rgb="FFFF0000"/>
      <sz val="8"/>
      <scheme val="minor"/>
    </font>
    <font>
      <name val="Calibri"/>
      <family val="2"/>
      <color theme="3"/>
      <sz val="8"/>
      <scheme val="minor"/>
    </font>
    <font>
      <name val="Times New Roman"/>
      <family val="1"/>
      <color theme="1"/>
      <sz val="10"/>
    </font>
    <font>
      <name val="Calibri"/>
      <family val="2"/>
      <b val="1"/>
      <color rgb="FF800000"/>
      <sz val="11"/>
    </font>
    <font>
      <name val="Calibri"/>
      <family val="2"/>
      <b val="1"/>
      <color rgb="FF000080"/>
      <sz val="16"/>
    </font>
    <font>
      <name val="Calibri"/>
      <family val="2"/>
      <b val="1"/>
      <color rgb="FF008000"/>
      <sz val="16"/>
    </font>
    <font>
      <name val="Calibri"/>
      <family val="2"/>
      <b val="1"/>
      <color rgb="FFFF6600"/>
      <sz val="16"/>
    </font>
    <font>
      <name val="Calibri"/>
      <family val="2"/>
      <b val="1"/>
      <color rgb="FF000080"/>
      <sz val="14"/>
    </font>
    <font>
      <name val="Calibri"/>
      <family val="2"/>
      <color rgb="FF000000"/>
      <sz val="11"/>
    </font>
    <font>
      <name val="Calibri"/>
      <family val="2"/>
      <b val="1"/>
      <color rgb="FF008080"/>
      <sz val="14"/>
    </font>
    <font>
      <name val="Times New Roman"/>
      <family val="1"/>
      <color theme="0"/>
      <sz val="12"/>
    </font>
    <font>
      <name val="Times New Roman"/>
      <family val="1"/>
      <color rgb="FF000000"/>
      <sz val="8"/>
    </font>
    <font>
      <name val="Times New Roman"/>
      <family val="1"/>
      <i val="1"/>
      <color rgb="FF000000"/>
      <sz val="8"/>
    </font>
  </fonts>
  <fills count="15">
    <fill>
      <patternFill/>
    </fill>
    <fill>
      <patternFill patternType="gray125"/>
    </fill>
    <fill>
      <patternFill patternType="solid">
        <fgColor rgb="FFFFFFCC"/>
        <bgColor indexed="64"/>
      </patternFill>
    </fill>
    <fill>
      <patternFill patternType="solid">
        <fgColor rgb="FFD5FFD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5"/>
      </patternFill>
    </fill>
    <fill>
      <patternFill patternType="solid">
        <fgColor theme="6" tint="0.7999816888943144"/>
        <bgColor indexed="64"/>
      </patternFill>
    </fill>
    <fill>
      <patternFill patternType="solid">
        <fgColor theme="9" tint="0.7999816888943144"/>
        <bgColor indexed="64"/>
      </patternFill>
    </fill>
    <fill>
      <patternFill patternType="solid">
        <fgColor rgb="FFFFFF00"/>
        <bgColor indexed="64"/>
      </patternFill>
    </fill>
  </fills>
  <borders count="4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diagonalUp="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2">
    <xf numFmtId="0" fontId="17" fillId="0" borderId="0"/>
    <xf numFmtId="0" fontId="1" fillId="0" borderId="0"/>
    <xf numFmtId="182" fontId="1" fillId="0" borderId="0"/>
    <xf numFmtId="0" fontId="8" fillId="0" borderId="0" applyAlignment="1" applyProtection="1">
      <alignment vertical="top"/>
      <protection locked="0" hidden="0"/>
    </xf>
    <xf numFmtId="0" fontId="18" fillId="5" borderId="0"/>
    <xf numFmtId="0" fontId="19" fillId="6" borderId="0"/>
    <xf numFmtId="0" fontId="20" fillId="7" borderId="0"/>
    <xf numFmtId="0" fontId="21" fillId="8" borderId="0"/>
    <xf numFmtId="0" fontId="17" fillId="9" borderId="0"/>
    <xf numFmtId="0" fontId="17" fillId="0" borderId="0"/>
    <xf numFmtId="0" fontId="17" fillId="10" borderId="0"/>
    <xf numFmtId="0" fontId="21" fillId="11" borderId="0"/>
  </cellStyleXfs>
  <cellXfs count="896">
    <xf numFmtId="0" fontId="0" fillId="0" borderId="0" pivotButton="0" quotePrefix="0" xfId="0"/>
    <xf numFmtId="0" fontId="0" fillId="0" borderId="2" pivotButton="0" quotePrefix="0" xfId="0"/>
    <xf numFmtId="164" fontId="0" fillId="0" borderId="2" applyAlignment="1" pivotButton="0" quotePrefix="0" xfId="0">
      <alignment horizontal="center"/>
    </xf>
    <xf numFmtId="0" fontId="0" fillId="2" borderId="3" applyAlignment="1" applyProtection="1" pivotButton="0" quotePrefix="0" xfId="0">
      <alignment vertical="center"/>
      <protection locked="0" hidden="0"/>
    </xf>
    <xf numFmtId="0" fontId="0" fillId="0" borderId="0" applyAlignment="1" pivotButton="0" quotePrefix="0" xfId="0">
      <alignment vertical="center"/>
    </xf>
    <xf numFmtId="0" fontId="0" fillId="2" borderId="5" applyAlignment="1" applyProtection="1" pivotButton="0" quotePrefix="0" xfId="0">
      <alignment vertical="center"/>
      <protection locked="0" hidden="0"/>
    </xf>
    <xf numFmtId="0" fontId="0" fillId="2" borderId="4" applyAlignment="1" applyProtection="1" pivotButton="0" quotePrefix="0" xfId="0">
      <alignment vertical="center"/>
      <protection locked="0" hidden="0"/>
    </xf>
    <xf numFmtId="164"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applyProtection="1" pivotButton="0" quotePrefix="0" xfId="0">
      <alignment vertical="center"/>
      <protection locked="0" hidden="0"/>
    </xf>
    <xf numFmtId="0" fontId="0" fillId="0" borderId="2" applyAlignment="1" pivotButton="0" quotePrefix="0" xfId="0">
      <alignment vertical="center"/>
    </xf>
    <xf numFmtId="0" fontId="0" fillId="0" borderId="2" applyAlignment="1" pivotButton="0" quotePrefix="0" xfId="0">
      <alignment horizontal="center" vertical="center"/>
    </xf>
    <xf numFmtId="165" fontId="2" fillId="0" borderId="2" applyAlignment="1" pivotButton="0" quotePrefix="0" xfId="1">
      <alignment horizontal="center" vertical="center"/>
    </xf>
    <xf numFmtId="164" fontId="0" fillId="0" borderId="2" applyAlignment="1" pivotButton="0" quotePrefix="0" xfId="0">
      <alignment horizontal="center" vertical="center"/>
    </xf>
    <xf numFmtId="0" fontId="4" fillId="0" borderId="0" applyAlignment="1" pivotButton="0" quotePrefix="0" xfId="0">
      <alignment vertical="center"/>
    </xf>
    <xf numFmtId="0" fontId="3" fillId="0" borderId="0" applyAlignment="1" pivotButton="0" quotePrefix="0" xfId="1">
      <alignment vertical="center"/>
    </xf>
    <xf numFmtId="0" fontId="0" fillId="0" borderId="0" applyAlignment="1" pivotButton="0" quotePrefix="0" xfId="0">
      <alignment vertical="center" wrapText="1"/>
    </xf>
    <xf numFmtId="164" fontId="0" fillId="0" borderId="0" applyAlignment="1" pivotButton="0" quotePrefix="0" xfId="0">
      <alignment horizontal="center" vertical="center"/>
    </xf>
    <xf numFmtId="0" fontId="6" fillId="0" borderId="0" applyAlignment="1" pivotButton="0" quotePrefix="0" xfId="0">
      <alignment horizontal="left" vertical="center"/>
    </xf>
    <xf numFmtId="0" fontId="6" fillId="0" borderId="0" applyAlignment="1" pivotButton="0" quotePrefix="0" xfId="0">
      <alignment vertical="center"/>
    </xf>
    <xf numFmtId="0" fontId="0" fillId="0" borderId="0" applyAlignment="1" pivotButton="0" quotePrefix="0" xfId="0">
      <alignment horizontal="left" vertical="center"/>
    </xf>
    <xf numFmtId="0" fontId="0" fillId="0" borderId="2" applyAlignment="1" pivotButton="0" quotePrefix="0" xfId="0">
      <alignment horizontal="center" vertical="center" wrapText="1"/>
    </xf>
    <xf numFmtId="0" fontId="0" fillId="0" borderId="8" applyAlignment="1" pivotButton="0" quotePrefix="0" xfId="0">
      <alignment vertical="center"/>
    </xf>
    <xf numFmtId="2" fontId="0" fillId="0" borderId="0" applyAlignment="1" pivotButton="0" quotePrefix="0" xfId="0">
      <alignment vertical="center"/>
    </xf>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14" fillId="0" borderId="0" applyAlignment="1" pivotButton="0" quotePrefix="0" xfId="0">
      <alignment vertical="center"/>
    </xf>
    <xf numFmtId="1" fontId="2" fillId="3" borderId="2" applyAlignment="1" applyProtection="1" pivotButton="0" quotePrefix="0" xfId="1">
      <alignment horizontal="center" vertical="center"/>
      <protection locked="0" hidden="0"/>
    </xf>
    <xf numFmtId="165" fontId="0" fillId="0" borderId="2" applyAlignment="1" pivotButton="0" quotePrefix="0" xfId="0">
      <alignment horizontal="center" vertical="center"/>
    </xf>
    <xf numFmtId="0" fontId="15" fillId="0" borderId="0" pivotButton="0" quotePrefix="0" xfId="0"/>
    <xf numFmtId="0" fontId="15" fillId="0" borderId="0" applyAlignment="1" pivotButton="0" quotePrefix="0" xfId="0">
      <alignment horizontal="center" vertical="center" wrapText="1"/>
    </xf>
    <xf numFmtId="0" fontId="15" fillId="0" borderId="0" applyAlignment="1" pivotButton="0" quotePrefix="0" xfId="0">
      <alignment horizontal="left" vertical="center" wrapText="1"/>
    </xf>
    <xf numFmtId="0" fontId="15" fillId="0" borderId="0" applyAlignment="1" pivotButton="0" quotePrefix="0" xfId="0">
      <alignment wrapText="1"/>
    </xf>
    <xf numFmtId="0" fontId="15" fillId="0" borderId="0" applyAlignment="1" pivotButton="0" quotePrefix="0" xfId="0">
      <alignment vertical="center"/>
    </xf>
    <xf numFmtId="166" fontId="15" fillId="0" borderId="0" applyAlignment="1" pivotButton="0" quotePrefix="0" xfId="0">
      <alignment vertical="center"/>
    </xf>
    <xf numFmtId="167" fontId="15" fillId="0" borderId="0" applyAlignment="1" pivotButton="0" quotePrefix="0" xfId="0">
      <alignment vertical="center" wrapText="1"/>
    </xf>
    <xf numFmtId="165" fontId="15" fillId="0" borderId="0" applyAlignment="1" pivotButton="0" quotePrefix="0" xfId="0">
      <alignment vertical="center" wrapText="1"/>
    </xf>
    <xf numFmtId="167" fontId="15" fillId="0" borderId="0" applyAlignment="1" pivotButton="0" quotePrefix="0" xfId="0">
      <alignment horizontal="center" vertical="center" wrapText="1"/>
    </xf>
    <xf numFmtId="0" fontId="15" fillId="0" borderId="0" applyAlignment="1" pivotButton="0" quotePrefix="0" xfId="0">
      <alignment horizontal="center" vertical="center"/>
    </xf>
    <xf numFmtId="167" fontId="15" fillId="0" borderId="0" applyAlignment="1" pivotButton="0" quotePrefix="1" xfId="0">
      <alignment horizontal="center" vertical="center" wrapText="1"/>
    </xf>
    <xf numFmtId="0" fontId="15" fillId="0" borderId="0" applyAlignment="1" pivotButton="0" quotePrefix="1" xfId="0">
      <alignment horizontal="center" vertical="center"/>
    </xf>
    <xf numFmtId="0" fontId="0" fillId="4" borderId="0" pivotButton="0" quotePrefix="0" xfId="0"/>
    <xf numFmtId="0" fontId="0" fillId="4" borderId="0" applyAlignment="1" pivotButton="0" quotePrefix="0" xfId="0">
      <alignment vertical="center"/>
    </xf>
    <xf numFmtId="0" fontId="0" fillId="4" borderId="24" pivotButton="0" quotePrefix="0" xfId="0"/>
    <xf numFmtId="0" fontId="0" fillId="4" borderId="25" pivotButton="0" quotePrefix="0" xfId="0"/>
    <xf numFmtId="0" fontId="0" fillId="4" borderId="28" pivotButton="0" quotePrefix="0" xfId="0"/>
    <xf numFmtId="0" fontId="0" fillId="4" borderId="29" pivotButton="0" quotePrefix="0" xfId="0"/>
    <xf numFmtId="0" fontId="17" fillId="9" borderId="35" applyAlignment="1" pivotButton="0" quotePrefix="0" xfId="8">
      <alignment horizontal="center"/>
    </xf>
    <xf numFmtId="0" fontId="17" fillId="9" borderId="34" applyAlignment="1" pivotButton="0" quotePrefix="0" xfId="8">
      <alignment horizontal="center"/>
    </xf>
    <xf numFmtId="0" fontId="0" fillId="4" borderId="27" applyAlignment="1" pivotButton="0" quotePrefix="0" xfId="0">
      <alignment horizontal="center"/>
    </xf>
    <xf numFmtId="0" fontId="20" fillId="7" borderId="26" pivotButton="0" quotePrefix="0" xfId="6"/>
    <xf numFmtId="0" fontId="20" fillId="7" borderId="38" pivotButton="0" quotePrefix="0" xfId="6"/>
    <xf numFmtId="0" fontId="20" fillId="7" borderId="27" pivotButton="0" quotePrefix="0" xfId="6"/>
    <xf numFmtId="0" fontId="20" fillId="7" borderId="33" pivotButton="0" quotePrefix="0" xfId="6"/>
    <xf numFmtId="0" fontId="20" fillId="7" borderId="5" pivotButton="0" quotePrefix="0" xfId="6"/>
    <xf numFmtId="0" fontId="20" fillId="7" borderId="34" pivotButton="0" quotePrefix="0" xfId="6"/>
    <xf numFmtId="0" fontId="23" fillId="4" borderId="0" applyAlignment="1" pivotButton="0" quotePrefix="0" xfId="0">
      <alignment vertical="top"/>
    </xf>
    <xf numFmtId="0" fontId="25" fillId="4" borderId="0" applyAlignment="1" pivotButton="0" quotePrefix="0" xfId="0">
      <alignment vertical="top"/>
    </xf>
    <xf numFmtId="0" fontId="19" fillId="6" borderId="0" pivotButton="0" quotePrefix="0" xfId="5"/>
    <xf numFmtId="0" fontId="19" fillId="6" borderId="0" applyAlignment="1" pivotButton="0" quotePrefix="0" xfId="5">
      <alignment vertical="top"/>
    </xf>
    <xf numFmtId="0" fontId="1" fillId="0" borderId="0" pivotButton="0" quotePrefix="0" xfId="1"/>
    <xf numFmtId="0" fontId="21" fillId="8" borderId="2" applyAlignment="1" pivotButton="0" quotePrefix="0" xfId="7">
      <alignment vertical="center"/>
    </xf>
    <xf numFmtId="0" fontId="21" fillId="8" borderId="2" applyAlignment="1" pivotButton="0" quotePrefix="0" xfId="7">
      <alignment horizontal="center" vertical="center"/>
    </xf>
    <xf numFmtId="167" fontId="17" fillId="9" borderId="2" applyAlignment="1" pivotButton="0" quotePrefix="0" xfId="8">
      <alignment vertical="center"/>
    </xf>
    <xf numFmtId="0" fontId="17" fillId="9" borderId="2" applyAlignment="1" pivotButton="0" quotePrefix="0" xfId="8">
      <alignment vertical="center"/>
    </xf>
    <xf numFmtId="0" fontId="6" fillId="0" borderId="39" applyAlignment="1" pivotButton="0" quotePrefix="0" xfId="0">
      <alignment vertical="center"/>
    </xf>
    <xf numFmtId="168" fontId="0" fillId="0" borderId="0" applyAlignment="1" pivotButton="0" quotePrefix="0" xfId="0">
      <alignment vertical="center"/>
    </xf>
    <xf numFmtId="0" fontId="21" fillId="8" borderId="0" applyAlignment="1" pivotButton="0" quotePrefix="0" xfId="7">
      <alignment horizontal="left" vertical="center"/>
    </xf>
    <xf numFmtId="169" fontId="17" fillId="9" borderId="2" applyAlignment="1" applyProtection="1" pivotButton="0" quotePrefix="0" xfId="8">
      <alignment horizontal="left" vertical="center"/>
      <protection locked="0" hidden="0"/>
    </xf>
    <xf numFmtId="165" fontId="17" fillId="9" borderId="2" applyAlignment="1" applyProtection="1" pivotButton="0" quotePrefix="0" xfId="8">
      <alignment horizontal="left" vertical="center"/>
      <protection locked="0" hidden="0"/>
    </xf>
    <xf numFmtId="1" fontId="17" fillId="9" borderId="2" applyAlignment="1" applyProtection="1" pivotButton="0" quotePrefix="0" xfId="8">
      <alignment horizontal="left" vertical="center"/>
      <protection locked="0" hidden="0"/>
    </xf>
    <xf numFmtId="0" fontId="14" fillId="0" borderId="0" applyAlignment="1" pivotButton="0" quotePrefix="0" xfId="0">
      <alignment horizontal="center" vertical="center"/>
    </xf>
    <xf numFmtId="0" fontId="27" fillId="0" borderId="0" applyAlignment="1" pivotButton="0" quotePrefix="0" xfId="0">
      <alignment vertical="center"/>
    </xf>
    <xf numFmtId="0" fontId="26" fillId="0" borderId="0" applyAlignment="1" pivotButton="0" quotePrefix="0" xfId="0">
      <alignment vertical="center"/>
    </xf>
    <xf numFmtId="0" fontId="28" fillId="0" borderId="0" pivotButton="0" quotePrefix="0" xfId="0"/>
    <xf numFmtId="0" fontId="14" fillId="0" borderId="0" pivotButton="0" quotePrefix="0" xfId="0"/>
    <xf numFmtId="0" fontId="29" fillId="0" borderId="0" applyAlignment="1" pivotButton="0" quotePrefix="0" xfId="0">
      <alignment vertical="center"/>
    </xf>
    <xf numFmtId="0" fontId="14" fillId="0" borderId="0" applyAlignment="1" pivotButton="0" quotePrefix="0" xfId="0">
      <alignment horizontal="left" vertical="center"/>
    </xf>
    <xf numFmtId="1" fontId="27" fillId="0" borderId="0" applyAlignment="1" pivotButton="0" quotePrefix="0" xfId="0">
      <alignment vertical="center"/>
    </xf>
    <xf numFmtId="0" fontId="30" fillId="0" borderId="0" applyAlignment="1" pivotButton="0" quotePrefix="0" xfId="0">
      <alignment vertical="top" wrapText="1"/>
    </xf>
    <xf numFmtId="0" fontId="29" fillId="0" borderId="0" pivotButton="0" quotePrefix="0" xfId="0"/>
    <xf numFmtId="0" fontId="27" fillId="0" borderId="0" applyAlignment="1" pivotButton="0" quotePrefix="0" xfId="0">
      <alignment vertical="top" wrapText="1"/>
    </xf>
    <xf numFmtId="0" fontId="27" fillId="0" borderId="0" applyAlignment="1" pivotButton="0" quotePrefix="0" xfId="0">
      <alignment vertical="top"/>
    </xf>
    <xf numFmtId="0" fontId="14" fillId="0" borderId="0" applyAlignment="1" pivotButton="0" quotePrefix="0" xfId="0">
      <alignment vertical="top" wrapText="1"/>
    </xf>
    <xf numFmtId="0" fontId="30" fillId="0" borderId="0" pivotButton="0" quotePrefix="0" xfId="0"/>
    <xf numFmtId="0" fontId="27" fillId="0" borderId="0" pivotButton="0" quotePrefix="0" xfId="0"/>
    <xf numFmtId="1" fontId="14" fillId="0" borderId="0" applyAlignment="1" pivotButton="0" quotePrefix="0" xfId="0">
      <alignment horizontal="center" vertical="center"/>
    </xf>
    <xf numFmtId="2" fontId="14" fillId="0" borderId="0" applyAlignment="1" pivotButton="0" quotePrefix="0" xfId="0">
      <alignment vertical="center"/>
    </xf>
    <xf numFmtId="165" fontId="14" fillId="0" borderId="0" applyAlignment="1" pivotButton="0" quotePrefix="0" xfId="0">
      <alignment vertical="center"/>
    </xf>
    <xf numFmtId="165" fontId="14" fillId="0" borderId="0" applyAlignment="1" pivotButton="0" quotePrefix="0" xfId="0">
      <alignment horizontal="center" vertical="center"/>
    </xf>
    <xf numFmtId="2" fontId="14" fillId="0" borderId="0" applyAlignment="1" pivotButton="0" quotePrefix="0" xfId="0">
      <alignment horizontal="center" vertical="center"/>
    </xf>
    <xf numFmtId="0" fontId="34" fillId="0" borderId="0" applyAlignment="1" pivotButton="0" quotePrefix="0" xfId="0">
      <alignment horizontal="center"/>
    </xf>
    <xf numFmtId="0" fontId="30" fillId="0" borderId="0" applyAlignment="1" pivotButton="0" quotePrefix="0" xfId="0">
      <alignment wrapText="1"/>
    </xf>
    <xf numFmtId="0" fontId="30" fillId="0" borderId="0" applyAlignment="1" pivotButton="0" quotePrefix="0" xfId="0">
      <alignment vertical="center"/>
    </xf>
    <xf numFmtId="0" fontId="14" fillId="0" borderId="0" applyAlignment="1" pivotButton="0" quotePrefix="0" xfId="0">
      <alignment horizontal="center" vertical="center" wrapText="1"/>
    </xf>
    <xf numFmtId="0" fontId="14" fillId="0" borderId="0" applyAlignment="1" pivotButton="0" quotePrefix="0" xfId="0">
      <alignment vertical="center" wrapText="1"/>
    </xf>
    <xf numFmtId="0" fontId="14" fillId="0" borderId="0" applyAlignment="1" pivotButton="0" quotePrefix="0" xfId="0">
      <alignment horizontal="center"/>
    </xf>
    <xf numFmtId="170" fontId="14" fillId="0" borderId="0" applyAlignment="1" pivotButton="0" quotePrefix="0" xfId="0">
      <alignment vertical="center"/>
    </xf>
    <xf numFmtId="49" fontId="35" fillId="0" borderId="0" applyAlignment="1" pivotButton="0" quotePrefix="0" xfId="0">
      <alignment horizontal="right" vertical="center"/>
    </xf>
    <xf numFmtId="0" fontId="14" fillId="0" borderId="0" applyAlignment="1" pivotButton="0" quotePrefix="0" xfId="0">
      <alignment horizontal="justify" vertical="center" wrapText="1"/>
    </xf>
    <xf numFmtId="0" fontId="14" fillId="0" borderId="0" applyAlignment="1" pivotButton="0" quotePrefix="0" xfId="0">
      <alignment wrapText="1"/>
    </xf>
    <xf numFmtId="0" fontId="34" fillId="0" borderId="0" applyAlignment="1" pivotButton="0" quotePrefix="0" xfId="0">
      <alignment horizontal="left" vertical="center"/>
    </xf>
    <xf numFmtId="0" fontId="34" fillId="0" borderId="0" pivotButton="0" quotePrefix="0" xfId="0"/>
    <xf numFmtId="0" fontId="34" fillId="0" borderId="0" applyAlignment="1" pivotButton="0" quotePrefix="0" xfId="0">
      <alignment horizontal="left" vertical="top"/>
    </xf>
    <xf numFmtId="0" fontId="36" fillId="0" borderId="0" pivotButton="0" quotePrefix="0" xfId="0"/>
    <xf numFmtId="0" fontId="0" fillId="4" borderId="0" applyAlignment="1" pivotButton="0" quotePrefix="0" xfId="0">
      <alignment horizontal="right" vertical="center"/>
    </xf>
    <xf numFmtId="49" fontId="35" fillId="0" borderId="0" applyAlignment="1" pivotButton="0" quotePrefix="0" xfId="0">
      <alignment horizontal="center" vertical="top"/>
    </xf>
    <xf numFmtId="49" fontId="35" fillId="0" borderId="0" applyAlignment="1" pivotButton="0" quotePrefix="0" xfId="0">
      <alignment horizontal="right" vertical="top"/>
    </xf>
    <xf numFmtId="0" fontId="14" fillId="0" borderId="0" applyAlignment="1" pivotButton="0" quotePrefix="0" xfId="0">
      <alignment horizontal="justify" vertical="justify" wrapText="1"/>
    </xf>
    <xf numFmtId="0" fontId="14" fillId="0" borderId="0" applyAlignment="1" pivotButton="0" quotePrefix="0" xfId="0">
      <alignment horizontal="justify" vertical="top" wrapText="1"/>
    </xf>
    <xf numFmtId="0" fontId="24" fillId="5" borderId="1" applyAlignment="1" applyProtection="1" pivotButton="0" quotePrefix="0" xfId="4">
      <alignment horizontal="center"/>
      <protection locked="0" hidden="0"/>
    </xf>
    <xf numFmtId="0" fontId="0" fillId="4" borderId="38" applyAlignment="1" pivotButton="0" quotePrefix="0" xfId="0">
      <alignment vertical="center"/>
    </xf>
    <xf numFmtId="0" fontId="18" fillId="5" borderId="0" applyAlignment="1" pivotButton="0" quotePrefix="0" xfId="4">
      <alignment vertical="center"/>
    </xf>
    <xf numFmtId="0" fontId="17" fillId="0" borderId="0" pivotButton="0" quotePrefix="0" xfId="9"/>
    <xf numFmtId="0" fontId="26" fillId="0" borderId="0" applyAlignment="1" pivotButton="0" quotePrefix="0" xfId="9">
      <alignment vertical="center"/>
    </xf>
    <xf numFmtId="0" fontId="27" fillId="0" borderId="0" applyAlignment="1" pivotButton="0" quotePrefix="0" xfId="9">
      <alignment vertical="center"/>
    </xf>
    <xf numFmtId="0" fontId="14" fillId="0" borderId="0" pivotButton="0" quotePrefix="0" xfId="9"/>
    <xf numFmtId="0" fontId="14" fillId="0" borderId="0" applyAlignment="1" pivotButton="0" quotePrefix="0" xfId="9">
      <alignment vertical="center"/>
    </xf>
    <xf numFmtId="0" fontId="29" fillId="0" borderId="0" applyAlignment="1" pivotButton="0" quotePrefix="0" xfId="9">
      <alignment vertical="center"/>
    </xf>
    <xf numFmtId="0" fontId="14" fillId="0" borderId="0" applyAlignment="1" pivotButton="0" quotePrefix="0" xfId="9">
      <alignment horizontal="left" vertical="center"/>
    </xf>
    <xf numFmtId="0" fontId="42" fillId="0" borderId="2" applyAlignment="1" pivotButton="0" quotePrefix="0" xfId="1">
      <alignment vertical="center"/>
    </xf>
    <xf numFmtId="0" fontId="14" fillId="0" borderId="6" applyAlignment="1" pivotButton="0" quotePrefix="0" xfId="9">
      <alignment vertical="center"/>
    </xf>
    <xf numFmtId="0" fontId="29" fillId="0" borderId="6" applyAlignment="1" pivotButton="0" quotePrefix="0" xfId="9">
      <alignment vertical="center"/>
    </xf>
    <xf numFmtId="0" fontId="14" fillId="0" borderId="7" applyAlignment="1" pivotButton="0" quotePrefix="0" xfId="9">
      <alignment horizontal="left" vertical="center"/>
    </xf>
    <xf numFmtId="0" fontId="42" fillId="0" borderId="1" pivotButton="0" quotePrefix="0" xfId="1"/>
    <xf numFmtId="0" fontId="42" fillId="0" borderId="6" pivotButton="0" quotePrefix="0" xfId="1"/>
    <xf numFmtId="0" fontId="27" fillId="0" borderId="6" applyAlignment="1" pivotButton="0" quotePrefix="0" xfId="9">
      <alignment vertical="center"/>
    </xf>
    <xf numFmtId="0" fontId="14" fillId="0" borderId="7" applyAlignment="1" pivotButton="0" quotePrefix="0" xfId="9">
      <alignment vertical="center"/>
    </xf>
    <xf numFmtId="0" fontId="17" fillId="0" borderId="1" pivotButton="0" quotePrefix="0" xfId="9"/>
    <xf numFmtId="0" fontId="27" fillId="0" borderId="6" applyAlignment="1" pivotButton="0" quotePrefix="0" xfId="9">
      <alignment horizontal="left" vertical="center"/>
    </xf>
    <xf numFmtId="0" fontId="27" fillId="0" borderId="6" applyAlignment="1" pivotButton="0" quotePrefix="0" xfId="9">
      <alignment vertical="center" wrapText="1"/>
    </xf>
    <xf numFmtId="0" fontId="27" fillId="0" borderId="6" applyAlignment="1" pivotButton="0" quotePrefix="0" xfId="9">
      <alignment horizontal="left" vertical="center" wrapText="1"/>
    </xf>
    <xf numFmtId="0" fontId="17" fillId="0" borderId="6" pivotButton="0" quotePrefix="0" xfId="9"/>
    <xf numFmtId="0" fontId="27" fillId="0" borderId="7" applyAlignment="1" pivotButton="0" quotePrefix="0" xfId="9">
      <alignment vertical="center" wrapText="1"/>
    </xf>
    <xf numFmtId="171" fontId="42" fillId="0" borderId="1" pivotButton="0" quotePrefix="0" xfId="1"/>
    <xf numFmtId="0" fontId="14" fillId="0" borderId="1" applyAlignment="1" pivotButton="0" quotePrefix="0" xfId="9">
      <alignment vertical="center"/>
    </xf>
    <xf numFmtId="0" fontId="30" fillId="0" borderId="0" applyAlignment="1" pivotButton="0" quotePrefix="0" xfId="9">
      <alignment vertical="top" wrapText="1"/>
    </xf>
    <xf numFmtId="0" fontId="29" fillId="0" borderId="0" pivotButton="0" quotePrefix="0" xfId="9"/>
    <xf numFmtId="0" fontId="27" fillId="0" borderId="0" applyAlignment="1" pivotButton="0" quotePrefix="0" xfId="9">
      <alignment vertical="top" wrapText="1"/>
    </xf>
    <xf numFmtId="0" fontId="27" fillId="0" borderId="0" applyAlignment="1" pivotButton="0" quotePrefix="0" xfId="9">
      <alignment vertical="center" wrapText="1"/>
    </xf>
    <xf numFmtId="0" fontId="42" fillId="0" borderId="0" applyAlignment="1" pivotButton="0" quotePrefix="0" xfId="1">
      <alignment vertical="center"/>
    </xf>
    <xf numFmtId="0" fontId="27" fillId="0" borderId="0" applyAlignment="1" pivotButton="0" quotePrefix="0" xfId="9">
      <alignment vertical="top"/>
    </xf>
    <xf numFmtId="0" fontId="14" fillId="0" borderId="0" applyAlignment="1" pivotButton="0" quotePrefix="0" xfId="9">
      <alignment vertical="top" wrapText="1"/>
    </xf>
    <xf numFmtId="0" fontId="30" fillId="0" borderId="0" pivotButton="0" quotePrefix="0" xfId="9"/>
    <xf numFmtId="0" fontId="27" fillId="0" borderId="0" pivotButton="0" quotePrefix="0" xfId="9"/>
    <xf numFmtId="165" fontId="14" fillId="0" borderId="0" applyAlignment="1" pivotButton="0" quotePrefix="0" xfId="9">
      <alignment vertical="center"/>
    </xf>
    <xf numFmtId="170" fontId="14" fillId="0" borderId="0" applyAlignment="1" pivotButton="0" quotePrefix="0" xfId="9">
      <alignment horizontal="center" vertical="center"/>
    </xf>
    <xf numFmtId="2" fontId="14" fillId="0" borderId="0" applyAlignment="1" pivotButton="0" quotePrefix="0" xfId="9">
      <alignment vertical="center"/>
    </xf>
    <xf numFmtId="0" fontId="30" fillId="0" borderId="0" applyAlignment="1" pivotButton="0" quotePrefix="0" xfId="9">
      <alignment wrapText="1"/>
    </xf>
    <xf numFmtId="0" fontId="34" fillId="0" borderId="0" applyAlignment="1" pivotButton="0" quotePrefix="0" xfId="9">
      <alignment horizontal="center"/>
    </xf>
    <xf numFmtId="0" fontId="14" fillId="0" borderId="0" applyAlignment="1" pivotButton="0" quotePrefix="0" xfId="9">
      <alignment horizontal="center" vertical="center"/>
    </xf>
    <xf numFmtId="0" fontId="14" fillId="0" borderId="0" applyAlignment="1" pivotButton="0" quotePrefix="0" xfId="9">
      <alignment horizontal="justify" vertical="justify" wrapText="1"/>
    </xf>
    <xf numFmtId="0" fontId="14" fillId="0" borderId="0" applyAlignment="1" pivotButton="0" quotePrefix="0" xfId="9">
      <alignment vertical="center" wrapText="1"/>
    </xf>
    <xf numFmtId="0" fontId="14" fillId="0" borderId="0" applyAlignment="1" pivotButton="0" quotePrefix="0" xfId="9">
      <alignment horizontal="center"/>
    </xf>
    <xf numFmtId="170" fontId="14" fillId="0" borderId="0" applyAlignment="1" pivotButton="0" quotePrefix="0" xfId="9">
      <alignment vertical="center"/>
    </xf>
    <xf numFmtId="0" fontId="14" fillId="0" borderId="0" applyAlignment="1" pivotButton="0" quotePrefix="0" xfId="9">
      <alignment horizontal="left" wrapText="1"/>
    </xf>
    <xf numFmtId="49" fontId="35" fillId="0" borderId="0" applyAlignment="1" pivotButton="0" quotePrefix="0" xfId="9">
      <alignment horizontal="right" vertical="center"/>
    </xf>
    <xf numFmtId="0" fontId="14" fillId="0" borderId="0" applyAlignment="1" pivotButton="0" quotePrefix="0" xfId="9">
      <alignment horizontal="justify" vertical="center" wrapText="1"/>
    </xf>
    <xf numFmtId="0" fontId="14" fillId="0" borderId="0" applyAlignment="1" pivotButton="0" quotePrefix="0" xfId="9">
      <alignment wrapText="1"/>
    </xf>
    <xf numFmtId="0" fontId="34" fillId="0" borderId="0" applyAlignment="1" pivotButton="0" quotePrefix="0" xfId="9">
      <alignment horizontal="left" vertical="center"/>
    </xf>
    <xf numFmtId="0" fontId="34" fillId="0" borderId="0" pivotButton="0" quotePrefix="0" xfId="9"/>
    <xf numFmtId="0" fontId="36" fillId="0" borderId="0" pivotButton="0" quotePrefix="0" xfId="9"/>
    <xf numFmtId="0" fontId="7" fillId="0" borderId="0" applyAlignment="1" pivotButton="0" quotePrefix="0" xfId="0">
      <alignment horizontal="center" vertical="center"/>
    </xf>
    <xf numFmtId="0" fontId="11" fillId="0" borderId="0" applyAlignment="1" pivotButton="0" quotePrefix="0" xfId="0">
      <alignment horizontal="center" vertical="center"/>
    </xf>
    <xf numFmtId="0" fontId="9" fillId="0" borderId="0" applyAlignment="1" pivotButton="0" quotePrefix="0" xfId="0">
      <alignment horizontal="center" vertical="center"/>
    </xf>
    <xf numFmtId="170" fontId="17" fillId="9" borderId="6" applyAlignment="1" applyProtection="1" pivotButton="0" quotePrefix="0" xfId="8">
      <alignment horizontal="left" vertical="center"/>
      <protection locked="0" hidden="0"/>
    </xf>
    <xf numFmtId="170" fontId="17" fillId="9" borderId="7" applyAlignment="1" applyProtection="1" pivotButton="0" quotePrefix="0" xfId="8">
      <alignment horizontal="left" vertical="center"/>
      <protection locked="0" hidden="0"/>
    </xf>
    <xf numFmtId="165" fontId="17" fillId="9" borderId="1" applyAlignment="1" applyProtection="1" pivotButton="0" quotePrefix="0" xfId="8">
      <alignment horizontal="left" vertical="center"/>
      <protection locked="0" hidden="0"/>
    </xf>
    <xf numFmtId="165" fontId="17" fillId="9" borderId="6" applyAlignment="1" applyProtection="1" pivotButton="0" quotePrefix="0" xfId="8">
      <alignment horizontal="left" vertical="center"/>
      <protection locked="0" hidden="0"/>
    </xf>
    <xf numFmtId="165" fontId="17" fillId="9" borderId="7" applyAlignment="1" applyProtection="1" pivotButton="0" quotePrefix="0" xfId="8">
      <alignment horizontal="left" vertical="center"/>
      <protection locked="0" hidden="0"/>
    </xf>
    <xf numFmtId="0" fontId="17" fillId="9" borderId="1" applyAlignment="1" pivotButton="0" quotePrefix="0" xfId="8">
      <alignment horizontal="left" vertical="center"/>
    </xf>
    <xf numFmtId="0" fontId="17" fillId="9" borderId="6" applyAlignment="1" pivotButton="0" quotePrefix="0" xfId="8">
      <alignment horizontal="left" vertical="center"/>
    </xf>
    <xf numFmtId="0" fontId="17" fillId="9" borderId="7" applyAlignment="1" pivotButton="0" quotePrefix="0" xfId="8">
      <alignment horizontal="left" vertical="center"/>
    </xf>
    <xf numFmtId="0" fontId="12"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wrapText="1"/>
    </xf>
    <xf numFmtId="165" fontId="0" fillId="0" borderId="0" applyAlignment="1" pivotButton="0" quotePrefix="0" xfId="0">
      <alignment horizontal="center" vertical="center"/>
    </xf>
    <xf numFmtId="170" fontId="17" fillId="10" borderId="2" applyAlignment="1" pivotButton="0" quotePrefix="0" xfId="10">
      <alignment horizontal="center" vertical="center"/>
    </xf>
    <xf numFmtId="0" fontId="0" fillId="13" borderId="0" applyAlignment="1" pivotButton="0" quotePrefix="0" xfId="0">
      <alignment vertical="center"/>
    </xf>
    <xf numFmtId="0" fontId="44" fillId="13" borderId="0" applyAlignment="1" pivotButton="0" quotePrefix="0" xfId="0">
      <alignment horizontal="center" vertical="top"/>
    </xf>
    <xf numFmtId="0" fontId="44" fillId="13" borderId="0" applyAlignment="1" pivotButton="0" quotePrefix="0" xfId="0">
      <alignment horizontal="center"/>
    </xf>
    <xf numFmtId="0" fontId="19" fillId="6" borderId="0" applyAlignment="1" pivotButton="0" quotePrefix="0" xfId="5">
      <alignment vertical="center"/>
    </xf>
    <xf numFmtId="0" fontId="8" fillId="4" borderId="0" applyAlignment="1" pivotButton="0" quotePrefix="0" xfId="3">
      <alignment horizontal="center" vertical="center"/>
    </xf>
    <xf numFmtId="0" fontId="10" fillId="4" borderId="0" applyAlignment="1" pivotButton="0" quotePrefix="0" xfId="3">
      <alignment horizontal="center" vertical="center"/>
    </xf>
    <xf numFmtId="0" fontId="21" fillId="8" borderId="3" applyAlignment="1" pivotButton="0" quotePrefix="0" xfId="7">
      <alignment vertical="center"/>
    </xf>
    <xf numFmtId="0" fontId="5" fillId="0" borderId="2" applyAlignment="1" pivotButton="0" quotePrefix="0" xfId="0">
      <alignment vertical="center"/>
    </xf>
    <xf numFmtId="0" fontId="0" fillId="0" borderId="4" applyAlignment="1" pivotButton="0" quotePrefix="0" xfId="0">
      <alignment vertical="center"/>
    </xf>
    <xf numFmtId="0" fontId="5" fillId="0" borderId="4" applyAlignment="1" pivotButton="0" quotePrefix="0" xfId="0">
      <alignment horizontal="center" vertical="center"/>
    </xf>
    <xf numFmtId="0" fontId="21" fillId="8" borderId="40" applyAlignment="1" pivotButton="0" quotePrefix="0" xfId="7">
      <alignment vertical="center"/>
    </xf>
    <xf numFmtId="0" fontId="21" fillId="8" borderId="41" applyAlignment="1" pivotButton="0" quotePrefix="0" xfId="7">
      <alignment vertical="center"/>
    </xf>
    <xf numFmtId="0" fontId="21" fillId="8" borderId="42" applyAlignment="1" pivotButton="0" quotePrefix="0" xfId="7">
      <alignment vertical="center"/>
    </xf>
    <xf numFmtId="0" fontId="5" fillId="0" borderId="0" applyAlignment="1" pivotButton="0" quotePrefix="0" xfId="0">
      <alignment vertical="center"/>
    </xf>
    <xf numFmtId="0" fontId="17" fillId="9" borderId="1" applyAlignment="1" pivotButton="0" quotePrefix="0" xfId="8">
      <alignment vertical="center"/>
    </xf>
    <xf numFmtId="0" fontId="17" fillId="9" borderId="6" applyAlignment="1" pivotButton="0" quotePrefix="0" xfId="8">
      <alignment vertical="center"/>
    </xf>
    <xf numFmtId="0" fontId="17" fillId="9" borderId="7" applyAlignment="1" pivotButton="0" quotePrefix="0" xfId="8">
      <alignment vertical="center"/>
    </xf>
    <xf numFmtId="0" fontId="54" fillId="11" borderId="13" applyAlignment="1" pivotButton="0" quotePrefix="0" xfId="11">
      <alignment vertical="center"/>
    </xf>
    <xf numFmtId="0" fontId="54" fillId="11" borderId="8" applyAlignment="1" pivotButton="0" quotePrefix="1" xfId="11">
      <alignment horizontal="left" vertical="center"/>
    </xf>
    <xf numFmtId="0" fontId="54" fillId="11" borderId="38" applyAlignment="1" pivotButton="0" quotePrefix="0" xfId="11">
      <alignment vertical="center"/>
    </xf>
    <xf numFmtId="0" fontId="54" fillId="11" borderId="8" applyAlignment="1" pivotButton="0" quotePrefix="0" xfId="11">
      <alignment vertical="center"/>
    </xf>
    <xf numFmtId="0" fontId="54" fillId="11" borderId="11" applyAlignment="1" applyProtection="1" pivotButton="0" quotePrefix="0" xfId="11">
      <alignment horizontal="center" vertical="center"/>
      <protection locked="0" hidden="0"/>
    </xf>
    <xf numFmtId="0" fontId="54" fillId="11" borderId="9" applyAlignment="1" applyProtection="1" pivotButton="0" quotePrefix="0" xfId="11">
      <alignment horizontal="left" vertical="center"/>
      <protection locked="0" hidden="0"/>
    </xf>
    <xf numFmtId="0" fontId="55" fillId="11" borderId="12" applyAlignment="1" pivotButton="0" quotePrefix="0" xfId="11">
      <alignment horizontal="left" vertical="center"/>
    </xf>
    <xf numFmtId="0" fontId="49" fillId="4" borderId="0" applyAlignment="1" pivotButton="0" quotePrefix="0" xfId="0">
      <alignment vertical="center"/>
    </xf>
    <xf numFmtId="0" fontId="53" fillId="4" borderId="0" applyAlignment="1" pivotButton="0" quotePrefix="0" xfId="0">
      <alignment vertical="center"/>
    </xf>
    <xf numFmtId="0" fontId="52" fillId="4" borderId="0" applyAlignment="1" pivotButton="0" quotePrefix="0" xfId="3">
      <alignment vertical="center"/>
    </xf>
    <xf numFmtId="0" fontId="59" fillId="4" borderId="0" applyAlignment="1" pivotButton="0" quotePrefix="0" xfId="0">
      <alignment vertical="center"/>
    </xf>
    <xf numFmtId="0" fontId="0" fillId="4" borderId="21" pivotButton="0" quotePrefix="0" xfId="0"/>
    <xf numFmtId="0" fontId="0" fillId="4" borderId="2" applyAlignment="1" pivotButton="0" quotePrefix="0" xfId="0">
      <alignment horizontal="center"/>
    </xf>
    <xf numFmtId="49" fontId="0" fillId="4" borderId="4" applyAlignment="1" pivotButton="0" quotePrefix="0" xfId="0">
      <alignment horizontal="center"/>
    </xf>
    <xf numFmtId="0" fontId="24" fillId="5" borderId="4" applyAlignment="1" pivotButton="0" quotePrefix="0" xfId="4">
      <alignment horizontal="center"/>
    </xf>
    <xf numFmtId="0" fontId="24" fillId="5" borderId="2" applyAlignment="1" pivotButton="0" quotePrefix="0" xfId="4">
      <alignment horizontal="center"/>
    </xf>
    <xf numFmtId="0" fontId="43" fillId="4" borderId="0" pivotButton="0" quotePrefix="0" xfId="0"/>
    <xf numFmtId="0" fontId="47" fillId="4" borderId="0" applyAlignment="1" pivotButton="0" quotePrefix="0" xfId="1">
      <alignment horizontal="left"/>
    </xf>
    <xf numFmtId="0" fontId="47" fillId="4" borderId="1" pivotButton="0" quotePrefix="0" xfId="1"/>
    <xf numFmtId="0" fontId="47" fillId="4" borderId="6" pivotButton="0" quotePrefix="0" xfId="1"/>
    <xf numFmtId="0" fontId="47" fillId="4" borderId="7" pivotButton="0" quotePrefix="0" xfId="1"/>
    <xf numFmtId="0" fontId="1" fillId="4" borderId="0" pivotButton="0" quotePrefix="0" xfId="1"/>
    <xf numFmtId="0" fontId="50" fillId="4" borderId="0" pivotButton="0" quotePrefix="0" xfId="1"/>
    <xf numFmtId="0" fontId="45" fillId="4" borderId="0" pivotButton="0" quotePrefix="0" xfId="1"/>
    <xf numFmtId="0" fontId="45" fillId="4" borderId="0" applyAlignment="1" pivotButton="0" quotePrefix="0" xfId="1">
      <alignment horizontal="left"/>
    </xf>
    <xf numFmtId="0" fontId="46" fillId="0" borderId="0" pivotButton="0" quotePrefix="0" xfId="1"/>
    <xf numFmtId="0" fontId="47" fillId="4" borderId="0" pivotButton="0" quotePrefix="0" xfId="1"/>
    <xf numFmtId="0" fontId="46" fillId="4" borderId="0" pivotButton="0" quotePrefix="0" xfId="1"/>
    <xf numFmtId="0" fontId="48" fillId="12" borderId="2" applyAlignment="1" pivotButton="0" quotePrefix="0" xfId="1">
      <alignment horizontal="center" vertical="center" wrapText="1"/>
    </xf>
    <xf numFmtId="0" fontId="47" fillId="12" borderId="2" applyAlignment="1" pivotButton="0" quotePrefix="0" xfId="1">
      <alignment horizontal="center" vertical="center" wrapText="1"/>
    </xf>
    <xf numFmtId="0" fontId="43" fillId="10" borderId="40" applyAlignment="1" pivotButton="0" quotePrefix="0" xfId="10">
      <alignment horizontal="left" vertical="center"/>
    </xf>
    <xf numFmtId="0" fontId="43" fillId="10" borderId="41" applyAlignment="1" pivotButton="0" quotePrefix="0" xfId="10">
      <alignment vertical="center" wrapText="1"/>
    </xf>
    <xf numFmtId="0" fontId="43" fillId="10" borderId="43" applyAlignment="1" pivotButton="0" quotePrefix="0" xfId="10">
      <alignment horizontal="center" vertical="center"/>
    </xf>
    <xf numFmtId="0" fontId="48" fillId="4" borderId="0" applyAlignment="1" pivotButton="0" quotePrefix="0" xfId="1">
      <alignment horizontal="center" vertical="center" wrapText="1"/>
    </xf>
    <xf numFmtId="0" fontId="47" fillId="4" borderId="0" applyAlignment="1" pivotButton="0" quotePrefix="0" xfId="1">
      <alignment horizontal="center" vertical="center" wrapText="1"/>
    </xf>
    <xf numFmtId="2" fontId="47" fillId="4" borderId="2" applyAlignment="1" pivotButton="0" quotePrefix="0" xfId="1">
      <alignment horizontal="center"/>
    </xf>
    <xf numFmtId="0" fontId="48" fillId="4" borderId="2" applyAlignment="1" pivotButton="0" quotePrefix="0" xfId="1">
      <alignment horizontal="center"/>
    </xf>
    <xf numFmtId="0" fontId="36" fillId="10" borderId="8" pivotButton="0" quotePrefix="0" xfId="10"/>
    <xf numFmtId="0" fontId="36" fillId="10" borderId="0" pivotButton="0" quotePrefix="0" xfId="10"/>
    <xf numFmtId="0" fontId="43" fillId="10" borderId="0" applyAlignment="1" pivotButton="0" quotePrefix="0" xfId="10">
      <alignment horizontal="right"/>
    </xf>
    <xf numFmtId="172" fontId="47" fillId="0" borderId="4" applyAlignment="1" pivotButton="0" quotePrefix="0" xfId="1">
      <alignment horizontal="center"/>
    </xf>
    <xf numFmtId="170" fontId="47" fillId="0" borderId="4" applyAlignment="1" pivotButton="0" quotePrefix="0" xfId="1">
      <alignment horizontal="center"/>
    </xf>
    <xf numFmtId="0" fontId="47" fillId="4" borderId="0" applyAlignment="1" pivotButton="0" quotePrefix="0" xfId="1">
      <alignment horizontal="center"/>
    </xf>
    <xf numFmtId="0" fontId="48" fillId="4" borderId="0" applyAlignment="1" pivotButton="0" quotePrefix="0" xfId="1">
      <alignment horizontal="center"/>
    </xf>
    <xf numFmtId="172" fontId="47" fillId="4" borderId="2" applyAlignment="1" pivotButton="0" quotePrefix="0" xfId="1">
      <alignment horizontal="center" vertical="center"/>
    </xf>
    <xf numFmtId="170" fontId="47" fillId="4" borderId="2" applyAlignment="1" pivotButton="0" quotePrefix="0" xfId="1">
      <alignment horizontal="center" vertical="center"/>
    </xf>
    <xf numFmtId="0" fontId="36" fillId="10" borderId="9" pivotButton="0" quotePrefix="0" xfId="10"/>
    <xf numFmtId="0" fontId="36" fillId="10" borderId="10" pivotButton="0" quotePrefix="0" xfId="10"/>
    <xf numFmtId="0" fontId="43" fillId="10" borderId="10" applyAlignment="1" pivotButton="0" quotePrefix="0" xfId="10">
      <alignment horizontal="right"/>
    </xf>
    <xf numFmtId="0" fontId="60" fillId="4" borderId="0" pivotButton="0" quotePrefix="0" xfId="1"/>
    <xf numFmtId="0" fontId="61" fillId="4" borderId="0" pivotButton="0" quotePrefix="0" xfId="1"/>
    <xf numFmtId="0" fontId="47" fillId="4" borderId="0" applyAlignment="1" pivotButton="0" quotePrefix="0" xfId="1">
      <alignment vertical="center" wrapText="1"/>
    </xf>
    <xf numFmtId="0" fontId="47" fillId="4" borderId="2" applyAlignment="1" pivotButton="0" quotePrefix="0" xfId="1">
      <alignment horizontal="center"/>
    </xf>
    <xf numFmtId="0" fontId="51" fillId="12" borderId="2" applyAlignment="1" pivotButton="0" quotePrefix="0" xfId="1">
      <alignment horizontal="center" vertical="center" wrapText="1"/>
    </xf>
    <xf numFmtId="0" fontId="47" fillId="4" borderId="8" applyAlignment="1" pivotButton="0" quotePrefix="0" xfId="1">
      <alignment horizontal="center" vertical="center" wrapText="1"/>
    </xf>
    <xf numFmtId="0" fontId="47" fillId="4" borderId="2" applyAlignment="1" pivotButton="0" quotePrefix="0" xfId="1">
      <alignment horizontal="center" vertical="center" wrapText="1"/>
    </xf>
    <xf numFmtId="1" fontId="47" fillId="4" borderId="2" applyAlignment="1" pivotButton="0" quotePrefix="0" xfId="1">
      <alignment horizontal="center" vertical="center"/>
    </xf>
    <xf numFmtId="170" fontId="47" fillId="4" borderId="2" applyAlignment="1" pivotButton="0" quotePrefix="0" xfId="1">
      <alignment horizontal="center"/>
    </xf>
    <xf numFmtId="170" fontId="51" fillId="4" borderId="2" applyAlignment="1" pivotButton="0" quotePrefix="0" xfId="1">
      <alignment horizontal="center"/>
    </xf>
    <xf numFmtId="0" fontId="48" fillId="4" borderId="8" applyAlignment="1" pivotButton="0" quotePrefix="0" xfId="1">
      <alignment horizontal="center"/>
    </xf>
    <xf numFmtId="2" fontId="51" fillId="4" borderId="2" applyAlignment="1" pivotButton="0" quotePrefix="0" xfId="1">
      <alignment horizontal="center"/>
    </xf>
    <xf numFmtId="0" fontId="45" fillId="4" borderId="0" applyAlignment="1" pivotButton="0" quotePrefix="0" xfId="1">
      <alignment horizontal="center"/>
    </xf>
    <xf numFmtId="173" fontId="48" fillId="4" borderId="2" applyAlignment="1" pivotButton="0" quotePrefix="0" xfId="1">
      <alignment horizontal="center"/>
    </xf>
    <xf numFmtId="2" fontId="47" fillId="4" borderId="2" applyAlignment="1" pivotButton="0" quotePrefix="0" xfId="1">
      <alignment horizontal="center" vertical="center"/>
    </xf>
    <xf numFmtId="0" fontId="51" fillId="4" borderId="2" applyAlignment="1" pivotButton="0" quotePrefix="0" xfId="1">
      <alignment horizontal="center"/>
    </xf>
    <xf numFmtId="0" fontId="29" fillId="4" borderId="0" pivotButton="0" quotePrefix="0" xfId="0"/>
    <xf numFmtId="165" fontId="47" fillId="4" borderId="2" applyAlignment="1" pivotButton="0" quotePrefix="0" xfId="1">
      <alignment horizontal="center"/>
    </xf>
    <xf numFmtId="0" fontId="31" fillId="0" borderId="2" applyAlignment="1" pivotButton="0" quotePrefix="0" xfId="0">
      <alignment horizontal="center" vertical="center" wrapText="1"/>
    </xf>
    <xf numFmtId="0" fontId="47" fillId="4" borderId="2" applyAlignment="1" pivotButton="0" quotePrefix="0" xfId="1">
      <alignment horizontal="center" vertical="center"/>
    </xf>
    <xf numFmtId="0" fontId="47" fillId="4" borderId="1" applyAlignment="1" pivotButton="0" quotePrefix="0" xfId="1">
      <alignment horizontal="center" vertical="center"/>
    </xf>
    <xf numFmtId="170" fontId="47" fillId="4" borderId="1" applyAlignment="1" pivotButton="0" quotePrefix="0" xfId="1">
      <alignment horizontal="center" vertical="center"/>
    </xf>
    <xf numFmtId="164" fontId="47" fillId="4" borderId="2" applyAlignment="1" pivotButton="0" quotePrefix="0" xfId="1">
      <alignment horizontal="center" vertical="center"/>
    </xf>
    <xf numFmtId="165" fontId="47" fillId="4" borderId="2" applyAlignment="1" pivotButton="0" quotePrefix="0" xfId="1">
      <alignment horizontal="center" vertical="center"/>
    </xf>
    <xf numFmtId="2" fontId="14" fillId="0" borderId="2" applyAlignment="1" pivotButton="0" quotePrefix="0" xfId="0">
      <alignment horizontal="center" vertical="center"/>
    </xf>
    <xf numFmtId="0" fontId="27" fillId="0" borderId="0" applyAlignment="1" pivotButton="0" quotePrefix="0" xfId="0">
      <alignment horizontal="left" vertical="center" wrapText="1"/>
    </xf>
    <xf numFmtId="168" fontId="27" fillId="0" borderId="0" applyAlignment="1" pivotButton="0" quotePrefix="1" xfId="0">
      <alignment horizontal="left" vertical="center"/>
    </xf>
    <xf numFmtId="0" fontId="27" fillId="0" borderId="0" applyAlignment="1" pivotButton="0" quotePrefix="0" xfId="0">
      <alignment horizontal="left" vertical="center"/>
    </xf>
    <xf numFmtId="0" fontId="14" fillId="0" borderId="0" applyAlignment="1" pivotButton="0" quotePrefix="0" xfId="0">
      <alignment horizontal="left" wrapText="1"/>
    </xf>
    <xf numFmtId="1" fontId="27" fillId="0" borderId="0" applyAlignment="1" pivotButton="0" quotePrefix="0" xfId="0">
      <alignment horizontal="left" vertical="center"/>
    </xf>
    <xf numFmtId="0" fontId="0" fillId="4" borderId="0" applyAlignment="1" pivotButton="0" quotePrefix="0" xfId="0">
      <alignment horizontal="center"/>
    </xf>
    <xf numFmtId="2" fontId="43" fillId="4" borderId="0" applyAlignment="1" pivotButton="0" quotePrefix="0" xfId="0">
      <alignment horizontal="left" vertical="center"/>
    </xf>
    <xf numFmtId="0" fontId="50" fillId="4" borderId="2" applyAlignment="1" pivotButton="0" quotePrefix="0" xfId="1">
      <alignment horizontal="center" vertical="center"/>
    </xf>
    <xf numFmtId="2" fontId="50" fillId="4" borderId="2" applyAlignment="1" pivotButton="0" quotePrefix="0" xfId="1">
      <alignment horizontal="center" vertical="center"/>
    </xf>
    <xf numFmtId="1" fontId="14" fillId="0" borderId="2" applyAlignment="1" pivotButton="0" quotePrefix="0" xfId="0">
      <alignment horizontal="center" vertical="center"/>
    </xf>
    <xf numFmtId="0" fontId="14" fillId="0" borderId="0" applyAlignment="1" pivotButton="0" quotePrefix="0" xfId="0">
      <alignment vertical="justify" wrapText="1"/>
    </xf>
    <xf numFmtId="0" fontId="14" fillId="0" borderId="8" applyAlignment="1" pivotButton="0" quotePrefix="0" xfId="0">
      <alignment vertical="center" wrapText="1"/>
    </xf>
    <xf numFmtId="0" fontId="14" fillId="0" borderId="8" applyAlignment="1" pivotButton="0" quotePrefix="0" xfId="0">
      <alignment vertical="center"/>
    </xf>
    <xf numFmtId="172" fontId="14" fillId="0" borderId="0" applyAlignment="1" pivotButton="0" quotePrefix="0" xfId="0">
      <alignment wrapText="1"/>
    </xf>
    <xf numFmtId="172" fontId="47" fillId="4" borderId="39" applyAlignment="1" pivotButton="0" quotePrefix="0" xfId="1">
      <alignment horizontal="center" vertical="center"/>
    </xf>
    <xf numFmtId="170" fontId="47" fillId="4" borderId="39" applyAlignment="1" pivotButton="0" quotePrefix="0" xfId="1">
      <alignment horizontal="center" vertical="center"/>
    </xf>
    <xf numFmtId="0" fontId="50" fillId="4" borderId="2" applyAlignment="1" pivotButton="0" quotePrefix="0" xfId="1">
      <alignment horizontal="center"/>
    </xf>
    <xf numFmtId="174" fontId="47" fillId="4" borderId="2" applyAlignment="1" pivotButton="0" quotePrefix="0" xfId="1">
      <alignment horizontal="center"/>
    </xf>
    <xf numFmtId="0" fontId="36" fillId="4" borderId="0" pivotButton="0" quotePrefix="0" xfId="0"/>
    <xf numFmtId="165" fontId="0" fillId="0" borderId="2" applyAlignment="1" pivotButton="0" quotePrefix="0" xfId="0">
      <alignment horizontal="center" vertical="center" wrapText="1"/>
    </xf>
    <xf numFmtId="0" fontId="4" fillId="4" borderId="0" applyAlignment="1" pivotButton="0" quotePrefix="0" xfId="0">
      <alignment vertical="center"/>
    </xf>
    <xf numFmtId="2" fontId="2" fillId="3" borderId="2" applyAlignment="1" applyProtection="1" pivotButton="0" quotePrefix="0" xfId="1">
      <alignment horizontal="center" vertical="center"/>
      <protection locked="0" hidden="0"/>
    </xf>
    <xf numFmtId="172" fontId="17" fillId="10" borderId="2" applyAlignment="1" applyProtection="1" pivotButton="0" quotePrefix="0" xfId="10">
      <alignment horizontal="center" vertical="center"/>
      <protection locked="0" hidden="0"/>
    </xf>
    <xf numFmtId="170" fontId="17" fillId="10" borderId="2" applyAlignment="1" applyProtection="1" pivotButton="0" quotePrefix="0" xfId="10">
      <alignment horizontal="center" vertical="center"/>
      <protection locked="0" hidden="0"/>
    </xf>
    <xf numFmtId="0" fontId="47" fillId="4" borderId="1" applyAlignment="1" pivotButton="0" quotePrefix="0" xfId="1">
      <alignment horizontal="left"/>
    </xf>
    <xf numFmtId="0" fontId="24" fillId="5" borderId="1" applyAlignment="1" applyProtection="1" pivotButton="0" quotePrefix="0" xfId="4">
      <alignment horizontal="left"/>
      <protection locked="0" hidden="0"/>
    </xf>
    <xf numFmtId="175" fontId="48" fillId="4" borderId="2" applyAlignment="1" pivotButton="0" quotePrefix="0" xfId="1">
      <alignment horizontal="center"/>
    </xf>
    <xf numFmtId="176" fontId="48" fillId="4" borderId="2" applyAlignment="1" pivotButton="0" quotePrefix="0" xfId="1">
      <alignment horizontal="center"/>
    </xf>
    <xf numFmtId="164" fontId="47" fillId="4" borderId="2" applyAlignment="1" pivotButton="0" quotePrefix="0" xfId="1">
      <alignment horizontal="center"/>
    </xf>
    <xf numFmtId="174" fontId="36" fillId="0" borderId="2" applyAlignment="1" applyProtection="1" pivotButton="0" quotePrefix="0" xfId="0">
      <alignment horizontal="center" vertical="center"/>
      <protection locked="1" hidden="1"/>
    </xf>
    <xf numFmtId="173" fontId="36" fillId="0" borderId="2" applyAlignment="1" applyProtection="1" pivotButton="0" quotePrefix="0" xfId="0">
      <alignment horizontal="center" vertical="center"/>
      <protection locked="1" hidden="1"/>
    </xf>
    <xf numFmtId="173" fontId="69" fillId="0" borderId="2" applyAlignment="1" applyProtection="1" pivotButton="0" quotePrefix="0" xfId="0">
      <alignment horizontal="center"/>
      <protection locked="1" hidden="1"/>
    </xf>
    <xf numFmtId="173" fontId="69" fillId="0" borderId="2" applyAlignment="1" applyProtection="1" pivotButton="0" quotePrefix="0" xfId="0">
      <alignment horizontal="center" vertical="center"/>
      <protection locked="1" hidden="1"/>
    </xf>
    <xf numFmtId="0" fontId="50" fillId="4" borderId="0" applyProtection="1" pivotButton="0" quotePrefix="0" xfId="1">
      <protection locked="1" hidden="1"/>
    </xf>
    <xf numFmtId="11" fontId="69" fillId="4" borderId="2" applyAlignment="1" applyProtection="1" pivotButton="0" quotePrefix="0" xfId="1">
      <alignment horizontal="center" vertical="center"/>
      <protection locked="1" hidden="1"/>
    </xf>
    <xf numFmtId="0" fontId="43" fillId="0" borderId="2" applyAlignment="1" applyProtection="1" pivotButton="0" quotePrefix="0" xfId="0">
      <alignment horizontal="center"/>
      <protection locked="1" hidden="1"/>
    </xf>
    <xf numFmtId="164" fontId="69" fillId="4" borderId="2" applyAlignment="1" applyProtection="1" pivotButton="0" quotePrefix="0" xfId="1">
      <alignment horizontal="center" vertical="center"/>
      <protection locked="1" hidden="1"/>
    </xf>
    <xf numFmtId="165" fontId="69" fillId="4" borderId="2" applyAlignment="1" applyProtection="1" pivotButton="0" quotePrefix="0" xfId="1">
      <alignment horizontal="center" vertical="center"/>
      <protection locked="1" hidden="1"/>
    </xf>
    <xf numFmtId="2" fontId="69" fillId="4" borderId="2" applyAlignment="1" applyProtection="1" pivotButton="0" quotePrefix="0" xfId="1">
      <alignment horizontal="center" vertical="center"/>
      <protection locked="1" hidden="1"/>
    </xf>
    <xf numFmtId="0" fontId="69" fillId="4" borderId="1" applyAlignment="1" applyProtection="1" pivotButton="0" quotePrefix="0" xfId="1">
      <alignment horizontal="center" vertical="center"/>
      <protection locked="1" hidden="1"/>
    </xf>
    <xf numFmtId="0" fontId="50" fillId="4" borderId="2" applyAlignment="1" applyProtection="1" pivotButton="0" quotePrefix="0" xfId="1">
      <alignment horizontal="center"/>
      <protection locked="1" hidden="1"/>
    </xf>
    <xf numFmtId="170" fontId="69" fillId="4" borderId="1" applyAlignment="1" applyProtection="1" pivotButton="0" quotePrefix="0" xfId="1">
      <alignment horizontal="center" vertical="center"/>
      <protection locked="1" hidden="1"/>
    </xf>
    <xf numFmtId="0" fontId="6" fillId="0" borderId="0" applyAlignment="1" pivotButton="0" quotePrefix="0" xfId="0">
      <alignment horizontal="center" vertical="center"/>
    </xf>
    <xf numFmtId="14" fontId="76" fillId="0" borderId="0" applyAlignment="1" applyProtection="1" pivotButton="0" quotePrefix="0" xfId="0">
      <alignment vertical="center"/>
      <protection locked="1" hidden="1"/>
    </xf>
    <xf numFmtId="0" fontId="76" fillId="0" borderId="0" applyAlignment="1" applyProtection="1" pivotButton="0" quotePrefix="0" xfId="0">
      <alignment horizontal="left"/>
      <protection locked="1" hidden="1"/>
    </xf>
    <xf numFmtId="0" fontId="77" fillId="0" borderId="0" applyAlignment="1" applyProtection="1" pivotButton="0" quotePrefix="0" xfId="0">
      <alignment horizontal="left" vertical="center"/>
      <protection locked="1" hidden="1"/>
    </xf>
    <xf numFmtId="0" fontId="0" fillId="9" borderId="1" applyAlignment="1" applyProtection="1" pivotButton="0" quotePrefix="1" xfId="8">
      <alignment horizontal="left" vertical="center"/>
      <protection locked="0" hidden="0"/>
    </xf>
    <xf numFmtId="0" fontId="24" fillId="4" borderId="0" applyAlignment="1" pivotButton="0" quotePrefix="0" xfId="4">
      <alignment horizontal="center"/>
    </xf>
    <xf numFmtId="2" fontId="36" fillId="4" borderId="2" applyAlignment="1" applyProtection="1" pivotButton="0" quotePrefix="0" xfId="0">
      <alignment horizontal="center" vertical="center"/>
      <protection locked="1" hidden="1"/>
    </xf>
    <xf numFmtId="173" fontId="36" fillId="4" borderId="2" applyAlignment="1" applyProtection="1" pivotButton="0" quotePrefix="0" xfId="0">
      <alignment horizontal="center" vertical="center"/>
      <protection locked="1" hidden="1"/>
    </xf>
    <xf numFmtId="0" fontId="36" fillId="4" borderId="2" applyAlignment="1" applyProtection="1" pivotButton="0" quotePrefix="0" xfId="0">
      <alignment horizontal="center"/>
      <protection locked="1" hidden="1"/>
    </xf>
    <xf numFmtId="0" fontId="36" fillId="0" borderId="2" applyAlignment="1" applyProtection="1" pivotButton="0" quotePrefix="0" xfId="0">
      <alignment horizontal="center"/>
      <protection locked="1" hidden="1"/>
    </xf>
    <xf numFmtId="173" fontId="69" fillId="0" borderId="7" applyAlignment="1" applyProtection="1" pivotButton="0" quotePrefix="0" xfId="0">
      <alignment horizontal="center"/>
      <protection locked="1" hidden="1"/>
    </xf>
    <xf numFmtId="0" fontId="76" fillId="0" borderId="0" applyAlignment="1" applyProtection="1" pivotButton="0" quotePrefix="0" xfId="0">
      <alignment horizontal="left" vertical="center"/>
      <protection locked="1" hidden="1"/>
    </xf>
    <xf numFmtId="0" fontId="43" fillId="0" borderId="0" applyAlignment="1" applyProtection="1" pivotButton="0" quotePrefix="0" xfId="0">
      <alignment horizontal="right"/>
      <protection locked="1" hidden="1"/>
    </xf>
    <xf numFmtId="0" fontId="43" fillId="0" borderId="0" applyProtection="1" pivotButton="0" quotePrefix="0" xfId="0">
      <protection locked="1" hidden="1"/>
    </xf>
    <xf numFmtId="0" fontId="47" fillId="0" borderId="0" applyProtection="1" pivotButton="0" quotePrefix="0" xfId="0">
      <protection locked="1" hidden="1"/>
    </xf>
    <xf numFmtId="2" fontId="69" fillId="4" borderId="7" applyAlignment="1" applyProtection="1" pivotButton="0" quotePrefix="0" xfId="1">
      <alignment horizontal="center" vertical="center"/>
      <protection locked="1" hidden="1"/>
    </xf>
    <xf numFmtId="0" fontId="17" fillId="10" borderId="6" applyProtection="1" pivotButton="0" quotePrefix="0" xfId="10">
      <protection locked="1" hidden="1"/>
    </xf>
    <xf numFmtId="0" fontId="17" fillId="10" borderId="7" applyProtection="1" pivotButton="0" quotePrefix="0" xfId="10">
      <protection locked="1" hidden="1"/>
    </xf>
    <xf numFmtId="0" fontId="26" fillId="0" borderId="0" applyAlignment="1" applyProtection="1" pivotButton="0" quotePrefix="0" xfId="0">
      <alignment vertical="center"/>
      <protection locked="1" hidden="1"/>
    </xf>
    <xf numFmtId="0" fontId="0" fillId="0" borderId="0" applyProtection="1" pivotButton="0" quotePrefix="0" xfId="0">
      <protection locked="1" hidden="1"/>
    </xf>
    <xf numFmtId="0" fontId="28" fillId="0" borderId="0" applyProtection="1" pivotButton="0" quotePrefix="0" xfId="0">
      <protection locked="1" hidden="1"/>
    </xf>
    <xf numFmtId="0" fontId="14" fillId="0" borderId="0" applyAlignment="1" applyProtection="1" pivotButton="0" quotePrefix="0" xfId="0">
      <alignment vertical="center"/>
      <protection locked="1" hidden="1"/>
    </xf>
    <xf numFmtId="0" fontId="29" fillId="0" borderId="0" applyAlignment="1" applyProtection="1" pivotButton="0" quotePrefix="0" xfId="0">
      <alignment vertical="center"/>
      <protection locked="1" hidden="1"/>
    </xf>
    <xf numFmtId="0" fontId="14" fillId="0" borderId="0" applyAlignment="1" applyProtection="1" pivotButton="0" quotePrefix="0" xfId="0">
      <alignment horizontal="left" vertical="center"/>
      <protection locked="1" hidden="1"/>
    </xf>
    <xf numFmtId="168" fontId="27" fillId="0" borderId="0" applyAlignment="1" applyProtection="1" pivotButton="0" quotePrefix="1" xfId="0">
      <alignment horizontal="left" vertical="center"/>
      <protection locked="1" hidden="1"/>
    </xf>
    <xf numFmtId="0" fontId="14" fillId="0" borderId="0" applyProtection="1" pivotButton="0" quotePrefix="0" xfId="0">
      <protection locked="1" hidden="1"/>
    </xf>
    <xf numFmtId="0" fontId="27" fillId="0" borderId="0" applyAlignment="1" applyProtection="1" pivotButton="0" quotePrefix="0" xfId="0">
      <alignment horizontal="left" vertical="center"/>
      <protection locked="1" hidden="1"/>
    </xf>
    <xf numFmtId="1" fontId="27" fillId="0" borderId="0" applyAlignment="1" applyProtection="1" pivotButton="0" quotePrefix="0" xfId="0">
      <alignment horizontal="left" vertical="center"/>
      <protection locked="1" hidden="1"/>
    </xf>
    <xf numFmtId="1" fontId="27" fillId="0" borderId="0" applyAlignment="1" applyProtection="1" pivotButton="0" quotePrefix="0" xfId="0">
      <alignment vertical="center"/>
      <protection locked="1" hidden="1"/>
    </xf>
    <xf numFmtId="0" fontId="27" fillId="0" borderId="0" applyAlignment="1" applyProtection="1" pivotButton="0" quotePrefix="0" xfId="0">
      <alignment vertical="center"/>
      <protection locked="1" hidden="1"/>
    </xf>
    <xf numFmtId="0" fontId="27" fillId="0" borderId="0" applyAlignment="1" applyProtection="1" pivotButton="0" quotePrefix="0" xfId="0">
      <alignment horizontal="left" vertical="center" wrapText="1"/>
      <protection locked="1" hidden="1"/>
    </xf>
    <xf numFmtId="0" fontId="30" fillId="0" borderId="0" applyAlignment="1" applyProtection="1" pivotButton="0" quotePrefix="0" xfId="0">
      <alignment vertical="top" wrapText="1"/>
      <protection locked="1" hidden="1"/>
    </xf>
    <xf numFmtId="0" fontId="29" fillId="0" borderId="0" applyProtection="1" pivotButton="0" quotePrefix="0" xfId="0">
      <protection locked="1" hidden="1"/>
    </xf>
    <xf numFmtId="0" fontId="27" fillId="0" borderId="0" applyAlignment="1" applyProtection="1" pivotButton="0" quotePrefix="0" xfId="0">
      <alignment vertical="top" wrapText="1"/>
      <protection locked="1" hidden="1"/>
    </xf>
    <xf numFmtId="0" fontId="27" fillId="0" borderId="0" applyAlignment="1" applyProtection="1" pivotButton="0" quotePrefix="0" xfId="0">
      <alignment vertical="top"/>
      <protection locked="1" hidden="1"/>
    </xf>
    <xf numFmtId="0" fontId="14" fillId="0" borderId="0" applyAlignment="1" applyProtection="1" pivotButton="0" quotePrefix="0" xfId="0">
      <alignment vertical="top" wrapText="1"/>
      <protection locked="1" hidden="1"/>
    </xf>
    <xf numFmtId="0" fontId="30" fillId="0" borderId="0" applyProtection="1" pivotButton="0" quotePrefix="0" xfId="0">
      <protection locked="1" hidden="1"/>
    </xf>
    <xf numFmtId="0" fontId="31" fillId="0" borderId="2" applyAlignment="1" applyProtection="1" pivotButton="0" quotePrefix="0" xfId="0">
      <alignment horizontal="center" vertical="center" wrapText="1"/>
      <protection locked="1" hidden="1"/>
    </xf>
    <xf numFmtId="1" fontId="14" fillId="0" borderId="2" applyAlignment="1" applyProtection="1" pivotButton="0" quotePrefix="0" xfId="0">
      <alignment horizontal="center" vertical="center"/>
      <protection locked="1" hidden="1"/>
    </xf>
    <xf numFmtId="2" fontId="14" fillId="0" borderId="2" applyAlignment="1" applyProtection="1" pivotButton="0" quotePrefix="0" xfId="0">
      <alignment horizontal="center" vertical="center"/>
      <protection locked="1" hidden="1"/>
    </xf>
    <xf numFmtId="165" fontId="14" fillId="0" borderId="0" applyAlignment="1" applyProtection="1" pivotButton="0" quotePrefix="0" xfId="0">
      <alignment vertical="center"/>
      <protection locked="1" hidden="1"/>
    </xf>
    <xf numFmtId="2" fontId="14" fillId="0" borderId="0" applyAlignment="1" applyProtection="1" pivotButton="0" quotePrefix="0" xfId="0">
      <alignment vertical="center"/>
      <protection locked="1" hidden="1"/>
    </xf>
    <xf numFmtId="1" fontId="14" fillId="0" borderId="0" applyAlignment="1" applyProtection="1" pivotButton="0" quotePrefix="0" xfId="0">
      <alignment horizontal="center" vertical="center"/>
      <protection locked="1" hidden="1"/>
    </xf>
    <xf numFmtId="165" fontId="14" fillId="0" borderId="0" applyAlignment="1" applyProtection="1" pivotButton="0" quotePrefix="0" xfId="0">
      <alignment horizontal="center" vertical="center"/>
      <protection locked="1" hidden="1"/>
    </xf>
    <xf numFmtId="0" fontId="14" fillId="0" borderId="0" applyAlignment="1" applyProtection="1" pivotButton="0" quotePrefix="0" xfId="0">
      <alignment vertical="justify" wrapText="1"/>
      <protection locked="1" hidden="1"/>
    </xf>
    <xf numFmtId="0" fontId="34" fillId="0" borderId="0" applyAlignment="1" applyProtection="1" pivotButton="0" quotePrefix="0" xfId="0">
      <alignment horizontal="center"/>
      <protection locked="1" hidden="1"/>
    </xf>
    <xf numFmtId="0" fontId="14" fillId="0" borderId="8" applyAlignment="1" applyProtection="1" pivotButton="0" quotePrefix="0" xfId="0">
      <alignment vertical="center"/>
      <protection locked="1" hidden="1"/>
    </xf>
    <xf numFmtId="0" fontId="14" fillId="0" borderId="8" applyAlignment="1" applyProtection="1" pivotButton="0" quotePrefix="0" xfId="0">
      <alignment vertical="center" wrapText="1"/>
      <protection locked="1" hidden="1"/>
    </xf>
    <xf numFmtId="0" fontId="14" fillId="0" borderId="0" applyAlignment="1" applyProtection="1" pivotButton="0" quotePrefix="0" xfId="0">
      <alignment vertical="center" wrapText="1"/>
      <protection locked="1" hidden="1"/>
    </xf>
    <xf numFmtId="0" fontId="30" fillId="0" borderId="0" applyAlignment="1" applyProtection="1" pivotButton="0" quotePrefix="0" xfId="0">
      <alignment vertical="center"/>
      <protection locked="1" hidden="1"/>
    </xf>
    <xf numFmtId="0" fontId="14" fillId="0" borderId="0" applyAlignment="1" applyProtection="1" pivotButton="0" quotePrefix="0" xfId="0">
      <alignment horizontal="center" vertical="center"/>
      <protection locked="1" hidden="1"/>
    </xf>
    <xf numFmtId="0" fontId="14" fillId="0" borderId="0" applyAlignment="1" applyProtection="1" pivotButton="0" quotePrefix="0" xfId="0">
      <alignment horizontal="center" vertical="center" wrapText="1"/>
      <protection locked="1" hidden="1"/>
    </xf>
    <xf numFmtId="0" fontId="14" fillId="0" borderId="0" applyAlignment="1" applyProtection="1" pivotButton="0" quotePrefix="0" xfId="0">
      <alignment horizontal="justify" vertical="justify" wrapText="1"/>
      <protection locked="1" hidden="1"/>
    </xf>
    <xf numFmtId="0" fontId="14" fillId="0" borderId="0" applyAlignment="1" applyProtection="1" pivotButton="0" quotePrefix="0" xfId="0">
      <alignment horizontal="justify" vertical="top" wrapText="1"/>
      <protection locked="1" hidden="1"/>
    </xf>
    <xf numFmtId="0" fontId="14" fillId="0" borderId="0" applyAlignment="1" applyProtection="1" pivotButton="0" quotePrefix="0" xfId="0">
      <alignment horizontal="center"/>
      <protection locked="1" hidden="1"/>
    </xf>
    <xf numFmtId="172" fontId="14" fillId="0" borderId="0" applyAlignment="1" applyProtection="1" pivotButton="0" quotePrefix="0" xfId="0">
      <alignment wrapText="1"/>
      <protection locked="1" hidden="1"/>
    </xf>
    <xf numFmtId="0" fontId="14" fillId="0" borderId="0" applyAlignment="1" applyProtection="1" pivotButton="0" quotePrefix="0" xfId="0">
      <alignment wrapText="1"/>
      <protection locked="1" hidden="1"/>
    </xf>
    <xf numFmtId="170" fontId="14" fillId="0" borderId="0" applyAlignment="1" applyProtection="1" pivotButton="0" quotePrefix="0" xfId="0">
      <alignment vertical="center"/>
      <protection locked="1" hidden="1"/>
    </xf>
    <xf numFmtId="0" fontId="14" fillId="0" borderId="0" applyAlignment="1" applyProtection="1" pivotButton="0" quotePrefix="0" xfId="0">
      <alignment horizontal="left" wrapText="1"/>
      <protection locked="1" hidden="1"/>
    </xf>
    <xf numFmtId="49" fontId="14" fillId="0" borderId="0" applyAlignment="1" applyProtection="1" pivotButton="0" quotePrefix="0" xfId="0">
      <alignment horizontal="right" vertical="center"/>
      <protection locked="1" hidden="1"/>
    </xf>
    <xf numFmtId="49" fontId="14" fillId="0" borderId="0" applyAlignment="1" applyProtection="1" pivotButton="0" quotePrefix="0" xfId="0">
      <alignment horizontal="right" vertical="top"/>
      <protection locked="1" hidden="1"/>
    </xf>
    <xf numFmtId="49" fontId="35" fillId="0" borderId="0" applyAlignment="1" applyProtection="1" pivotButton="0" quotePrefix="0" xfId="0">
      <alignment horizontal="right" vertical="center"/>
      <protection locked="1" hidden="1"/>
    </xf>
    <xf numFmtId="0" fontId="14" fillId="0" borderId="0" applyAlignment="1" applyProtection="1" pivotButton="0" quotePrefix="0" xfId="0">
      <alignment horizontal="justify" vertical="center" wrapText="1"/>
      <protection locked="1" hidden="1"/>
    </xf>
    <xf numFmtId="0" fontId="34" fillId="0" borderId="0" applyAlignment="1" applyProtection="1" pivotButton="0" quotePrefix="0" xfId="0">
      <alignment horizontal="left" vertical="center"/>
      <protection locked="1" hidden="1"/>
    </xf>
    <xf numFmtId="0" fontId="34" fillId="0" borderId="0" applyAlignment="1" applyProtection="1" pivotButton="0" quotePrefix="0" xfId="0">
      <alignment horizontal="left" vertical="top"/>
      <protection locked="1" hidden="1"/>
    </xf>
    <xf numFmtId="0" fontId="34" fillId="0" borderId="0" applyProtection="1" pivotButton="0" quotePrefix="0" xfId="0">
      <protection locked="1" hidden="1"/>
    </xf>
    <xf numFmtId="0" fontId="36" fillId="0" borderId="0" applyProtection="1" pivotButton="0" quotePrefix="0" xfId="0">
      <protection locked="1" hidden="1"/>
    </xf>
    <xf numFmtId="0" fontId="75" fillId="0" borderId="0" applyAlignment="1" applyProtection="1" pivotButton="0" quotePrefix="0" xfId="0">
      <alignment horizontal="center" vertical="center"/>
      <protection locked="1" hidden="1"/>
    </xf>
    <xf numFmtId="0" fontId="78" fillId="4" borderId="2" applyAlignment="1" applyProtection="1" pivotButton="0" quotePrefix="0" xfId="0">
      <alignment horizontal="center" vertical="center" wrapText="1"/>
      <protection locked="1" hidden="1"/>
    </xf>
    <xf numFmtId="0" fontId="36" fillId="4" borderId="2" applyAlignment="1" applyProtection="1" pivotButton="0" quotePrefix="0" xfId="0">
      <alignment horizontal="center" vertical="center" wrapText="1"/>
      <protection locked="1" hidden="1"/>
    </xf>
    <xf numFmtId="0" fontId="77" fillId="0" borderId="0" applyAlignment="1" applyProtection="1" pivotButton="0" quotePrefix="0" xfId="0">
      <alignment horizontal="left"/>
      <protection locked="1" hidden="1"/>
    </xf>
    <xf numFmtId="0" fontId="43" fillId="4" borderId="0" applyProtection="1" pivotButton="0" quotePrefix="0" xfId="0">
      <protection locked="1" hidden="1"/>
    </xf>
    <xf numFmtId="0" fontId="78" fillId="4" borderId="7" applyAlignment="1" applyProtection="1" pivotButton="0" quotePrefix="0" xfId="0">
      <alignment horizontal="center" vertical="center" wrapText="1"/>
      <protection locked="1" hidden="1"/>
    </xf>
    <xf numFmtId="0" fontId="36" fillId="4" borderId="2" applyAlignment="1" applyProtection="1" pivotButton="0" quotePrefix="0" xfId="0">
      <alignment horizontal="center" vertical="center"/>
      <protection locked="1" hidden="1"/>
    </xf>
    <xf numFmtId="2" fontId="36" fillId="4" borderId="44" applyAlignment="1" applyProtection="1" pivotButton="0" quotePrefix="0" xfId="0">
      <alignment vertical="center"/>
      <protection locked="1" hidden="1"/>
    </xf>
    <xf numFmtId="0" fontId="77" fillId="0" borderId="0" applyAlignment="1" applyProtection="1" pivotButton="0" quotePrefix="0" xfId="0">
      <alignment vertical="center"/>
      <protection locked="1" hidden="1"/>
    </xf>
    <xf numFmtId="0" fontId="69" fillId="4" borderId="40" applyAlignment="1" applyProtection="1" pivotButton="0" quotePrefix="0" xfId="7">
      <alignment vertical="center"/>
      <protection locked="1" hidden="1"/>
    </xf>
    <xf numFmtId="0" fontId="69" fillId="4" borderId="41" applyAlignment="1" applyProtection="1" pivotButton="0" quotePrefix="0" xfId="7">
      <alignment vertical="center"/>
      <protection locked="1" hidden="1"/>
    </xf>
    <xf numFmtId="0" fontId="69" fillId="4" borderId="42" applyAlignment="1" applyProtection="1" pivotButton="0" quotePrefix="0" xfId="7">
      <alignment vertical="center"/>
      <protection locked="1" hidden="1"/>
    </xf>
    <xf numFmtId="0" fontId="69" fillId="4" borderId="2" applyAlignment="1" applyProtection="1" pivotButton="0" quotePrefix="0" xfId="7">
      <alignment vertical="center"/>
      <protection locked="1" hidden="1"/>
    </xf>
    <xf numFmtId="0" fontId="69" fillId="4" borderId="2" applyAlignment="1" applyProtection="1" pivotButton="0" quotePrefix="0" xfId="7">
      <alignment horizontal="center" vertical="center"/>
      <protection locked="1" hidden="1"/>
    </xf>
    <xf numFmtId="0" fontId="36" fillId="0" borderId="4" applyAlignment="1" applyProtection="1" pivotButton="0" quotePrefix="0" xfId="0">
      <alignment vertical="center"/>
      <protection locked="1" hidden="1"/>
    </xf>
    <xf numFmtId="0" fontId="36" fillId="0" borderId="4" applyAlignment="1" applyProtection="1" pivotButton="0" quotePrefix="0" xfId="0">
      <alignment horizontal="center" vertical="center"/>
      <protection locked="1" hidden="1"/>
    </xf>
    <xf numFmtId="0" fontId="36" fillId="0" borderId="2" applyAlignment="1" applyProtection="1" pivotButton="0" quotePrefix="0" xfId="0">
      <alignment vertical="center"/>
      <protection locked="1" hidden="1"/>
    </xf>
    <xf numFmtId="172" fontId="36" fillId="4" borderId="2" applyAlignment="1" applyProtection="1" pivotButton="0" quotePrefix="0" xfId="10">
      <alignment horizontal="center" vertical="center"/>
      <protection locked="1" hidden="1"/>
    </xf>
    <xf numFmtId="0" fontId="69" fillId="4" borderId="3" applyAlignment="1" applyProtection="1" pivotButton="0" quotePrefix="0" xfId="7">
      <alignment vertical="center"/>
      <protection locked="1" hidden="1"/>
    </xf>
    <xf numFmtId="170" fontId="36" fillId="4" borderId="2" applyAlignment="1" applyProtection="1" pivotButton="0" quotePrefix="0" xfId="10">
      <alignment horizontal="center" vertical="center"/>
      <protection locked="1" hidden="1"/>
    </xf>
    <xf numFmtId="0" fontId="0" fillId="0" borderId="10" applyProtection="1" pivotButton="0" quotePrefix="0" xfId="0">
      <protection locked="1" hidden="1"/>
    </xf>
    <xf numFmtId="0" fontId="6" fillId="0" borderId="0" applyAlignment="1" applyProtection="1" pivotButton="0" quotePrefix="0" xfId="0">
      <alignment horizontal="left" vertical="center"/>
      <protection locked="1" hidden="1"/>
    </xf>
    <xf numFmtId="0" fontId="36" fillId="0" borderId="2" applyAlignment="1" applyProtection="1" pivotButton="0" quotePrefix="0" xfId="0">
      <alignment horizontal="center" vertical="center" wrapText="1"/>
      <protection locked="1" hidden="1"/>
    </xf>
    <xf numFmtId="0" fontId="78" fillId="0" borderId="7" applyAlignment="1" applyProtection="1" pivotButton="0" quotePrefix="0" xfId="0">
      <alignment horizontal="center" vertical="center" wrapText="1"/>
      <protection locked="1" hidden="1"/>
    </xf>
    <xf numFmtId="0" fontId="79" fillId="0" borderId="2" applyAlignment="1" applyProtection="1" pivotButton="0" quotePrefix="0" xfId="0">
      <alignment horizontal="center" vertical="center" wrapText="1"/>
      <protection locked="1" hidden="1"/>
    </xf>
    <xf numFmtId="0" fontId="78" fillId="0" borderId="2" applyAlignment="1" applyProtection="1" pivotButton="0" quotePrefix="0" xfId="0">
      <alignment horizontal="center" vertical="center" wrapText="1"/>
      <protection locked="1" hidden="1"/>
    </xf>
    <xf numFmtId="173" fontId="36" fillId="0" borderId="44" applyAlignment="1" applyProtection="1" pivotButton="0" quotePrefix="0" xfId="0">
      <alignment vertical="center"/>
      <protection locked="1" hidden="1"/>
    </xf>
    <xf numFmtId="0" fontId="70" fillId="0" borderId="2" applyAlignment="1" applyProtection="1" pivotButton="0" quotePrefix="0" xfId="0">
      <alignment horizontal="center" vertical="center" wrapText="1"/>
      <protection locked="1" hidden="1"/>
    </xf>
    <xf numFmtId="0" fontId="69" fillId="4" borderId="0" applyProtection="1" pivotButton="0" quotePrefix="0" xfId="1">
      <protection locked="1" hidden="1"/>
    </xf>
    <xf numFmtId="0" fontId="0" fillId="0" borderId="39" applyProtection="1" pivotButton="0" quotePrefix="0" xfId="0">
      <protection locked="1" hidden="1"/>
    </xf>
    <xf numFmtId="0" fontId="47" fillId="4" borderId="0" applyProtection="1" pivotButton="0" quotePrefix="0" xfId="1">
      <protection locked="1" hidden="1"/>
    </xf>
    <xf numFmtId="0" fontId="36" fillId="0" borderId="10" applyProtection="1" pivotButton="0" quotePrefix="0" xfId="0">
      <protection locked="1" hidden="1"/>
    </xf>
    <xf numFmtId="0" fontId="69" fillId="4" borderId="3" applyAlignment="1" applyProtection="1" pivotButton="0" quotePrefix="0" xfId="1">
      <alignment horizontal="center" vertical="center" wrapText="1"/>
      <protection locked="1" hidden="1"/>
    </xf>
    <xf numFmtId="0" fontId="71" fillId="4" borderId="2" applyAlignment="1" applyProtection="1" pivotButton="0" quotePrefix="0" xfId="0">
      <alignment horizontal="center" vertical="center" wrapText="1"/>
      <protection locked="1" hidden="1"/>
    </xf>
    <xf numFmtId="0" fontId="69" fillId="4" borderId="2" applyAlignment="1" applyProtection="1" pivotButton="0" quotePrefix="0" xfId="1">
      <alignment horizontal="center" vertical="center"/>
      <protection locked="1" hidden="1"/>
    </xf>
    <xf numFmtId="0" fontId="74" fillId="4" borderId="2" applyAlignment="1" applyProtection="1" pivotButton="0" quotePrefix="0" xfId="1">
      <alignment horizontal="center" vertical="center"/>
      <protection locked="1" hidden="1"/>
    </xf>
    <xf numFmtId="0" fontId="69" fillId="4" borderId="2" applyAlignment="1" applyProtection="1" pivotButton="0" quotePrefix="0" xfId="1">
      <alignment horizontal="center" vertical="center" wrapText="1"/>
      <protection locked="1" hidden="1"/>
    </xf>
    <xf numFmtId="0" fontId="69" fillId="4" borderId="1" applyAlignment="1" applyProtection="1" pivotButton="0" quotePrefix="0" xfId="1">
      <alignment horizontal="center" vertical="center" wrapText="1"/>
      <protection locked="1" hidden="1"/>
    </xf>
    <xf numFmtId="0" fontId="36" fillId="0" borderId="39" applyAlignment="1" applyProtection="1" pivotButton="0" quotePrefix="0" xfId="0">
      <alignment horizontal="center"/>
      <protection locked="1" hidden="1"/>
    </xf>
    <xf numFmtId="49" fontId="35" fillId="0" borderId="0" applyAlignment="1" applyProtection="1" pivotButton="0" quotePrefix="0" xfId="0">
      <alignment horizontal="center" vertical="top"/>
      <protection locked="1" hidden="1"/>
    </xf>
    <xf numFmtId="49" fontId="35" fillId="0" borderId="0" applyAlignment="1" applyProtection="1" pivotButton="0" quotePrefix="0" xfId="0">
      <alignment horizontal="right" vertical="top"/>
      <protection locked="1" hidden="1"/>
    </xf>
    <xf numFmtId="1" fontId="2" fillId="3" borderId="2" applyAlignment="1" pivotButton="0" quotePrefix="0" xfId="1">
      <alignment horizontal="center" vertical="center"/>
    </xf>
    <xf numFmtId="2" fontId="2" fillId="3" borderId="2" applyAlignment="1" pivotButton="0" quotePrefix="0" xfId="1">
      <alignment horizontal="center" vertical="center"/>
    </xf>
    <xf numFmtId="0" fontId="69" fillId="4" borderId="0" applyAlignment="1" applyProtection="1" pivotButton="0" quotePrefix="0" xfId="4">
      <alignment horizontal="center" vertical="center"/>
      <protection locked="1" hidden="1"/>
    </xf>
    <xf numFmtId="0" fontId="69" fillId="4" borderId="7" applyAlignment="1" applyProtection="1" pivotButton="0" quotePrefix="0" xfId="4">
      <alignment horizontal="center" vertical="center"/>
      <protection locked="1" hidden="1"/>
    </xf>
    <xf numFmtId="0" fontId="0" fillId="4" borderId="0" applyAlignment="1" pivotButton="0" quotePrefix="0" xfId="0">
      <alignment horizontal="left" vertical="center"/>
    </xf>
    <xf numFmtId="2" fontId="69" fillId="14" borderId="2" applyAlignment="1" applyProtection="1" pivotButton="0" quotePrefix="0" xfId="1">
      <alignment horizontal="center" vertical="center"/>
      <protection locked="1" hidden="1"/>
    </xf>
    <xf numFmtId="2" fontId="36" fillId="14" borderId="2" applyAlignment="1" applyProtection="1" pivotButton="0" quotePrefix="0" xfId="0">
      <alignment horizontal="center" vertical="center"/>
      <protection locked="1" hidden="1"/>
    </xf>
    <xf numFmtId="168" fontId="69" fillId="4" borderId="7" applyAlignment="1" applyProtection="1" pivotButton="0" quotePrefix="0" xfId="4">
      <alignment horizontal="center" vertical="center"/>
      <protection locked="1" hidden="1"/>
    </xf>
    <xf numFmtId="0" fontId="79" fillId="0" borderId="7" applyAlignment="1" applyProtection="1" pivotButton="0" quotePrefix="0" xfId="0">
      <alignment horizontal="center" vertical="center" wrapText="1"/>
      <protection locked="1" hidden="1"/>
    </xf>
    <xf numFmtId="0" fontId="21" fillId="0" borderId="0" applyProtection="1" pivotButton="0" quotePrefix="0" xfId="0">
      <protection locked="1" hidden="1"/>
    </xf>
    <xf numFmtId="0" fontId="24" fillId="5" borderId="0" applyAlignment="1" applyProtection="1" pivotButton="0" quotePrefix="0" xfId="4">
      <alignment horizontal="center"/>
      <protection locked="0" hidden="0"/>
    </xf>
    <xf numFmtId="0" fontId="17" fillId="10" borderId="0" applyAlignment="1" applyProtection="1" pivotButton="0" quotePrefix="0" xfId="10">
      <alignment horizontal="left"/>
      <protection locked="1" hidden="1"/>
    </xf>
    <xf numFmtId="0" fontId="14" fillId="0" borderId="0" applyAlignment="1" applyProtection="1" pivotButton="0" quotePrefix="0" xfId="0">
      <alignment vertical="top"/>
      <protection locked="1" hidden="1"/>
    </xf>
    <xf numFmtId="3" fontId="24" fillId="5" borderId="6" applyProtection="1" pivotButton="0" quotePrefix="0" xfId="4">
      <protection locked="0" hidden="0"/>
    </xf>
    <xf numFmtId="0" fontId="80" fillId="0" borderId="6" applyAlignment="1" pivotButton="0" quotePrefix="0" xfId="9">
      <alignment vertical="center"/>
    </xf>
    <xf numFmtId="0" fontId="36" fillId="14" borderId="2" applyAlignment="1" applyProtection="1" pivotButton="0" quotePrefix="0" xfId="0">
      <alignment horizontal="center" vertical="center" wrapText="1"/>
      <protection locked="1" hidden="1"/>
    </xf>
    <xf numFmtId="0" fontId="88" fillId="0" borderId="0" applyProtection="1" pivotButton="0" quotePrefix="0" xfId="0">
      <protection locked="1" hidden="1"/>
    </xf>
    <xf numFmtId="0" fontId="14" fillId="0" borderId="0" applyAlignment="1" applyProtection="1" pivotButton="0" quotePrefix="1" xfId="0">
      <alignment horizontal="center"/>
      <protection locked="1" hidden="1"/>
    </xf>
    <xf numFmtId="0" fontId="14" fillId="0" borderId="0" applyAlignment="1" applyProtection="1" pivotButton="0" quotePrefix="0" xfId="0">
      <alignment horizontal="left" vertical="top"/>
      <protection locked="1" hidden="1"/>
    </xf>
    <xf numFmtId="0" fontId="0" fillId="0" borderId="0" applyAlignment="1" applyProtection="1" pivotButton="0" quotePrefix="0" xfId="0">
      <alignment horizontal="left"/>
      <protection locked="1" hidden="1"/>
    </xf>
    <xf numFmtId="0" fontId="31" fillId="0" borderId="0" applyAlignment="1" applyProtection="1" pivotButton="0" quotePrefix="0" xfId="0">
      <alignment horizontal="center" vertical="center" wrapText="1"/>
      <protection locked="1" hidden="1"/>
    </xf>
    <xf numFmtId="1" fontId="14" fillId="0" borderId="0" applyAlignment="1" applyProtection="1" pivotButton="0" quotePrefix="0" xfId="0">
      <alignment vertical="center"/>
      <protection locked="1" hidden="1"/>
    </xf>
    <xf numFmtId="0" fontId="14" fillId="0" borderId="0" applyAlignment="1" applyProtection="1" pivotButton="0" quotePrefix="0" xfId="0">
      <alignment horizontal="center"/>
      <protection locked="1" hidden="1"/>
    </xf>
    <xf numFmtId="177" fontId="14" fillId="0" borderId="6" applyAlignment="1" pivotButton="0" quotePrefix="0" xfId="0">
      <alignment wrapText="1"/>
    </xf>
    <xf numFmtId="177" fontId="14" fillId="0" borderId="7" applyAlignment="1" pivotButton="0" quotePrefix="0" xfId="0">
      <alignment wrapText="1"/>
    </xf>
    <xf numFmtId="0" fontId="14" fillId="0" borderId="0" applyAlignment="1" applyProtection="1" pivotButton="0" quotePrefix="0" xfId="0">
      <alignment horizontal="center" vertical="center" wrapText="1"/>
      <protection locked="1" hidden="1"/>
    </xf>
    <xf numFmtId="178" fontId="24" fillId="5" borderId="1" applyAlignment="1" applyProtection="1" pivotButton="0" quotePrefix="0" xfId="4">
      <alignment horizontal="left"/>
      <protection locked="0" hidden="0"/>
    </xf>
    <xf numFmtId="178" fontId="24" fillId="5" borderId="6" applyAlignment="1" applyProtection="1" pivotButton="0" quotePrefix="0" xfId="4">
      <alignment horizontal="left"/>
      <protection locked="0" hidden="0"/>
    </xf>
    <xf numFmtId="178" fontId="24" fillId="5" borderId="7" applyAlignment="1" applyProtection="1" pivotButton="0" quotePrefix="0" xfId="4">
      <alignment horizontal="left"/>
      <protection locked="0" hidden="0"/>
    </xf>
    <xf numFmtId="0" fontId="24" fillId="5" borderId="6" applyAlignment="1" applyProtection="1" pivotButton="0" quotePrefix="0" xfId="4">
      <alignment horizontal="left"/>
      <protection locked="0" hidden="0"/>
    </xf>
    <xf numFmtId="0" fontId="24" fillId="5" borderId="7" applyAlignment="1" applyProtection="1" pivotButton="0" quotePrefix="0" xfId="4">
      <alignment horizontal="left"/>
      <protection locked="0" hidden="0"/>
    </xf>
    <xf numFmtId="0" fontId="0" fillId="4" borderId="40" applyAlignment="1" pivotButton="0" quotePrefix="0" xfId="0">
      <alignment horizontal="center"/>
    </xf>
    <xf numFmtId="0" fontId="0" fillId="4" borderId="42" applyAlignment="1" pivotButton="0" quotePrefix="0" xfId="0">
      <alignment horizontal="center"/>
    </xf>
    <xf numFmtId="0" fontId="24" fillId="5" borderId="1" applyAlignment="1" applyProtection="1" pivotButton="0" quotePrefix="0" xfId="4">
      <alignment horizontal="left"/>
      <protection locked="0" hidden="0"/>
    </xf>
    <xf numFmtId="49" fontId="24" fillId="5" borderId="1" applyAlignment="1" applyProtection="1" pivotButton="0" quotePrefix="0" xfId="4">
      <alignment horizontal="left"/>
      <protection locked="0" hidden="0"/>
    </xf>
    <xf numFmtId="49" fontId="24" fillId="5" borderId="6" applyAlignment="1" applyProtection="1" pivotButton="0" quotePrefix="0" xfId="4">
      <alignment horizontal="left"/>
      <protection locked="0" hidden="0"/>
    </xf>
    <xf numFmtId="49" fontId="24" fillId="5" borderId="7" applyAlignment="1" applyProtection="1" pivotButton="0" quotePrefix="0" xfId="4">
      <alignment horizontal="left"/>
      <protection locked="0" hidden="0"/>
    </xf>
    <xf numFmtId="0" fontId="21" fillId="8" borderId="33" applyAlignment="1" pivotButton="0" quotePrefix="0" xfId="7">
      <alignment horizontal="center" vertical="center"/>
    </xf>
    <xf numFmtId="0" fontId="21" fillId="8" borderId="34" applyAlignment="1" pivotButton="0" quotePrefix="0" xfId="7">
      <alignment horizontal="center" vertical="center"/>
    </xf>
    <xf numFmtId="0" fontId="22" fillId="4" borderId="14" applyAlignment="1" pivotButton="0" quotePrefix="0" xfId="0">
      <alignment horizontal="center" vertical="center"/>
    </xf>
    <xf numFmtId="0" fontId="22" fillId="4" borderId="15" applyAlignment="1" pivotButton="0" quotePrefix="0" xfId="0">
      <alignment horizontal="center" vertical="center"/>
    </xf>
    <xf numFmtId="0" fontId="22" fillId="4" borderId="16" applyAlignment="1" pivotButton="0" quotePrefix="0" xfId="0">
      <alignment horizontal="center" vertical="center"/>
    </xf>
    <xf numFmtId="0" fontId="22" fillId="4" borderId="21" applyAlignment="1" pivotButton="0" quotePrefix="0" xfId="0">
      <alignment horizontal="center" vertical="center"/>
    </xf>
    <xf numFmtId="0" fontId="22" fillId="4" borderId="0" applyAlignment="1" pivotButton="0" quotePrefix="0" xfId="0">
      <alignment horizontal="center" vertical="center"/>
    </xf>
    <xf numFmtId="0" fontId="22" fillId="4" borderId="22" applyAlignment="1" pivotButton="0" quotePrefix="0" xfId="0">
      <alignment horizontal="center" vertical="center"/>
    </xf>
    <xf numFmtId="0" fontId="22" fillId="4" borderId="17" applyAlignment="1" pivotButton="0" quotePrefix="0" xfId="0">
      <alignment horizontal="center" vertical="center"/>
    </xf>
    <xf numFmtId="0" fontId="22" fillId="4" borderId="18" applyAlignment="1" pivotButton="0" quotePrefix="0" xfId="0">
      <alignment horizontal="center" vertical="center"/>
    </xf>
    <xf numFmtId="0" fontId="22" fillId="4" borderId="19" applyAlignment="1" pivotButton="0" quotePrefix="0" xfId="0">
      <alignment horizontal="center" vertical="center"/>
    </xf>
    <xf numFmtId="0" fontId="21" fillId="8" borderId="16" applyAlignment="1" pivotButton="0" quotePrefix="0" xfId="7">
      <alignment horizontal="center" vertical="center"/>
    </xf>
    <xf numFmtId="0" fontId="21" fillId="8" borderId="19" applyAlignment="1" pivotButton="0" quotePrefix="0" xfId="7">
      <alignment horizontal="center" vertical="center"/>
    </xf>
    <xf numFmtId="0" fontId="21" fillId="8" borderId="36" applyAlignment="1" pivotButton="0" quotePrefix="0" xfId="7">
      <alignment horizontal="center"/>
    </xf>
    <xf numFmtId="0" fontId="21" fillId="8" borderId="20" applyAlignment="1" pivotButton="0" quotePrefix="0" xfId="7">
      <alignment horizontal="center"/>
    </xf>
    <xf numFmtId="0" fontId="21" fillId="8" borderId="37" applyAlignment="1" pivotButton="0" quotePrefix="0" xfId="7">
      <alignment horizontal="center"/>
    </xf>
    <xf numFmtId="0" fontId="0" fillId="4" borderId="0" applyAlignment="1" pivotButton="0" quotePrefix="0" xfId="0">
      <alignment horizontal="center" vertical="center"/>
    </xf>
    <xf numFmtId="0" fontId="21" fillId="8" borderId="33" applyAlignment="1" pivotButton="0" quotePrefix="0" xfId="7">
      <alignment horizontal="center" vertical="center" wrapText="1"/>
    </xf>
    <xf numFmtId="0" fontId="21" fillId="8" borderId="34" applyAlignment="1" pivotButton="0" quotePrefix="0" xfId="7">
      <alignment horizontal="center" vertical="center" wrapText="1"/>
    </xf>
    <xf numFmtId="0" fontId="21" fillId="8" borderId="15" applyAlignment="1" pivotButton="0" quotePrefix="0" xfId="7">
      <alignment horizontal="center" vertical="center"/>
    </xf>
    <xf numFmtId="0" fontId="21" fillId="8" borderId="26" applyAlignment="1" pivotButton="0" quotePrefix="0" xfId="7">
      <alignment horizontal="center" vertical="center"/>
    </xf>
    <xf numFmtId="0" fontId="21" fillId="8" borderId="18" applyAlignment="1" pivotButton="0" quotePrefix="0" xfId="7">
      <alignment horizontal="center" vertical="center"/>
    </xf>
    <xf numFmtId="0" fontId="21" fillId="8" borderId="27" applyAlignment="1" pivotButton="0" quotePrefix="0" xfId="7">
      <alignment horizontal="center" vertical="center"/>
    </xf>
    <xf numFmtId="0" fontId="0" fillId="4" borderId="0" applyAlignment="1" pivotButton="0" quotePrefix="0" xfId="0">
      <alignment horizontal="left" vertical="center"/>
    </xf>
    <xf numFmtId="0" fontId="0" fillId="4" borderId="38" applyAlignment="1" pivotButton="0" quotePrefix="0" xfId="0">
      <alignment horizontal="left" vertical="center"/>
    </xf>
    <xf numFmtId="0" fontId="24" fillId="14" borderId="1" applyAlignment="1" applyProtection="1" pivotButton="0" quotePrefix="0" xfId="4">
      <alignment horizontal="left"/>
      <protection locked="0" hidden="0"/>
    </xf>
    <xf numFmtId="0" fontId="24" fillId="14" borderId="6" applyAlignment="1" applyProtection="1" pivotButton="0" quotePrefix="0" xfId="4">
      <alignment horizontal="left"/>
      <protection locked="0" hidden="0"/>
    </xf>
    <xf numFmtId="0" fontId="24" fillId="14" borderId="7" applyAlignment="1" applyProtection="1" pivotButton="0" quotePrefix="0" xfId="4">
      <alignment horizontal="left"/>
      <protection locked="0" hidden="0"/>
    </xf>
    <xf numFmtId="0" fontId="21" fillId="8" borderId="36" applyAlignment="1" pivotButton="0" quotePrefix="0" xfId="7">
      <alignment horizontal="center" vertical="center"/>
    </xf>
    <xf numFmtId="0" fontId="21" fillId="8" borderId="20" applyAlignment="1" pivotButton="0" quotePrefix="0" xfId="7">
      <alignment horizontal="center" vertical="center"/>
    </xf>
    <xf numFmtId="0" fontId="21" fillId="8" borderId="37" applyAlignment="1" pivotButton="0" quotePrefix="0" xfId="7">
      <alignment horizontal="center" vertical="center"/>
    </xf>
    <xf numFmtId="0" fontId="0" fillId="4" borderId="0" applyAlignment="1" pivotButton="0" quotePrefix="0" xfId="0">
      <alignment horizontal="right" vertical="center" wrapText="1"/>
    </xf>
    <xf numFmtId="0" fontId="0" fillId="4" borderId="38" applyAlignment="1" pivotButton="0" quotePrefix="0" xfId="0">
      <alignment horizontal="right" vertical="center" wrapText="1"/>
    </xf>
    <xf numFmtId="0" fontId="24" fillId="14" borderId="1" applyAlignment="1" applyProtection="1" pivotButton="0" quotePrefix="1" xfId="4">
      <alignment horizontal="left"/>
      <protection locked="0" hidden="0"/>
    </xf>
    <xf numFmtId="0" fontId="24" fillId="14" borderId="6" applyAlignment="1" applyProtection="1" pivotButton="0" quotePrefix="0" xfId="4">
      <alignment horizontal="left"/>
      <protection locked="0" hidden="0"/>
    </xf>
    <xf numFmtId="0" fontId="24" fillId="14" borderId="7" applyAlignment="1" applyProtection="1" pivotButton="0" quotePrefix="0" xfId="4">
      <alignment horizontal="left"/>
      <protection locked="0" hidden="0"/>
    </xf>
    <xf numFmtId="0" fontId="17" fillId="10" borderId="6" applyAlignment="1" applyProtection="1" pivotButton="0" quotePrefix="0" xfId="10">
      <alignment horizontal="left"/>
      <protection locked="1" hidden="1"/>
    </xf>
    <xf numFmtId="0" fontId="17" fillId="10" borderId="7" applyAlignment="1" applyProtection="1" pivotButton="0" quotePrefix="0" xfId="10">
      <alignment horizontal="left"/>
      <protection locked="1" hidden="1"/>
    </xf>
    <xf numFmtId="0" fontId="0" fillId="4" borderId="32" applyAlignment="1" pivotButton="0" quotePrefix="0" xfId="0">
      <alignment horizontal="center"/>
    </xf>
    <xf numFmtId="0" fontId="0" fillId="4" borderId="28" applyAlignment="1" pivotButton="0" quotePrefix="0" xfId="0">
      <alignment horizontal="center"/>
    </xf>
    <xf numFmtId="0" fontId="21" fillId="8" borderId="26" applyAlignment="1" pivotButton="0" quotePrefix="0" xfId="7">
      <alignment horizontal="center" vertical="center" wrapText="1"/>
    </xf>
    <xf numFmtId="0" fontId="21" fillId="8" borderId="27" applyAlignment="1" pivotButton="0" quotePrefix="0" xfId="7">
      <alignment horizontal="center" vertical="center" wrapText="1"/>
    </xf>
    <xf numFmtId="0" fontId="0" fillId="4" borderId="23" applyAlignment="1" pivotButton="0" quotePrefix="0" xfId="0">
      <alignment horizontal="center"/>
    </xf>
    <xf numFmtId="0" fontId="21" fillId="8" borderId="30" applyAlignment="1" pivotButton="0" quotePrefix="0" xfId="7">
      <alignment horizontal="center" vertical="center"/>
    </xf>
    <xf numFmtId="0" fontId="21" fillId="8" borderId="31" applyAlignment="1" pivotButton="0" quotePrefix="0" xfId="7">
      <alignment horizontal="center" vertical="center"/>
    </xf>
    <xf numFmtId="0" fontId="21" fillId="8" borderId="30" applyAlignment="1" pivotButton="0" quotePrefix="0" xfId="7">
      <alignment horizontal="center" vertical="center" wrapText="1"/>
    </xf>
    <xf numFmtId="0" fontId="21" fillId="8" borderId="31" applyAlignment="1" pivotButton="0" quotePrefix="0" xfId="7">
      <alignment horizontal="center" vertical="center" wrapText="1"/>
    </xf>
    <xf numFmtId="0" fontId="21" fillId="8" borderId="14" applyAlignment="1" pivotButton="0" quotePrefix="0" xfId="7">
      <alignment horizontal="center" vertical="center"/>
    </xf>
    <xf numFmtId="0" fontId="21" fillId="8" borderId="17" applyAlignment="1" pivotButton="0" quotePrefix="0" xfId="7">
      <alignment horizontal="center" vertical="center"/>
    </xf>
    <xf numFmtId="0" fontId="24" fillId="14" borderId="1" applyAlignment="1" applyProtection="1" pivotButton="0" quotePrefix="0" xfId="4">
      <alignment horizontal="left"/>
      <protection locked="0" hidden="0"/>
    </xf>
    <xf numFmtId="178" fontId="24" fillId="14" borderId="1" applyAlignment="1" applyProtection="1" pivotButton="0" quotePrefix="0" xfId="4">
      <alignment horizontal="left"/>
      <protection locked="0" hidden="0"/>
    </xf>
    <xf numFmtId="178" fontId="24" fillId="14" borderId="6" applyAlignment="1" applyProtection="1" pivotButton="0" quotePrefix="0" xfId="4">
      <alignment horizontal="left"/>
      <protection locked="0" hidden="0"/>
    </xf>
    <xf numFmtId="178" fontId="24" fillId="14" borderId="7" applyAlignment="1" applyProtection="1" pivotButton="0" quotePrefix="0" xfId="4">
      <alignment horizontal="left"/>
      <protection locked="0" hidden="0"/>
    </xf>
    <xf numFmtId="0" fontId="0" fillId="0" borderId="2" applyAlignment="1" pivotButton="0" quotePrefix="0" xfId="0">
      <alignment horizontal="center" vertical="center"/>
    </xf>
    <xf numFmtId="0" fontId="0" fillId="0" borderId="3" applyAlignment="1" pivotButton="0" quotePrefix="0" xfId="0">
      <alignment horizontal="center" vertical="center" wrapText="1"/>
    </xf>
    <xf numFmtId="0" fontId="0" fillId="0" borderId="4" applyAlignment="1" pivotButton="0" quotePrefix="0" xfId="0">
      <alignment horizontal="center" vertical="center" wrapText="1"/>
    </xf>
    <xf numFmtId="0" fontId="7" fillId="0" borderId="0" applyAlignment="1" pivotButton="0" quotePrefix="0" xfId="0">
      <alignment horizontal="center" vertical="center"/>
    </xf>
    <xf numFmtId="0" fontId="11" fillId="0" borderId="0" applyAlignment="1" pivotButton="0" quotePrefix="0" xfId="0">
      <alignment horizontal="center" vertical="center"/>
    </xf>
    <xf numFmtId="0" fontId="9" fillId="0" borderId="0" applyAlignment="1" pivotButton="0" quotePrefix="0" xfId="0">
      <alignment horizontal="center" vertical="center"/>
    </xf>
    <xf numFmtId="0" fontId="57" fillId="0" borderId="0" applyAlignment="1" pivotButton="0" quotePrefix="0" xfId="3">
      <alignment horizontal="center" vertical="center"/>
    </xf>
    <xf numFmtId="0" fontId="0" fillId="0" borderId="8" applyAlignment="1" pivotButton="0" quotePrefix="0" xfId="0">
      <alignment horizontal="left" vertical="center"/>
    </xf>
    <xf numFmtId="0" fontId="0" fillId="0" borderId="0" applyAlignment="1" pivotButton="0" quotePrefix="0" xfId="0">
      <alignment horizontal="left" vertical="center"/>
    </xf>
    <xf numFmtId="0" fontId="14" fillId="0" borderId="0" applyAlignment="1" pivotButton="0" quotePrefix="0" xfId="0">
      <alignment horizontal="center" vertical="center"/>
    </xf>
    <xf numFmtId="0" fontId="0" fillId="0" borderId="3" applyAlignment="1" pivotButton="0" quotePrefix="0" xfId="0">
      <alignment horizontal="center" vertical="center"/>
    </xf>
    <xf numFmtId="0" fontId="0" fillId="0" borderId="5" applyAlignment="1" pivotButton="0" quotePrefix="0" xfId="0">
      <alignment horizontal="center" vertical="center"/>
    </xf>
    <xf numFmtId="0" fontId="0" fillId="0" borderId="4" applyAlignment="1" pivotButton="0" quotePrefix="0" xfId="0">
      <alignment horizontal="center" vertical="center"/>
    </xf>
    <xf numFmtId="0" fontId="6" fillId="0" borderId="39" applyAlignment="1" pivotButton="0" quotePrefix="0" xfId="0">
      <alignment horizontal="left" vertical="center"/>
    </xf>
    <xf numFmtId="0" fontId="6" fillId="0" borderId="10" applyAlignment="1" pivotButton="0" quotePrefix="0" xfId="0">
      <alignment horizontal="left" vertical="center"/>
    </xf>
    <xf numFmtId="0" fontId="18" fillId="5" borderId="1" applyAlignment="1" applyProtection="1" pivotButton="0" quotePrefix="0" xfId="4">
      <alignment horizontal="center" vertical="center"/>
      <protection locked="0" hidden="0"/>
    </xf>
    <xf numFmtId="0" fontId="18" fillId="5" borderId="7" applyAlignment="1" applyProtection="1" pivotButton="0" quotePrefix="0" xfId="4">
      <alignment horizontal="center" vertical="center"/>
      <protection locked="0" hidden="0"/>
    </xf>
    <xf numFmtId="0" fontId="17" fillId="9" borderId="1" applyAlignment="1" pivotButton="0" quotePrefix="0" xfId="8">
      <alignment horizontal="center" vertical="center"/>
    </xf>
    <xf numFmtId="0" fontId="17" fillId="9" borderId="7" applyAlignment="1" pivotButton="0" quotePrefix="0" xfId="8">
      <alignment horizontal="center" vertical="center"/>
    </xf>
    <xf numFmtId="0" fontId="12" fillId="0" borderId="0" applyAlignment="1" applyProtection="1" pivotButton="0" quotePrefix="0" xfId="0">
      <alignment horizontal="center" vertical="center"/>
      <protection locked="0" hidden="0"/>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168" fontId="17" fillId="9" borderId="1" applyAlignment="1" pivotButton="0" quotePrefix="0" xfId="8">
      <alignment horizontal="center" vertical="center"/>
    </xf>
    <xf numFmtId="168" fontId="17" fillId="9" borderId="7" applyAlignment="1" pivotButton="0" quotePrefix="0" xfId="8">
      <alignment horizontal="center" vertical="center"/>
    </xf>
    <xf numFmtId="0" fontId="17" fillId="9" borderId="2" applyAlignment="1" pivotButton="0" quotePrefix="0" xfId="8">
      <alignment horizontal="center" vertical="center"/>
    </xf>
    <xf numFmtId="0" fontId="47" fillId="4" borderId="3" applyAlignment="1" pivotButton="0" quotePrefix="0" xfId="1">
      <alignment horizontal="center" vertical="center" wrapText="1"/>
    </xf>
    <xf numFmtId="0" fontId="47" fillId="4" borderId="4" applyAlignment="1" pivotButton="0" quotePrefix="0" xfId="1">
      <alignment horizontal="center" vertical="center" wrapText="1"/>
    </xf>
    <xf numFmtId="0" fontId="48" fillId="4" borderId="3" applyAlignment="1" pivotButton="0" quotePrefix="0" xfId="1">
      <alignment horizontal="center" vertical="center" wrapText="1"/>
    </xf>
    <xf numFmtId="0" fontId="48" fillId="4" borderId="4" applyAlignment="1" pivotButton="0" quotePrefix="0" xfId="1">
      <alignment horizontal="center" vertical="center" wrapText="1"/>
    </xf>
    <xf numFmtId="0" fontId="47" fillId="12" borderId="1" applyAlignment="1" pivotButton="0" quotePrefix="0" xfId="1">
      <alignment horizontal="center" vertical="center" wrapText="1"/>
    </xf>
    <xf numFmtId="0" fontId="47" fillId="12" borderId="6" applyAlignment="1" pivotButton="0" quotePrefix="0" xfId="1">
      <alignment horizontal="center" vertical="center" wrapText="1"/>
    </xf>
    <xf numFmtId="0" fontId="47" fillId="12" borderId="7" applyAlignment="1" pivotButton="0" quotePrefix="0" xfId="1">
      <alignment horizontal="center" vertical="center" wrapText="1"/>
    </xf>
    <xf numFmtId="0" fontId="47" fillId="12" borderId="3" applyAlignment="1" pivotButton="0" quotePrefix="0" xfId="1">
      <alignment horizontal="center" vertical="center" wrapText="1"/>
    </xf>
    <xf numFmtId="0" fontId="47" fillId="12" borderId="4" applyAlignment="1" pivotButton="0" quotePrefix="0" xfId="1">
      <alignment horizontal="center" vertical="center" wrapText="1"/>
    </xf>
    <xf numFmtId="0" fontId="47" fillId="4" borderId="2" applyAlignment="1" pivotButton="0" quotePrefix="0" xfId="1">
      <alignment horizontal="center"/>
    </xf>
    <xf numFmtId="0" fontId="62" fillId="4" borderId="2" applyAlignment="1" pivotButton="0" quotePrefix="0" xfId="0">
      <alignment horizontal="center" vertical="center" wrapText="1"/>
    </xf>
    <xf numFmtId="0" fontId="62" fillId="4" borderId="3" applyAlignment="1" pivotButton="0" quotePrefix="0" xfId="0">
      <alignment horizontal="center" vertical="center" wrapText="1"/>
    </xf>
    <xf numFmtId="0" fontId="47" fillId="4" borderId="2" applyAlignment="1" pivotButton="0" quotePrefix="0" xfId="1">
      <alignment horizontal="center" vertical="center" wrapText="1"/>
    </xf>
    <xf numFmtId="0" fontId="47" fillId="4" borderId="0" applyAlignment="1" pivotButton="0" quotePrefix="0" xfId="1">
      <alignment horizontal="left"/>
    </xf>
    <xf numFmtId="168" fontId="47" fillId="4" borderId="1" applyAlignment="1" pivotButton="0" quotePrefix="0" xfId="1">
      <alignment horizontal="left"/>
    </xf>
    <xf numFmtId="168" fontId="47" fillId="4" borderId="6" applyAlignment="1" pivotButton="0" quotePrefix="0" xfId="1">
      <alignment horizontal="left"/>
    </xf>
    <xf numFmtId="0" fontId="47" fillId="4" borderId="1" applyAlignment="1" pivotButton="0" quotePrefix="0" xfId="1">
      <alignment horizontal="center" vertical="center" wrapText="1"/>
    </xf>
    <xf numFmtId="0" fontId="49" fillId="4" borderId="0" applyAlignment="1" pivotButton="0" quotePrefix="0" xfId="0">
      <alignment horizontal="center" vertical="center"/>
    </xf>
    <xf numFmtId="0" fontId="53" fillId="4" borderId="0" applyAlignment="1" pivotButton="0" quotePrefix="0" xfId="0">
      <alignment horizontal="center" vertical="center"/>
    </xf>
    <xf numFmtId="0" fontId="36" fillId="0" borderId="0" applyAlignment="1" pivotButton="0" quotePrefix="0" xfId="0">
      <alignment horizontal="center"/>
    </xf>
    <xf numFmtId="0" fontId="52" fillId="4" borderId="0" applyAlignment="1" pivotButton="0" quotePrefix="0" xfId="3">
      <alignment horizontal="center" vertical="center"/>
    </xf>
    <xf numFmtId="0" fontId="46" fillId="4" borderId="0" pivotButton="0" quotePrefix="0" xfId="1"/>
    <xf numFmtId="167" fontId="43" fillId="10" borderId="0" applyAlignment="1" pivotButton="0" quotePrefix="0" xfId="10">
      <alignment horizontal="center" vertical="center"/>
    </xf>
    <xf numFmtId="167" fontId="43" fillId="10" borderId="38" applyAlignment="1" pivotButton="0" quotePrefix="0" xfId="10">
      <alignment horizontal="center" vertical="center"/>
    </xf>
    <xf numFmtId="0" fontId="43" fillId="10" borderId="41" applyAlignment="1" pivotButton="0" quotePrefix="0" xfId="10">
      <alignment horizontal="center" vertical="center" wrapText="1"/>
    </xf>
    <xf numFmtId="0" fontId="43" fillId="10" borderId="42" applyAlignment="1" pivotButton="0" quotePrefix="0" xfId="10">
      <alignment horizontal="center" vertical="center" wrapText="1"/>
    </xf>
    <xf numFmtId="0" fontId="45" fillId="4" borderId="0" pivotButton="0" quotePrefix="0" xfId="1"/>
    <xf numFmtId="167" fontId="43" fillId="10" borderId="10" applyAlignment="1" pivotButton="0" quotePrefix="0" xfId="10">
      <alignment horizontal="center" vertical="center"/>
    </xf>
    <xf numFmtId="167" fontId="43" fillId="10" borderId="11" applyAlignment="1" pivotButton="0" quotePrefix="0" xfId="10">
      <alignment horizontal="center" vertical="center"/>
    </xf>
    <xf numFmtId="0" fontId="47" fillId="4" borderId="2" applyAlignment="1" pivotButton="0" quotePrefix="0" xfId="0">
      <alignment horizontal="center" vertical="center" wrapText="1"/>
    </xf>
    <xf numFmtId="0" fontId="47" fillId="4" borderId="12" applyAlignment="1" pivotButton="0" quotePrefix="0" xfId="0">
      <alignment horizontal="center" vertical="center" wrapText="1"/>
    </xf>
    <xf numFmtId="0" fontId="47" fillId="4" borderId="39" applyAlignment="1" pivotButton="0" quotePrefix="0" xfId="0">
      <alignment horizontal="center" vertical="center" wrapText="1"/>
    </xf>
    <xf numFmtId="0" fontId="47" fillId="4" borderId="13" applyAlignment="1" pivotButton="0" quotePrefix="0" xfId="0">
      <alignment horizontal="center" vertical="center" wrapText="1"/>
    </xf>
    <xf numFmtId="0" fontId="47" fillId="4" borderId="9" applyAlignment="1" pivotButton="0" quotePrefix="0" xfId="0">
      <alignment horizontal="center" vertical="center" wrapText="1"/>
    </xf>
    <xf numFmtId="0" fontId="47" fillId="4" borderId="10" applyAlignment="1" pivotButton="0" quotePrefix="0" xfId="0">
      <alignment horizontal="center" vertical="center" wrapText="1"/>
    </xf>
    <xf numFmtId="0" fontId="47" fillId="4" borderId="11" applyAlignment="1" pivotButton="0" quotePrefix="0" xfId="0">
      <alignment horizontal="center" vertical="center" wrapText="1"/>
    </xf>
    <xf numFmtId="0" fontId="47" fillId="4" borderId="2" applyAlignment="1" applyProtection="1" pivotButton="0" quotePrefix="0" xfId="0">
      <alignment horizontal="center" vertical="center" wrapText="1"/>
      <protection locked="1" hidden="1"/>
    </xf>
    <xf numFmtId="0" fontId="43" fillId="0" borderId="39" applyAlignment="1" applyProtection="1" pivotButton="0" quotePrefix="0" xfId="0">
      <alignment horizontal="center"/>
      <protection locked="1" hidden="1"/>
    </xf>
    <xf numFmtId="0" fontId="36" fillId="0" borderId="0" applyAlignment="1" applyProtection="1" pivotButton="0" quotePrefix="0" xfId="0">
      <alignment horizontal="center" wrapText="1"/>
      <protection locked="1" hidden="1"/>
    </xf>
    <xf numFmtId="0" fontId="36" fillId="0" borderId="10" applyAlignment="1" applyProtection="1" pivotButton="0" quotePrefix="0" xfId="0">
      <alignment horizontal="center" wrapText="1"/>
      <protection locked="1" hidden="1"/>
    </xf>
    <xf numFmtId="0" fontId="43" fillId="0" borderId="2" applyAlignment="1" applyProtection="1" pivotButton="0" quotePrefix="0" xfId="0">
      <alignment horizontal="center"/>
      <protection locked="1" hidden="1"/>
    </xf>
    <xf numFmtId="0" fontId="43" fillId="0" borderId="2" applyAlignment="1" applyProtection="1" pivotButton="0" quotePrefix="0" xfId="0">
      <alignment horizontal="center" vertical="center"/>
      <protection locked="1" hidden="1"/>
    </xf>
    <xf numFmtId="0" fontId="76" fillId="0" borderId="0" applyAlignment="1" applyProtection="1" pivotButton="0" quotePrefix="0" xfId="0">
      <alignment horizontal="left" vertical="center"/>
      <protection locked="1" hidden="1"/>
    </xf>
    <xf numFmtId="0" fontId="68" fillId="0" borderId="0" applyAlignment="1" applyProtection="1" pivotButton="0" quotePrefix="0" xfId="0">
      <alignment horizontal="center" vertical="top"/>
      <protection locked="1" hidden="1"/>
    </xf>
    <xf numFmtId="49" fontId="76" fillId="0" borderId="0" applyAlignment="1" applyProtection="1" pivotButton="0" quotePrefix="0" xfId="0">
      <alignment horizontal="left" vertical="center"/>
      <protection locked="1" hidden="1"/>
    </xf>
    <xf numFmtId="169" fontId="76" fillId="0" borderId="0" applyAlignment="1" applyProtection="1" pivotButton="0" quotePrefix="0" xfId="0">
      <alignment horizontal="left" vertical="center"/>
      <protection locked="1" hidden="1"/>
    </xf>
    <xf numFmtId="0" fontId="69" fillId="4" borderId="0" applyAlignment="1" applyProtection="1" pivotButton="0" quotePrefix="0" xfId="4">
      <alignment horizontal="center" vertical="center"/>
      <protection locked="1" hidden="1"/>
    </xf>
    <xf numFmtId="167" fontId="69" fillId="4" borderId="1" applyAlignment="1" applyProtection="1" pivotButton="0" quotePrefix="0" xfId="8">
      <alignment horizontal="center" vertical="center"/>
      <protection locked="1" hidden="1"/>
    </xf>
    <xf numFmtId="167" fontId="69" fillId="4" borderId="7" applyAlignment="1" applyProtection="1" pivotButton="0" quotePrefix="0" xfId="8">
      <alignment horizontal="center" vertical="center"/>
      <protection locked="1" hidden="1"/>
    </xf>
    <xf numFmtId="1" fontId="69" fillId="4" borderId="1" applyAlignment="1" applyProtection="1" pivotButton="0" quotePrefix="0" xfId="8">
      <alignment horizontal="center" vertical="center"/>
      <protection locked="1" hidden="1"/>
    </xf>
    <xf numFmtId="1" fontId="69" fillId="4" borderId="7" applyAlignment="1" applyProtection="1" pivotButton="0" quotePrefix="0" xfId="8">
      <alignment horizontal="center" vertical="center"/>
      <protection locked="1" hidden="1"/>
    </xf>
    <xf numFmtId="0" fontId="69" fillId="4" borderId="1" applyAlignment="1" applyProtection="1" pivotButton="0" quotePrefix="0" xfId="4">
      <alignment horizontal="center" vertical="center"/>
      <protection locked="1" hidden="1"/>
    </xf>
    <xf numFmtId="0" fontId="69" fillId="4" borderId="7" applyAlignment="1" applyProtection="1" pivotButton="0" quotePrefix="0" xfId="4">
      <alignment horizontal="center" vertical="center"/>
      <protection locked="1" hidden="1"/>
    </xf>
    <xf numFmtId="168" fontId="69" fillId="4" borderId="1" applyAlignment="1" applyProtection="1" pivotButton="0" quotePrefix="0" xfId="4">
      <alignment horizontal="center" vertical="center"/>
      <protection locked="1" hidden="1"/>
    </xf>
    <xf numFmtId="168" fontId="69" fillId="4" borderId="7" applyAlignment="1" applyProtection="1" pivotButton="0" quotePrefix="0" xfId="4">
      <alignment horizontal="center" vertical="center"/>
      <protection locked="1" hidden="1"/>
    </xf>
    <xf numFmtId="0" fontId="14" fillId="0" borderId="0" applyAlignment="1" pivotButton="0" quotePrefix="0" xfId="0">
      <alignment horizontal="center" vertical="center" wrapText="1"/>
    </xf>
    <xf numFmtId="0" fontId="14" fillId="0" borderId="0" applyAlignment="1" pivotButton="0" quotePrefix="0" xfId="0">
      <alignment horizontal="center"/>
    </xf>
    <xf numFmtId="0" fontId="14" fillId="0" borderId="0" applyAlignment="1" pivotButton="0" quotePrefix="0" xfId="0">
      <alignment horizontal="center" wrapText="1"/>
    </xf>
    <xf numFmtId="0" fontId="14" fillId="0" borderId="0" applyAlignment="1" pivotButton="0" quotePrefix="0" xfId="0">
      <alignment horizontal="justify" vertical="top" wrapText="1"/>
    </xf>
    <xf numFmtId="0" fontId="14" fillId="0" borderId="0" applyAlignment="1" pivotButton="0" quotePrefix="0" xfId="0">
      <alignment horizontal="left" wrapText="1"/>
    </xf>
    <xf numFmtId="170" fontId="14" fillId="0" borderId="0" applyAlignment="1" pivotButton="0" quotePrefix="0" xfId="0">
      <alignment horizontal="center" vertical="center"/>
    </xf>
    <xf numFmtId="0" fontId="14" fillId="0" borderId="0" applyAlignment="1" pivotButton="0" quotePrefix="0" xfId="0">
      <alignment horizontal="left" vertical="center"/>
    </xf>
    <xf numFmtId="1" fontId="14" fillId="0" borderId="2" applyAlignment="1" pivotButton="0" quotePrefix="0" xfId="0">
      <alignment horizontal="center" vertical="center"/>
    </xf>
    <xf numFmtId="2" fontId="14" fillId="0" borderId="2" applyAlignment="1" pivotButton="0" quotePrefix="0" xfId="0">
      <alignment horizontal="center" vertical="center"/>
    </xf>
    <xf numFmtId="2" fontId="14" fillId="0" borderId="1" applyAlignment="1" pivotButton="0" quotePrefix="0" xfId="0">
      <alignment horizontal="center" vertical="center"/>
    </xf>
    <xf numFmtId="2" fontId="14" fillId="0" borderId="7" applyAlignment="1" pivotButton="0" quotePrefix="0" xfId="0">
      <alignment horizontal="center" vertical="center"/>
    </xf>
    <xf numFmtId="2" fontId="14" fillId="0" borderId="6" applyAlignment="1" pivotButton="0" quotePrefix="0" xfId="0">
      <alignment horizontal="center" vertical="center"/>
    </xf>
    <xf numFmtId="49" fontId="14" fillId="0" borderId="1" applyAlignment="1" pivotButton="0" quotePrefix="0" xfId="0">
      <alignment horizontal="center" vertical="center"/>
    </xf>
    <xf numFmtId="49" fontId="14" fillId="0" borderId="6" applyAlignment="1" pivotButton="0" quotePrefix="0" xfId="0">
      <alignment horizontal="center" vertical="center"/>
    </xf>
    <xf numFmtId="49" fontId="14" fillId="0" borderId="7" applyAlignment="1" pivotButton="0" quotePrefix="0" xfId="0">
      <alignment horizontal="center" vertical="center"/>
    </xf>
    <xf numFmtId="165" fontId="14" fillId="0" borderId="0" applyAlignment="1" pivotButton="0" quotePrefix="0" xfId="0">
      <alignment horizontal="center" vertical="center"/>
    </xf>
    <xf numFmtId="2" fontId="14" fillId="0" borderId="0" applyAlignment="1" pivotButton="0" quotePrefix="0" xfId="0">
      <alignment horizontal="center" vertical="center"/>
    </xf>
    <xf numFmtId="0" fontId="27" fillId="0" borderId="0" applyAlignment="1" pivotButton="0" quotePrefix="0" xfId="0">
      <alignment horizontal="center" vertical="center" wrapText="1"/>
    </xf>
    <xf numFmtId="0" fontId="27" fillId="0" borderId="0" applyAlignment="1" pivotButton="0" quotePrefix="0" xfId="0">
      <alignment horizontal="center" vertical="center"/>
    </xf>
    <xf numFmtId="1" fontId="14" fillId="0" borderId="1" applyAlignment="1" pivotButton="0" quotePrefix="0" xfId="0">
      <alignment horizontal="center" vertical="center"/>
    </xf>
    <xf numFmtId="1" fontId="14" fillId="0" borderId="7" applyAlignment="1" pivotButton="0" quotePrefix="0" xfId="0">
      <alignment horizontal="center" vertical="center"/>
    </xf>
    <xf numFmtId="1" fontId="14" fillId="0" borderId="6" applyAlignment="1" pivotButton="0" quotePrefix="0" xfId="0">
      <alignment horizontal="center" vertical="center"/>
    </xf>
    <xf numFmtId="0" fontId="31" fillId="0" borderId="1" applyAlignment="1" pivotButton="0" quotePrefix="0" xfId="0">
      <alignment horizontal="center" vertical="center" wrapText="1"/>
    </xf>
    <xf numFmtId="0" fontId="31" fillId="0" borderId="6" applyAlignment="1" pivotButton="0" quotePrefix="0" xfId="0">
      <alignment horizontal="center" vertical="center" wrapText="1"/>
    </xf>
    <xf numFmtId="0" fontId="31" fillId="0" borderId="7" applyAlignment="1" pivotButton="0" quotePrefix="0" xfId="0">
      <alignment horizontal="center" vertical="center" wrapText="1"/>
    </xf>
    <xf numFmtId="0" fontId="31" fillId="0" borderId="2" applyAlignment="1" pivotButton="0" quotePrefix="0" xfId="0">
      <alignment horizontal="center" vertical="center" wrapText="1"/>
    </xf>
    <xf numFmtId="0" fontId="31" fillId="0" borderId="12" applyAlignment="1" pivotButton="0" quotePrefix="0" xfId="0">
      <alignment horizontal="center" vertical="center" wrapText="1"/>
    </xf>
    <xf numFmtId="0" fontId="31" fillId="0" borderId="39" applyAlignment="1" pivotButton="0" quotePrefix="0" xfId="0">
      <alignment horizontal="center" vertical="center" wrapText="1"/>
    </xf>
    <xf numFmtId="0" fontId="31" fillId="0" borderId="13" applyAlignment="1" pivotButton="0" quotePrefix="0" xfId="0">
      <alignment horizontal="center" vertical="center" wrapText="1"/>
    </xf>
    <xf numFmtId="0" fontId="31" fillId="0" borderId="9" applyAlignment="1" pivotButton="0" quotePrefix="0" xfId="0">
      <alignment horizontal="center" vertical="center" wrapText="1"/>
    </xf>
    <xf numFmtId="0" fontId="31" fillId="0" borderId="10" applyAlignment="1" pivotButton="0" quotePrefix="0" xfId="0">
      <alignment horizontal="center" vertical="center" wrapText="1"/>
    </xf>
    <xf numFmtId="0" fontId="31" fillId="0" borderId="11" applyAlignment="1" pivotButton="0" quotePrefix="0" xfId="0">
      <alignment horizontal="center" vertical="center" wrapText="1"/>
    </xf>
    <xf numFmtId="177" fontId="14" fillId="0" borderId="0" applyAlignment="1" pivotButton="0" quotePrefix="0" xfId="0">
      <alignment wrapText="1"/>
    </xf>
    <xf numFmtId="0" fontId="34" fillId="0" borderId="0" applyAlignment="1" pivotButton="0" quotePrefix="0" xfId="0">
      <alignment horizontal="center"/>
    </xf>
    <xf numFmtId="0" fontId="14" fillId="0" borderId="0" applyAlignment="1" pivotButton="0" quotePrefix="0" xfId="0">
      <alignment horizontal="center" vertical="top"/>
    </xf>
    <xf numFmtId="0" fontId="66" fillId="0" borderId="10" applyAlignment="1" pivotButton="0" quotePrefix="0" xfId="0">
      <alignment horizontal="center" vertical="top"/>
    </xf>
    <xf numFmtId="0" fontId="67" fillId="0" borderId="10" applyAlignment="1" pivotButton="0" quotePrefix="0" xfId="0">
      <alignment horizontal="center" vertical="top"/>
    </xf>
    <xf numFmtId="0" fontId="14" fillId="0" borderId="2" applyAlignment="1" pivotButton="0" quotePrefix="0" xfId="0">
      <alignment horizontal="center" vertical="center" wrapText="1"/>
    </xf>
    <xf numFmtId="0" fontId="26" fillId="0" borderId="0" applyAlignment="1" pivotButton="0" quotePrefix="0" xfId="0">
      <alignment horizontal="center" vertical="center"/>
    </xf>
    <xf numFmtId="168" fontId="27" fillId="0" borderId="0" applyAlignment="1" pivotButton="0" quotePrefix="1" xfId="0">
      <alignment horizontal="left" vertical="center"/>
    </xf>
    <xf numFmtId="0" fontId="14" fillId="0" borderId="0" applyAlignment="1" pivotButton="0" quotePrefix="0" xfId="0">
      <alignment horizontal="justify" vertical="justify" wrapText="1"/>
    </xf>
    <xf numFmtId="0" fontId="14" fillId="0" borderId="2" applyAlignment="1" pivotButton="0" quotePrefix="0" xfId="0">
      <alignment horizontal="center" vertical="center"/>
    </xf>
    <xf numFmtId="2" fontId="14" fillId="0" borderId="1" applyAlignment="1" applyProtection="1" pivotButton="0" quotePrefix="0" xfId="0">
      <alignment horizontal="center" vertical="center"/>
      <protection locked="1" hidden="1"/>
    </xf>
    <xf numFmtId="2" fontId="14" fillId="0" borderId="7" applyAlignment="1" applyProtection="1" pivotButton="0" quotePrefix="0" xfId="0">
      <alignment horizontal="center" vertical="center"/>
      <protection locked="1" hidden="1"/>
    </xf>
    <xf numFmtId="2" fontId="14" fillId="0" borderId="6" applyAlignment="1" applyProtection="1" pivotButton="0" quotePrefix="0" xfId="0">
      <alignment horizontal="center" vertical="center"/>
      <protection locked="1" hidden="1"/>
    </xf>
    <xf numFmtId="49" fontId="14" fillId="0" borderId="1" applyAlignment="1" applyProtection="1" pivotButton="0" quotePrefix="0" xfId="0">
      <alignment horizontal="center" vertical="center"/>
      <protection locked="1" hidden="1"/>
    </xf>
    <xf numFmtId="49" fontId="14" fillId="0" borderId="6" applyAlignment="1" applyProtection="1" pivotButton="0" quotePrefix="0" xfId="0">
      <alignment horizontal="center" vertical="center"/>
      <protection locked="1" hidden="1"/>
    </xf>
    <xf numFmtId="49" fontId="14" fillId="0" borderId="7" applyAlignment="1" applyProtection="1" pivotButton="0" quotePrefix="0" xfId="0">
      <alignment horizontal="center" vertical="center"/>
      <protection locked="1" hidden="1"/>
    </xf>
    <xf numFmtId="170" fontId="14" fillId="0" borderId="2" applyAlignment="1" applyProtection="1" pivotButton="0" quotePrefix="0" xfId="0">
      <alignment horizontal="center" vertical="center"/>
      <protection locked="1" hidden="1"/>
    </xf>
    <xf numFmtId="2" fontId="14" fillId="0" borderId="2" applyAlignment="1" applyProtection="1" pivotButton="0" quotePrefix="0" xfId="0">
      <alignment horizontal="center" vertical="center"/>
      <protection locked="1" hidden="1"/>
    </xf>
    <xf numFmtId="0" fontId="14" fillId="0" borderId="0" applyAlignment="1" applyProtection="1" pivotButton="0" quotePrefix="0" xfId="0">
      <alignment horizontal="center"/>
      <protection locked="1" hidden="1"/>
    </xf>
    <xf numFmtId="0" fontId="14" fillId="0" borderId="0" applyAlignment="1" applyProtection="1" pivotButton="0" quotePrefix="0" xfId="0">
      <alignment horizontal="center" vertical="center" wrapText="1"/>
      <protection locked="1" hidden="1"/>
    </xf>
    <xf numFmtId="0" fontId="14" fillId="0" borderId="0" applyAlignment="1" applyProtection="1" pivotButton="0" quotePrefix="0" xfId="0">
      <alignment horizontal="center" wrapText="1"/>
      <protection locked="1" hidden="1"/>
    </xf>
    <xf numFmtId="0" fontId="14" fillId="0" borderId="0" applyAlignment="1" applyProtection="1" pivotButton="0" quotePrefix="0" xfId="0">
      <alignment horizontal="justify" vertical="top" wrapText="1"/>
      <protection locked="1" hidden="1"/>
    </xf>
    <xf numFmtId="177" fontId="14" fillId="0" borderId="0" applyAlignment="1" applyProtection="1" pivotButton="0" quotePrefix="0" xfId="0">
      <alignment wrapText="1"/>
      <protection locked="1" hidden="1"/>
    </xf>
    <xf numFmtId="0" fontId="14" fillId="0" borderId="0" applyAlignment="1" applyProtection="1" pivotButton="0" quotePrefix="0" xfId="0">
      <alignment horizontal="left" wrapText="1"/>
      <protection locked="1" hidden="1"/>
    </xf>
    <xf numFmtId="0" fontId="14" fillId="0" borderId="0" applyAlignment="1" applyProtection="1" pivotButton="0" quotePrefix="0" xfId="0">
      <alignment horizontal="left" vertical="center"/>
      <protection locked="1" hidden="1"/>
    </xf>
    <xf numFmtId="0" fontId="14" fillId="0" borderId="2" applyAlignment="1" applyProtection="1" pivotButton="0" quotePrefix="0" xfId="0">
      <alignment horizontal="center" vertical="center" wrapText="1"/>
      <protection locked="1" hidden="1"/>
    </xf>
    <xf numFmtId="0" fontId="14" fillId="0" borderId="0" applyAlignment="1" applyProtection="1" pivotButton="0" quotePrefix="0" xfId="0">
      <alignment horizontal="justify" vertical="justify" wrapText="1"/>
      <protection locked="1" hidden="1"/>
    </xf>
    <xf numFmtId="0" fontId="34" fillId="0" borderId="0" applyAlignment="1" applyProtection="1" pivotButton="0" quotePrefix="0" xfId="0">
      <alignment horizontal="center"/>
      <protection locked="1" hidden="1"/>
    </xf>
    <xf numFmtId="0" fontId="14" fillId="0" borderId="2" applyAlignment="1" applyProtection="1" pivotButton="0" quotePrefix="0" xfId="0">
      <alignment horizontal="center" vertical="center"/>
      <protection locked="1" hidden="1"/>
    </xf>
    <xf numFmtId="0" fontId="31" fillId="0" borderId="1" applyAlignment="1" applyProtection="1" pivotButton="0" quotePrefix="0" xfId="0">
      <alignment horizontal="center" vertical="center" wrapText="1"/>
      <protection locked="1" hidden="1"/>
    </xf>
    <xf numFmtId="0" fontId="31" fillId="0" borderId="6" applyAlignment="1" applyProtection="1" pivotButton="0" quotePrefix="0" xfId="0">
      <alignment horizontal="center" vertical="center" wrapText="1"/>
      <protection locked="1" hidden="1"/>
    </xf>
    <xf numFmtId="0" fontId="31" fillId="0" borderId="7" applyAlignment="1" applyProtection="1" pivotButton="0" quotePrefix="0" xfId="0">
      <alignment horizontal="center" vertical="center" wrapText="1"/>
      <protection locked="1" hidden="1"/>
    </xf>
    <xf numFmtId="0" fontId="31" fillId="0" borderId="2" applyAlignment="1" applyProtection="1" pivotButton="0" quotePrefix="0" xfId="0">
      <alignment horizontal="center" vertical="center" wrapText="1"/>
      <protection locked="1" hidden="1"/>
    </xf>
    <xf numFmtId="0" fontId="31" fillId="0" borderId="12" applyAlignment="1" applyProtection="1" pivotButton="0" quotePrefix="0" xfId="0">
      <alignment horizontal="center" vertical="center" wrapText="1"/>
      <protection locked="1" hidden="1"/>
    </xf>
    <xf numFmtId="0" fontId="31" fillId="0" borderId="39" applyAlignment="1" applyProtection="1" pivotButton="0" quotePrefix="0" xfId="0">
      <alignment horizontal="center" vertical="center" wrapText="1"/>
      <protection locked="1" hidden="1"/>
    </xf>
    <xf numFmtId="0" fontId="31" fillId="0" borderId="13" applyAlignment="1" applyProtection="1" pivotButton="0" quotePrefix="0" xfId="0">
      <alignment horizontal="center" vertical="center" wrapText="1"/>
      <protection locked="1" hidden="1"/>
    </xf>
    <xf numFmtId="0" fontId="31" fillId="0" borderId="9" applyAlignment="1" applyProtection="1" pivotButton="0" quotePrefix="0" xfId="0">
      <alignment horizontal="center" vertical="center" wrapText="1"/>
      <protection locked="1" hidden="1"/>
    </xf>
    <xf numFmtId="0" fontId="31" fillId="0" borderId="10" applyAlignment="1" applyProtection="1" pivotButton="0" quotePrefix="0" xfId="0">
      <alignment horizontal="center" vertical="center" wrapText="1"/>
      <protection locked="1" hidden="1"/>
    </xf>
    <xf numFmtId="0" fontId="31" fillId="0" borderId="11" applyAlignment="1" applyProtection="1" pivotButton="0" quotePrefix="0" xfId="0">
      <alignment horizontal="center" vertical="center" wrapText="1"/>
      <protection locked="1" hidden="1"/>
    </xf>
    <xf numFmtId="1" fontId="14" fillId="0" borderId="2" applyAlignment="1" applyProtection="1" pivotButton="0" quotePrefix="0" xfId="0">
      <alignment horizontal="center" vertical="center"/>
      <protection locked="1" hidden="1"/>
    </xf>
    <xf numFmtId="1" fontId="14" fillId="0" borderId="1" applyAlignment="1" applyProtection="1" pivotButton="0" quotePrefix="0" xfId="0">
      <alignment horizontal="center" vertical="center"/>
      <protection locked="1" hidden="1"/>
    </xf>
    <xf numFmtId="1" fontId="14" fillId="0" borderId="7" applyAlignment="1" applyProtection="1" pivotButton="0" quotePrefix="0" xfId="0">
      <alignment horizontal="center" vertical="center"/>
      <protection locked="1" hidden="1"/>
    </xf>
    <xf numFmtId="1" fontId="14" fillId="0" borderId="6" applyAlignment="1" applyProtection="1" pivotButton="0" quotePrefix="0" xfId="0">
      <alignment horizontal="center" vertical="center"/>
      <protection locked="1" hidden="1"/>
    </xf>
    <xf numFmtId="168" fontId="27" fillId="0" borderId="0" applyAlignment="1" applyProtection="1" pivotButton="0" quotePrefix="1" xfId="0">
      <alignment horizontal="left" vertical="center"/>
      <protection locked="1" hidden="1"/>
    </xf>
    <xf numFmtId="0" fontId="26" fillId="0" borderId="0" applyAlignment="1" applyProtection="1" pivotButton="0" quotePrefix="0" xfId="0">
      <alignment horizontal="center" vertical="center"/>
      <protection locked="1" hidden="1"/>
    </xf>
    <xf numFmtId="0" fontId="27" fillId="0" borderId="0" applyAlignment="1" applyProtection="1" pivotButton="0" quotePrefix="0" xfId="0">
      <alignment horizontal="center" vertical="center"/>
      <protection locked="1" hidden="1"/>
    </xf>
    <xf numFmtId="179" fontId="14" fillId="0" borderId="2" applyAlignment="1" applyProtection="1" pivotButton="0" quotePrefix="0" xfId="0">
      <alignment horizontal="center" vertical="center"/>
      <protection locked="1" hidden="1"/>
    </xf>
    <xf numFmtId="2" fontId="31" fillId="0" borderId="2" applyAlignment="1" applyProtection="1" pivotButton="0" quotePrefix="0" xfId="0">
      <alignment horizontal="center" vertical="center" wrapText="1"/>
      <protection locked="1" hidden="1"/>
    </xf>
    <xf numFmtId="1" fontId="14" fillId="0" borderId="0" applyAlignment="1" applyProtection="1" pivotButton="0" quotePrefix="0" xfId="0">
      <alignment horizontal="center" vertical="center"/>
      <protection locked="1" hidden="1"/>
    </xf>
    <xf numFmtId="0" fontId="14" fillId="0" borderId="0" applyAlignment="1" applyProtection="1" pivotButton="0" quotePrefix="1" xfId="0">
      <alignment horizontal="left" vertical="top" wrapText="1"/>
      <protection locked="1" hidden="1"/>
    </xf>
    <xf numFmtId="0" fontId="14" fillId="0" borderId="0" applyAlignment="1" applyProtection="1" pivotButton="0" quotePrefix="0" xfId="0">
      <alignment horizontal="left" vertical="top" wrapText="1"/>
      <protection locked="1" hidden="1"/>
    </xf>
    <xf numFmtId="0" fontId="14" fillId="0" borderId="0" applyAlignment="1" applyProtection="1" pivotButton="0" quotePrefix="1" xfId="0">
      <alignment horizontal="center"/>
      <protection locked="1" hidden="1"/>
    </xf>
    <xf numFmtId="180" fontId="14" fillId="0" borderId="10" applyAlignment="1" applyProtection="1" pivotButton="0" quotePrefix="0" xfId="0">
      <alignment horizontal="center"/>
      <protection locked="1" hidden="1"/>
    </xf>
    <xf numFmtId="0" fontId="34" fillId="0" borderId="0" applyAlignment="1" pivotButton="0" quotePrefix="0" xfId="9">
      <alignment horizontal="center" vertical="center"/>
    </xf>
    <xf numFmtId="0" fontId="14" fillId="0" borderId="0" applyAlignment="1" pivotButton="0" quotePrefix="0" xfId="9">
      <alignment horizontal="center"/>
    </xf>
    <xf numFmtId="0" fontId="14" fillId="0" borderId="0" applyAlignment="1" pivotButton="0" quotePrefix="0" xfId="9">
      <alignment horizontal="center" wrapText="1"/>
    </xf>
    <xf numFmtId="0" fontId="34" fillId="0" borderId="0" applyAlignment="1" pivotButton="0" quotePrefix="0" xfId="9">
      <alignment horizontal="center"/>
    </xf>
    <xf numFmtId="0" fontId="14" fillId="0" borderId="0" applyAlignment="1" pivotButton="0" quotePrefix="0" xfId="9">
      <alignment horizontal="left" vertical="top" wrapText="1"/>
    </xf>
    <xf numFmtId="0" fontId="14" fillId="0" borderId="0" applyAlignment="1" pivotButton="0" quotePrefix="0" xfId="9">
      <alignment horizontal="justify" vertical="center" wrapText="1"/>
    </xf>
    <xf numFmtId="0" fontId="14" fillId="0" borderId="0" applyAlignment="1" pivotButton="0" quotePrefix="0" xfId="9">
      <alignment horizontal="justify" vertical="justify" wrapText="1"/>
    </xf>
    <xf numFmtId="0" fontId="14" fillId="0" borderId="0" applyAlignment="1" pivotButton="0" quotePrefix="0" xfId="9">
      <alignment horizontal="center" vertical="center" wrapText="1"/>
    </xf>
    <xf numFmtId="0" fontId="14" fillId="0" borderId="0" applyAlignment="1" pivotButton="0" quotePrefix="0" xfId="9">
      <alignment horizontal="left" wrapText="1"/>
    </xf>
    <xf numFmtId="0" fontId="14" fillId="0" borderId="0" applyAlignment="1" pivotButton="0" quotePrefix="0" xfId="9">
      <alignment horizontal="left" vertical="center"/>
    </xf>
    <xf numFmtId="170" fontId="14" fillId="0" borderId="0" applyAlignment="1" pivotButton="0" quotePrefix="0" xfId="9">
      <alignment horizontal="center" vertical="center"/>
    </xf>
    <xf numFmtId="0" fontId="1" fillId="0" borderId="0" pivotButton="0" quotePrefix="0" xfId="1"/>
    <xf numFmtId="165" fontId="14" fillId="0" borderId="0" applyAlignment="1" pivotButton="0" quotePrefix="0" xfId="9">
      <alignment horizontal="center" vertical="center"/>
    </xf>
    <xf numFmtId="2" fontId="14" fillId="0" borderId="0" applyAlignment="1" pivotButton="0" quotePrefix="0" xfId="9">
      <alignment horizontal="center" vertical="center"/>
    </xf>
    <xf numFmtId="0" fontId="17" fillId="0" borderId="12" applyAlignment="1" pivotButton="0" quotePrefix="0" xfId="9">
      <alignment horizontal="center"/>
    </xf>
    <xf numFmtId="0" fontId="17" fillId="0" borderId="39" applyAlignment="1" pivotButton="0" quotePrefix="0" xfId="9">
      <alignment horizontal="center"/>
    </xf>
    <xf numFmtId="0" fontId="17" fillId="0" borderId="13" applyAlignment="1" pivotButton="0" quotePrefix="0" xfId="9">
      <alignment horizontal="center"/>
    </xf>
    <xf numFmtId="0" fontId="17" fillId="0" borderId="8" applyAlignment="1" pivotButton="0" quotePrefix="0" xfId="9">
      <alignment horizontal="center"/>
    </xf>
    <xf numFmtId="0" fontId="17" fillId="0" borderId="0" applyAlignment="1" pivotButton="0" quotePrefix="0" xfId="9">
      <alignment horizontal="center"/>
    </xf>
    <xf numFmtId="0" fontId="17" fillId="0" borderId="38" applyAlignment="1" pivotButton="0" quotePrefix="0" xfId="9">
      <alignment horizontal="center"/>
    </xf>
    <xf numFmtId="0" fontId="17" fillId="0" borderId="9" applyAlignment="1" pivotButton="0" quotePrefix="0" xfId="9">
      <alignment horizontal="center"/>
    </xf>
    <xf numFmtId="0" fontId="17" fillId="0" borderId="10" applyAlignment="1" pivotButton="0" quotePrefix="0" xfId="9">
      <alignment horizontal="center"/>
    </xf>
    <xf numFmtId="0" fontId="17" fillId="0" borderId="11" applyAlignment="1" pivotButton="0" quotePrefix="0" xfId="9">
      <alignment horizontal="center"/>
    </xf>
    <xf numFmtId="0" fontId="14" fillId="0" borderId="12" applyAlignment="1" pivotButton="0" quotePrefix="0" xfId="9">
      <alignment horizontal="left" vertical="top"/>
    </xf>
    <xf numFmtId="0" fontId="14" fillId="0" borderId="39" applyAlignment="1" pivotButton="0" quotePrefix="0" xfId="9">
      <alignment horizontal="left" vertical="top"/>
    </xf>
    <xf numFmtId="0" fontId="14" fillId="0" borderId="13" applyAlignment="1" pivotButton="0" quotePrefix="0" xfId="9">
      <alignment horizontal="left" vertical="top"/>
    </xf>
    <xf numFmtId="0" fontId="14" fillId="0" borderId="8" applyAlignment="1" pivotButton="0" quotePrefix="0" xfId="9">
      <alignment horizontal="left" vertical="top"/>
    </xf>
    <xf numFmtId="0" fontId="14" fillId="0" borderId="0" applyAlignment="1" pivotButton="0" quotePrefix="0" xfId="9">
      <alignment horizontal="left" vertical="top"/>
    </xf>
    <xf numFmtId="0" fontId="14" fillId="0" borderId="38" applyAlignment="1" pivotButton="0" quotePrefix="0" xfId="9">
      <alignment horizontal="left" vertical="top"/>
    </xf>
    <xf numFmtId="0" fontId="14" fillId="0" borderId="9" applyAlignment="1" pivotButton="0" quotePrefix="0" xfId="9">
      <alignment horizontal="left" vertical="top"/>
    </xf>
    <xf numFmtId="0" fontId="14" fillId="0" borderId="10" applyAlignment="1" pivotButton="0" quotePrefix="0" xfId="9">
      <alignment horizontal="left" vertical="top"/>
    </xf>
    <xf numFmtId="0" fontId="14" fillId="0" borderId="11" applyAlignment="1" pivotButton="0" quotePrefix="0" xfId="9">
      <alignment horizontal="left" vertical="top"/>
    </xf>
    <xf numFmtId="0" fontId="14" fillId="0" borderId="1" applyAlignment="1" pivotButton="0" quotePrefix="0" xfId="9">
      <alignment horizontal="center"/>
    </xf>
    <xf numFmtId="0" fontId="14" fillId="0" borderId="6" applyAlignment="1" pivotButton="0" quotePrefix="0" xfId="9">
      <alignment horizontal="center"/>
    </xf>
    <xf numFmtId="0" fontId="14" fillId="0" borderId="7" applyAlignment="1" pivotButton="0" quotePrefix="0" xfId="9">
      <alignment horizontal="center"/>
    </xf>
    <xf numFmtId="0" fontId="30" fillId="0" borderId="1" applyAlignment="1" pivotButton="0" quotePrefix="0" xfId="9">
      <alignment horizontal="center"/>
    </xf>
    <xf numFmtId="0" fontId="30" fillId="0" borderId="6" applyAlignment="1" pivotButton="0" quotePrefix="0" xfId="9">
      <alignment horizontal="center"/>
    </xf>
    <xf numFmtId="0" fontId="30" fillId="0" borderId="7" applyAlignment="1" pivotButton="0" quotePrefix="0" xfId="9">
      <alignment horizontal="center"/>
    </xf>
    <xf numFmtId="0" fontId="27" fillId="0" borderId="0" applyAlignment="1" pivotButton="0" quotePrefix="0" xfId="9">
      <alignment horizontal="center" vertical="center"/>
    </xf>
    <xf numFmtId="0" fontId="14" fillId="0" borderId="0" applyAlignment="1" pivotButton="0" quotePrefix="0" xfId="9">
      <alignment horizontal="center" vertical="center"/>
    </xf>
    <xf numFmtId="17" fontId="80" fillId="0" borderId="1" applyAlignment="1" pivotButton="0" quotePrefix="0" xfId="9">
      <alignment horizontal="center"/>
    </xf>
    <xf numFmtId="0" fontId="80" fillId="0" borderId="6" applyAlignment="1" pivotButton="0" quotePrefix="0" xfId="9">
      <alignment horizontal="center"/>
    </xf>
    <xf numFmtId="0" fontId="80" fillId="0" borderId="7" applyAlignment="1" pivotButton="0" quotePrefix="0" xfId="9">
      <alignment horizontal="center"/>
    </xf>
    <xf numFmtId="0" fontId="38" fillId="0" borderId="0" applyAlignment="1" pivotButton="0" quotePrefix="0" xfId="9">
      <alignment horizontal="center" vertical="center"/>
    </xf>
    <xf numFmtId="0" fontId="27" fillId="0" borderId="0" applyAlignment="1" pivotButton="0" quotePrefix="0" xfId="9">
      <alignment horizontal="right" vertical="center"/>
    </xf>
    <xf numFmtId="0" fontId="39" fillId="0" borderId="0" applyAlignment="1" pivotButton="0" quotePrefix="0" xfId="1">
      <alignment horizontal="center"/>
    </xf>
    <xf numFmtId="0" fontId="40" fillId="0" borderId="0" applyAlignment="1" pivotButton="0" quotePrefix="0" xfId="1">
      <alignment horizontal="center" vertical="center"/>
    </xf>
    <xf numFmtId="0" fontId="41" fillId="0" borderId="0" applyAlignment="1" pivotButton="0" quotePrefix="0" xfId="1">
      <alignment horizontal="center"/>
    </xf>
    <xf numFmtId="0" fontId="27" fillId="0" borderId="0" applyAlignment="1" pivotButton="0" quotePrefix="0" xfId="9">
      <alignment horizontal="left" vertical="center"/>
    </xf>
    <xf numFmtId="0" fontId="27" fillId="0" borderId="0" applyAlignment="1" pivotButton="0" quotePrefix="0" xfId="9">
      <alignment horizontal="center" vertical="center" wrapText="1"/>
    </xf>
    <xf numFmtId="0" fontId="80" fillId="0" borderId="1" applyAlignment="1" pivotButton="0" quotePrefix="0" xfId="9">
      <alignment horizontal="center"/>
    </xf>
    <xf numFmtId="0" fontId="80" fillId="0" borderId="1" applyAlignment="1" pivotButton="0" quotePrefix="0" xfId="9">
      <alignment horizontal="center" vertical="center" wrapText="1"/>
    </xf>
    <xf numFmtId="0" fontId="80" fillId="0" borderId="6" applyAlignment="1" pivotButton="0" quotePrefix="0" xfId="9">
      <alignment horizontal="center" vertical="center" wrapText="1"/>
    </xf>
    <xf numFmtId="0" fontId="80" fillId="0" borderId="7" applyAlignment="1" pivotButton="0" quotePrefix="0" xfId="9">
      <alignment horizontal="center" vertical="center" wrapText="1"/>
    </xf>
    <xf numFmtId="0" fontId="14" fillId="0" borderId="6" applyAlignment="1" pivotButton="0" quotePrefix="1" xfId="9">
      <alignment horizontal="left" vertical="center"/>
    </xf>
    <xf numFmtId="181" fontId="42" fillId="0" borderId="6" applyAlignment="1" pivotButton="0" quotePrefix="0" xfId="1">
      <alignment horizontal="left"/>
    </xf>
    <xf numFmtId="0" fontId="14" fillId="0" borderId="1" applyAlignment="1" pivotButton="0" quotePrefix="0" xfId="9">
      <alignment horizontal="center" vertical="center"/>
    </xf>
    <xf numFmtId="0" fontId="14" fillId="0" borderId="6" applyAlignment="1" pivotButton="0" quotePrefix="0" xfId="9">
      <alignment horizontal="center" vertical="center"/>
    </xf>
    <xf numFmtId="0" fontId="14" fillId="0" borderId="7" applyAlignment="1" pivotButton="0" quotePrefix="0" xfId="9">
      <alignment horizontal="center" vertical="center"/>
    </xf>
    <xf numFmtId="0" fontId="14" fillId="0" borderId="1" applyAlignment="1" pivotButton="0" quotePrefix="0" xfId="9">
      <alignment horizontal="center" vertical="center" wrapText="1"/>
    </xf>
    <xf numFmtId="0" fontId="14" fillId="0" borderId="6" applyAlignment="1" pivotButton="0" quotePrefix="0" xfId="9">
      <alignment horizontal="center" vertical="center" wrapText="1"/>
    </xf>
    <xf numFmtId="0" fontId="14" fillId="0" borderId="7" applyAlignment="1" pivotButton="0" quotePrefix="0" xfId="9">
      <alignment horizontal="center" vertical="center" wrapText="1"/>
    </xf>
    <xf numFmtId="0" fontId="14" fillId="0" borderId="1" applyAlignment="1" pivotButton="0" quotePrefix="0" xfId="9">
      <alignment horizontal="center" vertical="top" wrapText="1"/>
    </xf>
    <xf numFmtId="0" fontId="14" fillId="0" borderId="6" applyAlignment="1" pivotButton="0" quotePrefix="0" xfId="9">
      <alignment horizontal="center" vertical="top" wrapText="1"/>
    </xf>
    <xf numFmtId="0" fontId="14" fillId="0" borderId="7" applyAlignment="1" pivotButton="0" quotePrefix="0" xfId="9">
      <alignment horizontal="center" vertical="top" wrapText="1"/>
    </xf>
    <xf numFmtId="0" fontId="14" fillId="0" borderId="1" applyAlignment="1" pivotButton="0" quotePrefix="0" xfId="0">
      <alignment horizontal="center" wrapText="1"/>
    </xf>
    <xf numFmtId="0" fontId="14" fillId="0" borderId="6" applyAlignment="1" pivotButton="0" quotePrefix="0" xfId="0">
      <alignment horizontal="center" wrapText="1"/>
    </xf>
    <xf numFmtId="0" fontId="14" fillId="0" borderId="7" applyAlignment="1" pivotButton="0" quotePrefix="0" xfId="0">
      <alignment horizontal="center" wrapText="1"/>
    </xf>
    <xf numFmtId="177" fontId="14" fillId="0" borderId="1" applyAlignment="1" pivotButton="0" quotePrefix="0" xfId="0">
      <alignment horizontal="center" wrapText="1"/>
    </xf>
    <xf numFmtId="177" fontId="14" fillId="0" borderId="6" applyAlignment="1" pivotButton="0" quotePrefix="0" xfId="0">
      <alignment horizontal="center" wrapText="1"/>
    </xf>
    <xf numFmtId="0" fontId="22" fillId="4" borderId="47" applyAlignment="1" pivotButton="0" quotePrefix="0" xfId="0">
      <alignment horizontal="center" vertical="center"/>
    </xf>
    <xf numFmtId="0" fontId="0" fillId="0" borderId="15" pivotButton="0" quotePrefix="0" xfId="0"/>
    <xf numFmtId="0" fontId="0" fillId="0" borderId="16" pivotButton="0" quotePrefix="0" xfId="0"/>
    <xf numFmtId="0" fontId="0" fillId="0" borderId="21" pivotButton="0" quotePrefix="0" xfId="0"/>
    <xf numFmtId="0" fontId="0" fillId="0" borderId="22" pivotButton="0" quotePrefix="0" xfId="0"/>
    <xf numFmtId="178" fontId="24" fillId="5" borderId="2" applyAlignment="1" applyProtection="1" pivotButton="0" quotePrefix="0" xfId="4">
      <alignment horizontal="left"/>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24" fillId="5" borderId="2" applyAlignment="1" applyProtection="1" pivotButton="0" quotePrefix="0" xfId="4">
      <alignment horizontal="left"/>
      <protection locked="0" hidden="0"/>
    </xf>
    <xf numFmtId="0" fontId="0" fillId="4" borderId="43" applyAlignment="1" pivotButton="0" quotePrefix="0" xfId="0">
      <alignment horizontal="center"/>
    </xf>
    <xf numFmtId="0" fontId="0" fillId="0" borderId="42" pivotButton="0" quotePrefix="0" xfId="0"/>
    <xf numFmtId="49" fontId="24" fillId="5" borderId="2" applyAlignment="1" applyProtection="1" pivotButton="0" quotePrefix="0" xfId="4">
      <alignment horizontal="left"/>
      <protection locked="0" hidden="0"/>
    </xf>
    <xf numFmtId="0" fontId="0" fillId="0" borderId="17" pivotButton="0" quotePrefix="0" xfId="0"/>
    <xf numFmtId="0" fontId="0" fillId="0" borderId="18" pivotButton="0" quotePrefix="0" xfId="0"/>
    <xf numFmtId="0" fontId="0" fillId="0" borderId="19" pivotButton="0" quotePrefix="0" xfId="0"/>
    <xf numFmtId="178" fontId="24" fillId="14" borderId="2" applyAlignment="1" applyProtection="1" pivotButton="0" quotePrefix="0" xfId="4">
      <alignment horizontal="left"/>
      <protection locked="0" hidden="0"/>
    </xf>
    <xf numFmtId="0" fontId="24" fillId="14" borderId="2" applyAlignment="1" applyProtection="1" pivotButton="0" quotePrefix="0" xfId="4">
      <alignment horizontal="left"/>
      <protection locked="0" hidden="0"/>
    </xf>
    <xf numFmtId="0" fontId="0" fillId="0" borderId="38" pivotButton="0" quotePrefix="0" xfId="0"/>
    <xf numFmtId="0" fontId="0" fillId="0" borderId="6" applyProtection="1" pivotButton="0" quotePrefix="0" xfId="0">
      <protection locked="1" hidden="1"/>
    </xf>
    <xf numFmtId="0" fontId="0" fillId="0" borderId="7" applyProtection="1" pivotButton="0" quotePrefix="0" xfId="0">
      <protection locked="1" hidden="1"/>
    </xf>
    <xf numFmtId="0" fontId="24" fillId="14" borderId="2" applyAlignment="1" applyProtection="1" pivotButton="0" quotePrefix="1" xfId="4">
      <alignment horizontal="left"/>
      <protection locked="0" hidden="0"/>
    </xf>
    <xf numFmtId="0" fontId="21" fillId="8" borderId="45" applyAlignment="1" pivotButton="0" quotePrefix="0" xfId="7">
      <alignment horizontal="center" vertical="center"/>
    </xf>
    <xf numFmtId="0" fontId="0" fillId="0" borderId="26" pivotButton="0" quotePrefix="0" xfId="0"/>
    <xf numFmtId="0" fontId="21" fillId="8" borderId="29" applyAlignment="1" pivotButton="0" quotePrefix="0" xfId="7">
      <alignment horizontal="center" vertical="center"/>
    </xf>
    <xf numFmtId="0" fontId="21" fillId="8" borderId="29" applyAlignment="1" pivotButton="0" quotePrefix="0" xfId="7">
      <alignment horizontal="center" vertical="center" wrapText="1"/>
    </xf>
    <xf numFmtId="0" fontId="21" fillId="8" borderId="28" applyAlignment="1" pivotButton="0" quotePrefix="0" xfId="7">
      <alignment horizontal="center" vertical="center"/>
    </xf>
    <xf numFmtId="0" fontId="21" fillId="8" borderId="28" applyAlignment="1" pivotButton="0" quotePrefix="0" xfId="7">
      <alignment horizontal="center" vertical="center" wrapText="1"/>
    </xf>
    <xf numFmtId="0" fontId="21" fillId="8" borderId="46" applyAlignment="1" pivotButton="0" quotePrefix="0" xfId="7">
      <alignment horizontal="center" vertical="center"/>
    </xf>
    <xf numFmtId="0" fontId="0" fillId="0" borderId="20" pivotButton="0" quotePrefix="0" xfId="0"/>
    <xf numFmtId="0" fontId="0" fillId="0" borderId="37" pivotButton="0" quotePrefix="0" xfId="0"/>
    <xf numFmtId="0" fontId="21" fillId="8" borderId="46" applyAlignment="1" pivotButton="0" quotePrefix="0" xfId="7">
      <alignment horizontal="center"/>
    </xf>
    <xf numFmtId="0" fontId="21" fillId="8" borderId="25" applyAlignment="1" pivotButton="0" quotePrefix="0" xfId="7">
      <alignment horizontal="center" vertical="center"/>
    </xf>
    <xf numFmtId="0" fontId="0" fillId="0" borderId="27" pivotButton="0" quotePrefix="0" xfId="0"/>
    <xf numFmtId="0" fontId="0" fillId="0" borderId="31" pivotButton="0" quotePrefix="0" xfId="0"/>
    <xf numFmtId="0" fontId="0" fillId="0" borderId="34" pivotButton="0" quotePrefix="0" xfId="0"/>
    <xf numFmtId="0" fontId="0" fillId="4" borderId="45" applyAlignment="1" pivotButton="0" quotePrefix="0" xfId="0">
      <alignment horizontal="center"/>
    </xf>
    <xf numFmtId="0" fontId="0" fillId="0" borderId="28" pivotButton="0" quotePrefix="0" xfId="0"/>
    <xf numFmtId="0" fontId="0" fillId="4" borderId="29" applyAlignment="1" pivotButton="0" quotePrefix="0" xfId="0">
      <alignment horizontal="center"/>
    </xf>
    <xf numFmtId="0" fontId="0" fillId="0" borderId="0" applyProtection="1" pivotButton="0" quotePrefix="0" xfId="0">
      <protection locked="0" hidden="0"/>
    </xf>
    <xf numFmtId="165" fontId="17" fillId="9" borderId="2" applyAlignment="1" applyProtection="1" pivotButton="0" quotePrefix="0" xfId="8">
      <alignment horizontal="left" vertical="center"/>
      <protection locked="0" hidden="0"/>
    </xf>
    <xf numFmtId="165" fontId="17" fillId="9" borderId="1" applyAlignment="1" applyProtection="1" pivotButton="0" quotePrefix="0" xfId="8">
      <alignment horizontal="left" vertical="center"/>
      <protection locked="0" hidden="0"/>
    </xf>
    <xf numFmtId="165" fontId="17" fillId="9" borderId="6" applyAlignment="1" applyProtection="1" pivotButton="0" quotePrefix="0" xfId="8">
      <alignment horizontal="left" vertical="center"/>
      <protection locked="0" hidden="0"/>
    </xf>
    <xf numFmtId="165" fontId="17" fillId="9" borderId="7" applyAlignment="1" applyProtection="1" pivotButton="0" quotePrefix="0" xfId="8">
      <alignment horizontal="left" vertical="center"/>
      <protection locked="0" hidden="0"/>
    </xf>
    <xf numFmtId="170" fontId="17" fillId="9" borderId="6" applyAlignment="1" applyProtection="1" pivotButton="0" quotePrefix="0" xfId="8">
      <alignment horizontal="left" vertical="center"/>
      <protection locked="0" hidden="0"/>
    </xf>
    <xf numFmtId="170" fontId="17" fillId="9" borderId="7" applyAlignment="1" applyProtection="1" pivotButton="0" quotePrefix="0" xfId="8">
      <alignment horizontal="left" vertical="center"/>
      <protection locked="0" hidden="0"/>
    </xf>
    <xf numFmtId="172" fontId="17" fillId="10" borderId="2" applyAlignment="1" applyProtection="1" pivotButton="0" quotePrefix="0" xfId="10">
      <alignment horizontal="center" vertical="center"/>
      <protection locked="0" hidden="0"/>
    </xf>
    <xf numFmtId="170" fontId="17" fillId="10" borderId="2" applyAlignment="1" applyProtection="1" pivotButton="0" quotePrefix="0" xfId="10">
      <alignment horizontal="center" vertical="center"/>
      <protection locked="0" hidden="0"/>
    </xf>
    <xf numFmtId="164" fontId="0" fillId="0" borderId="0" applyAlignment="1" pivotButton="0" quotePrefix="0" xfId="0">
      <alignment vertical="center"/>
    </xf>
    <xf numFmtId="170" fontId="17" fillId="10" borderId="2" applyAlignment="1" pivotButton="0" quotePrefix="0" xfId="10">
      <alignment horizontal="center" vertical="center"/>
    </xf>
    <xf numFmtId="0" fontId="0" fillId="0" borderId="5" pivotButton="0" quotePrefix="0" xfId="0"/>
    <xf numFmtId="0" fontId="0" fillId="0" borderId="7" pivotButton="0" quotePrefix="0" xfId="0"/>
    <xf numFmtId="0" fontId="0" fillId="0" borderId="4" pivotButton="0" quotePrefix="0" xfId="0"/>
    <xf numFmtId="165" fontId="0" fillId="0" borderId="2" applyAlignment="1" pivotButton="0" quotePrefix="0" xfId="0">
      <alignment horizontal="center" vertical="center" wrapText="1"/>
    </xf>
    <xf numFmtId="165" fontId="2" fillId="0" borderId="2" applyAlignment="1" pivotButton="0" quotePrefix="0" xfId="1">
      <alignment horizontal="center" vertical="center"/>
    </xf>
    <xf numFmtId="164" fontId="0" fillId="0" borderId="2" applyAlignment="1" pivotButton="0" quotePrefix="0" xfId="0">
      <alignment horizontal="center"/>
    </xf>
    <xf numFmtId="164" fontId="0" fillId="0" borderId="2" applyAlignment="1" pivotButton="0" quotePrefix="0" xfId="0">
      <alignment horizontal="center" vertical="center"/>
    </xf>
    <xf numFmtId="165" fontId="0" fillId="0" borderId="2" applyAlignment="1" pivotButton="0" quotePrefix="0" xfId="0">
      <alignment horizontal="center" vertical="center"/>
    </xf>
    <xf numFmtId="165" fontId="0" fillId="0" borderId="0" applyAlignment="1" pivotButton="0" quotePrefix="0" xfId="0">
      <alignment horizontal="center" vertical="center"/>
    </xf>
    <xf numFmtId="0" fontId="6" fillId="0" borderId="6" applyAlignment="1" pivotButton="0" quotePrefix="0" xfId="0">
      <alignment horizontal="left" vertical="center"/>
    </xf>
    <xf numFmtId="0" fontId="0" fillId="0" borderId="39" pivotButton="0" quotePrefix="0" xfId="0"/>
    <xf numFmtId="0" fontId="0" fillId="0" borderId="10" pivotButton="0" quotePrefix="0" xfId="0"/>
    <xf numFmtId="0" fontId="18" fillId="5" borderId="2" applyAlignment="1" applyProtection="1" pivotButton="0" quotePrefix="0" xfId="4">
      <alignment horizontal="center" vertical="center"/>
      <protection locked="0" hidden="0"/>
    </xf>
    <xf numFmtId="167" fontId="17" fillId="9" borderId="2" applyAlignment="1" pivotButton="0" quotePrefix="0" xfId="8">
      <alignment vertical="center"/>
    </xf>
    <xf numFmtId="168" fontId="17" fillId="9" borderId="2" applyAlignment="1" pivotButton="0" quotePrefix="0" xfId="8">
      <alignment horizontal="center" vertical="center"/>
    </xf>
    <xf numFmtId="168" fontId="0" fillId="0" borderId="0" applyAlignment="1" pivotButton="0" quotePrefix="0" xfId="0">
      <alignment vertical="center"/>
    </xf>
    <xf numFmtId="164" fontId="0" fillId="0" borderId="0" applyAlignment="1" pivotButton="0" quotePrefix="0" xfId="0">
      <alignment horizontal="center" vertical="center"/>
    </xf>
    <xf numFmtId="168" fontId="47" fillId="4" borderId="1" applyAlignment="1" pivotButton="0" quotePrefix="0" xfId="1">
      <alignment horizontal="left"/>
    </xf>
    <xf numFmtId="0" fontId="0" fillId="0" borderId="6" pivotButton="0" quotePrefix="0" xfId="0"/>
    <xf numFmtId="0" fontId="0" fillId="0" borderId="41" pivotButton="0" quotePrefix="0" xfId="0"/>
    <xf numFmtId="167" fontId="43" fillId="10" borderId="38" applyAlignment="1" pivotButton="0" quotePrefix="0" xfId="10">
      <alignment horizontal="center" vertical="center"/>
    </xf>
    <xf numFmtId="172" fontId="47" fillId="0" borderId="4" applyAlignment="1" pivotButton="0" quotePrefix="0" xfId="1">
      <alignment horizontal="center"/>
    </xf>
    <xf numFmtId="170" fontId="47" fillId="0" borderId="4" applyAlignment="1" pivotButton="0" quotePrefix="0" xfId="1">
      <alignment horizontal="center"/>
    </xf>
    <xf numFmtId="172" fontId="47" fillId="4" borderId="2" applyAlignment="1" pivotButton="0" quotePrefix="0" xfId="1">
      <alignment horizontal="center" vertical="center"/>
    </xf>
    <xf numFmtId="170" fontId="47" fillId="4" borderId="2" applyAlignment="1" pivotButton="0" quotePrefix="0" xfId="1">
      <alignment horizontal="center" vertical="center"/>
    </xf>
    <xf numFmtId="0" fontId="0" fillId="0" borderId="13" pivotButton="0" quotePrefix="0" xfId="0"/>
    <xf numFmtId="167" fontId="43" fillId="10" borderId="11" applyAlignment="1" pivotButton="0" quotePrefix="0" xfId="10">
      <alignment horizontal="center" vertical="center"/>
    </xf>
    <xf numFmtId="0" fontId="0" fillId="0" borderId="11" pivotButton="0" quotePrefix="0" xfId="0"/>
    <xf numFmtId="172" fontId="47" fillId="4" borderId="39" applyAlignment="1" pivotButton="0" quotePrefix="0" xfId="1">
      <alignment horizontal="center" vertical="center"/>
    </xf>
    <xf numFmtId="170" fontId="47" fillId="4" borderId="39" applyAlignment="1" pivotButton="0" quotePrefix="0" xfId="1">
      <alignment horizontal="center" vertical="center"/>
    </xf>
    <xf numFmtId="0" fontId="0" fillId="0" borderId="9" pivotButton="0" quotePrefix="0" xfId="0"/>
    <xf numFmtId="0" fontId="48" fillId="4" borderId="2" applyAlignment="1" pivotButton="0" quotePrefix="0" xfId="1">
      <alignment horizontal="center" vertical="center" wrapText="1"/>
    </xf>
    <xf numFmtId="170" fontId="47" fillId="4" borderId="2" applyAlignment="1" pivotButton="0" quotePrefix="0" xfId="1">
      <alignment horizontal="center"/>
    </xf>
    <xf numFmtId="170" fontId="51" fillId="4" borderId="2" applyAlignment="1" pivotButton="0" quotePrefix="0" xfId="1">
      <alignment horizontal="center"/>
    </xf>
    <xf numFmtId="174" fontId="47" fillId="4" borderId="2" applyAlignment="1" pivotButton="0" quotePrefix="0" xfId="1">
      <alignment horizontal="center"/>
    </xf>
    <xf numFmtId="173" fontId="48" fillId="4" borderId="2" applyAlignment="1" pivotButton="0" quotePrefix="0" xfId="1">
      <alignment horizontal="center"/>
    </xf>
    <xf numFmtId="175" fontId="48" fillId="4" borderId="2" applyAlignment="1" pivotButton="0" quotePrefix="0" xfId="1">
      <alignment horizontal="center"/>
    </xf>
    <xf numFmtId="164" fontId="47" fillId="4" borderId="2" applyAlignment="1" pivotButton="0" quotePrefix="0" xfId="1">
      <alignment horizontal="center"/>
    </xf>
    <xf numFmtId="165" fontId="47" fillId="4" borderId="2" applyAlignment="1" pivotButton="0" quotePrefix="0" xfId="1">
      <alignment horizontal="center"/>
    </xf>
    <xf numFmtId="176" fontId="48" fillId="4" borderId="2" applyAlignment="1" pivotButton="0" quotePrefix="0" xfId="1">
      <alignment horizontal="center"/>
    </xf>
    <xf numFmtId="164" fontId="47" fillId="4" borderId="2" applyAlignment="1" pivotButton="0" quotePrefix="0" xfId="1">
      <alignment horizontal="center" vertical="center"/>
    </xf>
    <xf numFmtId="165" fontId="47" fillId="4" borderId="2" applyAlignment="1" pivotButton="0" quotePrefix="0" xfId="1">
      <alignment horizontal="center" vertical="center"/>
    </xf>
    <xf numFmtId="170" fontId="47" fillId="4" borderId="1" applyAlignment="1" pivotButton="0" quotePrefix="0" xfId="1">
      <alignment horizontal="center" vertical="center"/>
    </xf>
    <xf numFmtId="166" fontId="15" fillId="0" borderId="0" applyAlignment="1" pivotButton="0" quotePrefix="0" xfId="0">
      <alignment vertical="center"/>
    </xf>
    <xf numFmtId="167" fontId="15" fillId="0" borderId="0" applyAlignment="1" pivotButton="0" quotePrefix="0" xfId="0">
      <alignment vertical="center" wrapText="1"/>
    </xf>
    <xf numFmtId="165" fontId="15" fillId="0" borderId="0" applyAlignment="1" pivotButton="0" quotePrefix="0" xfId="0">
      <alignment vertical="center" wrapText="1"/>
    </xf>
    <xf numFmtId="167" fontId="15" fillId="0" borderId="0" applyAlignment="1" pivotButton="0" quotePrefix="1" xfId="0">
      <alignment horizontal="center" vertical="center" wrapText="1"/>
    </xf>
    <xf numFmtId="167" fontId="15" fillId="0" borderId="0" applyAlignment="1" pivotButton="0" quotePrefix="0" xfId="0">
      <alignment horizontal="center" vertical="center" wrapText="1"/>
    </xf>
    <xf numFmtId="173" fontId="36" fillId="4" borderId="2" applyAlignment="1" applyProtection="1" pivotButton="0" quotePrefix="0" xfId="0">
      <alignment horizontal="center" vertical="center"/>
      <protection locked="1" hidden="1"/>
    </xf>
    <xf numFmtId="0" fontId="69" fillId="4" borderId="2" applyAlignment="1" applyProtection="1" pivotButton="0" quotePrefix="0" xfId="4">
      <alignment horizontal="center" vertical="center"/>
      <protection locked="1" hidden="1"/>
    </xf>
    <xf numFmtId="167" fontId="69" fillId="4" borderId="2" applyAlignment="1" applyProtection="1" pivotButton="0" quotePrefix="0" xfId="8">
      <alignment horizontal="center" vertical="center"/>
      <protection locked="1" hidden="1"/>
    </xf>
    <xf numFmtId="172" fontId="36" fillId="4" borderId="2" applyAlignment="1" applyProtection="1" pivotButton="0" quotePrefix="0" xfId="10">
      <alignment horizontal="center" vertical="center"/>
      <protection locked="1" hidden="1"/>
    </xf>
    <xf numFmtId="170" fontId="36" fillId="4" borderId="2" applyAlignment="1" applyProtection="1" pivotButton="0" quotePrefix="0" xfId="10">
      <alignment horizontal="center" vertical="center"/>
      <protection locked="1" hidden="1"/>
    </xf>
    <xf numFmtId="168" fontId="69" fillId="4" borderId="2" applyAlignment="1" applyProtection="1" pivotButton="0" quotePrefix="0" xfId="4">
      <alignment horizontal="center" vertical="center"/>
      <protection locked="1" hidden="1"/>
    </xf>
    <xf numFmtId="168" fontId="69" fillId="4" borderId="7" applyAlignment="1" applyProtection="1" pivotButton="0" quotePrefix="0" xfId="4">
      <alignment horizontal="center" vertical="center"/>
      <protection locked="1" hidden="1"/>
    </xf>
    <xf numFmtId="1" fontId="69" fillId="4" borderId="2" applyAlignment="1" applyProtection="1" pivotButton="0" quotePrefix="0" xfId="8">
      <alignment horizontal="center" vertical="center"/>
      <protection locked="1" hidden="1"/>
    </xf>
    <xf numFmtId="173" fontId="69" fillId="0" borderId="7" applyAlignment="1" applyProtection="1" pivotButton="0" quotePrefix="0" xfId="0">
      <alignment horizontal="center"/>
      <protection locked="1" hidden="1"/>
    </xf>
    <xf numFmtId="173" fontId="69" fillId="0" borderId="2" applyAlignment="1" applyProtection="1" pivotButton="0" quotePrefix="0" xfId="0">
      <alignment horizontal="center"/>
      <protection locked="1" hidden="1"/>
    </xf>
    <xf numFmtId="173" fontId="36" fillId="0" borderId="2" applyAlignment="1" applyProtection="1" pivotButton="0" quotePrefix="0" xfId="0">
      <alignment horizontal="center" vertical="center"/>
      <protection locked="1" hidden="1"/>
    </xf>
    <xf numFmtId="173" fontId="36" fillId="0" borderId="44" applyAlignment="1" applyProtection="1" pivotButton="0" quotePrefix="0" xfId="0">
      <alignment vertical="center"/>
      <protection locked="1" hidden="1"/>
    </xf>
    <xf numFmtId="0" fontId="0" fillId="0" borderId="4" applyProtection="1" pivotButton="0" quotePrefix="0" xfId="0">
      <protection locked="1" hidden="1"/>
    </xf>
    <xf numFmtId="174" fontId="36" fillId="0" borderId="2" applyAlignment="1" applyProtection="1" pivotButton="0" quotePrefix="0" xfId="0">
      <alignment horizontal="center" vertical="center"/>
      <protection locked="1" hidden="1"/>
    </xf>
    <xf numFmtId="173" fontId="69" fillId="0" borderId="2" applyAlignment="1" applyProtection="1" pivotButton="0" quotePrefix="0" xfId="0">
      <alignment horizontal="center" vertical="center"/>
      <protection locked="1" hidden="1"/>
    </xf>
    <xf numFmtId="0" fontId="0" fillId="0" borderId="5" applyProtection="1" pivotButton="0" quotePrefix="0" xfId="0">
      <protection locked="1" hidden="1"/>
    </xf>
    <xf numFmtId="164" fontId="69" fillId="4" borderId="2" applyAlignment="1" applyProtection="1" pivotButton="0" quotePrefix="0" xfId="1">
      <alignment horizontal="center" vertical="center"/>
      <protection locked="1" hidden="1"/>
    </xf>
    <xf numFmtId="165" fontId="69" fillId="4" borderId="2" applyAlignment="1" applyProtection="1" pivotButton="0" quotePrefix="0" xfId="1">
      <alignment horizontal="center" vertical="center"/>
      <protection locked="1" hidden="1"/>
    </xf>
    <xf numFmtId="170" fontId="69" fillId="4" borderId="1" applyAlignment="1" applyProtection="1" pivotButton="0" quotePrefix="0" xfId="1">
      <alignment horizontal="center" vertical="center"/>
      <protection locked="1" hidden="1"/>
    </xf>
    <xf numFmtId="168" fontId="27" fillId="0" borderId="0" applyAlignment="1" pivotButton="0" quotePrefix="1" xfId="0">
      <alignment horizontal="left" vertical="center"/>
    </xf>
    <xf numFmtId="165" fontId="14" fillId="0" borderId="0" applyAlignment="1" pivotButton="0" quotePrefix="0" xfId="0">
      <alignment vertical="center"/>
    </xf>
    <xf numFmtId="165" fontId="14" fillId="0" borderId="0" applyAlignment="1" pivotButton="0" quotePrefix="0" xfId="0">
      <alignment horizontal="center" vertical="center"/>
    </xf>
    <xf numFmtId="172" fontId="14" fillId="0" borderId="0" applyAlignment="1" pivotButton="0" quotePrefix="0" xfId="0">
      <alignment wrapText="1"/>
    </xf>
    <xf numFmtId="170" fontId="14" fillId="0" borderId="0" applyAlignment="1" pivotButton="0" quotePrefix="0" xfId="0">
      <alignment vertical="center"/>
    </xf>
    <xf numFmtId="49" fontId="14" fillId="0" borderId="2" applyAlignment="1" pivotButton="0" quotePrefix="0" xfId="0">
      <alignment horizontal="center" vertical="center"/>
    </xf>
    <xf numFmtId="170" fontId="14" fillId="0" borderId="0" applyAlignment="1" pivotButton="0" quotePrefix="0" xfId="0">
      <alignment horizontal="center" vertical="center"/>
    </xf>
    <xf numFmtId="168" fontId="27" fillId="0" borderId="0" applyAlignment="1" applyProtection="1" pivotButton="0" quotePrefix="1" xfId="0">
      <alignment horizontal="left" vertical="center"/>
      <protection locked="1" hidden="1"/>
    </xf>
    <xf numFmtId="0" fontId="0" fillId="0" borderId="13" applyProtection="1" pivotButton="0" quotePrefix="0" xfId="0">
      <protection locked="1" hidden="1"/>
    </xf>
    <xf numFmtId="0" fontId="0" fillId="0" borderId="9" applyProtection="1" pivotButton="0" quotePrefix="0" xfId="0">
      <protection locked="1" hidden="1"/>
    </xf>
    <xf numFmtId="0" fontId="0" fillId="0" borderId="11" applyProtection="1" pivotButton="0" quotePrefix="0" xfId="0">
      <protection locked="1" hidden="1"/>
    </xf>
    <xf numFmtId="170" fontId="14" fillId="0" borderId="2" applyAlignment="1" applyProtection="1" pivotButton="0" quotePrefix="0" xfId="0">
      <alignment horizontal="center" vertical="center"/>
      <protection locked="1" hidden="1"/>
    </xf>
    <xf numFmtId="49" fontId="14" fillId="0" borderId="2" applyAlignment="1" applyProtection="1" pivotButton="0" quotePrefix="0" xfId="0">
      <alignment horizontal="center" vertical="center"/>
      <protection locked="1" hidden="1"/>
    </xf>
    <xf numFmtId="165" fontId="14" fillId="0" borderId="0" applyAlignment="1" applyProtection="1" pivotButton="0" quotePrefix="0" xfId="0">
      <alignment vertical="center"/>
      <protection locked="1" hidden="1"/>
    </xf>
    <xf numFmtId="165" fontId="14" fillId="0" borderId="0" applyAlignment="1" applyProtection="1" pivotButton="0" quotePrefix="0" xfId="0">
      <alignment horizontal="center" vertical="center"/>
      <protection locked="1" hidden="1"/>
    </xf>
    <xf numFmtId="172" fontId="14" fillId="0" borderId="0" applyAlignment="1" applyProtection="1" pivotButton="0" quotePrefix="0" xfId="0">
      <alignment wrapText="1"/>
      <protection locked="1" hidden="1"/>
    </xf>
    <xf numFmtId="170" fontId="14" fillId="0" borderId="0" applyAlignment="1" applyProtection="1" pivotButton="0" quotePrefix="0" xfId="0">
      <alignment vertical="center"/>
      <protection locked="1" hidden="1"/>
    </xf>
    <xf numFmtId="179" fontId="14" fillId="0" borderId="2" applyAlignment="1" applyProtection="1" pivotButton="0" quotePrefix="0" xfId="0">
      <alignment horizontal="center" vertical="center"/>
      <protection locked="1" hidden="1"/>
    </xf>
    <xf numFmtId="180" fontId="14" fillId="0" borderId="10" applyAlignment="1" applyProtection="1" pivotButton="0" quotePrefix="0" xfId="0">
      <alignment horizontal="center"/>
      <protection locked="1" hidden="1"/>
    </xf>
    <xf numFmtId="0" fontId="14" fillId="0" borderId="2" applyAlignment="1" pivotButton="0" quotePrefix="0" xfId="0">
      <alignment horizontal="center" wrapText="1"/>
    </xf>
    <xf numFmtId="171" fontId="42" fillId="0" borderId="1" pivotButton="0" quotePrefix="0" xfId="1"/>
    <xf numFmtId="181" fontId="42" fillId="0" borderId="6" applyAlignment="1" pivotButton="0" quotePrefix="0" xfId="1">
      <alignment horizontal="left"/>
    </xf>
    <xf numFmtId="0" fontId="14" fillId="0" borderId="2" applyAlignment="1" pivotButton="0" quotePrefix="0" xfId="9">
      <alignment horizontal="center" vertical="center"/>
    </xf>
    <xf numFmtId="0" fontId="14" fillId="0" borderId="2" applyAlignment="1" pivotButton="0" quotePrefix="0" xfId="9">
      <alignment horizontal="center" vertical="center" wrapText="1"/>
    </xf>
    <xf numFmtId="0" fontId="14" fillId="0" borderId="2" applyAlignment="1" pivotButton="0" quotePrefix="0" xfId="9">
      <alignment horizontal="center" vertical="top" wrapText="1"/>
    </xf>
    <xf numFmtId="0" fontId="14" fillId="0" borderId="2" applyAlignment="1" pivotButton="0" quotePrefix="0" xfId="9">
      <alignment horizontal="center"/>
    </xf>
    <xf numFmtId="0" fontId="80" fillId="0" borderId="2" applyAlignment="1" pivotButton="0" quotePrefix="0" xfId="9">
      <alignment horizontal="center"/>
    </xf>
    <xf numFmtId="0" fontId="80" fillId="0" borderId="2" applyAlignment="1" pivotButton="0" quotePrefix="0" xfId="9">
      <alignment horizontal="center" vertical="center" wrapText="1"/>
    </xf>
    <xf numFmtId="17" fontId="80" fillId="0" borderId="2" applyAlignment="1" pivotButton="0" quotePrefix="0" xfId="9">
      <alignment horizontal="center"/>
    </xf>
    <xf numFmtId="0" fontId="30" fillId="0" borderId="2" applyAlignment="1" pivotButton="0" quotePrefix="0" xfId="9">
      <alignment horizontal="center"/>
    </xf>
    <xf numFmtId="165" fontId="14" fillId="0" borderId="0" applyAlignment="1" pivotButton="0" quotePrefix="0" xfId="9">
      <alignment horizontal="center" vertical="center"/>
    </xf>
    <xf numFmtId="165" fontId="14" fillId="0" borderId="0" applyAlignment="1" pivotButton="0" quotePrefix="0" xfId="9">
      <alignment vertical="center"/>
    </xf>
    <xf numFmtId="170" fontId="14" fillId="0" borderId="0" applyAlignment="1" pivotButton="0" quotePrefix="0" xfId="9">
      <alignment horizontal="center" vertical="center"/>
    </xf>
    <xf numFmtId="0" fontId="17" fillId="0" borderId="2" applyAlignment="1" pivotButton="0" quotePrefix="0" xfId="9">
      <alignment horizontal="center"/>
    </xf>
    <xf numFmtId="0" fontId="0" fillId="0" borderId="8" pivotButton="0" quotePrefix="0" xfId="0"/>
    <xf numFmtId="0" fontId="14" fillId="0" borderId="2" applyAlignment="1" pivotButton="0" quotePrefix="0" xfId="9">
      <alignment horizontal="left" vertical="top"/>
    </xf>
    <xf numFmtId="170" fontId="14" fillId="0" borderId="0" applyAlignment="1" pivotButton="0" quotePrefix="0" xfId="9">
      <alignment vertical="center"/>
    </xf>
  </cellXfs>
  <cellStyles count="12">
    <cellStyle name="Normal" xfId="0" builtinId="0"/>
    <cellStyle name="Normal 2" xfId="1"/>
    <cellStyle name="Comma 2" xfId="2"/>
    <cellStyle name="Hyperlink" xfId="3" builtinId="8"/>
    <cellStyle name="Good" xfId="4" builtinId="26"/>
    <cellStyle name="Bad" xfId="5" builtinId="27"/>
    <cellStyle name="Neutral" xfId="6" builtinId="28"/>
    <cellStyle name="Accent1" xfId="7" builtinId="29"/>
    <cellStyle name="20% - Accent1" xfId="8" builtinId="30"/>
    <cellStyle name="Normal 2 2" xfId="9"/>
    <cellStyle name="40% - Accent1" xfId="10" builtinId="31"/>
    <cellStyle name="Accent2" xfId="11" builtinId="33"/>
  </cellStyles>
  <dxfs count="20">
    <dxf>
      <font>
        <color auto="1"/>
      </font>
      <fill>
        <patternFill patternType="solid">
          <fgColor auto="1"/>
          <bgColor rgb="FFFF7C80"/>
        </patternFill>
      </fill>
    </dxf>
    <dxf>
      <font>
        <color auto="1"/>
      </font>
      <fill>
        <patternFill patternType="solid">
          <fgColor auto="1"/>
          <bgColor rgb="FFFF7C80"/>
        </patternFill>
      </fill>
    </dxf>
    <dxf>
      <fill>
        <patternFill>
          <bgColor rgb="FFFF5050"/>
        </patternFill>
      </fill>
    </dxf>
    <dxf>
      <fill>
        <patternFill>
          <bgColor rgb="FFFF5050"/>
        </patternFill>
      </fill>
    </dxf>
    <dxf>
      <font>
        <name val="Times New Roman"/>
        <strike val="0"/>
        <outline val="0"/>
        <shadow val="0"/>
        <color theme="1"/>
        <sz val="14"/>
        <vertAlign val="baseline"/>
      </font>
      <numFmt numFmtId="170" formatCode="[$-409]dd\ mmmm\ yyyy"/>
      <alignment horizontal="general" vertical="center"/>
    </dxf>
    <dxf>
      <font>
        <name val="Times New Roman"/>
        <strike val="0"/>
        <outline val="0"/>
        <shadow val="0"/>
        <condense val="0"/>
        <color theme="1"/>
        <extend val="0"/>
        <sz val="14"/>
        <vertAlign val="baseline"/>
      </font>
      <alignment horizontal="center" vertical="center"/>
    </dxf>
    <dxf>
      <font>
        <name val="Times New Roman"/>
        <strike val="0"/>
        <outline val="0"/>
        <shadow val="0"/>
        <condense val="0"/>
        <color theme="1"/>
        <extend val="0"/>
        <sz val="14"/>
        <vertAlign val="baseline"/>
      </font>
      <numFmt numFmtId="166" formatCode="0.000000E+00"/>
      <alignment horizontal="center" vertical="center" wrapText="1"/>
    </dxf>
    <dxf>
      <font>
        <name val="Times New Roman"/>
        <strike val="0"/>
        <outline val="0"/>
        <shadow val="0"/>
        <condense val="0"/>
        <color theme="1"/>
        <extend val="0"/>
        <sz val="14"/>
        <vertAlign val="baseline"/>
      </font>
      <numFmt numFmtId="166" formatCode="0.000000E+00"/>
      <alignment horizontal="center" vertical="center" wrapText="1"/>
    </dxf>
    <dxf>
      <font>
        <name val="Times New Roman"/>
        <strike val="0"/>
        <outline val="0"/>
        <shadow val="0"/>
        <condense val="0"/>
        <color theme="1"/>
        <extend val="0"/>
        <sz val="14"/>
        <vertAlign val="baseline"/>
      </font>
      <numFmt numFmtId="166" formatCode="0.000000E+00"/>
      <alignment horizontal="center" vertical="center" wrapText="1"/>
    </dxf>
    <dxf>
      <font>
        <name val="Times New Roman"/>
        <strike val="0"/>
        <outline val="0"/>
        <shadow val="0"/>
        <color theme="1"/>
        <sz val="14"/>
        <vertAlign val="baseline"/>
      </font>
      <numFmt numFmtId="167" formatCode="0.000"/>
      <alignment vertical="center" wrapText="1"/>
    </dxf>
    <dxf>
      <font>
        <name val="Times New Roman"/>
        <strike val="0"/>
        <outline val="0"/>
        <shadow val="0"/>
        <color theme="1"/>
        <sz val="14"/>
        <vertAlign val="baseline"/>
      </font>
      <numFmt numFmtId="166" formatCode="0.000000E+00"/>
      <alignment vertical="center" wrapText="1"/>
    </dxf>
    <dxf>
      <font>
        <name val="Times New Roman"/>
        <strike val="0"/>
        <outline val="0"/>
        <shadow val="0"/>
        <color theme="1"/>
        <sz val="14"/>
        <vertAlign val="baseline"/>
      </font>
      <numFmt numFmtId="166" formatCode="0.000000E+00"/>
      <alignment vertical="center" wrapText="1"/>
    </dxf>
    <dxf>
      <font>
        <name val="Times New Roman"/>
        <strike val="0"/>
        <outline val="0"/>
        <shadow val="0"/>
        <color theme="1"/>
        <sz val="14"/>
        <vertAlign val="baseline"/>
      </font>
      <numFmt numFmtId="166" formatCode="0.000000E+00"/>
      <alignment vertical="center" wrapText="1"/>
    </dxf>
    <dxf>
      <font>
        <name val="Times New Roman"/>
        <strike val="0"/>
        <outline val="0"/>
        <shadow val="0"/>
        <color theme="1"/>
        <sz val="14"/>
        <vertAlign val="baseline"/>
      </font>
      <numFmt numFmtId="170" formatCode="[$-409]dd\ mmmm\ yyyy"/>
      <alignment vertical="center"/>
    </dxf>
    <dxf>
      <font>
        <name val="Times New Roman"/>
        <strike val="0"/>
        <outline val="0"/>
        <shadow val="0"/>
        <color theme="1"/>
        <sz val="14"/>
        <vertAlign val="baseline"/>
      </font>
      <alignment horizontal="center" vertical="center" wrapText="1"/>
    </dxf>
    <dxf>
      <font>
        <name val="Times New Roman"/>
        <strike val="0"/>
        <outline val="0"/>
        <shadow val="0"/>
        <color theme="1"/>
        <sz val="14"/>
        <vertAlign val="baseline"/>
      </font>
      <alignment horizontal="left" vertical="center" wrapText="1"/>
    </dxf>
    <dxf>
      <font>
        <name val="Times New Roman"/>
        <strike val="0"/>
        <outline val="0"/>
        <shadow val="0"/>
        <condense val="0"/>
        <color theme="1"/>
        <extend val="0"/>
        <sz val="14"/>
        <vertAlign val="baseline"/>
      </font>
      <alignment horizontal="left" vertical="center" wrapText="1"/>
    </dxf>
    <dxf>
      <font>
        <name val="Times New Roman"/>
        <strike val="0"/>
        <outline val="0"/>
        <shadow val="0"/>
        <condense val="0"/>
        <color theme="1"/>
        <extend val="0"/>
        <sz val="14"/>
        <vertAlign val="baseline"/>
      </font>
      <alignment horizontal="left" vertical="center" wrapText="1"/>
    </dxf>
    <dxf>
      <font>
        <name val="Times New Roman"/>
        <strike val="0"/>
        <outline val="0"/>
        <shadow val="0"/>
        <color theme="1"/>
        <sz val="14"/>
        <vertAlign val="baseline"/>
      </font>
      <alignment vertical="center"/>
    </dxf>
    <dxf>
      <font>
        <name val="Times New Roman"/>
        <strike val="0"/>
        <outline val="0"/>
        <shadow val="0"/>
        <color theme="1"/>
        <sz val="14"/>
        <vertAlign val="baseline"/>
      </font>
      <alignment horizontal="center" vertical="center" wrapText="1"/>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Windows User</author>
  </authors>
  <commentList>
    <comment ref="D7" authorId="0" shapeId="0">
      <text>
        <t xml:space="preserve">This will be displayed in the certificate
</t>
      </text>
    </comment>
  </commentList>
</comment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272498</colOff>
      <row>0</row>
      <rowOff>55494</rowOff>
    </from>
    <to>
      <col>1</col>
      <colOff>571583</colOff>
      <row>3</row>
      <rowOff>153688</rowOff>
    </to>
    <pic>
      <nvPicPr>
        <cNvPr id="2" name="Picture 1" descr="LETTERHEAD FA copy.jpg"/>
        <cNvPicPr>
          <a:picLocks noChangeAspect="1"/>
        </cNvPicPr>
      </nvPicPr>
      <blipFill>
        <a:blip cstate="print" r:embed="rId1"/>
        <a:srcRect l="20080" t="3545" r="68876" b="87238"/>
        <a:stretch>
          <a:fillRect/>
        </a:stretch>
      </blipFill>
      <spPr>
        <a:xfrm>
          <a:off x="272498" y="55494"/>
          <a:ext cx="574813" cy="67540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208359</colOff>
      <row>0</row>
      <rowOff>19447</rowOff>
    </from>
    <to>
      <col>1</col>
      <colOff>89296</colOff>
      <row>3</row>
      <rowOff>86216</rowOff>
    </to>
    <pic>
      <nvPicPr>
        <cNvPr id="2" name="Picture 1" descr="LETTERHEAD FA copy.jpg"/>
        <cNvPicPr>
          <a:picLocks noChangeAspect="1"/>
        </cNvPicPr>
      </nvPicPr>
      <blipFill>
        <a:blip cstate="print" r:embed="rId1"/>
        <a:srcRect l="20080" t="3545" r="68876" b="87238"/>
        <a:stretch>
          <a:fillRect/>
        </a:stretch>
      </blipFill>
      <spPr>
        <a:xfrm>
          <a:off x="208359" y="19447"/>
          <a:ext cx="345281" cy="459675"/>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https://d.docs.live.net/Users/Ahdrian%20Gernale/Documents/DMP%20Software/CalibrationSoftware%20JUNE%202019.xlsm" TargetMode="External" Id="rId1" /></Relationships>
</file>

<file path=xl/externalLinks/_rels/externalLink2.xml.rels><Relationships xmlns="http://schemas.openxmlformats.org/package/2006/relationships"><Relationship Type="http://schemas.openxmlformats.org/officeDocument/2006/relationships/externalLinkPath" Target="file:///H:\CALIBRATION%20DATA\2019\april\sc%20brothers%20packaging%20corp%20inc_bct_2000kgf_SN%201114002423%20LC_forc0058_0419_10%20kN%20load%20cell.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Dash Board"/>
      <sheetName val="Software"/>
      <sheetName val="Load Cell db"/>
      <sheetName val="Data"/>
      <sheetName val="Certificate 5 pts"/>
      <sheetName val="Certificate 10 pts"/>
      <sheetName val="Records"/>
      <sheetName val="Others db"/>
      <sheetName val="123"/>
      <sheetName val="CalibrationSoftware JUNE 2019"/>
    </sheetNames>
    <sheetDataSet>
      <sheetData sheetId="0">
        <row r="7">
          <cell r="D7" t="str">
            <v>METRO DRAGON STEEL CORP.</v>
          </cell>
        </row>
      </sheetData>
      <sheetData sheetId="1">
        <row r="21">
          <cell r="E21" t="str">
            <v>kN</v>
          </cell>
        </row>
      </sheetData>
      <sheetData sheetId="2"/>
      <sheetData sheetId="3">
        <row r="43">
          <cell r="J43">
            <v>23</v>
          </cell>
        </row>
      </sheetData>
      <sheetData sheetId="4"/>
      <sheetData sheetId="5" refreshError="1"/>
      <sheetData sheetId="6" refreshError="1"/>
      <sheetData sheetId="7"/>
      <sheetData sheetId="8" refreshError="1"/>
      <sheetData sheetId="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sh Board"/>
      <sheetName val="Software"/>
      <sheetName val="Calibration Data"/>
      <sheetName val="Load Cell db"/>
      <sheetName val="Certificate 5PTS"/>
      <sheetName val="Certificate 10PTS"/>
      <sheetName val="Others db"/>
      <sheetName val="Records"/>
      <sheetName val="123"/>
      <sheetName val="sc brothers packaging corp inc_"/>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ables/table1.xml><?xml version="1.0" encoding="utf-8"?>
<table xmlns="http://schemas.openxmlformats.org/spreadsheetml/2006/main" id="1" name="Table1" displayName="Table1" ref="B3:O13" headerRowCount="1" totalsRowShown="0" headerRowDxfId="19" dataDxfId="18">
  <tableColumns count="14">
    <tableColumn id="2" name="Description" dataDxfId="17"/>
    <tableColumn id="15" name="Capacity" dataDxfId="16"/>
    <tableColumn id="3" name="Serial Number" dataDxfId="15"/>
    <tableColumn id="4" name="Calibration Certificate" dataDxfId="14"/>
    <tableColumn id="5" name="Calibration Date" dataDxfId="13"/>
    <tableColumn id="6" name="a' (Compression)" dataDxfId="12"/>
    <tableColumn id="7" name="b' (Compression)" dataDxfId="11"/>
    <tableColumn id="8" name="c' (Compression)" dataDxfId="10"/>
    <tableColumn id="9" name="U (Compression)" dataDxfId="9"/>
    <tableColumn id="14" name="a' (Tension)" dataDxfId="8"/>
    <tableColumn id="13" name="b' (Tension)" dataDxfId="7"/>
    <tableColumn id="12" name="c' (Tension)" dataDxfId="6"/>
    <tableColumn id="11" name="U (Tension)" dataDxfId="5"/>
    <tableColumn id="10" name="Next Cal Date" dataDxfId="4">
      <calculatedColumnFormula>DATE(YEAR(Table1[[#This Row],[Calibration Date]])+3, MONTH(Table1[[#This Row],[Calibration Date]]),DAY(Table1[[#This Row],[Calibration 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2" name="TypesMachinedb3" displayName="TypesMachinedb3" ref="A1:A9" headerRowCount="1" totalsRowShown="0">
  <autoFilter ref="A1:A9"/>
  <tableColumns count="1">
    <tableColumn id="1" name="Types of Machine"/>
  </tableColumns>
  <tableStyleInfo name="TableStyleMedium9" showFirstColumn="0" showLastColumn="0" showRowStripes="1" showColumnStripes="0"/>
</table>
</file>

<file path=xl/tables/table3.xml><?xml version="1.0" encoding="utf-8"?>
<table xmlns="http://schemas.openxmlformats.org/spreadsheetml/2006/main" id="3" name="calibratorsdb" displayName="calibratorsdb" ref="E1:F6" headerRowCount="1" totalsRowShown="0">
  <autoFilter ref="E1:F6"/>
  <tableColumns count="2">
    <tableColumn id="1" name="Name"/>
    <tableColumn id="2" name="Position"/>
  </tableColumns>
  <tableStyleInfo name="TableStyleMedium9" showFirstColumn="0" showLastColumn="0" showRowStripes="1" showColumnStripes="0"/>
</table>
</file>

<file path=xl/tables/table4.xml><?xml version="1.0" encoding="utf-8"?>
<table xmlns="http://schemas.openxmlformats.org/spreadsheetml/2006/main" id="4" name="Table5" displayName="Table5" ref="J1:K5" headerRowCount="1" totalsRowShown="0">
  <autoFilter ref="J1:K5"/>
  <tableColumns count="2">
    <tableColumn id="1" name="Unit"/>
    <tableColumn id="2" name="equivalence to k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10.xml.rels><Relationships xmlns="http://schemas.openxmlformats.org/package/2006/relationships"><Relationship Type="http://schemas.openxmlformats.org/officeDocument/2006/relationships/table" Target="/xl/tables/table2.xml" Id="rId1" /><Relationship Type="http://schemas.openxmlformats.org/officeDocument/2006/relationships/table" Target="/xl/tables/table3.xml" Id="rId2" /><Relationship Type="http://schemas.openxmlformats.org/officeDocument/2006/relationships/table" Target="/xl/tables/table4.xml" Id="rId3" /></Relationships>
</file>

<file path=xl/worksheets/sheet1.xml><?xml version="1.0" encoding="utf-8"?>
<worksheet xmlns="http://schemas.openxmlformats.org/spreadsheetml/2006/main">
  <sheetPr codeName="Sheet1">
    <outlinePr summaryBelow="1" summaryRight="1"/>
    <pageSetUpPr/>
  </sheetPr>
  <dimension ref="B3:AP40"/>
  <sheetViews>
    <sheetView topLeftCell="A7" zoomScale="115" zoomScaleNormal="115" workbookViewId="0">
      <selection activeCell="I24" sqref="I24"/>
    </sheetView>
  </sheetViews>
  <sheetFormatPr baseColWidth="8" defaultColWidth="9.140625" defaultRowHeight="15"/>
  <cols>
    <col width="2.28515625" customWidth="1" style="41" min="1" max="1"/>
    <col width="9.140625" customWidth="1" style="41" min="2" max="7"/>
    <col width="14.28515625" customWidth="1" style="41" min="8" max="9"/>
    <col width="1.140625" customWidth="1" style="41" min="10" max="10"/>
    <col width="14.28515625" customWidth="1" style="41" min="11" max="11"/>
    <col width="2.140625" customWidth="1" style="41" min="12" max="12"/>
    <col width="9.140625" customWidth="1" style="41" min="13" max="17"/>
    <col width="2.5703125" customWidth="1" style="41" min="18" max="18"/>
    <col width="9.140625" customWidth="1" style="41" min="19" max="22"/>
    <col width="2.140625" customWidth="1" style="41" min="23" max="23"/>
    <col width="9.140625" customWidth="1" style="41" min="24" max="33"/>
    <col width="2.5703125" customWidth="1" style="41" min="34" max="34"/>
    <col width="9.140625" customWidth="1" style="41" min="35" max="36"/>
    <col width="24.28515625" customWidth="1" style="41" min="37" max="37"/>
    <col width="9.140625" customWidth="1" style="41" min="38" max="16384"/>
  </cols>
  <sheetData>
    <row r="2" ht="15.75" customHeight="1" thickBot="1"/>
    <row r="3">
      <c r="X3" s="41" t="inlineStr">
        <is>
          <t>Equipment Photo:</t>
        </is>
      </c>
      <c r="Z3" s="743" t="inlineStr">
        <is>
          <t>Photo 1</t>
        </is>
      </c>
      <c r="AA3" s="744" t="n"/>
      <c r="AB3" s="744" t="n"/>
      <c r="AC3" s="744" t="n"/>
      <c r="AD3" s="744" t="n"/>
      <c r="AE3" s="745" t="n"/>
      <c r="AF3" s="460" t="n"/>
      <c r="AK3" s="461" t="n"/>
    </row>
    <row r="4">
      <c r="Z4" s="746" t="n"/>
      <c r="AE4" s="747" t="n"/>
      <c r="AF4" s="746" t="n"/>
    </row>
    <row r="5">
      <c r="Z5" s="746" t="n"/>
      <c r="AE5" s="747" t="n"/>
      <c r="AF5" s="746" t="n"/>
    </row>
    <row r="6">
      <c r="Z6" s="746" t="n"/>
      <c r="AE6" s="747" t="n"/>
      <c r="AF6" s="746" t="n"/>
    </row>
    <row r="7" ht="15.75" customHeight="1" thickBot="1">
      <c r="B7" s="42" t="inlineStr">
        <is>
          <t>Name/Company      :</t>
        </is>
      </c>
      <c r="C7" s="105" t="n"/>
      <c r="D7" s="748" t="inlineStr">
        <is>
          <t>SAVVICE CORPORATION</t>
        </is>
      </c>
      <c r="E7" s="749" t="n"/>
      <c r="F7" s="749" t="n"/>
      <c r="G7" s="749" t="n"/>
      <c r="H7" s="749" t="n"/>
      <c r="I7" s="750" t="n"/>
      <c r="K7" s="41" t="inlineStr">
        <is>
          <t>Place of Calibration           :</t>
        </is>
      </c>
      <c r="N7" s="751" t="inlineStr">
        <is>
          <t>Force Standards Laboratory, NML ITDI</t>
        </is>
      </c>
      <c r="O7" s="749" t="n"/>
      <c r="P7" s="749" t="n"/>
      <c r="Q7" s="750" t="n"/>
      <c r="S7" s="752" t="inlineStr">
        <is>
          <t xml:space="preserve">Machine Indication </t>
        </is>
      </c>
      <c r="T7" s="753" t="n"/>
      <c r="Z7" s="746" t="n"/>
      <c r="AE7" s="747" t="n"/>
      <c r="AF7" s="746" t="n"/>
    </row>
    <row r="8" ht="15.75" customHeight="1" thickTop="1">
      <c r="B8" s="42" t="inlineStr">
        <is>
          <t>Address Line 1         :</t>
        </is>
      </c>
      <c r="C8" s="105" t="n"/>
      <c r="D8" s="748" t="inlineStr">
        <is>
          <t>3rd Floor BMWC Bldg., Cagayan Valley Road</t>
        </is>
      </c>
      <c r="E8" s="749" t="n"/>
      <c r="F8" s="749" t="n"/>
      <c r="G8" s="749" t="n"/>
      <c r="H8" s="749" t="n"/>
      <c r="I8" s="750" t="n"/>
      <c r="S8" s="207" t="n">
        <v>0</v>
      </c>
      <c r="T8" s="208" t="n">
        <v>0</v>
      </c>
      <c r="Z8" s="746" t="n"/>
      <c r="AE8" s="747" t="n"/>
      <c r="AF8" s="746" t="n"/>
    </row>
    <row r="9">
      <c r="B9" s="42" t="inlineStr">
        <is>
          <t>Address Line 2         :</t>
        </is>
      </c>
      <c r="C9" s="105" t="n"/>
      <c r="D9" s="754" t="inlineStr">
        <is>
          <t>Sta. Rita, Guiginto, Bulacan</t>
        </is>
      </c>
      <c r="E9" s="749" t="n"/>
      <c r="F9" s="749" t="n"/>
      <c r="G9" s="749" t="n"/>
      <c r="H9" s="749" t="n"/>
      <c r="I9" s="750" t="n"/>
      <c r="K9" s="41" t="inlineStr">
        <is>
          <t>Person in Charge               :</t>
        </is>
      </c>
      <c r="N9" s="751" t="n"/>
      <c r="O9" s="749" t="n"/>
      <c r="P9" s="749" t="n"/>
      <c r="Q9" s="750" t="n"/>
      <c r="S9" s="206" t="inlineStr">
        <is>
          <t>1st</t>
        </is>
      </c>
      <c r="T9" s="209" t="n">
        <v>3000</v>
      </c>
      <c r="Z9" s="746" t="n"/>
      <c r="AE9" s="747" t="n"/>
      <c r="AF9" s="746" t="n"/>
    </row>
    <row r="10">
      <c r="B10" s="41" t="inlineStr">
        <is>
          <t>Requesting Official  :</t>
        </is>
      </c>
      <c r="C10" s="105" t="n"/>
      <c r="D10" s="748" t="inlineStr">
        <is>
          <t>Ramil F. De Luna</t>
        </is>
      </c>
      <c r="E10" s="749" t="n"/>
      <c r="F10" s="749" t="n"/>
      <c r="G10" s="749" t="n"/>
      <c r="H10" s="749" t="n"/>
      <c r="I10" s="750" t="n"/>
      <c r="K10" s="41" t="inlineStr">
        <is>
          <t>Analyst/Calibrator            :</t>
        </is>
      </c>
      <c r="N10" s="751" t="inlineStr">
        <is>
          <t>Ahdrian Camilo C. Gernale</t>
        </is>
      </c>
      <c r="O10" s="749" t="n"/>
      <c r="P10" s="749" t="n"/>
      <c r="Q10" s="750" t="n"/>
      <c r="S10" s="206" t="inlineStr">
        <is>
          <t>2nd</t>
        </is>
      </c>
      <c r="T10" s="209" t="n">
        <v>6000</v>
      </c>
      <c r="Z10" s="746" t="n"/>
      <c r="AE10" s="747" t="n"/>
      <c r="AF10" s="746" t="n"/>
    </row>
    <row r="11">
      <c r="B11" s="41" t="inlineStr">
        <is>
          <t>Position                    :</t>
        </is>
      </c>
      <c r="C11" s="105" t="n"/>
      <c r="D11" s="748" t="inlineStr">
        <is>
          <t>Technician</t>
        </is>
      </c>
      <c r="E11" s="749" t="n"/>
      <c r="F11" s="749" t="n"/>
      <c r="G11" s="749" t="n"/>
      <c r="H11" s="749" t="n"/>
      <c r="I11" s="750" t="n"/>
      <c r="N11" s="751" t="inlineStr">
        <is>
          <t>Radley F. Manalo</t>
        </is>
      </c>
      <c r="O11" s="749" t="n"/>
      <c r="P11" s="749" t="n"/>
      <c r="Q11" s="750" t="n"/>
      <c r="S11" s="206" t="inlineStr">
        <is>
          <t>3rd</t>
        </is>
      </c>
      <c r="T11" s="209" t="n">
        <v>9000</v>
      </c>
      <c r="Z11" s="746" t="n"/>
      <c r="AE11" s="747" t="n"/>
      <c r="AF11" s="746" t="n"/>
    </row>
    <row r="12">
      <c r="S12" s="206" t="inlineStr">
        <is>
          <t>4th</t>
        </is>
      </c>
      <c r="T12" s="209" t="n">
        <v>12000</v>
      </c>
      <c r="Z12" s="746" t="n"/>
      <c r="AE12" s="747" t="n"/>
      <c r="AF12" s="746" t="n"/>
    </row>
    <row r="13">
      <c r="S13" s="206" t="inlineStr">
        <is>
          <t>5th</t>
        </is>
      </c>
      <c r="T13" s="209" t="n">
        <v>15000</v>
      </c>
      <c r="Z13" s="746" t="n"/>
      <c r="AE13" s="747" t="n"/>
      <c r="AF13" s="746" t="n"/>
    </row>
    <row r="14" ht="15.75" customHeight="1" thickBot="1">
      <c r="S14" s="206" t="inlineStr">
        <is>
          <t>6th</t>
        </is>
      </c>
      <c r="T14" s="209" t="n"/>
      <c r="Z14" s="755" t="n"/>
      <c r="AA14" s="756" t="n"/>
      <c r="AB14" s="756" t="n"/>
      <c r="AC14" s="756" t="n"/>
      <c r="AD14" s="756" t="n"/>
      <c r="AE14" s="757" t="n"/>
      <c r="AF14" s="746" t="n"/>
    </row>
    <row r="15">
      <c r="S15" s="206" t="inlineStr">
        <is>
          <t>7th</t>
        </is>
      </c>
      <c r="T15" s="209" t="n"/>
      <c r="Z15" s="743" t="inlineStr">
        <is>
          <t>Photo 2</t>
        </is>
      </c>
      <c r="AA15" s="744" t="n"/>
      <c r="AB15" s="744" t="n"/>
      <c r="AC15" s="744" t="n"/>
      <c r="AD15" s="744" t="n"/>
      <c r="AE15" s="745" t="n"/>
      <c r="AF15" s="205" t="n"/>
    </row>
    <row r="16">
      <c r="S16" s="206" t="inlineStr">
        <is>
          <t>8th</t>
        </is>
      </c>
      <c r="T16" s="209" t="n"/>
      <c r="Z16" s="746" t="n"/>
      <c r="AE16" s="747" t="n"/>
    </row>
    <row r="17">
      <c r="B17" s="42" t="inlineStr">
        <is>
          <t>Date of Calibration  :</t>
        </is>
      </c>
      <c r="C17" s="42" t="n"/>
      <c r="D17" s="758" t="n">
        <v>46134</v>
      </c>
      <c r="E17" s="749" t="n"/>
      <c r="F17" s="749" t="n"/>
      <c r="G17" s="750" t="n"/>
      <c r="K17" s="41" t="inlineStr">
        <is>
          <t>Calibration Mode</t>
        </is>
      </c>
      <c r="N17" s="751" t="inlineStr">
        <is>
          <t>Compression</t>
        </is>
      </c>
      <c r="O17" s="749" t="n"/>
      <c r="P17" s="749" t="n"/>
      <c r="Q17" s="750" t="n"/>
      <c r="S17" s="206" t="inlineStr">
        <is>
          <t>9th</t>
        </is>
      </c>
      <c r="T17" s="209" t="n"/>
      <c r="Z17" s="746" t="n"/>
      <c r="AE17" s="747" t="n"/>
    </row>
    <row r="18">
      <c r="B18" s="42" t="inlineStr">
        <is>
          <t>Req. Reference No.  :</t>
        </is>
      </c>
      <c r="C18" s="42" t="n"/>
      <c r="D18" s="759" t="inlineStr">
        <is>
          <t>03-2026-FORC-0087</t>
        </is>
      </c>
      <c r="E18" s="749" t="n"/>
      <c r="F18" s="749" t="n"/>
      <c r="G18" s="750" t="n"/>
      <c r="K18" s="479" t="inlineStr">
        <is>
          <t>Capacity                               :</t>
        </is>
      </c>
      <c r="M18" s="760" t="n"/>
      <c r="N18" s="451" t="n">
        <v>15000</v>
      </c>
      <c r="O18" s="448" t="inlineStr">
        <is>
          <t>kgf</t>
        </is>
      </c>
      <c r="P18" s="749" t="n"/>
      <c r="Q18" s="750" t="n"/>
      <c r="S18" s="206" t="inlineStr">
        <is>
          <t>10th</t>
        </is>
      </c>
      <c r="T18" s="209" t="n"/>
      <c r="Z18" s="746" t="n"/>
      <c r="AE18" s="747" t="n"/>
    </row>
    <row r="19">
      <c r="B19" s="42" t="inlineStr">
        <is>
          <t>Calibration Item       :</t>
        </is>
      </c>
      <c r="C19" s="42" t="n"/>
      <c r="D19" s="751" t="inlineStr">
        <is>
          <t>Axle Weighing Scale</t>
        </is>
      </c>
      <c r="E19" s="749" t="n"/>
      <c r="F19" s="749" t="n"/>
      <c r="G19" s="750" t="n"/>
      <c r="K19" s="479" t="inlineStr">
        <is>
          <t>Range                                   :</t>
        </is>
      </c>
      <c r="M19" s="760" t="n"/>
      <c r="N19" s="110" t="n">
        <v>0</v>
      </c>
      <c r="O19" s="326">
        <f>" "&amp;O18&amp;" to "</f>
        <v/>
      </c>
      <c r="P19" s="431" t="n">
        <v>15000</v>
      </c>
      <c r="Q19" s="327">
        <f>O18</f>
        <v/>
      </c>
      <c r="S19" s="206" t="n">
        <v>0</v>
      </c>
      <c r="T19" s="209" t="n">
        <v>0</v>
      </c>
      <c r="Z19" s="746" t="n"/>
      <c r="AE19" s="747" t="n"/>
    </row>
    <row r="20">
      <c r="B20" s="42" t="inlineStr">
        <is>
          <t>Calibration Type       :</t>
        </is>
      </c>
      <c r="C20" s="42" t="n"/>
      <c r="D20" s="751" t="n"/>
      <c r="E20" s="749" t="n"/>
      <c r="F20" s="749" t="n"/>
      <c r="G20" s="750" t="n"/>
      <c r="K20" s="112" t="inlineStr">
        <is>
          <t>Increment</t>
        </is>
      </c>
      <c r="L20" s="42" t="n"/>
      <c r="M20" s="111" t="inlineStr">
        <is>
          <t xml:space="preserve">            :</t>
        </is>
      </c>
      <c r="N20" s="110" t="n">
        <v>50</v>
      </c>
      <c r="O20" s="492">
        <f>Q19</f>
        <v/>
      </c>
      <c r="P20" s="761" t="n"/>
      <c r="Q20" s="762" t="n"/>
      <c r="S20" s="273" t="n"/>
      <c r="Z20" s="746" t="n"/>
      <c r="AE20" s="747" t="n"/>
    </row>
    <row r="21">
      <c r="B21" s="41" t="inlineStr">
        <is>
          <t>Load Cell Type          :</t>
        </is>
      </c>
      <c r="D21" s="751" t="inlineStr">
        <is>
          <t>No</t>
        </is>
      </c>
      <c r="E21" s="749" t="n"/>
      <c r="F21" s="749" t="n"/>
      <c r="G21" s="750" t="n"/>
      <c r="K21" s="479" t="inlineStr">
        <is>
          <t>Resolution                           :</t>
        </is>
      </c>
      <c r="M21" s="760" t="n"/>
      <c r="N21" s="110" t="n">
        <v>50</v>
      </c>
      <c r="O21" s="492">
        <f>Q19</f>
        <v/>
      </c>
      <c r="P21" s="761" t="n"/>
      <c r="Q21" s="762" t="n"/>
      <c r="S21" s="273" t="n"/>
      <c r="T21" s="315" t="n"/>
      <c r="Z21" s="746" t="n"/>
      <c r="AE21" s="747" t="n"/>
    </row>
    <row r="22">
      <c r="B22" s="42" t="inlineStr">
        <is>
          <t>Force Transducer Info</t>
        </is>
      </c>
      <c r="C22" s="42" t="n"/>
      <c r="K22" s="478" t="n"/>
      <c r="L22" s="478" t="n"/>
      <c r="M22" s="478" t="n"/>
      <c r="N22" s="428" t="n"/>
      <c r="O22" s="429" t="n"/>
      <c r="P22" s="429" t="n"/>
      <c r="Q22" s="429" t="n"/>
      <c r="S22" s="273" t="n"/>
      <c r="T22" s="315" t="n"/>
      <c r="Z22" s="746" t="n"/>
      <c r="AE22" s="747" t="n"/>
    </row>
    <row r="23">
      <c r="B23" s="42" t="inlineStr">
        <is>
          <t xml:space="preserve">  Make / Model No. :</t>
        </is>
      </c>
      <c r="C23" s="42" t="n"/>
      <c r="D23" s="751" t="inlineStr">
        <is>
          <t>LS 630 W. PAD</t>
        </is>
      </c>
      <c r="E23" s="749" t="n"/>
      <c r="F23" s="749" t="n"/>
      <c r="G23" s="750" t="n"/>
      <c r="Z23" s="746" t="n"/>
      <c r="AE23" s="747" t="n"/>
    </row>
    <row r="24">
      <c r="B24" s="42" t="inlineStr">
        <is>
          <t xml:space="preserve">  Serial No. / ID No.  :</t>
        </is>
      </c>
      <c r="C24" s="42" t="n"/>
      <c r="D24" s="763" t="inlineStr">
        <is>
          <t>0122YL21002</t>
        </is>
      </c>
      <c r="E24" s="749" t="n"/>
      <c r="F24" s="749" t="n"/>
      <c r="G24" s="750" t="n"/>
      <c r="Z24" s="746" t="n"/>
      <c r="AE24" s="747" t="n"/>
    </row>
    <row r="25">
      <c r="B25" s="42" t="inlineStr">
        <is>
          <t>Indicator Info</t>
        </is>
      </c>
      <c r="C25" s="42" t="n"/>
      <c r="Z25" s="746" t="n"/>
      <c r="AE25" s="747" t="n"/>
    </row>
    <row r="26">
      <c r="B26" s="42" t="inlineStr">
        <is>
          <t xml:space="preserve">  Make / Model No. :</t>
        </is>
      </c>
      <c r="C26" s="42" t="n"/>
      <c r="D26" s="751" t="inlineStr">
        <is>
          <t>INTERCOMP PT20</t>
        </is>
      </c>
      <c r="E26" s="749" t="n"/>
      <c r="F26" s="749" t="n"/>
      <c r="G26" s="750" t="n"/>
      <c r="Z26" s="746" t="n"/>
      <c r="AE26" s="747" t="n"/>
    </row>
    <row r="27">
      <c r="B27" s="42" t="inlineStr">
        <is>
          <t xml:space="preserve">  Serial No. / ID No.  :</t>
        </is>
      </c>
      <c r="C27" s="42" t="n"/>
      <c r="D27" s="759" t="inlineStr">
        <is>
          <t>0307YM23003</t>
        </is>
      </c>
      <c r="E27" s="749" t="n"/>
      <c r="F27" s="749" t="n"/>
      <c r="G27" s="750" t="n"/>
      <c r="Z27" s="746" t="n"/>
      <c r="AE27" s="747" t="n"/>
    </row>
    <row r="28">
      <c r="Z28" s="746" t="n"/>
      <c r="AE28" s="747" t="n"/>
    </row>
    <row r="29">
      <c r="B29" s="487" t="inlineStr">
        <is>
          <t xml:space="preserve">Special Instructions &amp; Remarks : </t>
        </is>
      </c>
      <c r="C29" s="760" t="n"/>
      <c r="D29" s="751" t="n"/>
      <c r="E29" s="749" t="n"/>
      <c r="F29" s="749" t="n"/>
      <c r="G29" s="749" t="n"/>
      <c r="H29" s="749" t="n"/>
      <c r="I29" s="749" t="n"/>
      <c r="J29" s="749" t="n"/>
      <c r="K29" s="749" t="n"/>
      <c r="L29" s="749" t="n"/>
      <c r="M29" s="749" t="n"/>
      <c r="N29" s="749" t="n"/>
      <c r="O29" s="749" t="n"/>
      <c r="P29" s="749" t="n"/>
      <c r="Q29" s="750" t="n"/>
      <c r="Z29" s="746" t="n"/>
      <c r="AE29" s="747" t="n"/>
    </row>
    <row r="30">
      <c r="C30" s="760" t="n"/>
      <c r="D30" s="751" t="n"/>
      <c r="E30" s="749" t="n"/>
      <c r="F30" s="749" t="n"/>
      <c r="G30" s="749" t="n"/>
      <c r="H30" s="749" t="n"/>
      <c r="I30" s="749" t="n"/>
      <c r="J30" s="749" t="n"/>
      <c r="K30" s="749" t="n"/>
      <c r="L30" s="749" t="n"/>
      <c r="M30" s="749" t="n"/>
      <c r="N30" s="749" t="n"/>
      <c r="O30" s="749" t="n"/>
      <c r="P30" s="749" t="n"/>
      <c r="Q30" s="750" t="n"/>
      <c r="Z30" s="746" t="n"/>
      <c r="AE30" s="747" t="n"/>
    </row>
    <row r="31">
      <c r="G31" s="57" t="inlineStr">
        <is>
          <t>please input above the preparations and other pertinent details for the calibrators to remember before starting</t>
        </is>
      </c>
      <c r="H31" s="56" t="n"/>
      <c r="I31" s="56" t="n"/>
      <c r="J31" s="56" t="n"/>
      <c r="K31" s="56" t="n"/>
      <c r="L31" s="56" t="n"/>
      <c r="M31" s="56" t="n"/>
      <c r="N31" s="56" t="n"/>
      <c r="O31" s="56" t="n"/>
      <c r="P31" s="56" t="n"/>
      <c r="Q31" s="56" t="n"/>
      <c r="Z31" s="746" t="n"/>
      <c r="AE31" s="747" t="n"/>
    </row>
    <row r="32" ht="15.75" customHeight="1" thickBot="1">
      <c r="B32" s="471" t="inlineStr">
        <is>
          <t>Calibrator Tools        :</t>
        </is>
      </c>
      <c r="D32" s="58" t="n"/>
      <c r="E32" s="58" t="n"/>
      <c r="F32" s="58" t="n"/>
      <c r="G32" s="59" t="n"/>
      <c r="H32" s="59" t="n"/>
      <c r="I32" s="59" t="n"/>
      <c r="J32" s="59" t="n"/>
      <c r="K32" s="59" t="n"/>
      <c r="L32" s="59" t="n"/>
      <c r="M32" s="59" t="n"/>
      <c r="N32" s="59" t="n"/>
      <c r="O32" s="59" t="n"/>
      <c r="P32" s="59" t="n"/>
      <c r="Q32" s="59" t="n"/>
      <c r="Z32" s="755" t="n"/>
      <c r="AA32" s="756" t="n"/>
      <c r="AB32" s="756" t="n"/>
      <c r="AC32" s="756" t="n"/>
      <c r="AD32" s="756" t="n"/>
      <c r="AE32" s="757" t="n"/>
    </row>
    <row r="33">
      <c r="D33" s="58" t="n"/>
      <c r="E33" s="58" t="n"/>
      <c r="F33" s="58" t="n"/>
      <c r="G33" s="59" t="n"/>
      <c r="H33" s="59" t="n"/>
      <c r="I33" s="59" t="n"/>
      <c r="J33" s="59" t="n"/>
      <c r="K33" s="59" t="n"/>
      <c r="L33" s="59" t="n"/>
      <c r="M33" s="59" t="n"/>
      <c r="N33" s="59" t="n"/>
      <c r="O33" s="59" t="n"/>
      <c r="P33" s="59" t="n"/>
      <c r="Q33" s="59" t="n"/>
    </row>
    <row r="34">
      <c r="D34" s="58" t="n"/>
      <c r="E34" s="58" t="n"/>
      <c r="F34" s="58" t="n"/>
      <c r="G34" s="59" t="n"/>
      <c r="H34" s="59" t="n"/>
      <c r="I34" s="59" t="n"/>
      <c r="J34" s="59" t="n"/>
      <c r="K34" s="59" t="n"/>
      <c r="L34" s="59" t="n"/>
      <c r="M34" s="59" t="n"/>
      <c r="N34" s="59" t="n"/>
      <c r="O34" s="59" t="inlineStr">
        <is>
          <t> </t>
        </is>
      </c>
      <c r="P34" s="59" t="n"/>
      <c r="Q34" s="59" t="n"/>
    </row>
    <row r="37" ht="15.75" customHeight="1" thickBot="1"/>
    <row r="38">
      <c r="B38" s="764" t="inlineStr">
        <is>
          <t>TSR #</t>
        </is>
      </c>
      <c r="C38" s="765" t="n"/>
      <c r="D38" s="766" t="inlineStr">
        <is>
          <t>Date of Calibration</t>
        </is>
      </c>
      <c r="E38" s="765" t="n"/>
      <c r="F38" s="767" t="inlineStr">
        <is>
          <t>In-Charge/ Supervisor</t>
        </is>
      </c>
      <c r="G38" s="765" t="n"/>
      <c r="H38" s="768" t="inlineStr">
        <is>
          <t>Location</t>
        </is>
      </c>
      <c r="I38" s="765" t="n"/>
      <c r="J38" s="767" t="inlineStr">
        <is>
          <t>Standards Used</t>
        </is>
      </c>
      <c r="K38" s="769" t="inlineStr">
        <is>
          <t>Calibrator/ Analyst</t>
        </is>
      </c>
      <c r="L38" s="50" t="n"/>
      <c r="M38" s="770" t="inlineStr">
        <is>
          <t>Test Points</t>
        </is>
      </c>
      <c r="N38" s="771" t="n"/>
      <c r="O38" s="771" t="n"/>
      <c r="P38" s="771" t="n"/>
      <c r="Q38" s="771" t="n"/>
      <c r="R38" s="771" t="n"/>
      <c r="S38" s="771" t="n"/>
      <c r="T38" s="771" t="n"/>
      <c r="U38" s="771" t="n"/>
      <c r="V38" s="772" t="n"/>
      <c r="W38" s="53" t="n"/>
      <c r="X38" s="773" t="inlineStr">
        <is>
          <t>Equivalent Force</t>
        </is>
      </c>
      <c r="Y38" s="771" t="n"/>
      <c r="Z38" s="771" t="n"/>
      <c r="AA38" s="771" t="n"/>
      <c r="AB38" s="771" t="n"/>
      <c r="AC38" s="771" t="n"/>
      <c r="AD38" s="771" t="n"/>
      <c r="AE38" s="771" t="n"/>
      <c r="AF38" s="771" t="n"/>
      <c r="AG38" s="772" t="n"/>
      <c r="AH38" s="53" t="n"/>
      <c r="AI38" s="766" t="inlineStr">
        <is>
          <t>U</t>
        </is>
      </c>
      <c r="AJ38" s="766" t="inlineStr">
        <is>
          <t>Class</t>
        </is>
      </c>
      <c r="AK38" s="774" t="inlineStr">
        <is>
          <t>Remarks</t>
        </is>
      </c>
    </row>
    <row r="39" ht="15.75" customHeight="1" thickBot="1">
      <c r="B39" s="755" t="n"/>
      <c r="C39" s="775" t="n"/>
      <c r="D39" s="776" t="n"/>
      <c r="E39" s="775" t="n"/>
      <c r="F39" s="776" t="n"/>
      <c r="G39" s="775" t="n"/>
      <c r="H39" s="756" t="n"/>
      <c r="I39" s="775" t="n"/>
      <c r="J39" s="777" t="n"/>
      <c r="K39" s="775" t="n"/>
      <c r="L39" s="51" t="n"/>
      <c r="M39" s="47" t="inlineStr">
        <is>
          <t>1st</t>
        </is>
      </c>
      <c r="N39" s="47" t="inlineStr">
        <is>
          <t>2nd</t>
        </is>
      </c>
      <c r="O39" s="47" t="inlineStr">
        <is>
          <t>3rd</t>
        </is>
      </c>
      <c r="P39" s="47" t="inlineStr">
        <is>
          <t>4th</t>
        </is>
      </c>
      <c r="Q39" s="47" t="inlineStr">
        <is>
          <t>5th</t>
        </is>
      </c>
      <c r="R39" s="47" t="inlineStr">
        <is>
          <t>6th</t>
        </is>
      </c>
      <c r="S39" s="47" t="inlineStr">
        <is>
          <t>7th</t>
        </is>
      </c>
      <c r="T39" s="47" t="inlineStr">
        <is>
          <t>8th</t>
        </is>
      </c>
      <c r="U39" s="47" t="inlineStr">
        <is>
          <t>9th</t>
        </is>
      </c>
      <c r="V39" s="48" t="inlineStr">
        <is>
          <t>10th</t>
        </is>
      </c>
      <c r="W39" s="54" t="n"/>
      <c r="X39" s="47" t="inlineStr">
        <is>
          <t>1st</t>
        </is>
      </c>
      <c r="Y39" s="47" t="inlineStr">
        <is>
          <t>2nd</t>
        </is>
      </c>
      <c r="Z39" s="47" t="inlineStr">
        <is>
          <t>3rd</t>
        </is>
      </c>
      <c r="AA39" s="47" t="inlineStr">
        <is>
          <t>4th</t>
        </is>
      </c>
      <c r="AB39" s="47" t="inlineStr">
        <is>
          <t>5th</t>
        </is>
      </c>
      <c r="AC39" s="47" t="inlineStr">
        <is>
          <t>6th</t>
        </is>
      </c>
      <c r="AD39" s="47" t="inlineStr">
        <is>
          <t>7th</t>
        </is>
      </c>
      <c r="AE39" s="47" t="inlineStr">
        <is>
          <t>8th</t>
        </is>
      </c>
      <c r="AF39" s="47" t="inlineStr">
        <is>
          <t>9th</t>
        </is>
      </c>
      <c r="AG39" s="48" t="inlineStr">
        <is>
          <t>10th</t>
        </is>
      </c>
      <c r="AH39" s="54" t="n"/>
      <c r="AI39" s="777" t="n"/>
      <c r="AJ39" s="777" t="n"/>
      <c r="AK39" s="757" t="n"/>
    </row>
    <row r="40" ht="15.75" customHeight="1" thickBot="1">
      <c r="B40" s="778" t="n"/>
      <c r="C40" s="779" t="n"/>
      <c r="D40" s="780" t="n"/>
      <c r="E40" s="779" t="n"/>
      <c r="F40" s="43" t="n"/>
      <c r="G40" s="45" t="n"/>
      <c r="H40" s="780" t="n"/>
      <c r="I40" s="779" t="n"/>
      <c r="J40" s="49" t="n"/>
      <c r="K40" s="49" t="n"/>
      <c r="L40" s="52" t="n"/>
      <c r="M40" s="46" t="n"/>
      <c r="N40" s="46" t="n"/>
      <c r="O40" s="46" t="n"/>
      <c r="P40" s="46" t="n"/>
      <c r="Q40" s="46" t="n"/>
      <c r="R40" s="46" t="n"/>
      <c r="S40" s="46" t="n"/>
      <c r="T40" s="46" t="n"/>
      <c r="U40" s="46" t="n"/>
      <c r="V40" s="46" t="n"/>
      <c r="W40" s="55" t="n"/>
      <c r="X40" s="46" t="n"/>
      <c r="Y40" s="46" t="n"/>
      <c r="Z40" s="46" t="n"/>
      <c r="AA40" s="46" t="n"/>
      <c r="AB40" s="46" t="n"/>
      <c r="AC40" s="46" t="n"/>
      <c r="AD40" s="46" t="n"/>
      <c r="AE40" s="46" t="n"/>
      <c r="AF40" s="46" t="n"/>
      <c r="AG40" s="46" t="n"/>
      <c r="AH40" s="55" t="n"/>
      <c r="AI40" s="46" t="n"/>
      <c r="AJ40" s="46" t="n"/>
      <c r="AK40" s="44" t="n"/>
    </row>
  </sheetData>
  <mergeCells count="48">
    <mergeCell ref="D11:I11"/>
    <mergeCell ref="D18:G18"/>
    <mergeCell ref="Z3:AE14"/>
    <mergeCell ref="AF3:AJ14"/>
    <mergeCell ref="B32:C34"/>
    <mergeCell ref="J38:J39"/>
    <mergeCell ref="N9:Q9"/>
    <mergeCell ref="D24:G24"/>
    <mergeCell ref="D40:E40"/>
    <mergeCell ref="H40:I40"/>
    <mergeCell ref="D7:I7"/>
    <mergeCell ref="F38:G39"/>
    <mergeCell ref="M38:V38"/>
    <mergeCell ref="D23:G23"/>
    <mergeCell ref="O21:Q21"/>
    <mergeCell ref="D26:G26"/>
    <mergeCell ref="S7:T7"/>
    <mergeCell ref="D20:G20"/>
    <mergeCell ref="AJ38:AJ39"/>
    <mergeCell ref="D9:I9"/>
    <mergeCell ref="N11:Q11"/>
    <mergeCell ref="D19:G19"/>
    <mergeCell ref="AK38:AK39"/>
    <mergeCell ref="N7:Q7"/>
    <mergeCell ref="D8:I8"/>
    <mergeCell ref="D38:E39"/>
    <mergeCell ref="K19:M19"/>
    <mergeCell ref="D21:G21"/>
    <mergeCell ref="K38:K39"/>
    <mergeCell ref="K18:M18"/>
    <mergeCell ref="B40:C40"/>
    <mergeCell ref="D27:G27"/>
    <mergeCell ref="H38:I39"/>
    <mergeCell ref="D10:I10"/>
    <mergeCell ref="D17:G17"/>
    <mergeCell ref="Z15:AE32"/>
    <mergeCell ref="AK3:AP14"/>
    <mergeCell ref="N17:Q17"/>
    <mergeCell ref="O18:Q18"/>
    <mergeCell ref="D30:Q30"/>
    <mergeCell ref="B29:C30"/>
    <mergeCell ref="K21:M21"/>
    <mergeCell ref="B38:C39"/>
    <mergeCell ref="D29:Q29"/>
    <mergeCell ref="AI38:AI39"/>
    <mergeCell ref="N10:Q10"/>
    <mergeCell ref="O20:Q20"/>
    <mergeCell ref="X38:AG38"/>
  </mergeCells>
  <dataValidations count="6">
    <dataValidation sqref="N17:Q17" showDropDown="0" showInputMessage="1" showErrorMessage="1" allowBlank="1" type="list">
      <formula1>"Compression, Tension"</formula1>
    </dataValidation>
    <dataValidation sqref="D19:G19" showDropDown="0" showInputMessage="1" showErrorMessage="1" allowBlank="1" type="list">
      <formula1>TypesMachine</formula1>
    </dataValidation>
    <dataValidation sqref="O18" showDropDown="0" showInputMessage="1" showErrorMessage="1" allowBlank="1" type="list">
      <formula1>"kgf, lbf, tf, kN"</formula1>
    </dataValidation>
    <dataValidation sqref="K20:L20" showDropDown="0" showInputMessage="1" showErrorMessage="1" allowBlank="1" type="list">
      <formula1>"Increment, Graduation"</formula1>
    </dataValidation>
    <dataValidation sqref="N10:Q11" showDropDown="0" showInputMessage="1" showErrorMessage="1" allowBlank="1" type="list">
      <formula1>calibrators</formula1>
    </dataValidation>
    <dataValidation sqref="D21" showDropDown="0" showInputMessage="1" showErrorMessage="1" allowBlank="1" type="list">
      <formula1>"Yes, No"</formula1>
    </dataValidation>
  </dataValidations>
  <pageMargins left="0.7" right="0.7" top="0.75" bottom="0.75" header="0.3" footer="0.3"/>
  <pageSetup orientation="portrait" verticalDpi="300"/>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codeName="Sheet7">
    <outlinePr summaryBelow="1" summaryRight="1"/>
    <pageSetUpPr fitToPage="1"/>
  </sheetPr>
  <dimension ref="A1:AR128"/>
  <sheetViews>
    <sheetView showGridLines="0" topLeftCell="A10" zoomScale="99" zoomScaleNormal="100" workbookViewId="0">
      <selection activeCell="I26" sqref="I26"/>
    </sheetView>
  </sheetViews>
  <sheetFormatPr baseColWidth="8" defaultColWidth="9.140625" defaultRowHeight="15"/>
  <cols>
    <col width="22.42578125" customWidth="1" style="8" min="1" max="1"/>
    <col width="56.42578125" customWidth="1" style="4" min="2" max="2"/>
    <col width="2.5703125" customWidth="1" style="4" min="3" max="3"/>
    <col width="8.5703125" customWidth="1" style="4" min="4" max="4"/>
    <col width="10.7109375" customWidth="1" style="4" min="5" max="6"/>
    <col hidden="1" width="11.85546875" customWidth="1" style="4" min="7" max="7"/>
    <col hidden="1" width="8.42578125" customWidth="1" style="4" min="8" max="8"/>
    <col width="12.5703125" customWidth="1" style="4" min="9" max="9"/>
    <col width="13.85546875" customWidth="1" style="4" min="10" max="11"/>
    <col width="2.28515625" customWidth="1" style="4" min="12" max="12"/>
    <col width="27.7109375" customWidth="1" style="4" min="13" max="13"/>
    <col width="5.140625" customWidth="1" style="4" min="14" max="14"/>
    <col width="27.7109375" customWidth="1" style="4" min="15" max="16"/>
    <col width="9.140625" customWidth="1" style="4" min="17" max="18"/>
    <col width="9.140625" customWidth="1" style="4" min="19" max="21"/>
    <col width="9.140625" customWidth="1" style="4" min="22" max="23"/>
    <col width="9.85546875" bestFit="1" customWidth="1" style="4" min="24" max="25"/>
    <col width="13.140625" customWidth="1" style="4" min="26" max="27"/>
    <col width="11.42578125" customWidth="1" style="4" min="28" max="28"/>
    <col width="10.28515625" customWidth="1" style="4" min="29" max="31"/>
    <col width="7.85546875" customWidth="1" style="4" min="32" max="32"/>
    <col hidden="1" width="2.5703125" customWidth="1" style="4" min="33" max="33"/>
    <col width="7.85546875" customWidth="1" style="4" min="34" max="34"/>
    <col hidden="1" width="2.5703125" customWidth="1" style="4" min="35" max="35"/>
    <col width="9.140625" customWidth="1" style="4" min="36" max="36"/>
    <col width="28.7109375" customWidth="1" style="4" min="37" max="39"/>
    <col width="28.85546875" customWidth="1" style="4" min="40" max="40"/>
    <col width="9.140625" customWidth="1" style="4" min="41" max="42"/>
    <col width="20.7109375" customWidth="1" style="4" min="43" max="43"/>
    <col width="18.7109375" customWidth="1" style="4" min="44" max="44"/>
    <col width="20.7109375" customWidth="1" style="4" min="45" max="45"/>
    <col width="24.7109375" customWidth="1" style="4" min="46" max="46"/>
    <col width="9.140625" customWidth="1" style="4" min="47" max="16384"/>
  </cols>
  <sheetData>
    <row r="1" ht="21" customHeight="1">
      <c r="A1" s="511" t="inlineStr">
        <is>
          <t>FORCE MEASUREMENT DATA</t>
        </is>
      </c>
      <c r="N1" s="511" t="n"/>
    </row>
    <row r="2" ht="15.75" customHeight="1">
      <c r="A2" s="512" t="inlineStr">
        <is>
          <t>Ver. 2 Rev.0 Mar 12, 2019</t>
        </is>
      </c>
      <c r="N2" s="512" t="n"/>
    </row>
    <row r="3">
      <c r="A3" s="513" t="inlineStr">
        <is>
          <t xml:space="preserve">revised &amp; developed by: gearnhale@yahoo.com according to ISO </t>
        </is>
      </c>
      <c r="N3" s="513" t="n"/>
    </row>
    <row r="4">
      <c r="A4" s="514" t="inlineStr">
        <is>
          <t>original developer: manuelmruiz@yahoo.com</t>
        </is>
      </c>
      <c r="N4" s="513" t="n"/>
    </row>
    <row r="5" ht="26.25" customHeight="1">
      <c r="A5" s="527">
        <f>IF(NOW()&gt;G40,"Calibration of Standard Expired - DO NOT USE!","")</f>
        <v/>
      </c>
      <c r="B5" s="781" t="n"/>
      <c r="C5" s="781" t="n"/>
      <c r="D5" s="781" t="n"/>
      <c r="E5" s="781" t="n"/>
      <c r="F5" s="781" t="n"/>
      <c r="G5" s="781" t="n"/>
      <c r="H5" s="781" t="n"/>
      <c r="I5" s="781" t="n"/>
      <c r="J5" s="781" t="n"/>
      <c r="K5" s="781" t="n"/>
      <c r="L5" s="781" t="n"/>
      <c r="M5" s="781" t="n"/>
      <c r="N5" s="513" t="n"/>
    </row>
    <row r="6">
      <c r="A6" s="67" t="inlineStr">
        <is>
          <t>Date of Calibration</t>
        </is>
      </c>
      <c r="B6" s="68">
        <f>'Dash Board'!D17</f>
        <v/>
      </c>
      <c r="C6" s="67" t="inlineStr">
        <is>
          <t>Calibration Mode</t>
        </is>
      </c>
      <c r="D6" s="67" t="n"/>
      <c r="E6" s="67" t="n"/>
      <c r="F6" s="191">
        <f>'Dash Board'!N17</f>
        <v/>
      </c>
      <c r="G6" s="192" t="n"/>
      <c r="H6" s="192" t="n"/>
      <c r="I6" s="192" t="n"/>
      <c r="J6" s="192" t="n"/>
      <c r="K6" s="193" t="n"/>
      <c r="L6" s="684" t="n"/>
    </row>
    <row r="7">
      <c r="A7" s="67" t="inlineStr">
        <is>
          <t>Request Reference No.</t>
        </is>
      </c>
      <c r="B7" s="782">
        <f>'Dash Board'!D18</f>
        <v/>
      </c>
      <c r="C7" s="67" t="inlineStr">
        <is>
          <t>Capacity</t>
        </is>
      </c>
      <c r="D7" s="67" t="n"/>
      <c r="E7" s="67" t="n"/>
      <c r="F7" s="170">
        <f>'Dash Board'!N18</f>
        <v/>
      </c>
      <c r="G7" s="171" t="n"/>
      <c r="H7" s="171" t="n"/>
      <c r="I7" s="171" t="n"/>
      <c r="J7" s="171" t="n"/>
      <c r="K7" s="172" t="n"/>
      <c r="L7" s="684" t="n"/>
    </row>
    <row r="8">
      <c r="A8" s="67" t="inlineStr">
        <is>
          <t>Calibration Item</t>
        </is>
      </c>
      <c r="B8" s="782">
        <f>'Dash Board'!D19</f>
        <v/>
      </c>
      <c r="C8" s="67" t="inlineStr">
        <is>
          <t>Range</t>
        </is>
      </c>
      <c r="D8" s="67" t="n"/>
      <c r="E8" s="67" t="n"/>
      <c r="F8" s="783">
        <f>'Dash Board'!N19&amp;'Dash Board'!O19&amp;'Dash Board'!P19&amp;" "&amp;'Dash Board'!Q19</f>
        <v/>
      </c>
      <c r="G8" s="784" t="n"/>
      <c r="H8" s="784" t="n"/>
      <c r="I8" s="784" t="n"/>
      <c r="J8" s="784" t="n"/>
      <c r="K8" s="785" t="n"/>
      <c r="L8" s="684" t="n"/>
    </row>
    <row r="9">
      <c r="A9" s="67" t="inlineStr">
        <is>
          <t xml:space="preserve">   Make / Model No.</t>
        </is>
      </c>
      <c r="B9" s="782">
        <f>'Dash Board'!D23</f>
        <v/>
      </c>
      <c r="C9" s="67" t="inlineStr">
        <is>
          <t>Increment/Graduation</t>
        </is>
      </c>
      <c r="D9" s="67" t="n"/>
      <c r="E9" s="67" t="n"/>
      <c r="F9" s="314">
        <f>'Dash Board'!N20&amp;" "&amp;'Dash Board'!O20</f>
        <v/>
      </c>
      <c r="G9" s="784" t="n"/>
      <c r="H9" s="784" t="n"/>
      <c r="I9" s="784" t="n"/>
      <c r="J9" s="784" t="n"/>
      <c r="K9" s="785" t="n"/>
      <c r="L9" s="684" t="n"/>
    </row>
    <row r="10">
      <c r="A10" s="67" t="inlineStr">
        <is>
          <t xml:space="preserve">   Serial No. / ID No.</t>
        </is>
      </c>
      <c r="B10" s="70">
        <f>'Dash Board'!D24</f>
        <v/>
      </c>
      <c r="C10" s="67" t="inlineStr">
        <is>
          <t>Resolution</t>
        </is>
      </c>
      <c r="D10" s="67" t="n"/>
      <c r="E10" s="67" t="n"/>
      <c r="F10" s="314">
        <f>'Dash Board'!N21&amp;" "&amp;'Dash Board'!O21</f>
        <v/>
      </c>
      <c r="G10" s="786" t="n"/>
      <c r="H10" s="786" t="n"/>
      <c r="I10" s="786" t="n"/>
      <c r="J10" s="786" t="n"/>
      <c r="K10" s="787" t="n"/>
      <c r="L10" s="684" t="n"/>
    </row>
    <row r="11" ht="18.75" customHeight="1">
      <c r="A11" s="516" t="n"/>
      <c r="M11" s="23" t="n"/>
      <c r="N11" s="23" t="n"/>
    </row>
    <row r="12" ht="18.75" customHeight="1" thickBot="1">
      <c r="A12" s="200" t="inlineStr">
        <is>
          <t>Guide on how to use this data entry system:</t>
        </is>
      </c>
      <c r="B12" s="194" t="n"/>
      <c r="D12" s="187" t="inlineStr">
        <is>
          <t>Environmental Conditions:</t>
        </is>
      </c>
      <c r="E12" s="188" t="n"/>
      <c r="F12" s="189" t="n"/>
      <c r="M12" s="23" t="n"/>
      <c r="N12" s="23" t="n"/>
    </row>
    <row r="13" ht="18.75" customHeight="1" thickTop="1">
      <c r="A13" s="195" t="inlineStr">
        <is>
          <t>1. Select the radio button of the machine indicator unit (kgf, lbf, N, kN).</t>
        </is>
      </c>
      <c r="B13" s="196" t="n"/>
      <c r="D13" s="185" t="n"/>
      <c r="E13" s="186" t="inlineStr">
        <is>
          <t>Before</t>
        </is>
      </c>
      <c r="F13" s="186" t="inlineStr">
        <is>
          <t>After</t>
        </is>
      </c>
      <c r="M13" s="23" t="n"/>
      <c r="N13" s="23" t="n"/>
    </row>
    <row r="14" ht="18.75" customHeight="1">
      <c r="A14" s="197" t="inlineStr">
        <is>
          <t>2. After capturing the digital amplifier's reading, change the machine indication accordingly.</t>
        </is>
      </c>
      <c r="B14" s="196" t="n"/>
      <c r="D14" s="184" t="inlineStr">
        <is>
          <t>Temp:</t>
        </is>
      </c>
      <c r="E14" s="788" t="n">
        <v>25</v>
      </c>
      <c r="F14" s="788" t="n">
        <v>25</v>
      </c>
      <c r="N14" s="527" t="n"/>
    </row>
    <row r="15" ht="18.75" customHeight="1">
      <c r="A15" s="197" t="inlineStr">
        <is>
          <t>3. Upon completion of each loading set, press the corresponding PRINT button. Make sure you have</t>
        </is>
      </c>
      <c r="B15" s="196" t="n"/>
      <c r="D15" s="184" t="inlineStr">
        <is>
          <t>Humidity:</t>
        </is>
      </c>
      <c r="E15" s="789" t="n">
        <v>33</v>
      </c>
      <c r="F15" s="789" t="n">
        <v>33</v>
      </c>
      <c r="N15" s="527" t="n"/>
    </row>
    <row r="16" ht="18.75" customHeight="1">
      <c r="A16" s="199" t="inlineStr">
        <is>
          <t xml:space="preserve">    change first the machine indication reading upon capturing.</t>
        </is>
      </c>
      <c r="B16" s="198" t="n"/>
      <c r="C16" s="527" t="n"/>
      <c r="D16" s="527" t="n"/>
      <c r="E16" s="527" t="n"/>
      <c r="F16" s="527" t="n"/>
      <c r="G16" s="527" t="n"/>
      <c r="H16" s="527" t="n"/>
      <c r="I16" s="527" t="n"/>
      <c r="J16" s="527" t="n"/>
      <c r="K16" s="527" t="n"/>
      <c r="L16" s="527" t="n"/>
      <c r="M16" s="527" t="n"/>
      <c r="N16" s="527" t="n"/>
    </row>
    <row r="17" ht="15.75" customHeight="1">
      <c r="A17" s="18" t="inlineStr">
        <is>
          <t>Data Logger</t>
        </is>
      </c>
      <c r="D17" s="19" t="inlineStr">
        <is>
          <t>Calibration Worksheet</t>
        </is>
      </c>
      <c r="J17" s="790" t="n"/>
    </row>
    <row r="18">
      <c r="I18" s="190" t="inlineStr">
        <is>
          <t>Machine Indicator Readability</t>
        </is>
      </c>
      <c r="K18" s="791">
        <f>F10</f>
        <v/>
      </c>
      <c r="L18" s="515" t="n"/>
      <c r="N18" s="516" t="n"/>
    </row>
    <row r="19">
      <c r="A19" s="508" t="inlineStr">
        <is>
          <t>Zero</t>
        </is>
      </c>
      <c r="B19" s="3" t="inlineStr">
        <is>
          <t xml:space="preserve">      1.1  1.1-DMP40      0.078086 mV/V  abs     13-Mar-19  13:04:56</t>
        </is>
      </c>
      <c r="M19" s="177" t="n"/>
      <c r="N19" s="684" t="n"/>
      <c r="O19" s="180" t="n"/>
    </row>
    <row r="20" ht="15" customHeight="1">
      <c r="A20" s="792" t="n"/>
      <c r="B20" s="5" t="inlineStr">
        <is>
          <t xml:space="preserve">      Excitation:   5.0 V Meas. Range: 2.5 mV/V</t>
        </is>
      </c>
      <c r="D20" s="518" t="inlineStr">
        <is>
          <t>Test</t>
        </is>
      </c>
      <c r="E20" s="21" t="inlineStr">
        <is>
          <t>Machine Indication</t>
        </is>
      </c>
      <c r="F20" s="793" t="n"/>
      <c r="G20" s="10" t="n"/>
      <c r="H20" s="10" t="n"/>
      <c r="I20" s="508" t="inlineStr">
        <is>
          <t>Load Cell Indication, mV/V</t>
        </is>
      </c>
      <c r="J20" s="793" t="n"/>
      <c r="K20" s="21" t="inlineStr">
        <is>
          <t>Equivalent Force, kN</t>
        </is>
      </c>
      <c r="L20" s="174" t="n"/>
      <c r="M20" s="178">
        <f>"                              : Pre-load from 0 to "&amp;MAX(E23:E32)</f>
        <v/>
      </c>
      <c r="N20" s="684" t="n"/>
      <c r="O20" s="180" t="n"/>
    </row>
    <row r="21">
      <c r="A21" s="794" t="n"/>
      <c r="B21" s="6" t="inlineStr">
        <is>
          <t xml:space="preserve">      Meas.   Filt: 0.90 Hz Be  AutoCal: Off  LV:1=0,2=0,3=0,4=0</t>
        </is>
      </c>
      <c r="D21" s="520" t="inlineStr">
        <is>
          <t>Point No.</t>
        </is>
      </c>
      <c r="E21" s="795">
        <f>L35</f>
        <v/>
      </c>
      <c r="F21" s="21" t="inlineStr">
        <is>
          <t>kN</t>
        </is>
      </c>
      <c r="G21" s="10" t="n"/>
      <c r="H21" s="10" t="n"/>
      <c r="I21" s="508" t="inlineStr">
        <is>
          <t>raw</t>
        </is>
      </c>
      <c r="J21" s="10" t="inlineStr">
        <is>
          <t>zero corrected</t>
        </is>
      </c>
      <c r="K21" s="794" t="n"/>
      <c r="L21" s="174" t="n"/>
      <c r="M21" s="177" t="n"/>
      <c r="N21" s="684" t="n"/>
      <c r="O21" s="180" t="n"/>
    </row>
    <row r="22">
      <c r="B22" s="9" t="n"/>
      <c r="D22" s="508" t="inlineStr">
        <is>
          <t>Zero</t>
        </is>
      </c>
      <c r="E22" s="27" t="n">
        <v>0</v>
      </c>
      <c r="F22" s="796">
        <f>IF(E22="","- -",E22*$K$35)</f>
        <v/>
      </c>
      <c r="G22" s="1">
        <f>B19</f>
        <v/>
      </c>
      <c r="H22" s="1">
        <f>RIGHT(G22, LEN(G22)-24)</f>
        <v/>
      </c>
      <c r="I22" s="797">
        <f>IFERROR(1*LEFT(H22, LEN(H22)-34), "- - ")</f>
        <v/>
      </c>
      <c r="J22" s="798">
        <f>IFERROR(I22-$I$22, "- -")</f>
        <v/>
      </c>
      <c r="K22" s="799">
        <f>IFERROR(($J$36*J22+$J$37*J22^2+$J$38*J22^3), "- - ")</f>
        <v/>
      </c>
      <c r="L22" s="800" t="n"/>
      <c r="M22" s="177" t="n"/>
      <c r="N22" s="684" t="n"/>
      <c r="O22" s="180" t="n"/>
    </row>
    <row r="23">
      <c r="A23" s="508" t="inlineStr">
        <is>
          <t>1st Test point</t>
        </is>
      </c>
      <c r="B23" s="3" t="inlineStr">
        <is>
          <t xml:space="preserve">      1.1  1.1-DMP40     -0.082988 mV/V  abs     13-Mar-19  13:06:28</t>
        </is>
      </c>
      <c r="D23" s="508" t="inlineStr">
        <is>
          <t>1st</t>
        </is>
      </c>
      <c r="E23" s="289" t="n">
        <v>20</v>
      </c>
      <c r="F23" s="796">
        <f>IF(E23="","- -",E23*$K$35)</f>
        <v/>
      </c>
      <c r="G23" s="1">
        <f>B23</f>
        <v/>
      </c>
      <c r="H23" s="1">
        <f>RIGHT(G23, LEN(G23)-24)</f>
        <v/>
      </c>
      <c r="I23" s="797">
        <f>IFERROR(1*LEFT(H23, LEN(H23)-34), "- - ")</f>
        <v/>
      </c>
      <c r="J23" s="798">
        <f>IFERROR(I23-$I$22, "- -")</f>
        <v/>
      </c>
      <c r="K23" s="799">
        <f>IFERROR(($J$36*J23+$J$37*J23^2+$J$38*J23^3), "- - ")</f>
        <v/>
      </c>
      <c r="L23" s="800" t="n"/>
      <c r="M23" s="177" t="n"/>
      <c r="N23" s="684" t="n"/>
      <c r="O23" s="180" t="n"/>
    </row>
    <row r="24">
      <c r="A24" s="792" t="n"/>
      <c r="B24" s="5" t="inlineStr">
        <is>
          <t xml:space="preserve">      Excitation:   5.0 V Meas. Range: 2.5 mV/V</t>
        </is>
      </c>
      <c r="D24" s="508" t="inlineStr">
        <is>
          <t>2nd</t>
        </is>
      </c>
      <c r="E24" s="289" t="n">
        <v>40</v>
      </c>
      <c r="F24" s="796">
        <f>IF(E24="","- -",E24*$K$35)</f>
        <v/>
      </c>
      <c r="G24" s="1">
        <f>B27</f>
        <v/>
      </c>
      <c r="H24" s="1">
        <f>RIGHT(G24, LEN(G24)-24)</f>
        <v/>
      </c>
      <c r="I24" s="797">
        <f>IFERROR(1*LEFT(H24, LEN(H24)-34), "- - ")</f>
        <v/>
      </c>
      <c r="J24" s="798">
        <f>IFERROR(I24-$I$22, "- -")</f>
        <v/>
      </c>
      <c r="K24" s="799">
        <f>IFERROR(($J$36*J24+$J$37*J24^2+$J$38*J24^3), "- - ")</f>
        <v/>
      </c>
      <c r="L24" s="800" t="n"/>
      <c r="M24" s="177" t="n"/>
      <c r="N24" s="684" t="n"/>
      <c r="O24" s="180" t="n"/>
    </row>
    <row r="25" ht="15.75" customHeight="1">
      <c r="A25" s="794" t="n"/>
      <c r="B25" s="6" t="inlineStr">
        <is>
          <t xml:space="preserve">      Meas.   Filt: 0.90 Hz Be  AutoCal: Off  LV:1=0,2=0,3=0,4=0</t>
        </is>
      </c>
      <c r="D25" s="508" t="inlineStr">
        <is>
          <t>3rd</t>
        </is>
      </c>
      <c r="E25" s="289" t="n">
        <v>60</v>
      </c>
      <c r="F25" s="796">
        <f>IF(E25="","- -",E25*$K$35)</f>
        <v/>
      </c>
      <c r="G25" s="1">
        <f>B31</f>
        <v/>
      </c>
      <c r="H25" s="1">
        <f>RIGHT(G25, LEN(G25)-24)</f>
        <v/>
      </c>
      <c r="I25" s="797">
        <f>IFERROR(1*LEFT(H25, LEN(H25)-34), "- - ")</f>
        <v/>
      </c>
      <c r="J25" s="798">
        <f>IFERROR(I25-$I$22, "- -")</f>
        <v/>
      </c>
      <c r="K25" s="799">
        <f>IFERROR(($J$36*J25+$J$37*J25^2+$J$38*J25^3), "- - ")</f>
        <v/>
      </c>
      <c r="L25" s="800" t="n"/>
      <c r="M25" s="177" t="n"/>
      <c r="N25" s="684" t="n"/>
      <c r="O25" s="180" t="n"/>
      <c r="AQ25" s="517" t="n"/>
    </row>
    <row r="26" ht="15.75" customHeight="1">
      <c r="B26" s="9" t="n"/>
      <c r="D26" s="508" t="inlineStr">
        <is>
          <t>4th</t>
        </is>
      </c>
      <c r="E26" s="289" t="n">
        <v>80</v>
      </c>
      <c r="F26" s="796">
        <f>IF(E26="","- -",E26*$K$35)</f>
        <v/>
      </c>
      <c r="G26" s="1">
        <f>B35</f>
        <v/>
      </c>
      <c r="H26" s="1">
        <f>RIGHT(G26, LEN(G26)-24)</f>
        <v/>
      </c>
      <c r="I26" s="797">
        <f>IFERROR(1*LEFT(H26, LEN(H26)-34), "- - ")</f>
        <v/>
      </c>
      <c r="J26" s="798">
        <f>IFERROR(I26-$I$22, "- -")</f>
        <v/>
      </c>
      <c r="K26" s="799">
        <f>IFERROR(($J$36*J26+$J$37*J26^2+$J$38*J26^3), "- - ")</f>
        <v/>
      </c>
      <c r="L26" s="800" t="n"/>
      <c r="M26" s="179" t="n"/>
      <c r="N26" s="684" t="n"/>
      <c r="O26" s="180" t="n"/>
      <c r="AQ26" s="26" t="n"/>
      <c r="AR26" s="26" t="n"/>
    </row>
    <row r="27" ht="15.75" customHeight="1">
      <c r="A27" s="508" t="inlineStr">
        <is>
          <t>2nd Test point</t>
        </is>
      </c>
      <c r="B27" s="3" t="inlineStr">
        <is>
          <t xml:space="preserve">      1.1  1.1-DMP40     -0.242682 mV/V  abs     13-Mar-19  13:06:55</t>
        </is>
      </c>
      <c r="D27" s="508" t="inlineStr">
        <is>
          <t>5th</t>
        </is>
      </c>
      <c r="E27" s="289" t="n">
        <v>100</v>
      </c>
      <c r="F27" s="796">
        <f>IF(E27="","- -",E27*$K$35)</f>
        <v/>
      </c>
      <c r="G27" s="1">
        <f>B39</f>
        <v/>
      </c>
      <c r="H27" s="1">
        <f>RIGHT(G27, LEN(G27)-24)</f>
        <v/>
      </c>
      <c r="I27" s="797">
        <f>IFERROR(1*LEFT(H27, LEN(H27)-34), "- - ")</f>
        <v/>
      </c>
      <c r="J27" s="798">
        <f>IFERROR(I27-$I$22, "- -")</f>
        <v/>
      </c>
      <c r="K27" s="799">
        <f>IFERROR(($J$36*J27+$J$37*J27^2+$J$38*J27^3), "- - ")</f>
        <v/>
      </c>
      <c r="L27" s="800" t="n"/>
      <c r="M27" s="179">
        <f>"                           : Increase load  0 to "&amp;MAX(E28:E37)</f>
        <v/>
      </c>
      <c r="N27" s="684" t="n"/>
      <c r="O27" s="180" t="n"/>
      <c r="AQ27" s="26" t="n"/>
      <c r="AR27" s="26" t="n"/>
    </row>
    <row r="28" ht="15.75" customHeight="1">
      <c r="A28" s="792" t="n"/>
      <c r="B28" s="5" t="inlineStr">
        <is>
          <t xml:space="preserve">      Excitation:   5.0 V Meas. Range: 2.5 mV/V</t>
        </is>
      </c>
      <c r="D28" s="508" t="inlineStr">
        <is>
          <t>6th</t>
        </is>
      </c>
      <c r="E28" s="289" t="n"/>
      <c r="F28" s="796">
        <f>IF(E28="","- -",E28*$K$35)</f>
        <v/>
      </c>
      <c r="G28" s="1">
        <f>B43</f>
        <v/>
      </c>
      <c r="H28" s="1">
        <f>RIGHT(G28, LEN(G28)-24)</f>
        <v/>
      </c>
      <c r="I28" s="797">
        <f>IFERROR(1*LEFT(H28, LEN(H28)-34), "- - ")</f>
        <v/>
      </c>
      <c r="J28" s="798">
        <f>IFERROR(I28-$I$22, "- -")</f>
        <v/>
      </c>
      <c r="K28" s="799">
        <f>IFERROR(($J$36*J28+$J$37*J28^2+$J$38*J28^3), "- - ")</f>
        <v/>
      </c>
      <c r="L28" s="800" t="n"/>
      <c r="M28" s="177" t="n"/>
      <c r="N28" s="684" t="n"/>
      <c r="O28" s="180" t="n"/>
      <c r="AQ28" s="26" t="n"/>
      <c r="AR28" s="26" t="n"/>
    </row>
    <row r="29">
      <c r="A29" s="794" t="n"/>
      <c r="B29" s="6" t="inlineStr">
        <is>
          <t xml:space="preserve">      Meas.   Filt: 0.90 Hz Be  AutoCal: Off  LV:1=0,2=0,3=0,4=0</t>
        </is>
      </c>
      <c r="D29" s="508" t="inlineStr">
        <is>
          <t>7th</t>
        </is>
      </c>
      <c r="E29" s="289" t="n"/>
      <c r="F29" s="796">
        <f>IF(E29="","- -",E29*$K$35)</f>
        <v/>
      </c>
      <c r="G29" s="1">
        <f>B47</f>
        <v/>
      </c>
      <c r="H29" s="1">
        <f>RIGHT(G29, LEN(G29)-24)</f>
        <v/>
      </c>
      <c r="I29" s="797">
        <f>IFERROR(1*LEFT(H29, LEN(H29)-34), "- - ")</f>
        <v/>
      </c>
      <c r="J29" s="798">
        <f>IFERROR(I29-$I$22, "- -")</f>
        <v/>
      </c>
      <c r="K29" s="799">
        <f>IFERROR(($J$36*J29+$J$37*J29^2+$J$38*J29^3), "- - ")</f>
        <v/>
      </c>
      <c r="L29" s="800" t="n"/>
      <c r="M29" s="177" t="n"/>
      <c r="N29" s="684" t="n"/>
      <c r="O29" s="180" t="n"/>
    </row>
    <row r="30">
      <c r="B30" s="9" t="n"/>
      <c r="D30" s="508" t="inlineStr">
        <is>
          <t>8th</t>
        </is>
      </c>
      <c r="E30" s="289" t="n"/>
      <c r="F30" s="796">
        <f>IF(E30="","- -",E30*$K$35)</f>
        <v/>
      </c>
      <c r="G30" s="1">
        <f>B51</f>
        <v/>
      </c>
      <c r="H30" s="1">
        <f>RIGHT(G30, LEN(G30)-24)</f>
        <v/>
      </c>
      <c r="I30" s="797">
        <f>IFERROR(1*LEFT(H30, LEN(H30)-34), "- - ")</f>
        <v/>
      </c>
      <c r="J30" s="798">
        <f>IFERROR(I30-$I$22, "- -")</f>
        <v/>
      </c>
      <c r="K30" s="799">
        <f>IFERROR(($J$36*J30+$J$37*J30^2+$J$38*J30^3), "- - ")</f>
        <v/>
      </c>
      <c r="L30" s="800" t="n"/>
      <c r="M30" s="177" t="n"/>
      <c r="N30" s="684" t="n"/>
      <c r="O30" s="180" t="n"/>
    </row>
    <row r="31">
      <c r="A31" s="508" t="inlineStr">
        <is>
          <t>3rd Test point</t>
        </is>
      </c>
      <c r="B31" s="3" t="inlineStr">
        <is>
          <t xml:space="preserve">      1.1  1.1-DMP40     -0.403444 mV/V  abs     13-Mar-19  13:07:17</t>
        </is>
      </c>
      <c r="D31" s="508" t="inlineStr">
        <is>
          <t>9th</t>
        </is>
      </c>
      <c r="E31" s="289" t="n"/>
      <c r="F31" s="796">
        <f>IF(E31="","- -",E31*$K$35)</f>
        <v/>
      </c>
      <c r="G31" s="1">
        <f>B55</f>
        <v/>
      </c>
      <c r="H31" s="1">
        <f>RIGHT(G31, LEN(G31)-24)</f>
        <v/>
      </c>
      <c r="I31" s="797">
        <f>IFERROR(1*LEFT(H31, LEN(H31)-34), "- - ")</f>
        <v/>
      </c>
      <c r="J31" s="798">
        <f>IFERROR(I31-$I$22, "- -")</f>
        <v/>
      </c>
      <c r="K31" s="799">
        <f>IFERROR(($J$36*J31+$J$37*J31^2+$J$38*J31^3), "- - ")</f>
        <v/>
      </c>
      <c r="L31" s="800" t="n"/>
      <c r="M31" s="177" t="n"/>
      <c r="N31" s="684" t="n"/>
      <c r="O31" s="180" t="n"/>
    </row>
    <row r="32">
      <c r="A32" s="792" t="n"/>
      <c r="B32" s="5" t="inlineStr">
        <is>
          <t xml:space="preserve">      Excitation:   5.0 V Meas. Range: 2.5 mV/V</t>
        </is>
      </c>
      <c r="D32" s="508" t="inlineStr">
        <is>
          <t>10th</t>
        </is>
      </c>
      <c r="E32" s="289" t="n"/>
      <c r="F32" s="796">
        <f>IF(E32="","- -",E32*$K$35)</f>
        <v/>
      </c>
      <c r="G32" s="1">
        <f>B59</f>
        <v/>
      </c>
      <c r="H32" s="1">
        <f>RIGHT(G32, LEN(G32)-24)</f>
        <v/>
      </c>
      <c r="I32" s="797">
        <f>IFERROR(1*LEFT(H32, LEN(H32)-34), "- - ")</f>
        <v/>
      </c>
      <c r="J32" s="798">
        <f>IFERROR(I32-$I$22, "- -")</f>
        <v/>
      </c>
      <c r="K32" s="799">
        <f>IFERROR(($J$36*J32+$J$37*J32^2+$J$38*J32^3), "- - ")</f>
        <v/>
      </c>
      <c r="L32" s="800" t="n"/>
      <c r="M32" s="177" t="n"/>
      <c r="N32" s="684" t="n"/>
      <c r="O32" s="180" t="n"/>
    </row>
    <row r="33">
      <c r="A33" s="794" t="n"/>
      <c r="B33" s="6" t="inlineStr">
        <is>
          <t xml:space="preserve">      Meas.   Filt: 0.90 Hz Be  AutoCal: Off  LV:1=0,2=0,3=0,4=0</t>
        </is>
      </c>
      <c r="D33" s="508" t="inlineStr">
        <is>
          <t>Zero</t>
        </is>
      </c>
      <c r="E33" s="27" t="n">
        <v>0</v>
      </c>
      <c r="F33" s="796">
        <f>IF(E33="","- -",E33*$K$35)</f>
        <v/>
      </c>
      <c r="G33" s="1">
        <f>B63</f>
        <v/>
      </c>
      <c r="H33" s="1">
        <f>RIGHT(G33, LEN(G33)-24)</f>
        <v/>
      </c>
      <c r="I33" s="797">
        <f>IFERROR(1*LEFT(H33, LEN(H33)-34), "- - ")</f>
        <v/>
      </c>
      <c r="J33" s="798">
        <f>IFERROR(I33-$I$22, "- -")</f>
        <v/>
      </c>
      <c r="K33" s="799">
        <f>IFERROR(($J$36*J33+$J$37*J33^2+$J$38*J33^3), "- - ")</f>
        <v/>
      </c>
      <c r="L33" s="800" t="n"/>
      <c r="M33" s="177" t="n"/>
      <c r="N33" s="684" t="n"/>
      <c r="O33" s="180" t="n"/>
    </row>
    <row r="34" ht="15" customHeight="1">
      <c r="B34" s="9" t="n"/>
      <c r="D34" s="801" t="inlineStr">
        <is>
          <t>Force Transducer Information</t>
        </is>
      </c>
      <c r="E34" s="802" t="n"/>
      <c r="F34" s="802" t="n"/>
      <c r="G34" s="65" t="n"/>
      <c r="H34" s="65" t="n"/>
      <c r="I34" s="65" t="n"/>
      <c r="J34" s="65" t="n"/>
    </row>
    <row r="35" ht="15" customHeight="1">
      <c r="A35" s="508" t="inlineStr">
        <is>
          <t>4th Test point</t>
        </is>
      </c>
      <c r="B35" s="3" t="inlineStr">
        <is>
          <t xml:space="preserve">      1.1  1.1-DMP40     -0.563466 mV/V  abs     13-Mar-19  13:08:12</t>
        </is>
      </c>
      <c r="D35" s="803" t="n"/>
      <c r="E35" s="803" t="n"/>
      <c r="F35" s="803" t="n"/>
      <c r="G35" s="19" t="n"/>
      <c r="H35" s="19" t="n"/>
      <c r="I35" s="19" t="n"/>
      <c r="J35" s="19" t="n"/>
      <c r="K35" s="288" t="n">
        <v>0.00980665</v>
      </c>
      <c r="L35" s="288" t="inlineStr">
        <is>
          <t>kgf</t>
        </is>
      </c>
      <c r="M35" s="288" t="n"/>
      <c r="N35" s="14" t="n"/>
    </row>
    <row r="36" ht="15" customHeight="1">
      <c r="A36" s="792" t="n"/>
      <c r="B36" s="5" t="inlineStr">
        <is>
          <t xml:space="preserve">      Excitation:   5.0 V Meas. Range: 2.5 mV/V</t>
        </is>
      </c>
      <c r="D36" s="61" t="inlineStr">
        <is>
          <t>Load Cell</t>
        </is>
      </c>
      <c r="E36" s="804" t="inlineStr">
        <is>
          <t>HBM/C3H3</t>
        </is>
      </c>
      <c r="F36" s="750" t="n"/>
      <c r="H36" s="4">
        <f>IF($F$6="Compression",6,10)</f>
        <v/>
      </c>
      <c r="I36" s="62" t="inlineStr">
        <is>
          <t>A</t>
        </is>
      </c>
      <c r="J36" s="805">
        <f>VLOOKUP($E$36,Table1[],H36,FALSE)</f>
        <v/>
      </c>
    </row>
    <row r="37">
      <c r="A37" s="794" t="n"/>
      <c r="B37" s="6" t="inlineStr">
        <is>
          <t xml:space="preserve">      Meas.   Filt: 0.90 Hz Be  AutoCal: Off  LV:1=0,2=0,3=0,4=0</t>
        </is>
      </c>
      <c r="D37" s="61" t="inlineStr">
        <is>
          <t>Capacity</t>
        </is>
      </c>
      <c r="E37" s="532">
        <f>VLOOKUP($E$36,Table1[],2,FALSE)</f>
        <v/>
      </c>
      <c r="F37" s="793" t="n"/>
      <c r="H37" s="4">
        <f>IF($F$6="Compression",7,11)</f>
        <v/>
      </c>
      <c r="I37" s="62" t="inlineStr">
        <is>
          <t>B</t>
        </is>
      </c>
      <c r="J37" s="805">
        <f>VLOOKUP($E$36,Table1[],H37,FALSE)</f>
        <v/>
      </c>
      <c r="K37" s="22" t="n"/>
    </row>
    <row r="38">
      <c r="B38" s="9" t="n"/>
      <c r="D38" s="183" t="inlineStr">
        <is>
          <t>Serial No.</t>
        </is>
      </c>
      <c r="E38" s="532">
        <f>VLOOKUP($E$36,Table1[],3,FALSE)</f>
        <v/>
      </c>
      <c r="F38" s="793" t="n"/>
      <c r="H38" s="4">
        <f>IF($F$6="Compression",8,12)</f>
        <v/>
      </c>
      <c r="I38" s="62" t="inlineStr">
        <is>
          <t>C</t>
        </is>
      </c>
      <c r="J38" s="805">
        <f>VLOOKUP($E$36,Table1[],H38,FALSE)</f>
        <v/>
      </c>
    </row>
    <row r="39">
      <c r="A39" s="508" t="inlineStr">
        <is>
          <t>5th Test point</t>
        </is>
      </c>
      <c r="B39" s="3" t="inlineStr">
        <is>
          <t xml:space="preserve">      1.1  1.1-DMP40     -0.723624 mV/V  abs     13-Mar-19  13:09:02</t>
        </is>
      </c>
      <c r="D39" s="61" t="inlineStr">
        <is>
          <t>Cal. Cert. No.</t>
        </is>
      </c>
      <c r="E39" s="532">
        <f>VLOOKUP($E$36,Table1[],4,FALSE)</f>
        <v/>
      </c>
      <c r="F39" s="793" t="n"/>
      <c r="G39" s="15" t="n"/>
      <c r="H39" s="4">
        <f>IF($F$6="Compression",9,13)</f>
        <v/>
      </c>
      <c r="I39" s="62" t="inlineStr">
        <is>
          <t>U, %</t>
        </is>
      </c>
      <c r="J39" s="805">
        <f>VLOOKUP($E$36,Table1[],H39,FALSE)</f>
        <v/>
      </c>
      <c r="L39" s="15" t="n"/>
    </row>
    <row r="40">
      <c r="A40" s="792" t="n"/>
      <c r="B40" s="5" t="inlineStr">
        <is>
          <t xml:space="preserve">      Excitation:   5.0 V Meas. Range: 2.5 mV/V</t>
        </is>
      </c>
      <c r="D40" s="183" t="inlineStr">
        <is>
          <t>Cal Date</t>
        </is>
      </c>
      <c r="E40" s="806">
        <f>VLOOKUP($E$36,Table1[],5,FALSE)</f>
        <v/>
      </c>
      <c r="F40" s="793" t="n"/>
      <c r="G40" s="807">
        <f>VLOOKUP($E$36,Table1[],14,FALSE)</f>
        <v/>
      </c>
      <c r="H40" s="4">
        <f>IF($F$6="Compression",10,14)</f>
        <v/>
      </c>
      <c r="I40" s="62" t="inlineStr">
        <is>
          <t>k</t>
        </is>
      </c>
      <c r="J40" s="64" t="n">
        <v>2</v>
      </c>
    </row>
    <row r="41">
      <c r="A41" s="794" t="n"/>
      <c r="B41" s="6" t="inlineStr">
        <is>
          <t xml:space="preserve">      Meas.   Filt: 0.90 Hz Be  AutoCal: Off  LV:1=0,2=0,3=0,4=0</t>
        </is>
      </c>
      <c r="C41" s="16" t="n"/>
    </row>
    <row r="42" ht="15" customHeight="1">
      <c r="B42" s="9" t="n"/>
    </row>
    <row r="43" ht="15" customHeight="1">
      <c r="A43" s="508" t="inlineStr">
        <is>
          <t>6th Test point</t>
        </is>
      </c>
      <c r="B43" s="3" t="n"/>
      <c r="D43" s="518" t="inlineStr">
        <is>
          <t>Test</t>
        </is>
      </c>
      <c r="E43" s="21" t="inlineStr">
        <is>
          <t>Machine Indication</t>
        </is>
      </c>
      <c r="F43" s="793" t="n"/>
      <c r="G43" s="10" t="n"/>
      <c r="H43" s="10" t="n"/>
      <c r="I43" s="508" t="inlineStr">
        <is>
          <t>Load Cell Indication, mV/V</t>
        </is>
      </c>
      <c r="J43" s="793" t="n"/>
      <c r="K43" s="21" t="inlineStr">
        <is>
          <t>Equivalent Force, kN</t>
        </is>
      </c>
    </row>
    <row r="44">
      <c r="A44" s="792" t="n"/>
      <c r="B44" s="5" t="n"/>
      <c r="C44" s="808" t="n"/>
      <c r="D44" s="520" t="inlineStr">
        <is>
          <t>Point No.</t>
        </is>
      </c>
      <c r="E44" s="795" t="inlineStr">
        <is>
          <t>kgf</t>
        </is>
      </c>
      <c r="F44" s="21" t="inlineStr">
        <is>
          <t>kN</t>
        </is>
      </c>
      <c r="G44" s="10" t="n"/>
      <c r="H44" s="10" t="n"/>
      <c r="I44" s="508" t="inlineStr">
        <is>
          <t>raw</t>
        </is>
      </c>
      <c r="J44" s="10" t="inlineStr">
        <is>
          <t>zero corrected</t>
        </is>
      </c>
      <c r="K44" s="794" t="n"/>
    </row>
    <row r="45">
      <c r="A45" s="794" t="n"/>
      <c r="B45" s="6" t="n"/>
      <c r="C45" s="808" t="n"/>
      <c r="D45" s="508" t="inlineStr">
        <is>
          <t>Zero</t>
        </is>
      </c>
      <c r="E45" s="418" t="n">
        <v>0</v>
      </c>
      <c r="F45" s="796" t="n">
        <v>0</v>
      </c>
      <c r="G45" s="1" t="inlineStr">
        <is>
          <t xml:space="preserve">      1.1  1.1-DMP40      0.078086 mV/V  abs     13-Mar-19  13:04:56</t>
        </is>
      </c>
      <c r="H45" s="1" t="inlineStr">
        <is>
          <t xml:space="preserve">  0.078086 mV/V  abs     13-Mar-19  13:04:56</t>
        </is>
      </c>
      <c r="I45" s="797" t="n">
        <v>0.078086</v>
      </c>
      <c r="J45" s="798" t="n">
        <v>0</v>
      </c>
      <c r="K45" s="799" t="n">
        <v>0</v>
      </c>
    </row>
    <row r="46">
      <c r="B46" s="9" t="n"/>
      <c r="C46" s="808" t="n"/>
      <c r="D46" s="508" t="inlineStr">
        <is>
          <t>1st</t>
        </is>
      </c>
      <c r="E46" s="419" t="n">
        <v>20</v>
      </c>
      <c r="F46" s="796" t="n">
        <v>0.196133</v>
      </c>
      <c r="G46" s="1" t="inlineStr">
        <is>
          <t xml:space="preserve">      1.1  1.1-DMP40     -0.082988 mV/V  abs     13-Mar-19  13:06:28</t>
        </is>
      </c>
      <c r="H46" s="1" t="inlineStr">
        <is>
          <t xml:space="preserve"> -0.082988 mV/V  abs     13-Mar-19  13:06:28</t>
        </is>
      </c>
      <c r="I46" s="797" t="n">
        <v>-0.08298800000000001</v>
      </c>
      <c r="J46" s="798" t="n">
        <v>-0.161074</v>
      </c>
      <c r="K46" s="799" t="n">
        <v>-0.7897104293616747</v>
      </c>
    </row>
    <row r="47">
      <c r="A47" s="508" t="inlineStr">
        <is>
          <t>7th Test point</t>
        </is>
      </c>
      <c r="B47" s="3" t="n"/>
      <c r="C47" s="808" t="n"/>
      <c r="D47" s="508" t="inlineStr">
        <is>
          <t>Zero</t>
        </is>
      </c>
      <c r="E47" s="418" t="n">
        <v>0</v>
      </c>
      <c r="F47" s="796" t="n">
        <v>0</v>
      </c>
      <c r="G47" s="1" t="inlineStr">
        <is>
          <t xml:space="preserve">      1.1  1.1-DMP40      0.077444 mV/V  abs     13-Mar-19  13:10:36</t>
        </is>
      </c>
      <c r="H47" s="1" t="inlineStr">
        <is>
          <t xml:space="preserve">  0.077444 mV/V  abs     13-Mar-19  13:10:36</t>
        </is>
      </c>
      <c r="I47" s="797" t="n">
        <v>0.077444</v>
      </c>
      <c r="J47" s="798" t="n">
        <v>-0.0006420000000000037</v>
      </c>
      <c r="K47" s="799" t="n">
        <v>-0.003147490127605174</v>
      </c>
    </row>
    <row r="48">
      <c r="A48" s="792" t="n"/>
      <c r="B48" s="5" t="n"/>
      <c r="C48" s="808" t="n"/>
    </row>
    <row r="49">
      <c r="A49" s="794" t="n"/>
      <c r="B49" s="6" t="n"/>
      <c r="C49" s="808" t="n"/>
      <c r="D49" s="4" t="inlineStr">
        <is>
          <t>Pre-Load 2</t>
        </is>
      </c>
    </row>
    <row r="50" ht="15" customHeight="1">
      <c r="B50" s="9" t="n"/>
      <c r="C50" s="808" t="n"/>
      <c r="D50" s="518" t="inlineStr">
        <is>
          <t>Test</t>
        </is>
      </c>
      <c r="E50" s="21" t="inlineStr">
        <is>
          <t>Machine Indication</t>
        </is>
      </c>
      <c r="F50" s="793" t="n"/>
      <c r="G50" s="10" t="n"/>
      <c r="H50" s="10" t="n"/>
      <c r="I50" s="508" t="inlineStr">
        <is>
          <t>Load Cell Indication, mV/V</t>
        </is>
      </c>
      <c r="J50" s="793" t="n"/>
      <c r="K50" s="21" t="inlineStr">
        <is>
          <t>Equivalent Force, kN</t>
        </is>
      </c>
    </row>
    <row r="51">
      <c r="A51" s="508" t="inlineStr">
        <is>
          <t>8th Test point</t>
        </is>
      </c>
      <c r="B51" s="3" t="n"/>
      <c r="C51" s="808" t="n"/>
      <c r="D51" s="520" t="inlineStr">
        <is>
          <t>Point No.</t>
        </is>
      </c>
      <c r="E51" s="795" t="inlineStr">
        <is>
          <t>kgf</t>
        </is>
      </c>
      <c r="F51" s="21" t="inlineStr">
        <is>
          <t>kN</t>
        </is>
      </c>
      <c r="G51" s="10" t="n"/>
      <c r="H51" s="10" t="n"/>
      <c r="I51" s="508" t="inlineStr">
        <is>
          <t>raw</t>
        </is>
      </c>
      <c r="J51" s="10" t="inlineStr">
        <is>
          <t>zero corrected</t>
        </is>
      </c>
      <c r="K51" s="794" t="n"/>
    </row>
    <row r="52">
      <c r="A52" s="792" t="n"/>
      <c r="B52" s="5" t="n"/>
      <c r="C52" s="808" t="n"/>
      <c r="D52" s="508" t="inlineStr">
        <is>
          <t>Zero</t>
        </is>
      </c>
      <c r="E52" s="418" t="n">
        <v>0</v>
      </c>
      <c r="F52" s="796" t="n">
        <v>0</v>
      </c>
      <c r="G52" s="1" t="inlineStr">
        <is>
          <t xml:space="preserve">      1.1  1.1-DMP40      0.078086 mV/V  abs     13-Mar-19  13:04:56</t>
        </is>
      </c>
      <c r="H52" s="1" t="inlineStr">
        <is>
          <t xml:space="preserve">  0.078086 mV/V  abs     13-Mar-19  13:04:56</t>
        </is>
      </c>
      <c r="I52" s="797" t="n">
        <v>0.078086</v>
      </c>
      <c r="J52" s="798" t="n">
        <v>0</v>
      </c>
      <c r="K52" s="799" t="n">
        <v>0</v>
      </c>
    </row>
    <row r="53">
      <c r="A53" s="794" t="n"/>
      <c r="B53" s="6" t="n"/>
      <c r="C53" s="808" t="n"/>
      <c r="D53" s="508" t="inlineStr">
        <is>
          <t>1st</t>
        </is>
      </c>
      <c r="E53" s="419" t="n">
        <v>20</v>
      </c>
      <c r="F53" s="796" t="n">
        <v>0.196133</v>
      </c>
      <c r="G53" s="1" t="inlineStr">
        <is>
          <t xml:space="preserve">      1.1  1.1-DMP40     -0.082988 mV/V  abs     13-Mar-19  13:06:28</t>
        </is>
      </c>
      <c r="H53" s="1" t="inlineStr">
        <is>
          <t xml:space="preserve"> -0.082988 mV/V  abs     13-Mar-19  13:06:28</t>
        </is>
      </c>
      <c r="I53" s="797" t="n">
        <v>-0.08298800000000001</v>
      </c>
      <c r="J53" s="798" t="n">
        <v>-0.161074</v>
      </c>
      <c r="K53" s="799" t="n">
        <v>-0.7897104293616747</v>
      </c>
    </row>
    <row r="54">
      <c r="B54" s="9" t="n"/>
      <c r="C54" s="808" t="n"/>
      <c r="D54" s="508" t="inlineStr">
        <is>
          <t>Zero</t>
        </is>
      </c>
      <c r="E54" s="418" t="n">
        <v>0</v>
      </c>
      <c r="F54" s="796" t="n">
        <v>0</v>
      </c>
      <c r="G54" s="1" t="inlineStr">
        <is>
          <t xml:space="preserve">      1.1  1.1-DMP40      0.077444 mV/V  abs     13-Mar-19  13:10:36</t>
        </is>
      </c>
      <c r="H54" s="1" t="inlineStr">
        <is>
          <t xml:space="preserve">  0.077444 mV/V  abs     13-Mar-19  13:10:36</t>
        </is>
      </c>
      <c r="I54" s="797" t="n">
        <v>0.077444</v>
      </c>
      <c r="J54" s="798" t="n">
        <v>-0.0006420000000000037</v>
      </c>
      <c r="K54" s="799" t="n">
        <v>-0.003147490127605174</v>
      </c>
    </row>
    <row r="55">
      <c r="A55" s="508" t="inlineStr">
        <is>
          <t>9th Test point</t>
        </is>
      </c>
      <c r="B55" s="3" t="n"/>
      <c r="C55" s="808" t="n"/>
      <c r="V55" s="4">
        <f>RIGHT(Software!E36)</f>
        <v/>
      </c>
    </row>
    <row r="56">
      <c r="A56" s="792" t="n"/>
      <c r="B56" s="5" t="n"/>
      <c r="D56" s="4" t="inlineStr">
        <is>
          <t>Pre-Load 3</t>
        </is>
      </c>
    </row>
    <row r="57" ht="15" customHeight="1">
      <c r="A57" s="794" t="n"/>
      <c r="B57" s="6" t="n"/>
      <c r="C57" s="16" t="n"/>
      <c r="D57" s="518" t="inlineStr">
        <is>
          <t>Test</t>
        </is>
      </c>
      <c r="E57" s="21" t="inlineStr">
        <is>
          <t>Machine Indication</t>
        </is>
      </c>
      <c r="F57" s="793" t="n"/>
      <c r="G57" s="10" t="n"/>
      <c r="H57" s="10" t="n"/>
      <c r="I57" s="508" t="inlineStr">
        <is>
          <t>Load Cell Indication, mV/V</t>
        </is>
      </c>
      <c r="J57" s="793" t="n"/>
      <c r="K57" s="21" t="inlineStr">
        <is>
          <t>Equivalent Force, kN</t>
        </is>
      </c>
    </row>
    <row r="58" ht="15" customHeight="1">
      <c r="B58" s="9" t="n"/>
      <c r="C58" s="16" t="n"/>
      <c r="D58" s="520" t="inlineStr">
        <is>
          <t>Point No.</t>
        </is>
      </c>
      <c r="E58" s="795" t="inlineStr">
        <is>
          <t>kgf</t>
        </is>
      </c>
      <c r="F58" s="21" t="inlineStr">
        <is>
          <t>kN</t>
        </is>
      </c>
      <c r="G58" s="10" t="n"/>
      <c r="H58" s="10" t="n"/>
      <c r="I58" s="508" t="inlineStr">
        <is>
          <t>raw</t>
        </is>
      </c>
      <c r="J58" s="10" t="inlineStr">
        <is>
          <t>zero corrected</t>
        </is>
      </c>
      <c r="K58" s="794" t="n"/>
    </row>
    <row r="59" ht="15" customHeight="1">
      <c r="A59" s="508" t="inlineStr">
        <is>
          <t>10th Test point</t>
        </is>
      </c>
      <c r="B59" s="3" t="n"/>
      <c r="C59" s="16" t="n"/>
      <c r="D59" s="508" t="inlineStr">
        <is>
          <t>Zero</t>
        </is>
      </c>
      <c r="E59" s="418" t="n">
        <v>0</v>
      </c>
      <c r="F59" s="796" t="n">
        <v>0</v>
      </c>
      <c r="G59" s="1" t="inlineStr">
        <is>
          <t xml:space="preserve">      1.1  1.1-DMP40      0.078086 mV/V  abs     13-Mar-19  13:04:56</t>
        </is>
      </c>
      <c r="H59" s="1" t="inlineStr">
        <is>
          <t xml:space="preserve">  0.078086 mV/V  abs     13-Mar-19  13:04:56</t>
        </is>
      </c>
      <c r="I59" s="797" t="n">
        <v>0.078086</v>
      </c>
      <c r="J59" s="798" t="n">
        <v>0</v>
      </c>
      <c r="K59" s="799" t="n">
        <v>0</v>
      </c>
    </row>
    <row r="60">
      <c r="A60" s="792" t="n"/>
      <c r="B60" s="5" t="n"/>
      <c r="C60" s="16" t="n"/>
      <c r="D60" s="508" t="inlineStr">
        <is>
          <t>1st</t>
        </is>
      </c>
      <c r="E60" s="419" t="n">
        <v>20</v>
      </c>
      <c r="F60" s="796" t="n">
        <v>0.196133</v>
      </c>
      <c r="G60" s="1" t="inlineStr">
        <is>
          <t xml:space="preserve">      1.1  1.1-DMP40     -0.082988 mV/V  abs     13-Mar-19  13:06:28</t>
        </is>
      </c>
      <c r="H60" s="1" t="inlineStr">
        <is>
          <t xml:space="preserve"> -0.082988 mV/V  abs     13-Mar-19  13:06:28</t>
        </is>
      </c>
      <c r="I60" s="797" t="n">
        <v>-0.08298800000000001</v>
      </c>
      <c r="J60" s="798" t="n">
        <v>-0.161074</v>
      </c>
      <c r="K60" s="799" t="n">
        <v>-0.7897104293616747</v>
      </c>
    </row>
    <row r="61">
      <c r="A61" s="794" t="n"/>
      <c r="B61" s="6" t="n"/>
      <c r="C61" s="16" t="n"/>
      <c r="D61" s="508" t="inlineStr">
        <is>
          <t>Zero</t>
        </is>
      </c>
      <c r="E61" s="418" t="n">
        <v>0</v>
      </c>
      <c r="F61" s="796" t="n">
        <v>0</v>
      </c>
      <c r="G61" s="1" t="inlineStr">
        <is>
          <t xml:space="preserve">      1.1  1.1-DMP40      0.077444 mV/V  abs     13-Mar-19  13:10:36</t>
        </is>
      </c>
      <c r="H61" s="1" t="inlineStr">
        <is>
          <t xml:space="preserve">  0.077444 mV/V  abs     13-Mar-19  13:10:36</t>
        </is>
      </c>
      <c r="I61" s="797" t="n">
        <v>0.077444</v>
      </c>
      <c r="J61" s="798" t="n">
        <v>-0.0006420000000000037</v>
      </c>
      <c r="K61" s="799" t="n">
        <v>-0.003147490127605174</v>
      </c>
    </row>
    <row r="62">
      <c r="B62" s="9" t="n"/>
      <c r="C62" s="16" t="n"/>
    </row>
    <row r="63" ht="14.45" customHeight="1">
      <c r="A63" s="508" t="inlineStr">
        <is>
          <t>Zero</t>
        </is>
      </c>
      <c r="B63" s="3" t="inlineStr">
        <is>
          <t xml:space="preserve">      1.1  1.1-DMP40      0.077444 mV/V  abs     13-Mar-19  13:10:36</t>
        </is>
      </c>
      <c r="C63" s="16" t="n"/>
      <c r="D63" s="8" t="inlineStr">
        <is>
          <t>Series 1</t>
        </is>
      </c>
      <c r="N63" s="19" t="n"/>
      <c r="O63" s="19" t="n"/>
    </row>
    <row r="64" ht="15" customHeight="1">
      <c r="A64" s="792" t="n"/>
      <c r="B64" s="5" t="inlineStr">
        <is>
          <t xml:space="preserve">      Excitation:   5.0 V Meas. Range: 2.5 mV/V</t>
        </is>
      </c>
      <c r="C64" s="16" t="n"/>
      <c r="D64" s="518" t="inlineStr">
        <is>
          <t>Test</t>
        </is>
      </c>
      <c r="E64" s="21" t="inlineStr">
        <is>
          <t>Machine Indication</t>
        </is>
      </c>
      <c r="F64" s="793" t="n"/>
      <c r="G64" s="10" t="n"/>
      <c r="H64" s="10" t="n"/>
      <c r="I64" s="508" t="inlineStr">
        <is>
          <t>Load Cell Indication, mV/V</t>
        </is>
      </c>
      <c r="J64" s="793" t="n"/>
      <c r="K64" s="21" t="inlineStr">
        <is>
          <t>Equivalent Force, kN</t>
        </is>
      </c>
      <c r="M64" s="19" t="n"/>
      <c r="N64" s="19" t="n"/>
      <c r="O64" s="19" t="n"/>
    </row>
    <row r="65">
      <c r="A65" s="794" t="n"/>
      <c r="B65" s="6" t="inlineStr">
        <is>
          <t xml:space="preserve">      Meas.   Filt: 0.90 Hz Be  AutoCal: Off  LV:1=0,2=0,3=0,4=0</t>
        </is>
      </c>
      <c r="C65" s="16" t="n"/>
      <c r="D65" s="520" t="inlineStr">
        <is>
          <t>Point No.</t>
        </is>
      </c>
      <c r="E65" s="795" t="inlineStr">
        <is>
          <t>kgf</t>
        </is>
      </c>
      <c r="F65" s="21" t="inlineStr">
        <is>
          <t>kN</t>
        </is>
      </c>
      <c r="G65" s="10" t="n"/>
      <c r="H65" s="10" t="n"/>
      <c r="I65" s="508" t="inlineStr">
        <is>
          <t>raw</t>
        </is>
      </c>
      <c r="J65" s="10" t="inlineStr">
        <is>
          <t>zero corrected</t>
        </is>
      </c>
      <c r="K65" s="794" t="n"/>
    </row>
    <row r="66" ht="15.75" customHeight="1">
      <c r="C66" s="16" t="n"/>
      <c r="D66" s="508" t="inlineStr">
        <is>
          <t>Zero</t>
        </is>
      </c>
      <c r="E66" s="418" t="n">
        <v>0</v>
      </c>
      <c r="F66" s="796" t="n">
        <v>0</v>
      </c>
      <c r="G66" s="1" t="inlineStr">
        <is>
          <t xml:space="preserve">      1.1  1.1-DMP40      0.078086 mV/V  abs     13-Mar-19  13:04:56</t>
        </is>
      </c>
      <c r="H66" s="1" t="inlineStr">
        <is>
          <t xml:space="preserve">  0.078086 mV/V  abs     13-Mar-19  13:04:56</t>
        </is>
      </c>
      <c r="I66" s="797" t="n">
        <v>0.078086</v>
      </c>
      <c r="J66" s="798" t="n">
        <v>0</v>
      </c>
      <c r="K66" s="799" t="n">
        <v>0</v>
      </c>
      <c r="M66" s="310" t="inlineStr">
        <is>
          <t>Error Estimation, in %</t>
        </is>
      </c>
      <c r="O66" s="4">
        <f>1000</f>
        <v/>
      </c>
    </row>
    <row r="67">
      <c r="C67" s="16" t="n"/>
      <c r="D67" s="508" t="inlineStr">
        <is>
          <t>1st</t>
        </is>
      </c>
      <c r="E67" s="419" t="n">
        <v>20</v>
      </c>
      <c r="F67" s="796" t="n">
        <v>0.196133</v>
      </c>
      <c r="G67" s="1" t="inlineStr">
        <is>
          <t xml:space="preserve">      1.1  1.1-DMP40     -0.082988 mV/V  abs     13-Mar-19  13:06:28</t>
        </is>
      </c>
      <c r="H67" s="1" t="inlineStr">
        <is>
          <t xml:space="preserve"> -0.082988 mV/V  abs     13-Mar-19  13:06:28</t>
        </is>
      </c>
      <c r="I67" s="797" t="n">
        <v>-0.08298800000000001</v>
      </c>
      <c r="J67" s="798" t="n">
        <v>-0.161074</v>
      </c>
      <c r="K67" s="799" t="n">
        <v>-0.7897104293616747</v>
      </c>
      <c r="M67" s="798">
        <f>IFERROR(((F67-K67)/K67)*100,"- -")</f>
        <v/>
      </c>
    </row>
    <row r="68">
      <c r="C68" s="16" t="n"/>
      <c r="D68" s="508" t="inlineStr">
        <is>
          <t>2nd</t>
        </is>
      </c>
      <c r="E68" s="419" t="n">
        <v>40</v>
      </c>
      <c r="F68" s="796" t="n">
        <v>0.392266</v>
      </c>
      <c r="G68" s="1" t="inlineStr">
        <is>
          <t xml:space="preserve">      1.1  1.1-DMP40     -0.242682 mV/V  abs     13-Mar-19  13:06:55</t>
        </is>
      </c>
      <c r="H68" s="1" t="inlineStr">
        <is>
          <t xml:space="preserve"> -0.242682 mV/V  abs     13-Mar-19  13:06:55</t>
        </is>
      </c>
      <c r="I68" s="797" t="n">
        <v>-0.242682</v>
      </c>
      <c r="J68" s="798" t="n">
        <v>-0.320768</v>
      </c>
      <c r="K68" s="799" t="n">
        <v>-1.57270113083036</v>
      </c>
      <c r="M68" s="798">
        <f>IFERROR(((F68-K68)/K68)*100,"- -")</f>
        <v/>
      </c>
    </row>
    <row r="69">
      <c r="C69" s="16" t="n"/>
      <c r="D69" s="508" t="inlineStr">
        <is>
          <t>3rd</t>
        </is>
      </c>
      <c r="E69" s="419" t="n">
        <v>60</v>
      </c>
      <c r="F69" s="796" t="n">
        <v>0.588399</v>
      </c>
      <c r="G69" s="1" t="inlineStr">
        <is>
          <t xml:space="preserve">      1.1  1.1-DMP40     -0.403444 mV/V  abs     13-Mar-19  13:07:17</t>
        </is>
      </c>
      <c r="H69" s="1" t="inlineStr">
        <is>
          <t xml:space="preserve"> -0.403444 mV/V  abs     13-Mar-19  13:07:17</t>
        </is>
      </c>
      <c r="I69" s="797" t="n">
        <v>-0.403444</v>
      </c>
      <c r="J69" s="798" t="n">
        <v>-0.48153</v>
      </c>
      <c r="K69" s="799" t="n">
        <v>-2.360973105588155</v>
      </c>
      <c r="M69" s="798">
        <f>IFERROR(((F69-K69)/K69)*100,"- -")</f>
        <v/>
      </c>
    </row>
    <row r="70">
      <c r="C70" s="16" t="n"/>
      <c r="D70" s="508" t="inlineStr">
        <is>
          <t>4th</t>
        </is>
      </c>
      <c r="E70" s="419" t="n">
        <v>80</v>
      </c>
      <c r="F70" s="796" t="n">
        <v>0.784532</v>
      </c>
      <c r="G70" s="1" t="inlineStr">
        <is>
          <t xml:space="preserve">      1.1  1.1-DMP40     -0.563466 mV/V  abs     13-Mar-19  13:08:12</t>
        </is>
      </c>
      <c r="H70" s="1" t="inlineStr">
        <is>
          <t xml:space="preserve"> -0.563466 mV/V  abs     13-Mar-19  13:08:12</t>
        </is>
      </c>
      <c r="I70" s="797" t="n">
        <v>-0.563466</v>
      </c>
      <c r="J70" s="798" t="n">
        <v>-0.641552</v>
      </c>
      <c r="K70" s="799" t="n">
        <v>-3.145659670697023</v>
      </c>
      <c r="M70" s="798">
        <f>IFERROR(((F70-K70)/K70)*100,"- -")</f>
        <v/>
      </c>
    </row>
    <row r="71">
      <c r="C71" s="16" t="n"/>
      <c r="D71" s="508" t="inlineStr">
        <is>
          <t>5th</t>
        </is>
      </c>
      <c r="E71" s="419" t="n">
        <v>100</v>
      </c>
      <c r="F71" s="796" t="n">
        <v>0.980665</v>
      </c>
      <c r="G71" s="1" t="inlineStr">
        <is>
          <t xml:space="preserve">      1.1  1.1-DMP40     -0.723624 mV/V  abs     13-Mar-19  13:09:02</t>
        </is>
      </c>
      <c r="H71" s="1" t="inlineStr">
        <is>
          <t xml:space="preserve"> -0.723624 mV/V  abs     13-Mar-19  13:09:02</t>
        </is>
      </c>
      <c r="I71" s="797" t="n">
        <v>-0.723624</v>
      </c>
      <c r="J71" s="798" t="n">
        <v>-0.80171</v>
      </c>
      <c r="K71" s="799" t="n">
        <v>-3.93105458342828</v>
      </c>
      <c r="M71" s="798">
        <f>IFERROR(((F71-K71)/K71)*100,"- -")</f>
        <v/>
      </c>
    </row>
    <row r="72">
      <c r="D72" s="508" t="inlineStr">
        <is>
          <t>6th</t>
        </is>
      </c>
      <c r="E72" s="419" t="n"/>
      <c r="F72" s="796" t="inlineStr">
        <is>
          <t>- -</t>
        </is>
      </c>
      <c r="G72" s="1" t="n">
        <v>0</v>
      </c>
      <c r="H72" s="1" t="e">
        <v>#VALUE!</v>
      </c>
      <c r="I72" s="797" t="inlineStr">
        <is>
          <t xml:space="preserve">- - </t>
        </is>
      </c>
      <c r="J72" s="798" t="inlineStr">
        <is>
          <t>- -</t>
        </is>
      </c>
      <c r="K72" s="799" t="inlineStr">
        <is>
          <t xml:space="preserve">- - </t>
        </is>
      </c>
    </row>
    <row r="73">
      <c r="C73" s="16" t="n"/>
      <c r="D73" s="508" t="inlineStr">
        <is>
          <t>7th</t>
        </is>
      </c>
      <c r="E73" s="419" t="n"/>
      <c r="F73" s="796" t="inlineStr">
        <is>
          <t>- -</t>
        </is>
      </c>
      <c r="G73" s="1" t="n">
        <v>0</v>
      </c>
      <c r="H73" s="1" t="e">
        <v>#VALUE!</v>
      </c>
      <c r="I73" s="797" t="inlineStr">
        <is>
          <t xml:space="preserve">- - </t>
        </is>
      </c>
      <c r="J73" s="798" t="inlineStr">
        <is>
          <t>- -</t>
        </is>
      </c>
      <c r="K73" s="799" t="inlineStr">
        <is>
          <t xml:space="preserve">- - </t>
        </is>
      </c>
    </row>
    <row r="74" ht="15" customHeight="1">
      <c r="C74" s="16" t="n"/>
      <c r="D74" s="508" t="inlineStr">
        <is>
          <t>8th</t>
        </is>
      </c>
      <c r="E74" s="419" t="n"/>
      <c r="F74" s="796" t="inlineStr">
        <is>
          <t>- -</t>
        </is>
      </c>
      <c r="G74" s="1" t="n">
        <v>0</v>
      </c>
      <c r="H74" s="1" t="e">
        <v>#VALUE!</v>
      </c>
      <c r="I74" s="797" t="inlineStr">
        <is>
          <t xml:space="preserve">- - </t>
        </is>
      </c>
      <c r="J74" s="798" t="inlineStr">
        <is>
          <t>- -</t>
        </is>
      </c>
      <c r="K74" s="799" t="inlineStr">
        <is>
          <t xml:space="preserve">- - </t>
        </is>
      </c>
    </row>
    <row r="75" ht="15" customHeight="1">
      <c r="C75" s="16" t="n"/>
      <c r="D75" s="508" t="inlineStr">
        <is>
          <t>9th</t>
        </is>
      </c>
      <c r="E75" s="419" t="n"/>
      <c r="F75" s="796" t="inlineStr">
        <is>
          <t>- -</t>
        </is>
      </c>
      <c r="G75" s="1" t="n">
        <v>0</v>
      </c>
      <c r="H75" s="1" t="e">
        <v>#VALUE!</v>
      </c>
      <c r="I75" s="797" t="inlineStr">
        <is>
          <t xml:space="preserve">- - </t>
        </is>
      </c>
      <c r="J75" s="798" t="inlineStr">
        <is>
          <t>- -</t>
        </is>
      </c>
      <c r="K75" s="799" t="inlineStr">
        <is>
          <t xml:space="preserve">- - </t>
        </is>
      </c>
    </row>
    <row r="76">
      <c r="C76" s="16" t="n"/>
      <c r="D76" s="508" t="inlineStr">
        <is>
          <t>10th</t>
        </is>
      </c>
      <c r="E76" s="419" t="n"/>
      <c r="F76" s="796" t="inlineStr">
        <is>
          <t>- -</t>
        </is>
      </c>
      <c r="G76" s="1" t="n">
        <v>0</v>
      </c>
      <c r="H76" s="1" t="e">
        <v>#VALUE!</v>
      </c>
      <c r="I76" s="797" t="inlineStr">
        <is>
          <t xml:space="preserve">- - </t>
        </is>
      </c>
      <c r="J76" s="798" t="inlineStr">
        <is>
          <t>- -</t>
        </is>
      </c>
      <c r="K76" s="799" t="inlineStr">
        <is>
          <t xml:space="preserve">- - </t>
        </is>
      </c>
    </row>
    <row r="77">
      <c r="C77" s="16" t="n"/>
      <c r="D77" s="508" t="inlineStr">
        <is>
          <t>Zero</t>
        </is>
      </c>
      <c r="E77" s="418" t="n">
        <v>0</v>
      </c>
      <c r="F77" s="796" t="n">
        <v>0</v>
      </c>
      <c r="G77" s="1" t="inlineStr">
        <is>
          <t xml:space="preserve">      1.1  1.1-DMP40      0.077444 mV/V  abs     13-Mar-19  13:10:36</t>
        </is>
      </c>
      <c r="H77" s="1" t="inlineStr">
        <is>
          <t xml:space="preserve">  0.077444 mV/V  abs     13-Mar-19  13:10:36</t>
        </is>
      </c>
      <c r="I77" s="797" t="n">
        <v>0.077444</v>
      </c>
      <c r="J77" s="798" t="n">
        <v>-0.0006420000000000037</v>
      </c>
      <c r="K77" s="799" t="n">
        <v>-0.003147490127605174</v>
      </c>
    </row>
    <row r="78">
      <c r="C78" s="16" t="n"/>
    </row>
    <row r="79">
      <c r="C79" s="16" t="n"/>
      <c r="D79" s="8" t="inlineStr">
        <is>
          <t>Series 2</t>
        </is>
      </c>
    </row>
    <row r="80" ht="15" customHeight="1">
      <c r="C80" s="16" t="n"/>
      <c r="D80" s="518" t="inlineStr">
        <is>
          <t>Test</t>
        </is>
      </c>
      <c r="E80" s="21" t="inlineStr">
        <is>
          <t>Machine Indication</t>
        </is>
      </c>
      <c r="F80" s="793" t="n"/>
      <c r="G80" s="10" t="n"/>
      <c r="H80" s="10" t="n"/>
      <c r="I80" s="508" t="inlineStr">
        <is>
          <t>Load Cell Indication, mV/V</t>
        </is>
      </c>
      <c r="J80" s="793" t="n"/>
      <c r="K80" s="21" t="inlineStr">
        <is>
          <t>Equivalent Force, kN</t>
        </is>
      </c>
    </row>
    <row r="81">
      <c r="C81" s="16" t="n"/>
      <c r="D81" s="520" t="inlineStr">
        <is>
          <t>Point No.</t>
        </is>
      </c>
      <c r="E81" s="795" t="inlineStr">
        <is>
          <t>kgf</t>
        </is>
      </c>
      <c r="F81" s="21" t="inlineStr">
        <is>
          <t>kN</t>
        </is>
      </c>
      <c r="G81" s="10" t="n"/>
      <c r="H81" s="10" t="n"/>
      <c r="I81" s="508" t="inlineStr">
        <is>
          <t>raw</t>
        </is>
      </c>
      <c r="J81" s="10" t="inlineStr">
        <is>
          <t>zero corrected</t>
        </is>
      </c>
      <c r="K81" s="794" t="n"/>
    </row>
    <row r="82" ht="15.75" customHeight="1">
      <c r="C82" s="16" t="n"/>
      <c r="D82" s="508" t="inlineStr">
        <is>
          <t>Zero</t>
        </is>
      </c>
      <c r="E82" s="418" t="n">
        <v>0</v>
      </c>
      <c r="F82" s="796" t="n">
        <v>0</v>
      </c>
      <c r="G82" s="1" t="inlineStr">
        <is>
          <t xml:space="preserve">      1.1  1.1-DMP40      0.078086 mV/V  abs     13-Mar-19  13:04:56</t>
        </is>
      </c>
      <c r="H82" s="1" t="inlineStr">
        <is>
          <t xml:space="preserve">  0.078086 mV/V  abs     13-Mar-19  13:04:56</t>
        </is>
      </c>
      <c r="I82" s="797" t="n">
        <v>0.078086</v>
      </c>
      <c r="J82" s="798" t="n">
        <v>0</v>
      </c>
      <c r="K82" s="799" t="n">
        <v>0</v>
      </c>
      <c r="M82" s="310" t="inlineStr">
        <is>
          <t>Error Estimation, in %</t>
        </is>
      </c>
    </row>
    <row r="83">
      <c r="C83" s="16" t="n"/>
      <c r="D83" s="508" t="inlineStr">
        <is>
          <t>1st</t>
        </is>
      </c>
      <c r="E83" s="419" t="n">
        <v>20</v>
      </c>
      <c r="F83" s="796" t="n">
        <v>0.196133</v>
      </c>
      <c r="G83" s="1" t="inlineStr">
        <is>
          <t xml:space="preserve">      1.1  1.1-DMP40     -0.082988 mV/V  abs     13-Mar-19  13:06:28</t>
        </is>
      </c>
      <c r="H83" s="1" t="inlineStr">
        <is>
          <t xml:space="preserve"> -0.082988 mV/V  abs     13-Mar-19  13:06:28</t>
        </is>
      </c>
      <c r="I83" s="797" t="n">
        <v>-0.08298800000000001</v>
      </c>
      <c r="J83" s="798" t="n">
        <v>-0.161074</v>
      </c>
      <c r="K83" s="799" t="n">
        <v>-0.7897104293616747</v>
      </c>
      <c r="M83" s="798">
        <f>IFERROR(((F83-K83)/K83)*100,"- -")</f>
        <v/>
      </c>
    </row>
    <row r="84">
      <c r="C84" s="16" t="n"/>
      <c r="D84" s="508" t="inlineStr">
        <is>
          <t>2nd</t>
        </is>
      </c>
      <c r="E84" s="419" t="n">
        <v>40</v>
      </c>
      <c r="F84" s="796" t="n">
        <v>0.392266</v>
      </c>
      <c r="G84" s="1" t="inlineStr">
        <is>
          <t xml:space="preserve">      1.1  1.1-DMP40     -0.242682 mV/V  abs     13-Mar-19  13:06:55</t>
        </is>
      </c>
      <c r="H84" s="1" t="inlineStr">
        <is>
          <t xml:space="preserve"> -0.242682 mV/V  abs     13-Mar-19  13:06:55</t>
        </is>
      </c>
      <c r="I84" s="797" t="n">
        <v>-0.242682</v>
      </c>
      <c r="J84" s="798" t="n">
        <v>-0.320768</v>
      </c>
      <c r="K84" s="799" t="n">
        <v>-1.57270113083036</v>
      </c>
      <c r="M84" s="798">
        <f>IFERROR(((F84-K84)/K84)*100,"- -")</f>
        <v/>
      </c>
    </row>
    <row r="85">
      <c r="C85" s="16" t="n"/>
      <c r="D85" s="508" t="inlineStr">
        <is>
          <t>3rd</t>
        </is>
      </c>
      <c r="E85" s="419" t="n">
        <v>60</v>
      </c>
      <c r="F85" s="796" t="n">
        <v>0.588399</v>
      </c>
      <c r="G85" s="1" t="inlineStr">
        <is>
          <t xml:space="preserve">      1.1  1.1-DMP40     -0.403444 mV/V  abs     13-Mar-19  13:07:17</t>
        </is>
      </c>
      <c r="H85" s="1" t="inlineStr">
        <is>
          <t xml:space="preserve"> -0.403444 mV/V  abs     13-Mar-19  13:07:17</t>
        </is>
      </c>
      <c r="I85" s="797" t="n">
        <v>-0.403444</v>
      </c>
      <c r="J85" s="798" t="n">
        <v>-0.48153</v>
      </c>
      <c r="K85" s="799" t="n">
        <v>-2.360973105588155</v>
      </c>
      <c r="M85" s="798">
        <f>IFERROR(((F85-K85)/K85)*100,"- -")</f>
        <v/>
      </c>
    </row>
    <row r="86">
      <c r="C86" s="16" t="n"/>
      <c r="D86" s="508" t="inlineStr">
        <is>
          <t>4th</t>
        </is>
      </c>
      <c r="E86" s="419" t="n">
        <v>80</v>
      </c>
      <c r="F86" s="796" t="n">
        <v>0.784532</v>
      </c>
      <c r="G86" s="1" t="inlineStr">
        <is>
          <t xml:space="preserve">      1.1  1.1-DMP40     -0.563466 mV/V  abs     13-Mar-19  13:08:12</t>
        </is>
      </c>
      <c r="H86" s="1" t="inlineStr">
        <is>
          <t xml:space="preserve"> -0.563466 mV/V  abs     13-Mar-19  13:08:12</t>
        </is>
      </c>
      <c r="I86" s="797" t="n">
        <v>-0.563466</v>
      </c>
      <c r="J86" s="798" t="n">
        <v>-0.641552</v>
      </c>
      <c r="K86" s="799" t="n">
        <v>-3.145659670697023</v>
      </c>
      <c r="M86" s="798">
        <f>IFERROR(((F86-K86)/K86)*100,"- -")</f>
        <v/>
      </c>
    </row>
    <row r="87">
      <c r="C87" s="16" t="n"/>
      <c r="D87" s="508" t="inlineStr">
        <is>
          <t>5th</t>
        </is>
      </c>
      <c r="E87" s="419" t="n">
        <v>100</v>
      </c>
      <c r="F87" s="796" t="n">
        <v>0.980665</v>
      </c>
      <c r="G87" s="1" t="inlineStr">
        <is>
          <t xml:space="preserve">      1.1  1.1-DMP40     -0.723624 mV/V  abs     13-Mar-19  13:09:02</t>
        </is>
      </c>
      <c r="H87" s="1" t="inlineStr">
        <is>
          <t xml:space="preserve"> -0.723624 mV/V  abs     13-Mar-19  13:09:02</t>
        </is>
      </c>
      <c r="I87" s="797" t="n">
        <v>-0.723624</v>
      </c>
      <c r="J87" s="798" t="n">
        <v>-0.80171</v>
      </c>
      <c r="K87" s="799" t="n">
        <v>-3.93105458342828</v>
      </c>
      <c r="M87" s="798">
        <f>IFERROR(((F87-K87)/K87)*100,"- -")</f>
        <v/>
      </c>
    </row>
    <row r="88">
      <c r="D88" s="508" t="inlineStr">
        <is>
          <t>6th</t>
        </is>
      </c>
      <c r="E88" s="419" t="n"/>
      <c r="F88" s="796" t="inlineStr">
        <is>
          <t>- -</t>
        </is>
      </c>
      <c r="G88" s="1" t="n">
        <v>0</v>
      </c>
      <c r="H88" s="1" t="e">
        <v>#VALUE!</v>
      </c>
      <c r="I88" s="797" t="inlineStr">
        <is>
          <t xml:space="preserve">- - </t>
        </is>
      </c>
      <c r="J88" s="798" t="inlineStr">
        <is>
          <t>- -</t>
        </is>
      </c>
      <c r="K88" s="799" t="inlineStr">
        <is>
          <t xml:space="preserve">- - </t>
        </is>
      </c>
    </row>
    <row r="89">
      <c r="D89" s="508" t="inlineStr">
        <is>
          <t>7th</t>
        </is>
      </c>
      <c r="E89" s="419" t="n"/>
      <c r="F89" s="796" t="inlineStr">
        <is>
          <t>- -</t>
        </is>
      </c>
      <c r="G89" s="1" t="n">
        <v>0</v>
      </c>
      <c r="H89" s="1" t="e">
        <v>#VALUE!</v>
      </c>
      <c r="I89" s="797" t="inlineStr">
        <is>
          <t xml:space="preserve">- - </t>
        </is>
      </c>
      <c r="J89" s="798" t="inlineStr">
        <is>
          <t>- -</t>
        </is>
      </c>
      <c r="K89" s="799" t="inlineStr">
        <is>
          <t xml:space="preserve">- - </t>
        </is>
      </c>
    </row>
    <row r="90">
      <c r="D90" s="508" t="inlineStr">
        <is>
          <t>8th</t>
        </is>
      </c>
      <c r="E90" s="419" t="n"/>
      <c r="F90" s="796" t="inlineStr">
        <is>
          <t>- -</t>
        </is>
      </c>
      <c r="G90" s="1" t="n">
        <v>0</v>
      </c>
      <c r="H90" s="1" t="e">
        <v>#VALUE!</v>
      </c>
      <c r="I90" s="797" t="inlineStr">
        <is>
          <t xml:space="preserve">- - </t>
        </is>
      </c>
      <c r="J90" s="798" t="inlineStr">
        <is>
          <t>- -</t>
        </is>
      </c>
      <c r="K90" s="799" t="inlineStr">
        <is>
          <t xml:space="preserve">- - </t>
        </is>
      </c>
    </row>
    <row r="91" ht="15" customHeight="1">
      <c r="D91" s="508" t="inlineStr">
        <is>
          <t>9th</t>
        </is>
      </c>
      <c r="E91" s="419" t="n"/>
      <c r="F91" s="796" t="inlineStr">
        <is>
          <t>- -</t>
        </is>
      </c>
      <c r="G91" s="1" t="n">
        <v>0</v>
      </c>
      <c r="H91" s="1" t="e">
        <v>#VALUE!</v>
      </c>
      <c r="I91" s="797" t="inlineStr">
        <is>
          <t xml:space="preserve">- - </t>
        </is>
      </c>
      <c r="J91" s="798" t="inlineStr">
        <is>
          <t>- -</t>
        </is>
      </c>
      <c r="K91" s="799" t="inlineStr">
        <is>
          <t xml:space="preserve">- - </t>
        </is>
      </c>
    </row>
    <row r="92">
      <c r="D92" s="508" t="inlineStr">
        <is>
          <t>10th</t>
        </is>
      </c>
      <c r="E92" s="419" t="n"/>
      <c r="F92" s="796" t="inlineStr">
        <is>
          <t>- -</t>
        </is>
      </c>
      <c r="G92" s="1" t="n">
        <v>0</v>
      </c>
      <c r="H92" s="1" t="e">
        <v>#VALUE!</v>
      </c>
      <c r="I92" s="797" t="inlineStr">
        <is>
          <t xml:space="preserve">- - </t>
        </is>
      </c>
      <c r="J92" s="798" t="inlineStr">
        <is>
          <t>- -</t>
        </is>
      </c>
      <c r="K92" s="799" t="inlineStr">
        <is>
          <t xml:space="preserve">- - </t>
        </is>
      </c>
    </row>
    <row r="93">
      <c r="D93" s="508" t="inlineStr">
        <is>
          <t>Zero</t>
        </is>
      </c>
      <c r="E93" s="418" t="n">
        <v>0</v>
      </c>
      <c r="F93" s="796" t="n">
        <v>0</v>
      </c>
      <c r="G93" s="1" t="inlineStr">
        <is>
          <t xml:space="preserve">      1.1  1.1-DMP40      0.077444 mV/V  abs     13-Mar-19  13:10:36</t>
        </is>
      </c>
      <c r="H93" s="1" t="inlineStr">
        <is>
          <t xml:space="preserve">  0.077444 mV/V  abs     13-Mar-19  13:10:36</t>
        </is>
      </c>
      <c r="I93" s="797" t="n">
        <v>0.077444</v>
      </c>
      <c r="J93" s="798" t="n">
        <v>-0.0006420000000000037</v>
      </c>
      <c r="K93" s="799" t="n">
        <v>-0.003147490127605174</v>
      </c>
    </row>
    <row r="94"/>
    <row r="95">
      <c r="D95" s="8" t="inlineStr">
        <is>
          <t>Series 3</t>
        </is>
      </c>
    </row>
    <row r="96" ht="15" customHeight="1">
      <c r="D96" s="518" t="inlineStr">
        <is>
          <t>Test</t>
        </is>
      </c>
      <c r="E96" s="21" t="inlineStr">
        <is>
          <t>Machine Indication</t>
        </is>
      </c>
      <c r="F96" s="793" t="n"/>
      <c r="G96" s="10" t="n"/>
      <c r="H96" s="10" t="n"/>
      <c r="I96" s="508" t="inlineStr">
        <is>
          <t>Load Cell Indication, mV/V</t>
        </is>
      </c>
      <c r="J96" s="793" t="n"/>
      <c r="K96" s="21" t="inlineStr">
        <is>
          <t>Equivalent Force, kN</t>
        </is>
      </c>
    </row>
    <row r="97">
      <c r="D97" s="520" t="inlineStr">
        <is>
          <t>Point No.</t>
        </is>
      </c>
      <c r="E97" s="795" t="inlineStr">
        <is>
          <t>kgf</t>
        </is>
      </c>
      <c r="F97" s="21" t="inlineStr">
        <is>
          <t>kN</t>
        </is>
      </c>
      <c r="G97" s="10" t="n"/>
      <c r="H97" s="10" t="n"/>
      <c r="I97" s="508" t="inlineStr">
        <is>
          <t>raw</t>
        </is>
      </c>
      <c r="J97" s="10" t="inlineStr">
        <is>
          <t>zero corrected</t>
        </is>
      </c>
      <c r="K97" s="794" t="n"/>
    </row>
    <row r="98" ht="15.75" customHeight="1">
      <c r="D98" s="508" t="inlineStr">
        <is>
          <t>Zero</t>
        </is>
      </c>
      <c r="E98" s="418" t="n">
        <v>0</v>
      </c>
      <c r="F98" s="796" t="n">
        <v>0</v>
      </c>
      <c r="G98" s="1" t="inlineStr">
        <is>
          <t xml:space="preserve">      1.1  1.1-DMP40      0.078086 mV/V  abs     13-Mar-19  13:04:56</t>
        </is>
      </c>
      <c r="H98" s="1" t="inlineStr">
        <is>
          <t xml:space="preserve">  0.078086 mV/V  abs     13-Mar-19  13:04:56</t>
        </is>
      </c>
      <c r="I98" s="797" t="n">
        <v>0.078086</v>
      </c>
      <c r="J98" s="798" t="n">
        <v>0</v>
      </c>
      <c r="K98" s="799" t="n">
        <v>0</v>
      </c>
      <c r="M98" s="310" t="inlineStr">
        <is>
          <t>Error Estimation, in %</t>
        </is>
      </c>
    </row>
    <row r="99">
      <c r="D99" s="508" t="inlineStr">
        <is>
          <t>1st</t>
        </is>
      </c>
      <c r="E99" s="419" t="n">
        <v>20</v>
      </c>
      <c r="F99" s="796" t="n">
        <v>0.196133</v>
      </c>
      <c r="G99" s="1" t="inlineStr">
        <is>
          <t xml:space="preserve">      1.1  1.1-DMP40     -0.082988 mV/V  abs     13-Mar-19  13:06:28</t>
        </is>
      </c>
      <c r="H99" s="1" t="inlineStr">
        <is>
          <t xml:space="preserve"> -0.082988 mV/V  abs     13-Mar-19  13:06:28</t>
        </is>
      </c>
      <c r="I99" s="797" t="n">
        <v>-0.08298800000000001</v>
      </c>
      <c r="J99" s="798" t="n">
        <v>-0.161074</v>
      </c>
      <c r="K99" s="799" t="n">
        <v>-0.7897104293616747</v>
      </c>
      <c r="M99" s="798">
        <f>IFERROR(((F99-K99)/K99)*100,"- -")</f>
        <v/>
      </c>
    </row>
    <row r="100">
      <c r="D100" s="508" t="inlineStr">
        <is>
          <t>2nd</t>
        </is>
      </c>
      <c r="E100" s="419" t="n">
        <v>40</v>
      </c>
      <c r="F100" s="796" t="n">
        <v>0.392266</v>
      </c>
      <c r="G100" s="1" t="inlineStr">
        <is>
          <t xml:space="preserve">      1.1  1.1-DMP40     -0.242682 mV/V  abs     13-Mar-19  13:06:55</t>
        </is>
      </c>
      <c r="H100" s="1" t="inlineStr">
        <is>
          <t xml:space="preserve"> -0.242682 mV/V  abs     13-Mar-19  13:06:55</t>
        </is>
      </c>
      <c r="I100" s="797" t="n">
        <v>-0.242682</v>
      </c>
      <c r="J100" s="798" t="n">
        <v>-0.320768</v>
      </c>
      <c r="K100" s="799" t="n">
        <v>-1.57270113083036</v>
      </c>
      <c r="M100" s="798">
        <f>IFERROR(((F100-K100)/K100)*100,"- -")</f>
        <v/>
      </c>
    </row>
    <row r="101">
      <c r="D101" s="508" t="inlineStr">
        <is>
          <t>3rd</t>
        </is>
      </c>
      <c r="E101" s="419" t="n">
        <v>60</v>
      </c>
      <c r="F101" s="796" t="n">
        <v>0.588399</v>
      </c>
      <c r="G101" s="1" t="inlineStr">
        <is>
          <t xml:space="preserve">      1.1  1.1-DMP40     -0.403444 mV/V  abs     13-Mar-19  13:07:17</t>
        </is>
      </c>
      <c r="H101" s="1" t="inlineStr">
        <is>
          <t xml:space="preserve"> -0.403444 mV/V  abs     13-Mar-19  13:07:17</t>
        </is>
      </c>
      <c r="I101" s="797" t="n">
        <v>-0.403444</v>
      </c>
      <c r="J101" s="798" t="n">
        <v>-0.48153</v>
      </c>
      <c r="K101" s="799" t="n">
        <v>-2.360973105588155</v>
      </c>
      <c r="M101" s="798">
        <f>IFERROR(((F101-K101)/K101)*100,"- -")</f>
        <v/>
      </c>
    </row>
    <row r="102">
      <c r="D102" s="508" t="inlineStr">
        <is>
          <t>4th</t>
        </is>
      </c>
      <c r="E102" s="419" t="n">
        <v>80</v>
      </c>
      <c r="F102" s="796" t="n">
        <v>0.784532</v>
      </c>
      <c r="G102" s="1" t="inlineStr">
        <is>
          <t xml:space="preserve">      1.1  1.1-DMP40     -0.563466 mV/V  abs     13-Mar-19  13:08:12</t>
        </is>
      </c>
      <c r="H102" s="1" t="inlineStr">
        <is>
          <t xml:space="preserve"> -0.563466 mV/V  abs     13-Mar-19  13:08:12</t>
        </is>
      </c>
      <c r="I102" s="797" t="n">
        <v>-0.563466</v>
      </c>
      <c r="J102" s="798" t="n">
        <v>-0.641552</v>
      </c>
      <c r="K102" s="799" t="n">
        <v>-3.145659670697023</v>
      </c>
      <c r="M102" s="798">
        <f>IFERROR(((F102-K102)/K102)*100,"- -")</f>
        <v/>
      </c>
    </row>
    <row r="103">
      <c r="D103" s="508" t="inlineStr">
        <is>
          <t>5th</t>
        </is>
      </c>
      <c r="E103" s="419" t="n">
        <v>100</v>
      </c>
      <c r="F103" s="796" t="n">
        <v>0.980665</v>
      </c>
      <c r="G103" s="1" t="inlineStr">
        <is>
          <t xml:space="preserve">      1.1  1.1-DMP40     -0.723624 mV/V  abs     13-Mar-19  13:09:02</t>
        </is>
      </c>
      <c r="H103" s="1" t="inlineStr">
        <is>
          <t xml:space="preserve"> -0.723624 mV/V  abs     13-Mar-19  13:09:02</t>
        </is>
      </c>
      <c r="I103" s="797" t="n">
        <v>-0.723624</v>
      </c>
      <c r="J103" s="798" t="n">
        <v>-0.80171</v>
      </c>
      <c r="K103" s="799" t="n">
        <v>-3.93105458342828</v>
      </c>
      <c r="M103" s="798">
        <f>IFERROR(((F103-K103)/K103)*100,"- -")</f>
        <v/>
      </c>
    </row>
    <row r="104">
      <c r="D104" s="508" t="inlineStr">
        <is>
          <t>6th</t>
        </is>
      </c>
      <c r="E104" s="419" t="n"/>
      <c r="F104" s="796" t="inlineStr">
        <is>
          <t>- -</t>
        </is>
      </c>
      <c r="G104" s="1" t="n">
        <v>0</v>
      </c>
      <c r="H104" s="1" t="e">
        <v>#VALUE!</v>
      </c>
      <c r="I104" s="797" t="inlineStr">
        <is>
          <t xml:space="preserve">- - </t>
        </is>
      </c>
      <c r="J104" s="798" t="inlineStr">
        <is>
          <t>- -</t>
        </is>
      </c>
      <c r="K104" s="799" t="inlineStr">
        <is>
          <t xml:space="preserve">- - </t>
        </is>
      </c>
    </row>
    <row r="105">
      <c r="D105" s="508" t="inlineStr">
        <is>
          <t>7th</t>
        </is>
      </c>
      <c r="E105" s="419" t="n"/>
      <c r="F105" s="796" t="inlineStr">
        <is>
          <t>- -</t>
        </is>
      </c>
      <c r="G105" s="1" t="n">
        <v>0</v>
      </c>
      <c r="H105" s="1" t="e">
        <v>#VALUE!</v>
      </c>
      <c r="I105" s="797" t="inlineStr">
        <is>
          <t xml:space="preserve">- - </t>
        </is>
      </c>
      <c r="J105" s="798" t="inlineStr">
        <is>
          <t>- -</t>
        </is>
      </c>
      <c r="K105" s="799" t="inlineStr">
        <is>
          <t xml:space="preserve">- - </t>
        </is>
      </c>
    </row>
    <row r="106">
      <c r="D106" s="508" t="inlineStr">
        <is>
          <t>8th</t>
        </is>
      </c>
      <c r="E106" s="419" t="n"/>
      <c r="F106" s="796" t="inlineStr">
        <is>
          <t>- -</t>
        </is>
      </c>
      <c r="G106" s="1" t="n">
        <v>0</v>
      </c>
      <c r="H106" s="1" t="e">
        <v>#VALUE!</v>
      </c>
      <c r="I106" s="797" t="inlineStr">
        <is>
          <t xml:space="preserve">- - </t>
        </is>
      </c>
      <c r="J106" s="798" t="inlineStr">
        <is>
          <t>- -</t>
        </is>
      </c>
      <c r="K106" s="799" t="inlineStr">
        <is>
          <t xml:space="preserve">- - </t>
        </is>
      </c>
    </row>
    <row r="107">
      <c r="D107" s="508" t="inlineStr">
        <is>
          <t>9th</t>
        </is>
      </c>
      <c r="E107" s="419" t="n"/>
      <c r="F107" s="796" t="inlineStr">
        <is>
          <t>- -</t>
        </is>
      </c>
      <c r="G107" s="1" t="n">
        <v>0</v>
      </c>
      <c r="H107" s="1" t="e">
        <v>#VALUE!</v>
      </c>
      <c r="I107" s="797" t="inlineStr">
        <is>
          <t xml:space="preserve">- - </t>
        </is>
      </c>
      <c r="J107" s="798" t="inlineStr">
        <is>
          <t>- -</t>
        </is>
      </c>
      <c r="K107" s="799" t="inlineStr">
        <is>
          <t xml:space="preserve">- - </t>
        </is>
      </c>
    </row>
    <row r="108">
      <c r="D108" s="508" t="inlineStr">
        <is>
          <t>10th</t>
        </is>
      </c>
      <c r="E108" s="419" t="n"/>
      <c r="F108" s="796" t="inlineStr">
        <is>
          <t>- -</t>
        </is>
      </c>
      <c r="G108" s="1" t="n">
        <v>0</v>
      </c>
      <c r="H108" s="1" t="e">
        <v>#VALUE!</v>
      </c>
      <c r="I108" s="797" t="inlineStr">
        <is>
          <t xml:space="preserve">- - </t>
        </is>
      </c>
      <c r="J108" s="798" t="inlineStr">
        <is>
          <t>- -</t>
        </is>
      </c>
      <c r="K108" s="799" t="inlineStr">
        <is>
          <t xml:space="preserve">- - </t>
        </is>
      </c>
    </row>
    <row r="109">
      <c r="D109" s="508" t="inlineStr">
        <is>
          <t>Zero</t>
        </is>
      </c>
      <c r="E109" s="418" t="n">
        <v>0</v>
      </c>
      <c r="F109" s="796" t="n">
        <v>0</v>
      </c>
      <c r="G109" s="1" t="inlineStr">
        <is>
          <t xml:space="preserve">      1.1  1.1-DMP40      0.077444 mV/V  abs     13-Mar-19  13:10:36</t>
        </is>
      </c>
      <c r="H109" s="1" t="inlineStr">
        <is>
          <t xml:space="preserve">  0.077444 mV/V  abs     13-Mar-19  13:10:36</t>
        </is>
      </c>
      <c r="I109" s="797" t="n">
        <v>0.077444</v>
      </c>
      <c r="J109" s="798" t="n">
        <v>-0.0006420000000000037</v>
      </c>
      <c r="K109" s="799" t="n">
        <v>-0.003147490127605174</v>
      </c>
    </row>
    <row r="110"/>
    <row r="111"/>
    <row r="112"/>
    <row r="113"/>
    <row r="114"/>
    <row r="115"/>
    <row r="116"/>
    <row r="117"/>
    <row r="118"/>
    <row r="119"/>
    <row r="120"/>
    <row r="121"/>
    <row r="122"/>
    <row r="123"/>
    <row r="124"/>
    <row r="125"/>
    <row r="126"/>
    <row r="127"/>
    <row r="128"/>
  </sheetData>
  <mergeCells count="46">
    <mergeCell ref="E43:F43"/>
    <mergeCell ref="E50:F50"/>
    <mergeCell ref="A5:M5"/>
    <mergeCell ref="I80:J80"/>
    <mergeCell ref="A4:M4"/>
    <mergeCell ref="A47:A49"/>
    <mergeCell ref="AQ25:AR25"/>
    <mergeCell ref="A23:A25"/>
    <mergeCell ref="A63:A65"/>
    <mergeCell ref="E39:F39"/>
    <mergeCell ref="E64:F64"/>
    <mergeCell ref="K50:K51"/>
    <mergeCell ref="D34:F35"/>
    <mergeCell ref="I57:J57"/>
    <mergeCell ref="A59:A61"/>
    <mergeCell ref="E20:F20"/>
    <mergeCell ref="E38:F38"/>
    <mergeCell ref="A35:A37"/>
    <mergeCell ref="A43:A45"/>
    <mergeCell ref="K96:K97"/>
    <mergeCell ref="A19:A21"/>
    <mergeCell ref="L18:M18"/>
    <mergeCell ref="A31:A33"/>
    <mergeCell ref="E40:F40"/>
    <mergeCell ref="I96:J96"/>
    <mergeCell ref="K43:K44"/>
    <mergeCell ref="A39:A41"/>
    <mergeCell ref="I43:J43"/>
    <mergeCell ref="A1:M1"/>
    <mergeCell ref="K57:K58"/>
    <mergeCell ref="A51:A53"/>
    <mergeCell ref="E80:F80"/>
    <mergeCell ref="E36:F36"/>
    <mergeCell ref="I64:J64"/>
    <mergeCell ref="E57:F57"/>
    <mergeCell ref="I20:J20"/>
    <mergeCell ref="A55:A57"/>
    <mergeCell ref="E37:F37"/>
    <mergeCell ref="A3:M3"/>
    <mergeCell ref="K64:K65"/>
    <mergeCell ref="I50:J50"/>
    <mergeCell ref="E96:F96"/>
    <mergeCell ref="A2:M2"/>
    <mergeCell ref="K80:K81"/>
    <mergeCell ref="K20:K21"/>
    <mergeCell ref="A27:A29"/>
  </mergeCells>
  <dataValidations disablePrompts="1" count="1">
    <dataValidation sqref="E36:F36" showDropDown="0" showInputMessage="1" showErrorMessage="1" allowBlank="1" type="list">
      <formula1>LoadCell</formula1>
    </dataValidation>
  </dataValidations>
  <printOptions horizontalCentered="1"/>
  <pageMargins left="0.25" right="0.25" top="0.5" bottom="0.5" header="0.3" footer="0.3"/>
  <pageSetup orientation="landscape" paperSize="9" scale="71"/>
</worksheet>
</file>

<file path=xl/worksheets/sheet3.xml><?xml version="1.0" encoding="utf-8"?>
<worksheet xmlns="http://schemas.openxmlformats.org/spreadsheetml/2006/main">
  <sheetPr codeName="Sheet8">
    <outlinePr summaryBelow="1" summaryRight="1"/>
    <pageSetUpPr/>
  </sheetPr>
  <dimension ref="A1:AZ70"/>
  <sheetViews>
    <sheetView view="pageBreakPreview" topLeftCell="A13" zoomScale="106" zoomScaleNormal="85" zoomScaleSheetLayoutView="106" workbookViewId="0">
      <selection activeCell="AR29" sqref="AR29"/>
    </sheetView>
  </sheetViews>
  <sheetFormatPr baseColWidth="8" defaultColWidth="9.140625" defaultRowHeight="15"/>
  <cols>
    <col width="7" customWidth="1" style="4" min="1" max="2"/>
    <col width="9.28515625" customWidth="1" style="4" min="3" max="7"/>
    <col width="9.5703125" customWidth="1" style="4" min="8" max="8"/>
    <col width="4.5703125" customWidth="1" style="4" min="9" max="9"/>
    <col width="9.28515625" customWidth="1" style="4" min="10" max="14"/>
    <col width="7" customWidth="1" style="4" min="15" max="18"/>
    <col width="2.5703125" customWidth="1" style="4" min="19" max="19"/>
    <col width="9.140625" customWidth="1" style="4" min="20" max="21"/>
    <col width="11.28515625" customWidth="1" style="4" min="22" max="22"/>
    <col width="13.42578125" customWidth="1" style="4" min="23" max="23"/>
    <col width="12.42578125" customWidth="1" style="4" min="24" max="24"/>
    <col width="11.5703125" customWidth="1" style="4" min="25" max="26"/>
    <col width="13.7109375" customWidth="1" style="4" min="27" max="27"/>
    <col width="13.42578125" customWidth="1" style="41" min="28" max="28"/>
    <col width="15.7109375" customWidth="1" style="41" min="29" max="29"/>
    <col width="18.7109375" customWidth="1" style="41" min="30" max="30"/>
    <col width="17.28515625" customWidth="1" style="41" min="31" max="31"/>
    <col width="9.140625" customWidth="1" style="41" min="32" max="33"/>
    <col width="9.140625" customWidth="1" style="41" min="34" max="37"/>
    <col width="9" customWidth="1" style="41" min="38" max="38"/>
    <col hidden="1" style="41" min="39" max="39"/>
    <col hidden="1" width="11.28515625" customWidth="1" style="41" min="40" max="40"/>
    <col width="9.140625" customWidth="1" style="41" min="41" max="41"/>
    <col width="0.7109375" customWidth="1" style="41" min="42" max="42"/>
    <col width="7" customWidth="1" style="41" min="43" max="44"/>
    <col width="7.85546875" bestFit="1" customWidth="1" style="41" min="45" max="45"/>
    <col width="9.140625" customWidth="1" style="41" min="46" max="16384"/>
  </cols>
  <sheetData>
    <row r="1" ht="10.5" customFormat="1" customHeight="1" s="210">
      <c r="A1" s="550" t="inlineStr">
        <is>
          <t>FORCE MEASUREMENT DATA</t>
        </is>
      </c>
      <c r="R1" s="201" t="n"/>
      <c r="S1" s="41" t="n"/>
      <c r="T1" s="41" t="n"/>
      <c r="U1" s="41" t="n"/>
      <c r="V1" s="41" t="n"/>
      <c r="W1" s="41" t="n"/>
      <c r="X1" s="41" t="n"/>
      <c r="Y1" s="41" t="n"/>
      <c r="Z1" s="41" t="n"/>
      <c r="AA1" s="41" t="n"/>
      <c r="AB1" s="41" t="n"/>
      <c r="AC1" s="41" t="n"/>
      <c r="AD1" s="41" t="n"/>
      <c r="AE1" s="41" t="n"/>
      <c r="AF1" s="41" t="n"/>
      <c r="AG1" s="41" t="n"/>
      <c r="AH1" s="41" t="n"/>
      <c r="AI1" s="41" t="n"/>
      <c r="AJ1" s="201" t="n"/>
    </row>
    <row r="2" ht="10.5" customFormat="1" customHeight="1" s="210">
      <c r="A2" s="551" t="inlineStr">
        <is>
          <t>Ver. 2 Rev.0 Mar 12, 2019</t>
        </is>
      </c>
      <c r="R2" s="202" t="n"/>
      <c r="S2" s="41" t="n"/>
      <c r="T2" s="41" t="n"/>
      <c r="U2" s="41" t="n"/>
      <c r="V2" s="41" t="n"/>
      <c r="W2" s="41" t="n"/>
      <c r="X2" s="41" t="n"/>
      <c r="Y2" s="41" t="n"/>
      <c r="Z2" s="41" t="n"/>
      <c r="AA2" s="41" t="n"/>
      <c r="AB2" s="41" t="n"/>
      <c r="AC2" s="41" t="n"/>
      <c r="AD2" s="41" t="n"/>
      <c r="AE2" s="41" t="n"/>
      <c r="AF2" s="41" t="n"/>
      <c r="AG2" s="41" t="n"/>
      <c r="AH2" s="41" t="n"/>
      <c r="AI2" s="41" t="n"/>
      <c r="AJ2" s="202" t="n"/>
    </row>
    <row r="3" ht="10.5" customFormat="1" customHeight="1" s="210">
      <c r="A3" s="552" t="inlineStr">
        <is>
          <t xml:space="preserve">revised &amp; developed by: gearnhale@yahoo.com according to ISO </t>
        </is>
      </c>
      <c r="R3" s="286" t="n"/>
      <c r="S3" s="41" t="n"/>
      <c r="T3" s="41" t="n"/>
      <c r="U3" s="41" t="n"/>
      <c r="V3" s="41" t="n"/>
      <c r="W3" s="41" t="n"/>
      <c r="X3" s="41" t="n"/>
      <c r="Y3" s="41" t="n"/>
      <c r="Z3" s="41" t="n"/>
      <c r="AA3" s="41" t="n"/>
      <c r="AB3" s="41" t="n"/>
      <c r="AC3" s="41" t="n"/>
      <c r="AD3" s="41" t="n"/>
      <c r="AE3" s="41" t="n"/>
      <c r="AF3" s="41" t="n"/>
      <c r="AG3" s="41" t="n"/>
      <c r="AH3" s="41" t="n"/>
      <c r="AI3" s="41" t="n"/>
      <c r="AJ3" s="104" t="n"/>
    </row>
    <row r="4" ht="10.5" customFormat="1" customHeight="1" s="210">
      <c r="A4" s="553" t="inlineStr">
        <is>
          <t>original developer: manuelmruiz@yahoo.com</t>
        </is>
      </c>
      <c r="R4" s="203" t="n"/>
      <c r="S4" s="41" t="n"/>
      <c r="T4" s="41" t="n"/>
      <c r="U4" s="41" t="n"/>
      <c r="V4" s="41" t="n"/>
      <c r="W4" s="41" t="n"/>
      <c r="X4" s="41" t="n"/>
      <c r="Y4" s="41" t="n"/>
      <c r="Z4" s="41" t="n"/>
      <c r="AA4" s="41" t="n"/>
      <c r="AB4" s="41" t="n"/>
      <c r="AC4" s="41" t="n"/>
      <c r="AD4" s="41" t="n"/>
      <c r="AE4" s="41" t="n"/>
      <c r="AF4" s="41" t="n"/>
      <c r="AG4" s="41" t="n"/>
      <c r="AH4" s="41" t="n"/>
      <c r="AI4" s="41" t="n"/>
      <c r="AJ4" s="203" t="n"/>
    </row>
    <row r="5" ht="4.5" customHeight="1">
      <c r="A5" s="181" t="n"/>
      <c r="B5" s="182" t="n"/>
      <c r="C5" s="182" t="n"/>
      <c r="D5" s="182" t="n"/>
      <c r="E5" s="182" t="n"/>
      <c r="F5" s="182" t="n"/>
      <c r="G5" s="182" t="n"/>
      <c r="H5" s="182" t="n"/>
      <c r="I5" s="182" t="n"/>
      <c r="J5" s="182" t="n"/>
      <c r="K5" s="182" t="n"/>
      <c r="L5" s="182" t="n"/>
      <c r="M5" s="182" t="n"/>
      <c r="N5" s="182" t="n"/>
      <c r="O5" s="182" t="n"/>
      <c r="P5" s="182" t="n"/>
      <c r="Q5" s="182" t="n"/>
      <c r="R5" s="182" t="n"/>
      <c r="S5" s="41" t="n"/>
      <c r="T5" s="41" t="n"/>
      <c r="U5" s="41" t="n"/>
      <c r="V5" s="41" t="n"/>
      <c r="W5" s="41" t="n"/>
      <c r="X5" s="41" t="n"/>
      <c r="Y5" s="41" t="n"/>
      <c r="Z5" s="41" t="n"/>
      <c r="AA5" s="41" t="n"/>
      <c r="AJ5" s="182" t="n"/>
    </row>
    <row r="6" ht="12" customFormat="1" customHeight="1" s="215">
      <c r="A6" s="546" t="inlineStr">
        <is>
          <t>Certificate No.</t>
        </is>
      </c>
      <c r="C6" s="212">
        <f>'Dash Board'!D18</f>
        <v/>
      </c>
      <c r="D6" s="213" t="n"/>
      <c r="E6" s="213" t="n"/>
      <c r="F6" s="213" t="n"/>
      <c r="G6" s="213" t="n"/>
      <c r="H6" s="214" t="n"/>
      <c r="S6" s="41" t="n"/>
      <c r="T6" s="41" t="n"/>
      <c r="U6" s="41" t="n"/>
      <c r="V6" s="41" t="n"/>
      <c r="W6" s="41" t="n"/>
      <c r="X6" s="41" t="n"/>
      <c r="Y6" s="41" t="n"/>
      <c r="Z6" s="41" t="n"/>
      <c r="AA6" s="41" t="n"/>
      <c r="AB6" s="41" t="n"/>
      <c r="AC6" s="41" t="n"/>
      <c r="AD6" s="41" t="n"/>
      <c r="AE6" s="41" t="n"/>
      <c r="AF6" s="41" t="n"/>
      <c r="AG6" s="41" t="n"/>
      <c r="AH6" s="41" t="n"/>
      <c r="AI6" s="41" t="n"/>
    </row>
    <row r="7" ht="12" customFormat="1" customHeight="1" s="215">
      <c r="A7" s="546" t="inlineStr">
        <is>
          <t>Client Name:</t>
        </is>
      </c>
      <c r="C7" s="212">
        <f>'Dash Board'!D7</f>
        <v/>
      </c>
      <c r="D7" s="213" t="n"/>
      <c r="E7" s="213" t="n"/>
      <c r="F7" s="213" t="n"/>
      <c r="G7" s="213" t="n"/>
      <c r="H7" s="214" t="n"/>
      <c r="S7" s="41" t="n"/>
      <c r="T7" s="41" t="n"/>
      <c r="U7" s="41" t="n"/>
      <c r="V7" s="41" t="n"/>
      <c r="W7" s="41" t="n"/>
      <c r="X7" s="41" t="n"/>
      <c r="Y7" s="41" t="n"/>
      <c r="Z7" s="41" t="n"/>
      <c r="AA7" s="41" t="n"/>
      <c r="AB7" s="41" t="n"/>
      <c r="AC7" s="41" t="n"/>
      <c r="AD7" s="41" t="n"/>
      <c r="AE7" s="41" t="n"/>
      <c r="AF7" s="41" t="n"/>
      <c r="AG7" s="41" t="n"/>
      <c r="AH7" s="41" t="n"/>
      <c r="AI7" s="41" t="n"/>
    </row>
    <row r="8" ht="12" customFormat="1" customHeight="1" s="215">
      <c r="A8" s="546" t="inlineStr">
        <is>
          <t>Calibration  Date:</t>
        </is>
      </c>
      <c r="C8" s="809">
        <f>'Dash Board'!D17</f>
        <v/>
      </c>
      <c r="D8" s="810" t="n"/>
      <c r="E8" s="213" t="n"/>
      <c r="F8" s="213" t="n"/>
      <c r="G8" s="213" t="n"/>
      <c r="H8" s="214" t="n"/>
      <c r="S8" s="41" t="n"/>
      <c r="T8" s="41" t="n"/>
      <c r="U8" s="41" t="n"/>
      <c r="V8" s="41" t="n"/>
      <c r="W8" s="41" t="n"/>
      <c r="X8" s="41" t="n"/>
      <c r="Y8" s="41" t="n"/>
      <c r="Z8" s="41" t="n"/>
      <c r="AA8" s="41" t="n"/>
      <c r="AB8" s="41" t="n"/>
      <c r="AC8" s="41" t="n"/>
      <c r="AD8" s="41" t="n"/>
      <c r="AE8" s="41" t="n"/>
      <c r="AF8" s="41" t="n"/>
      <c r="AG8" s="41" t="n"/>
      <c r="AH8" s="41" t="n"/>
      <c r="AI8" s="41" t="n"/>
    </row>
    <row r="9" ht="12" customFormat="1" customHeight="1" s="215">
      <c r="A9" s="546" t="inlineStr">
        <is>
          <t>Client Address:</t>
        </is>
      </c>
      <c r="C9" s="212">
        <f>'Dash Board'!D8&amp;" "&amp;'Dash Board'!D9</f>
        <v/>
      </c>
      <c r="D9" s="213" t="n"/>
      <c r="E9" s="213" t="n"/>
      <c r="F9" s="213" t="n"/>
      <c r="G9" s="213" t="n"/>
      <c r="H9" s="214" t="n"/>
      <c r="J9" s="546" t="inlineStr">
        <is>
          <t>Calibration Mode:</t>
        </is>
      </c>
      <c r="L9" s="212">
        <f>'Dash Board'!N17</f>
        <v/>
      </c>
      <c r="M9" s="213" t="n"/>
      <c r="N9" s="213" t="n"/>
      <c r="O9" s="213" t="n"/>
      <c r="P9" s="214" t="n"/>
      <c r="S9" s="41" t="n"/>
      <c r="T9" s="41" t="n"/>
      <c r="U9" s="41" t="n"/>
      <c r="V9" s="41" t="n"/>
      <c r="W9" s="41" t="n"/>
      <c r="X9" s="41" t="n"/>
      <c r="Y9" s="41" t="n"/>
      <c r="Z9" s="41" t="n"/>
      <c r="AA9" s="41" t="n"/>
      <c r="AB9" s="41" t="n"/>
      <c r="AC9" s="41" t="n"/>
      <c r="AD9" s="41" t="n"/>
      <c r="AE9" s="41" t="n"/>
      <c r="AF9" s="41" t="n"/>
      <c r="AG9" s="41" t="n"/>
      <c r="AH9" s="41" t="n"/>
      <c r="AI9" s="41" t="n"/>
    </row>
    <row r="10" ht="12" customFormat="1" customHeight="1" s="215">
      <c r="A10" s="546" t="inlineStr">
        <is>
          <t>Calibration Item:</t>
        </is>
      </c>
      <c r="C10" s="212">
        <f>'Dash Board'!D19</f>
        <v/>
      </c>
      <c r="D10" s="213" t="n"/>
      <c r="E10" s="213" t="n"/>
      <c r="F10" s="213" t="n"/>
      <c r="G10" s="213" t="n"/>
      <c r="H10" s="214" t="n"/>
      <c r="J10" s="546" t="inlineStr">
        <is>
          <t>Machine Capacity:</t>
        </is>
      </c>
      <c r="L10" s="212">
        <f>'Dash Board'!N18&amp;" "&amp;'Dash Board'!O18</f>
        <v/>
      </c>
      <c r="M10" s="213" t="n"/>
      <c r="N10" s="213" t="n"/>
      <c r="O10" s="213" t="n"/>
      <c r="P10" s="214" t="n"/>
      <c r="S10" s="41" t="n"/>
      <c r="T10" s="41" t="n"/>
      <c r="U10" s="41" t="n"/>
      <c r="V10" s="41" t="n"/>
      <c r="W10" s="41" t="n"/>
      <c r="X10" s="41" t="n"/>
      <c r="Y10" s="41" t="n"/>
      <c r="Z10" s="41" t="n"/>
      <c r="AA10" s="41" t="n"/>
      <c r="AB10" s="41" t="n"/>
      <c r="AC10" s="41" t="n"/>
      <c r="AD10" s="41" t="n"/>
      <c r="AE10" s="41" t="n"/>
      <c r="AF10" s="41" t="n"/>
      <c r="AG10" s="41" t="n"/>
      <c r="AH10" s="41" t="n"/>
      <c r="AI10" s="41" t="n"/>
    </row>
    <row r="11" ht="12" customFormat="1" customHeight="1" s="215">
      <c r="A11" s="546" t="inlineStr">
        <is>
          <t>Model Code/No:</t>
        </is>
      </c>
      <c r="C11" s="212">
        <f>'Dash Board'!D23</f>
        <v/>
      </c>
      <c r="D11" s="213" t="n"/>
      <c r="E11" s="213" t="n"/>
      <c r="F11" s="213" t="n"/>
      <c r="G11" s="213" t="n"/>
      <c r="H11" s="214" t="n"/>
      <c r="J11" s="546" t="inlineStr">
        <is>
          <t>Calibration Range:</t>
        </is>
      </c>
      <c r="L11" s="212">
        <f>'Dash Board'!N19&amp;'Dash Board'!O19&amp;'Dash Board'!P19&amp;" "&amp;'Dash Board'!Q19</f>
        <v/>
      </c>
      <c r="M11" s="213" t="n"/>
      <c r="N11" s="213" t="n"/>
      <c r="O11" s="213" t="n"/>
      <c r="P11" s="214" t="n"/>
      <c r="S11" s="41" t="n"/>
      <c r="T11" s="41" t="n"/>
      <c r="U11" s="41" t="n"/>
      <c r="V11" s="41" t="n"/>
      <c r="W11" s="41" t="n"/>
      <c r="X11" s="41" t="n"/>
      <c r="Y11" s="41" t="n"/>
      <c r="Z11" s="41" t="n"/>
      <c r="AA11" s="41" t="n"/>
      <c r="AB11" s="41" t="n"/>
      <c r="AC11" s="41" t="n"/>
      <c r="AD11" s="41" t="n"/>
      <c r="AE11" s="41" t="n"/>
      <c r="AF11" s="41" t="n"/>
      <c r="AG11" s="41" t="n"/>
      <c r="AH11" s="41" t="n"/>
      <c r="AI11" s="41" t="n"/>
    </row>
    <row r="12" ht="12" customFormat="1" customHeight="1" s="215">
      <c r="A12" s="546" t="inlineStr">
        <is>
          <t>Serial No/ ID No.</t>
        </is>
      </c>
      <c r="C12" s="292">
        <f>'Dash Board'!D24</f>
        <v/>
      </c>
      <c r="D12" s="213" t="n"/>
      <c r="E12" s="213" t="n"/>
      <c r="F12" s="213" t="n"/>
      <c r="G12" s="213" t="n"/>
      <c r="H12" s="214" t="n"/>
      <c r="J12" s="546" t="inlineStr">
        <is>
          <t>Increment</t>
        </is>
      </c>
      <c r="L12" s="212">
        <f>'Dash Board'!N21 &amp;" "&amp; 'Dash Board'!O24</f>
        <v/>
      </c>
      <c r="M12" s="213" t="n"/>
      <c r="N12" s="213" t="n"/>
      <c r="O12" s="213" t="n"/>
      <c r="P12" s="214" t="n"/>
      <c r="S12" s="41" t="n"/>
      <c r="T12" s="41" t="n"/>
      <c r="U12" s="41" t="n"/>
      <c r="V12" s="41" t="n"/>
      <c r="W12" s="41" t="n"/>
      <c r="X12" s="41" t="n"/>
      <c r="Y12" s="41" t="n"/>
      <c r="Z12" s="41" t="n"/>
      <c r="AA12" s="41" t="n"/>
      <c r="AB12" s="41" t="n"/>
      <c r="AC12" s="41" t="n"/>
      <c r="AD12" s="41" t="n"/>
      <c r="AE12" s="41" t="n"/>
      <c r="AF12" s="41" t="n"/>
      <c r="AG12" s="41" t="n"/>
      <c r="AH12" s="41" t="n"/>
      <c r="AI12" s="41" t="n"/>
    </row>
    <row r="13" ht="12" customFormat="1" customHeight="1" s="215">
      <c r="A13" s="546" t="inlineStr">
        <is>
          <t>Remarks:</t>
        </is>
      </c>
      <c r="C13" s="212">
        <f>'Dash Board'!D29&amp;" "&amp;'Dash Board'!D30</f>
        <v/>
      </c>
      <c r="D13" s="213" t="n"/>
      <c r="E13" s="213" t="n"/>
      <c r="F13" s="213" t="n"/>
      <c r="G13" s="213" t="n"/>
      <c r="H13" s="214" t="n"/>
      <c r="J13" s="546" t="inlineStr">
        <is>
          <t>Resolution</t>
        </is>
      </c>
      <c r="L13" s="212">
        <f>'Dash Board'!N24 &amp;" "&amp; 'Dash Board'!O24</f>
        <v/>
      </c>
      <c r="M13" s="213" t="n"/>
      <c r="N13" s="213" t="n"/>
      <c r="O13" s="213" t="n"/>
      <c r="P13" s="214" t="n"/>
      <c r="S13" s="41" t="n"/>
      <c r="T13" s="41" t="n"/>
      <c r="U13" s="41" t="n"/>
      <c r="V13" s="41" t="n"/>
      <c r="W13" s="41" t="n"/>
      <c r="X13" s="41" t="n"/>
      <c r="Y13" s="41" t="n"/>
      <c r="Z13" s="41" t="n"/>
      <c r="AA13" s="41" t="n"/>
      <c r="AB13" s="41" t="n"/>
      <c r="AC13" s="41" t="n"/>
      <c r="AD13" s="41" t="n"/>
      <c r="AE13" s="41" t="n"/>
      <c r="AF13" s="41" t="n"/>
      <c r="AG13" s="41" t="n"/>
      <c r="AH13" s="41" t="n"/>
      <c r="AI13" s="41" t="n"/>
    </row>
    <row r="14" ht="7.9" customFormat="1" customHeight="1" s="215">
      <c r="A14" s="559" t="n"/>
      <c r="B14" s="559" t="n"/>
      <c r="J14" s="218" t="n"/>
      <c r="S14" s="41" t="n"/>
      <c r="T14" s="41" t="n"/>
      <c r="U14" s="41" t="n"/>
      <c r="V14" s="41" t="n"/>
      <c r="W14" s="41" t="n"/>
      <c r="X14" s="41" t="n"/>
      <c r="Y14" s="41" t="n"/>
      <c r="Z14" s="41" t="n"/>
      <c r="AA14" s="41" t="n"/>
      <c r="AB14" s="41" t="n"/>
      <c r="AC14" s="41" t="n"/>
      <c r="AD14" s="41" t="n"/>
      <c r="AE14" s="41" t="n"/>
      <c r="AF14" s="41" t="n"/>
      <c r="AG14" s="41" t="n"/>
      <c r="AH14" s="41" t="n"/>
      <c r="AI14" s="41" t="n"/>
    </row>
    <row r="15" ht="12" customFormat="1" customHeight="1" s="554">
      <c r="A15" s="219" t="n"/>
      <c r="B15" s="220" t="inlineStr">
        <is>
          <t>1. Preloading</t>
        </is>
      </c>
      <c r="C15" s="559" t="n"/>
      <c r="D15" s="559" t="n"/>
      <c r="E15" s="559" t="n"/>
      <c r="F15" s="559" t="n"/>
      <c r="G15" s="559" t="n"/>
      <c r="H15" s="559" t="n"/>
      <c r="I15" s="559" t="n"/>
      <c r="J15" s="218" t="n"/>
      <c r="K15" s="559" t="n"/>
      <c r="L15" s="559" t="n"/>
      <c r="M15" s="559" t="n"/>
      <c r="N15" s="559" t="n"/>
      <c r="O15" s="559" t="n"/>
      <c r="P15" s="559" t="n"/>
      <c r="Q15" s="559" t="n"/>
      <c r="R15" s="559" t="n"/>
      <c r="V15" s="559" t="n"/>
      <c r="W15" s="559" t="n"/>
      <c r="X15" s="559" t="n"/>
      <c r="Y15" s="559" t="n"/>
      <c r="Z15" s="559" t="n"/>
      <c r="AA15" s="559" t="n"/>
    </row>
    <row r="16" ht="24.75" customFormat="1" customHeight="1" s="554" thickBot="1">
      <c r="C16" s="222" t="inlineStr">
        <is>
          <t>Indicated Force</t>
        </is>
      </c>
      <c r="D16" s="223" t="inlineStr">
        <is>
          <t>Load          1st (0˚)</t>
        </is>
      </c>
      <c r="E16" s="222" t="inlineStr">
        <is>
          <t>Indicated Force</t>
        </is>
      </c>
      <c r="F16" s="223" t="inlineStr">
        <is>
          <t>Load            2nd (120˚)</t>
        </is>
      </c>
      <c r="G16" s="222" t="inlineStr">
        <is>
          <t>Indicated Force</t>
        </is>
      </c>
      <c r="H16" s="223" t="inlineStr">
        <is>
          <t>Load              3rd (240˚)</t>
        </is>
      </c>
      <c r="I16" s="559" t="n"/>
      <c r="J16" s="224" t="inlineStr">
        <is>
          <t>Reference Standard Used:</t>
        </is>
      </c>
      <c r="K16" s="225" t="n"/>
      <c r="L16" s="558">
        <f>Software!E36</f>
        <v/>
      </c>
      <c r="M16" s="811" t="n"/>
      <c r="N16" s="753" t="n"/>
      <c r="O16" s="559" t="n"/>
      <c r="P16" s="226" t="inlineStr">
        <is>
          <t>Temp.:</t>
        </is>
      </c>
      <c r="Q16" s="226" t="inlineStr">
        <is>
          <t>Humidity:</t>
        </is>
      </c>
      <c r="R16" s="559" t="n"/>
      <c r="V16" s="227" t="n"/>
      <c r="W16" s="228" t="n"/>
      <c r="X16" s="227" t="n"/>
      <c r="Y16" s="228" t="n"/>
      <c r="Z16" s="227" t="n"/>
      <c r="AA16" s="228" t="n"/>
    </row>
    <row r="17" ht="16.5" customFormat="1" customHeight="1" s="554" thickTop="1">
      <c r="A17" s="559" t="n"/>
      <c r="B17" s="559" t="n"/>
      <c r="C17" s="229">
        <f>Software!F45</f>
        <v/>
      </c>
      <c r="D17" s="230">
        <f>Software!I45</f>
        <v/>
      </c>
      <c r="E17" s="229">
        <f>Software!F52</f>
        <v/>
      </c>
      <c r="F17" s="230">
        <f>Software!I52</f>
        <v/>
      </c>
      <c r="G17" s="229">
        <f>Software!F59</f>
        <v/>
      </c>
      <c r="H17" s="230">
        <f>Software!I59</f>
        <v/>
      </c>
      <c r="I17" s="559" t="n"/>
      <c r="J17" s="231">
        <f>"Capacity: "&amp;Software!E37</f>
        <v/>
      </c>
      <c r="K17" s="232" t="n"/>
      <c r="L17" s="233" t="inlineStr">
        <is>
          <t>a'</t>
        </is>
      </c>
      <c r="M17" s="812">
        <f>Software!J36</f>
        <v/>
      </c>
      <c r="N17" s="760" t="n"/>
      <c r="O17" s="559" t="n"/>
      <c r="P17" s="813">
        <f>Software!E14</f>
        <v/>
      </c>
      <c r="Q17" s="814">
        <f>Software!E15</f>
        <v/>
      </c>
      <c r="R17" s="559" t="n"/>
      <c r="V17" s="236" t="n"/>
      <c r="W17" s="237" t="n"/>
      <c r="X17" s="236" t="n"/>
      <c r="Y17" s="237" t="n"/>
      <c r="Z17" s="236" t="n"/>
      <c r="AA17" s="237" t="n"/>
    </row>
    <row r="18" ht="15.6" customFormat="1" customHeight="1" s="216">
      <c r="A18" s="559" t="n"/>
      <c r="B18" s="559" t="n"/>
      <c r="C18" s="229">
        <f>Software!F46</f>
        <v/>
      </c>
      <c r="D18" s="230">
        <f>Software!I46</f>
        <v/>
      </c>
      <c r="E18" s="229">
        <f>Software!F53</f>
        <v/>
      </c>
      <c r="F18" s="230">
        <f>Software!I53</f>
        <v/>
      </c>
      <c r="G18" s="229">
        <f>Software!F60</f>
        <v/>
      </c>
      <c r="H18" s="230">
        <f>Software!I60</f>
        <v/>
      </c>
      <c r="I18" s="559" t="n"/>
      <c r="J18" s="231">
        <f>"Serial #: "&amp;Software!E38</f>
        <v/>
      </c>
      <c r="K18" s="232" t="n"/>
      <c r="L18" s="233" t="inlineStr">
        <is>
          <t>b'</t>
        </is>
      </c>
      <c r="M18" s="812">
        <f>Software!J37</f>
        <v/>
      </c>
      <c r="N18" s="760" t="n"/>
      <c r="O18" s="559" t="n"/>
      <c r="P18" s="815">
        <f>Software!F14</f>
        <v/>
      </c>
      <c r="Q18" s="816">
        <f>Software!F15</f>
        <v/>
      </c>
      <c r="R18" s="559" t="n"/>
      <c r="S18" s="554" t="n"/>
      <c r="T18" s="554" t="n"/>
      <c r="U18" s="554" t="n"/>
      <c r="V18" s="236" t="n"/>
      <c r="W18" s="237" t="n"/>
      <c r="X18" s="236" t="n"/>
      <c r="Y18" s="237" t="n"/>
      <c r="Z18" s="236" t="n"/>
      <c r="AA18" s="237" t="n"/>
      <c r="AB18" s="554" t="n"/>
      <c r="AC18" s="554" t="n"/>
      <c r="AD18" s="554" t="n"/>
      <c r="AE18" s="545" t="inlineStr">
        <is>
          <t>Relative Expanded Uncertainty</t>
        </is>
      </c>
      <c r="AF18" s="220" t="n"/>
      <c r="AG18" s="220" t="n"/>
      <c r="AH18" s="562" t="inlineStr">
        <is>
          <t>Relative standard uncertainty of force measuring instrument wstd</t>
        </is>
      </c>
      <c r="AI18" s="802" t="n"/>
      <c r="AJ18" s="817" t="n"/>
      <c r="AK18" s="220" t="n"/>
      <c r="AL18" s="220" t="n"/>
      <c r="AM18" s="220" t="n"/>
      <c r="AN18" s="220" t="n"/>
      <c r="AO18" s="220" t="n"/>
      <c r="AP18" s="220" t="n"/>
      <c r="AQ18" s="220" t="n"/>
      <c r="AX18" s="216">
        <f>N25/AE24</f>
        <v/>
      </c>
    </row>
    <row r="19" ht="15.6" customFormat="1" customHeight="1" s="216">
      <c r="A19" s="559" t="n"/>
      <c r="B19" s="219" t="n"/>
      <c r="C19" s="229">
        <f>Software!F47</f>
        <v/>
      </c>
      <c r="D19" s="230">
        <f>Software!I47</f>
        <v/>
      </c>
      <c r="E19" s="229">
        <f>Software!F54</f>
        <v/>
      </c>
      <c r="F19" s="230">
        <f>Software!I54</f>
        <v/>
      </c>
      <c r="G19" s="229">
        <f>Software!F61</f>
        <v/>
      </c>
      <c r="H19" s="230">
        <f>Software!I61</f>
        <v/>
      </c>
      <c r="I19" s="559" t="n"/>
      <c r="J19" s="240">
        <f>"Cal Cert #: "&amp;Software!E39</f>
        <v/>
      </c>
      <c r="K19" s="241" t="n"/>
      <c r="L19" s="242" t="inlineStr">
        <is>
          <t>c'</t>
        </is>
      </c>
      <c r="M19" s="818">
        <f>Software!J38</f>
        <v/>
      </c>
      <c r="N19" s="819" t="n"/>
      <c r="O19" s="559" t="n"/>
      <c r="P19" s="820">
        <f>AVERAGE(P17:P18)</f>
        <v/>
      </c>
      <c r="Q19" s="821">
        <f>AVERAGE(Q17:Q18)</f>
        <v/>
      </c>
      <c r="R19" s="559" t="n"/>
      <c r="S19" s="554" t="n"/>
      <c r="T19" s="554" t="n"/>
      <c r="U19" s="554" t="n"/>
      <c r="V19" s="236" t="n"/>
      <c r="W19" s="237" t="n"/>
      <c r="X19" s="236" t="n"/>
      <c r="Y19" s="237" t="n"/>
      <c r="Z19" s="236" t="n"/>
      <c r="AA19" s="237" t="n"/>
      <c r="AB19" s="554" t="n"/>
      <c r="AC19" s="554" t="n"/>
      <c r="AD19" s="554" t="n"/>
      <c r="AE19" s="792" t="n"/>
      <c r="AF19" s="220" t="n"/>
      <c r="AG19" s="220" t="n"/>
      <c r="AH19" s="822" t="n"/>
      <c r="AI19" s="803" t="n"/>
      <c r="AJ19" s="819" t="n"/>
      <c r="AK19" s="220" t="n"/>
      <c r="AL19" s="220" t="n"/>
      <c r="AM19" s="220" t="n"/>
      <c r="AN19" s="220" t="n"/>
      <c r="AO19" s="220" t="n"/>
      <c r="AP19" s="220" t="n"/>
      <c r="AQ19" s="220" t="n"/>
    </row>
    <row r="20" ht="7.5" customFormat="1" customHeight="1" s="216">
      <c r="A20" s="559" t="n"/>
      <c r="B20" s="559" t="n"/>
      <c r="C20" s="559" t="n"/>
      <c r="D20" s="559" t="n"/>
      <c r="E20" s="559" t="n"/>
      <c r="F20" s="559" t="n"/>
      <c r="G20" s="559" t="n"/>
      <c r="H20" s="559" t="n"/>
      <c r="I20" s="559" t="n"/>
      <c r="J20" s="559" t="n"/>
      <c r="K20" s="559" t="n"/>
      <c r="L20" s="559" t="n"/>
      <c r="M20" s="559" t="n"/>
      <c r="N20" s="559" t="n"/>
      <c r="O20" s="559" t="n"/>
      <c r="P20" s="559" t="n"/>
      <c r="Q20" s="559" t="n"/>
      <c r="T20" s="554" t="n"/>
      <c r="U20" s="554" t="n"/>
      <c r="V20" s="204" t="inlineStr">
        <is>
          <t>RAW DATA CALCULATION</t>
        </is>
      </c>
      <c r="W20" s="243" t="n"/>
      <c r="X20" s="243" t="n"/>
      <c r="Y20" s="559" t="n"/>
      <c r="Z20" s="559" t="n"/>
      <c r="AA20" s="559" t="n"/>
      <c r="AB20" s="554" t="n"/>
      <c r="AC20" s="554" t="n"/>
      <c r="AD20" s="554" t="n"/>
      <c r="AE20" s="794" t="n"/>
      <c r="AF20" s="543" t="inlineStr">
        <is>
          <t>Relative uncertainty by reproducibility (wrep,i)</t>
        </is>
      </c>
      <c r="AG20" s="543" t="inlineStr">
        <is>
          <t>Relative uncertainty due to resolution  (wres,i)</t>
        </is>
      </c>
      <c r="AH20" s="543" t="inlineStr">
        <is>
          <t>Calibration uncertainty (wstdc)</t>
        </is>
      </c>
      <c r="AI20" s="543" t="inlineStr">
        <is>
          <t>Uncertainty due to temperature difference (wtemp')</t>
        </is>
      </c>
      <c r="AJ20" s="543" t="inlineStr">
        <is>
          <t>Uncertainty due to sensitivity drift (wdrift)</t>
        </is>
      </c>
      <c r="AK20" s="543" t="inlineStr">
        <is>
          <t>Relative standard uncertainty (wstd)</t>
        </is>
      </c>
      <c r="AL20" s="543" t="inlineStr">
        <is>
          <t>Relative combined uncertainty (wci)</t>
        </is>
      </c>
      <c r="AM20" s="543" t="inlineStr">
        <is>
          <t>Effective degree of freedom</t>
        </is>
      </c>
      <c r="AN20" s="543" t="inlineStr">
        <is>
          <t>coverage factor           (k)</t>
        </is>
      </c>
      <c r="AO20" s="543" t="inlineStr">
        <is>
          <t>Relative expanded uncertainty  (Wi)</t>
        </is>
      </c>
      <c r="AP20" s="220" t="n"/>
      <c r="AQ20" s="543" t="inlineStr">
        <is>
          <t>Relative accu error qi</t>
        </is>
      </c>
      <c r="AR20" s="543" t="inlineStr">
        <is>
          <t>Relative rep error bi</t>
        </is>
      </c>
      <c r="AS20" s="543" t="inlineStr">
        <is>
          <t>Relative zero error f0</t>
        </is>
      </c>
      <c r="AU20" s="562" t="inlineStr">
        <is>
          <t>Relative accuracy error qi</t>
        </is>
      </c>
      <c r="AV20" s="562" t="inlineStr">
        <is>
          <t>Relative repeatability error bi</t>
        </is>
      </c>
      <c r="AW20" s="562" t="inlineStr">
        <is>
          <t>Relative zero error f0</t>
        </is>
      </c>
      <c r="AX20" s="562" t="inlineStr">
        <is>
          <t>Lower Limit of calibration range</t>
        </is>
      </c>
      <c r="AY20" s="562" t="inlineStr">
        <is>
          <t>Relative uncertainty of force measuring instrument
상대불확도</t>
        </is>
      </c>
      <c r="AZ20" s="562" t="inlineStr">
        <is>
          <t>Class</t>
        </is>
      </c>
    </row>
    <row r="21" ht="12" customFormat="1" customHeight="1" s="216">
      <c r="A21" s="559" t="n"/>
      <c r="B21" s="220" t="inlineStr">
        <is>
          <t>2. Linear Interpolation (of reference force deflection)</t>
        </is>
      </c>
      <c r="C21" s="559" t="n"/>
      <c r="D21" s="559" t="n"/>
      <c r="E21" s="559" t="n"/>
      <c r="F21" s="559" t="n"/>
      <c r="G21" s="559" t="n"/>
      <c r="H21" s="559" t="n"/>
      <c r="I21" s="220" t="inlineStr">
        <is>
          <t xml:space="preserve">3. Estimation of reference force </t>
        </is>
      </c>
      <c r="J21" s="559" t="n"/>
      <c r="K21" s="559" t="n"/>
      <c r="L21" s="559" t="n"/>
      <c r="M21" s="559" t="n"/>
      <c r="N21" s="559" t="n"/>
      <c r="O21" s="559" t="n"/>
      <c r="P21" s="559" t="n"/>
      <c r="Q21" s="559" t="n"/>
      <c r="R21" s="559" t="n"/>
      <c r="S21" s="554" t="n"/>
      <c r="T21" s="554" t="n"/>
      <c r="U21" s="554" t="n"/>
      <c r="V21" s="244" t="inlineStr">
        <is>
          <t>Net Value (dij) &amp; Mean (di) Calculation</t>
        </is>
      </c>
      <c r="W21" s="243" t="n"/>
      <c r="X21" s="243" t="n"/>
      <c r="Y21" s="559" t="n"/>
      <c r="Z21" s="559" t="n"/>
      <c r="AA21" s="559" t="n"/>
      <c r="AB21" s="554" t="n"/>
      <c r="AC21" s="554" t="n"/>
      <c r="AD21" s="554" t="n"/>
      <c r="AE21" s="262">
        <f>Software!J39</f>
        <v/>
      </c>
      <c r="AF21" s="792" t="n"/>
      <c r="AG21" s="792" t="n"/>
      <c r="AH21" s="792" t="n"/>
      <c r="AI21" s="792" t="n"/>
      <c r="AJ21" s="792" t="n"/>
      <c r="AK21" s="792" t="n"/>
      <c r="AL21" s="792" t="n"/>
      <c r="AM21" s="792" t="n"/>
      <c r="AN21" s="792" t="n"/>
      <c r="AO21" s="792" t="n"/>
      <c r="AP21" s="220" t="n"/>
      <c r="AQ21" s="792" t="n"/>
      <c r="AR21" s="792" t="n"/>
      <c r="AS21" s="792" t="n"/>
      <c r="AU21" s="792" t="n"/>
      <c r="AV21" s="792" t="n"/>
      <c r="AW21" s="792" t="n"/>
      <c r="AX21" s="792" t="n"/>
      <c r="AY21" s="792" t="n"/>
      <c r="AZ21" s="792" t="n"/>
    </row>
    <row r="22" ht="12" customFormat="1" customHeight="1" s="216">
      <c r="A22" s="559" t="n"/>
      <c r="B22" s="559" t="n"/>
      <c r="C22" s="223" t="inlineStr">
        <is>
          <t>Force                                           (kN)</t>
        </is>
      </c>
      <c r="D22" s="223" t="inlineStr">
        <is>
          <t>Load Value</t>
        </is>
      </c>
      <c r="E22" s="810" t="n"/>
      <c r="F22" s="810" t="n"/>
      <c r="G22" s="793" t="n"/>
      <c r="H22" s="245" t="n"/>
      <c r="I22" s="554" t="n"/>
      <c r="J22" s="223" t="inlineStr">
        <is>
          <t>Force                                           (kN)</t>
        </is>
      </c>
      <c r="K22" s="223" t="inlineStr">
        <is>
          <t>Load Value (kN)</t>
        </is>
      </c>
      <c r="L22" s="810" t="n"/>
      <c r="M22" s="810" t="n"/>
      <c r="N22" s="793" t="n"/>
      <c r="O22" s="559" t="n"/>
      <c r="P22" s="559" t="n"/>
      <c r="Q22" s="559" t="n"/>
      <c r="R22" s="559" t="n"/>
      <c r="S22" s="554" t="n"/>
      <c r="T22" s="542" t="inlineStr">
        <is>
          <t>Machine Indication</t>
        </is>
      </c>
      <c r="U22" s="793" t="n"/>
      <c r="V22" s="823" t="inlineStr">
        <is>
          <t>Indicated Force</t>
        </is>
      </c>
      <c r="W22" s="545" t="inlineStr">
        <is>
          <t>Load          1st (0˚)</t>
        </is>
      </c>
      <c r="X22" s="823" t="inlineStr">
        <is>
          <t>Indicated Force</t>
        </is>
      </c>
      <c r="Y22" s="545" t="inlineStr">
        <is>
          <t>Load            2nd (120˚)</t>
        </is>
      </c>
      <c r="Z22" s="823" t="inlineStr">
        <is>
          <t>Indicated Force</t>
        </is>
      </c>
      <c r="AA22" s="545" t="inlineStr">
        <is>
          <t>Load              3rd (240˚)</t>
        </is>
      </c>
      <c r="AB22" s="545" t="inlineStr">
        <is>
          <t>Mean Value</t>
        </is>
      </c>
      <c r="AC22" s="545" t="inlineStr">
        <is>
          <t>Applied Force</t>
        </is>
      </c>
      <c r="AD22" s="554" t="n"/>
      <c r="AE22" s="545" t="inlineStr">
        <is>
          <t>Resolution testing machine</t>
        </is>
      </c>
      <c r="AF22" s="792" t="n"/>
      <c r="AG22" s="792" t="n"/>
      <c r="AH22" s="792" t="n"/>
      <c r="AI22" s="792" t="n"/>
      <c r="AJ22" s="792" t="n"/>
      <c r="AK22" s="792" t="n"/>
      <c r="AL22" s="792" t="n"/>
      <c r="AM22" s="792" t="n"/>
      <c r="AN22" s="792" t="n"/>
      <c r="AO22" s="792" t="n"/>
      <c r="AP22" s="220" t="n"/>
      <c r="AQ22" s="792" t="n"/>
      <c r="AR22" s="792" t="n"/>
      <c r="AS22" s="792" t="n"/>
      <c r="AU22" s="792" t="n"/>
      <c r="AV22" s="792" t="n"/>
      <c r="AW22" s="792" t="n"/>
      <c r="AX22" s="792" t="n"/>
      <c r="AY22" s="792" t="n"/>
      <c r="AZ22" s="792" t="n"/>
    </row>
    <row r="23" ht="24" customFormat="1" customHeight="1" s="216">
      <c r="A23" s="559" t="n"/>
      <c r="B23" s="559" t="n"/>
      <c r="C23" s="794" t="n"/>
      <c r="D23" s="223" t="inlineStr">
        <is>
          <t>1st (0˚)</t>
        </is>
      </c>
      <c r="E23" s="223" t="inlineStr">
        <is>
          <t>2nd (120˚)</t>
        </is>
      </c>
      <c r="F23" s="223" t="inlineStr">
        <is>
          <t>3rd (240˚)</t>
        </is>
      </c>
      <c r="G23" s="247" t="inlineStr">
        <is>
          <t>Mean Value</t>
        </is>
      </c>
      <c r="H23" s="248" t="n"/>
      <c r="I23" s="554" t="n"/>
      <c r="J23" s="794" t="n"/>
      <c r="K23" s="223" t="inlineStr">
        <is>
          <t>1st (0˚)</t>
        </is>
      </c>
      <c r="L23" s="223" t="inlineStr">
        <is>
          <t>2nd (120˚)</t>
        </is>
      </c>
      <c r="M23" s="223" t="inlineStr">
        <is>
          <t>3rd (240˚)</t>
        </is>
      </c>
      <c r="N23" s="247" t="inlineStr">
        <is>
          <t>Mean Value</t>
        </is>
      </c>
      <c r="O23" s="559" t="n"/>
      <c r="P23" s="559" t="n"/>
      <c r="Q23" s="559" t="n"/>
      <c r="R23" s="559" t="n"/>
      <c r="S23" s="554" t="n"/>
      <c r="T23" s="545" t="inlineStr">
        <is>
          <t>Indicated Force</t>
        </is>
      </c>
      <c r="U23" s="545" t="inlineStr">
        <is>
          <t>Equivalent Force (kN)</t>
        </is>
      </c>
      <c r="V23" s="794" t="n"/>
      <c r="W23" s="794" t="n"/>
      <c r="X23" s="794" t="n"/>
      <c r="Y23" s="794" t="n"/>
      <c r="Z23" s="794" t="n"/>
      <c r="AA23" s="794" t="n"/>
      <c r="AB23" s="794" t="n"/>
      <c r="AC23" s="794" t="n"/>
      <c r="AD23" s="554" t="n"/>
      <c r="AE23" s="794" t="n"/>
      <c r="AF23" s="794" t="n"/>
      <c r="AG23" s="794" t="n"/>
      <c r="AH23" s="794" t="n"/>
      <c r="AI23" s="794" t="n"/>
      <c r="AJ23" s="794" t="n"/>
      <c r="AK23" s="794" t="n"/>
      <c r="AL23" s="794" t="n"/>
      <c r="AM23" s="794" t="n"/>
      <c r="AN23" s="794" t="n"/>
      <c r="AO23" s="794" t="n"/>
      <c r="AP23" s="220" t="n"/>
      <c r="AQ23" s="794" t="n"/>
      <c r="AR23" s="794" t="n"/>
      <c r="AS23" s="794" t="n"/>
      <c r="AU23" s="794" t="n"/>
      <c r="AV23" s="794" t="n"/>
      <c r="AW23" s="794" t="n"/>
      <c r="AX23" s="794" t="n"/>
      <c r="AY23" s="794" t="n"/>
      <c r="AZ23" s="794" t="n"/>
    </row>
    <row r="24" ht="15.6" customFormat="1" customHeight="1" s="216">
      <c r="A24" s="559" t="n"/>
      <c r="B24" s="559" t="n"/>
      <c r="C24" s="250" t="n">
        <v>0</v>
      </c>
      <c r="D24" s="824" t="n">
        <v>0</v>
      </c>
      <c r="E24" s="824" t="n">
        <v>0</v>
      </c>
      <c r="F24" s="824" t="n">
        <v>0</v>
      </c>
      <c r="G24" s="825">
        <f>ROUND((M17*Z24+M18*Z24^2)*1000,0)</f>
        <v/>
      </c>
      <c r="H24" s="253" t="n"/>
      <c r="I24" s="554" t="n"/>
      <c r="J24" s="229">
        <f>U24</f>
        <v/>
      </c>
      <c r="K24" s="229" t="n">
        <v>-0.004913</v>
      </c>
      <c r="L24" s="229" t="n">
        <v>0</v>
      </c>
      <c r="M24" s="229" t="n">
        <v>-0.004913</v>
      </c>
      <c r="N24" s="254" t="n">
        <v>0</v>
      </c>
      <c r="O24" s="255" t="n"/>
      <c r="P24" s="255" t="n"/>
      <c r="Q24" s="255" t="n"/>
      <c r="R24" s="255" t="n"/>
      <c r="S24" s="554" t="n"/>
      <c r="T24" s="250">
        <f>'Dash Board'!T8</f>
        <v/>
      </c>
      <c r="U24" s="826">
        <f>T24*Software!$K$35</f>
        <v/>
      </c>
      <c r="V24" s="826">
        <f>Software!F66</f>
        <v/>
      </c>
      <c r="W24" s="827">
        <f>Software!J66</f>
        <v/>
      </c>
      <c r="X24" s="826">
        <f>Software!F82</f>
        <v/>
      </c>
      <c r="Y24" s="828">
        <f>Software!J82</f>
        <v/>
      </c>
      <c r="Z24" s="826">
        <f>Software!F98</f>
        <v/>
      </c>
      <c r="AA24" s="828">
        <f>Software!J98</f>
        <v/>
      </c>
      <c r="AB24" s="827">
        <f>ROUND(AVERAGE(W24,Y24,AA24),5)</f>
        <v/>
      </c>
      <c r="AC24" s="827">
        <f>N24</f>
        <v/>
      </c>
      <c r="AD24" s="554" t="n"/>
      <c r="AE24" s="263">
        <f>'Dash Board'!N24*Software!K35</f>
        <v/>
      </c>
      <c r="AF24" s="262" t="n">
        <v>0</v>
      </c>
      <c r="AG24" s="262" t="n">
        <v>0</v>
      </c>
      <c r="AH24" s="262" t="n">
        <v>0</v>
      </c>
      <c r="AI24" s="262" t="n">
        <v>0</v>
      </c>
      <c r="AJ24" s="262" t="n">
        <v>0</v>
      </c>
      <c r="AK24" s="262" t="n">
        <v>0</v>
      </c>
      <c r="AL24" s="262" t="n">
        <v>0</v>
      </c>
      <c r="AM24" s="262" t="inlineStr">
        <is>
          <t>-</t>
        </is>
      </c>
      <c r="AN24" s="262" t="inlineStr">
        <is>
          <t>-</t>
        </is>
      </c>
      <c r="AO24" s="262" t="n">
        <v>0</v>
      </c>
      <c r="AP24" s="220" t="n"/>
      <c r="AQ24" s="275" t="n">
        <v>0</v>
      </c>
      <c r="AR24" s="275" t="n">
        <v>0</v>
      </c>
      <c r="AS24" s="275" t="n">
        <v>0</v>
      </c>
      <c r="AU24" s="284" t="inlineStr">
        <is>
          <t>-</t>
        </is>
      </c>
      <c r="AV24" s="284" t="inlineStr">
        <is>
          <t>-</t>
        </is>
      </c>
      <c r="AW24" s="284" t="inlineStr">
        <is>
          <t>-</t>
        </is>
      </c>
      <c r="AX24" s="284" t="inlineStr">
        <is>
          <t>-</t>
        </is>
      </c>
      <c r="AY24" s="284" t="inlineStr">
        <is>
          <t>-</t>
        </is>
      </c>
      <c r="AZ24" s="284" t="inlineStr">
        <is>
          <t>-</t>
        </is>
      </c>
    </row>
    <row r="25" ht="15.6" customFormat="1" customHeight="1" s="216">
      <c r="A25" s="559" t="n"/>
      <c r="B25" s="559" t="n"/>
      <c r="C25" s="257">
        <f>U25</f>
        <v/>
      </c>
      <c r="D25" s="829">
        <f>W25*$U25/$V25</f>
        <v/>
      </c>
      <c r="E25" s="829">
        <f>Y25*$U25/$X25</f>
        <v/>
      </c>
      <c r="F25" s="829">
        <f>AA25*U25/Z25</f>
        <v/>
      </c>
      <c r="G25" s="258">
        <f>ROUND(AVERAGE(D25:F25),5)</f>
        <v/>
      </c>
      <c r="H25" s="253" t="n"/>
      <c r="I25" s="554" t="n"/>
      <c r="J25" s="229">
        <f>U25</f>
        <v/>
      </c>
      <c r="K25" s="830">
        <f>ABS(ROUND((($M$17*D25+$M$18*D25^2+$M$19*D25^3)),3))</f>
        <v/>
      </c>
      <c r="L25" s="830">
        <f>ABS(ROUND((($M$17*E25+$M$18*E25^2+$M$19*E25^3)),3))</f>
        <v/>
      </c>
      <c r="M25" s="830">
        <f>ABS(ROUND((($M$17*F25+$M$18*F25^2+$M$19*F25^3)),3))</f>
        <v/>
      </c>
      <c r="N25" s="254">
        <f>ABS(ROUND(AVERAGE(K25:M25),3))</f>
        <v/>
      </c>
      <c r="O25" s="255" t="n"/>
      <c r="P25" s="255" t="n"/>
      <c r="Q25" s="255" t="n"/>
      <c r="R25" s="255" t="n"/>
      <c r="S25" s="554" t="n"/>
      <c r="T25" s="250">
        <f>'Dash Board'!T9</f>
        <v/>
      </c>
      <c r="U25" s="826">
        <f>T25*Software!$K$35</f>
        <v/>
      </c>
      <c r="V25" s="542">
        <f>Software!F67</f>
        <v/>
      </c>
      <c r="W25" s="831">
        <f>Software!J67</f>
        <v/>
      </c>
      <c r="X25" s="826">
        <f>Software!F83</f>
        <v/>
      </c>
      <c r="Y25" s="828">
        <f>Software!J83</f>
        <v/>
      </c>
      <c r="Z25" s="826">
        <f>Software!F99</f>
        <v/>
      </c>
      <c r="AA25" s="828">
        <f>Software!J99</f>
        <v/>
      </c>
      <c r="AB25" s="827">
        <f>ROUND(AVERAGE(W25,Y25,AA25),5)</f>
        <v/>
      </c>
      <c r="AC25" s="827">
        <f>N25</f>
        <v/>
      </c>
      <c r="AD25" s="554" t="n"/>
      <c r="AE25" s="549" t="inlineStr">
        <is>
          <t>Sensitivity on temp</t>
        </is>
      </c>
      <c r="AF25" s="832">
        <f>((100/N25)*(SQRT(((K25-N25)^2+(L25-N25)^2+(M25-N25)^2)/2)))/SQRT(3)</f>
        <v/>
      </c>
      <c r="AG25" s="832">
        <f>($AE$24*100)/(N25*2*SQRT(3))</f>
        <v/>
      </c>
      <c r="AH25" s="833">
        <f>$AE$21/2</f>
        <v/>
      </c>
      <c r="AI25" s="832">
        <f>($AE$27*$AE$29)/SQRT(3)</f>
        <v/>
      </c>
      <c r="AJ25" s="832">
        <f>$AE$31/SQRT(3)</f>
        <v/>
      </c>
      <c r="AK25" s="832">
        <f>SQRT((SUMSQ(AH25:AJ25)))</f>
        <v/>
      </c>
      <c r="AL25" s="832">
        <f>SQRT(SUMSQ(AF25,AG25,AK25))</f>
        <v/>
      </c>
      <c r="AM25" s="262">
        <f>ROUNDDOWN(AL25^4/AF25^4*2,0)</f>
        <v/>
      </c>
      <c r="AN25" s="262" t="n">
        <v>2</v>
      </c>
      <c r="AO25" s="833">
        <f>AN25*AL25</f>
        <v/>
      </c>
      <c r="AP25" s="220" t="n"/>
      <c r="AQ25" s="257">
        <f>((J25-N25)/N25)*100</f>
        <v/>
      </c>
      <c r="AR25" s="276">
        <f>(MAX(K25,L25,M25)-MIN(K25,L25,M25))/N25*100</f>
        <v/>
      </c>
      <c r="AS25" s="276">
        <f>$V$36/IF($J$34&lt;&gt;0,$J$34,$J$29)*100</f>
        <v/>
      </c>
      <c r="AU25" s="284">
        <f>IF(ABS(AQ25)&lt;=0.5,0.5,IF(ABS(AQ25)&lt;=1,1,IF(ABS(AQ25)&lt;=2,2,IF(ABS(AQ25)&lt;=3,3,"-"))))</f>
        <v/>
      </c>
      <c r="AV25" s="284">
        <f>IF(AR25&lt;=0.5,0.5,IF(AR25&lt;=1,1,IF(AR25&lt;=2,2,IF(AR25&lt;=3,3,"-"))))</f>
        <v/>
      </c>
      <c r="AW25" s="284">
        <f>IF(ABS(AS25)&lt;=0.05,0.5,IF(ABS(AS25)&lt;=0.1,1,IF(ABS(AS25)&lt;=0.2,2,IF(ABS(AS25)&lt;=0.3,3,"-"))))</f>
        <v/>
      </c>
      <c r="AX25" s="284">
        <f>IF($AX$18&gt;=400,0.5,IF($AX$18&gt;=200,1,IF($AX$18&gt;=100,2,IF($AX$18&gt;=67,3,"-"))))</f>
        <v/>
      </c>
      <c r="AY25" s="284">
        <f>IF($AE$21&lt;=0.12,0.5,IF($AE$21&lt;=0.25,1,IF($AE$21&lt;=0.5,2,"-")))</f>
        <v/>
      </c>
      <c r="AZ25" s="284">
        <f>MAX(AU25,AV25,AW25,AY25)</f>
        <v/>
      </c>
    </row>
    <row r="26" ht="17.45" customFormat="1" customHeight="1" s="216">
      <c r="A26" s="559" t="n"/>
      <c r="B26" s="559" t="n"/>
      <c r="C26" s="257">
        <f>U26</f>
        <v/>
      </c>
      <c r="D26" s="829">
        <f>W26*$U26/$V26</f>
        <v/>
      </c>
      <c r="E26" s="829">
        <f>Y26*$U26/$X26</f>
        <v/>
      </c>
      <c r="F26" s="829">
        <f>AA26*U26/Z26</f>
        <v/>
      </c>
      <c r="G26" s="258">
        <f>ROUND(AVERAGE(D26:F26),5)</f>
        <v/>
      </c>
      <c r="H26" s="253" t="n"/>
      <c r="I26" s="554" t="n"/>
      <c r="J26" s="229">
        <f>U26</f>
        <v/>
      </c>
      <c r="K26" s="830">
        <f>ABS(ROUND((($M$17*D26+$M$18*D26^2+$M$19*D26^3)),3))</f>
        <v/>
      </c>
      <c r="L26" s="830">
        <f>ABS(ROUND((($M$17*E26+$M$18*E26^2+$M$19*E26^3)),3))</f>
        <v/>
      </c>
      <c r="M26" s="830">
        <f>ABS(ROUND((($M$17*F26+$M$18*F26^2+$M$19*F26^3)),3))</f>
        <v/>
      </c>
      <c r="N26" s="254">
        <f>ABS(ROUND(AVERAGE(K26:M26),3))</f>
        <v/>
      </c>
      <c r="O26" s="255" t="n"/>
      <c r="P26" s="255" t="n"/>
      <c r="Q26" s="255" t="n"/>
      <c r="R26" s="255" t="n"/>
      <c r="S26" s="554" t="n"/>
      <c r="T26" s="250">
        <f>'Dash Board'!T10</f>
        <v/>
      </c>
      <c r="U26" s="826">
        <f>T26*Software!$K$35</f>
        <v/>
      </c>
      <c r="V26" s="542">
        <f>Software!F68</f>
        <v/>
      </c>
      <c r="W26" s="831">
        <f>Software!J68</f>
        <v/>
      </c>
      <c r="X26" s="826">
        <f>Software!F84</f>
        <v/>
      </c>
      <c r="Y26" s="828">
        <f>Software!J84</f>
        <v/>
      </c>
      <c r="Z26" s="826">
        <f>Software!F100</f>
        <v/>
      </c>
      <c r="AA26" s="828">
        <f>Software!J100</f>
        <v/>
      </c>
      <c r="AB26" s="827">
        <f>ROUND(AVERAGE(W26,Y26,AA26),5)</f>
        <v/>
      </c>
      <c r="AC26" s="827">
        <f>N26</f>
        <v/>
      </c>
      <c r="AD26" s="554" t="n"/>
      <c r="AE26" s="822" t="n"/>
      <c r="AF26" s="832">
        <f>((100/N26)*(SQRT(((K26-N26)^2+(L26-N26)^2+(M26-N26)^2)/2)))/SQRT(3)</f>
        <v/>
      </c>
      <c r="AG26" s="832">
        <f>($AE$24*100)/(N26*2*SQRT(3))</f>
        <v/>
      </c>
      <c r="AH26" s="833">
        <f>$AE$21/2</f>
        <v/>
      </c>
      <c r="AI26" s="832">
        <f>($AE$27*$AE$29)/SQRT(3)</f>
        <v/>
      </c>
      <c r="AJ26" s="832">
        <f>$AE$31/SQRT(3)</f>
        <v/>
      </c>
      <c r="AK26" s="832">
        <f>SQRT((SUMSQ(AH26:AJ26)))</f>
        <v/>
      </c>
      <c r="AL26" s="832">
        <f>SQRT(SUMSQ(AF26,AG26,AK26))</f>
        <v/>
      </c>
      <c r="AM26" s="262">
        <f>ROUNDDOWN(AL26^4/AF26^4*2,0)</f>
        <v/>
      </c>
      <c r="AN26" s="262" t="n">
        <v>2</v>
      </c>
      <c r="AO26" s="833">
        <f>AN26*AL26</f>
        <v/>
      </c>
      <c r="AP26" s="220" t="n"/>
      <c r="AQ26" s="257">
        <f>((J26-N26)/N26)*100</f>
        <v/>
      </c>
      <c r="AR26" s="276">
        <f>(MAX(K26,L26,M26)-MIN(K26,L26,M26))/N26*100</f>
        <v/>
      </c>
      <c r="AS26" s="276">
        <f>$V$36/IF($J$29&lt;&gt;0,$J$29,$J$29)*100</f>
        <v/>
      </c>
      <c r="AU26" s="284">
        <f>IF(ABS(AQ26)&lt;=0.5,0.5,IF(ABS(AQ26)&lt;=1,1,IF(ABS(AQ26)&lt;=2,2,IF(ABS(AQ26)&lt;=3,3,"-"))))</f>
        <v/>
      </c>
      <c r="AV26" s="284">
        <f>IF(AR26&lt;=0.5,0.5,IF(AR26&lt;=1,1,IF(AR26&lt;=2,2,IF(AR26&lt;=3,3,"-"))))</f>
        <v/>
      </c>
      <c r="AW26" s="284">
        <f>IF(ABS(AS26)&lt;=0.05,0.5,IF(ABS(AS26)&lt;=0.1,1,IF(ABS(AS26)&lt;=0.2,2,IF(ABS(AS26)&lt;=0.3,3,"-"))))</f>
        <v/>
      </c>
      <c r="AX26" s="284">
        <f>IF($AX$18&gt;=400,0.5,IF($AX$18&gt;=200,1,IF($AX$18&gt;=100,2,IF($AX$18&gt;=67,3,"-"))))</f>
        <v/>
      </c>
      <c r="AY26" s="284">
        <f>IF($AE$21&lt;=0.12,0.5,IF($AE$21&lt;=0.25,1,IF($AE$21&lt;=0.5,2,"-")))</f>
        <v/>
      </c>
      <c r="AZ26" s="284">
        <f>MAX(AU26,AV26,AW26,AY26)</f>
        <v/>
      </c>
    </row>
    <row r="27" ht="17.45" customFormat="1" customHeight="1" s="216">
      <c r="A27" s="559" t="n"/>
      <c r="B27" s="559" t="n"/>
      <c r="C27" s="257">
        <f>U27</f>
        <v/>
      </c>
      <c r="D27" s="829">
        <f>W27*$U27/$V27</f>
        <v/>
      </c>
      <c r="E27" s="829">
        <f>Y27*$U27/$X27</f>
        <v/>
      </c>
      <c r="F27" s="829">
        <f>AA27*U27/Z27</f>
        <v/>
      </c>
      <c r="G27" s="258">
        <f>ROUND(AVERAGE(D27:F27),5)</f>
        <v/>
      </c>
      <c r="H27" s="253" t="n"/>
      <c r="I27" s="554" t="n"/>
      <c r="J27" s="229">
        <f>U27</f>
        <v/>
      </c>
      <c r="K27" s="830">
        <f>ABS(ROUND((($M$17*D27+$M$18*D27^2+$M$19*D27^3)),3))</f>
        <v/>
      </c>
      <c r="L27" s="830">
        <f>ABS(ROUND((($M$17*E27+$M$18*E27^2+$M$19*E27^3)),3))</f>
        <v/>
      </c>
      <c r="M27" s="830">
        <f>ABS(ROUND((($M$17*F27+$M$18*F27^2+$M$19*F27^3)),3))</f>
        <v/>
      </c>
      <c r="N27" s="254">
        <f>ABS(ROUND(AVERAGE(K27:M27),3))</f>
        <v/>
      </c>
      <c r="O27" s="255" t="n"/>
      <c r="P27" s="255" t="n"/>
      <c r="Q27" s="255" t="n"/>
      <c r="R27" s="255" t="n"/>
      <c r="S27" s="554" t="n"/>
      <c r="T27" s="250">
        <f>'Dash Board'!T11</f>
        <v/>
      </c>
      <c r="U27" s="826">
        <f>T27*Software!$K$35</f>
        <v/>
      </c>
      <c r="V27" s="542">
        <f>Software!F69</f>
        <v/>
      </c>
      <c r="W27" s="831">
        <f>Software!J69</f>
        <v/>
      </c>
      <c r="X27" s="826">
        <f>Software!F85</f>
        <v/>
      </c>
      <c r="Y27" s="828">
        <f>Software!J85</f>
        <v/>
      </c>
      <c r="Z27" s="826">
        <f>Software!F101</f>
        <v/>
      </c>
      <c r="AA27" s="828">
        <f>Software!J101</f>
        <v/>
      </c>
      <c r="AB27" s="827">
        <f>ROUND(AVERAGE(W27,Y27,AA27),5)</f>
        <v/>
      </c>
      <c r="AC27" s="827">
        <f>N27</f>
        <v/>
      </c>
      <c r="AD27" s="554" t="n"/>
      <c r="AE27" s="263" t="n">
        <v>0.003</v>
      </c>
      <c r="AF27" s="832">
        <f>((100/N27)*(SQRT(((K27-N27)^2+(L27-N27)^2+(M27-N27)^2)/2)))/SQRT(3)</f>
        <v/>
      </c>
      <c r="AG27" s="832">
        <f>($AE$24*100)/(N27*2*SQRT(3))</f>
        <v/>
      </c>
      <c r="AH27" s="833">
        <f>$AE$21/2</f>
        <v/>
      </c>
      <c r="AI27" s="832">
        <f>($AE$27*$AE$29)/SQRT(3)</f>
        <v/>
      </c>
      <c r="AJ27" s="832">
        <f>$AE$31/SQRT(3)</f>
        <v/>
      </c>
      <c r="AK27" s="832">
        <f>SQRT((SUMSQ(AH27:AJ27)))</f>
        <v/>
      </c>
      <c r="AL27" s="832">
        <f>SQRT(SUMSQ(AF27,AG27,AK27))</f>
        <v/>
      </c>
      <c r="AM27" s="262">
        <f>ROUNDDOWN(AL27^4/AF27^4*2,0)</f>
        <v/>
      </c>
      <c r="AN27" s="262" t="n">
        <v>2</v>
      </c>
      <c r="AO27" s="833">
        <f>AN27*AL27</f>
        <v/>
      </c>
      <c r="AP27" s="220" t="n"/>
      <c r="AQ27" s="257">
        <f>((J27-N27)/N27)*100</f>
        <v/>
      </c>
      <c r="AR27" s="276">
        <f>(MAX(K27,L27,M27)-MIN(K27,L27,M27))/N27*100</f>
        <v/>
      </c>
      <c r="AS27" s="276">
        <f>$V$36/IF($J$29&lt;&gt;0,$J$29,$J$29)*100</f>
        <v/>
      </c>
      <c r="AU27" s="284">
        <f>IF(ABS(AQ27)&lt;=0.5,0.5,IF(ABS(AQ27)&lt;=1,1,IF(ABS(AQ27)&lt;=2,2,IF(ABS(AQ27)&lt;=3,3,"-"))))</f>
        <v/>
      </c>
      <c r="AV27" s="284">
        <f>IF(AR27&lt;=0.5,0.5,IF(AR27&lt;=1,1,IF(AR27&lt;=2,2,IF(AR27&lt;=3,3,"-"))))</f>
        <v/>
      </c>
      <c r="AW27" s="284">
        <f>IF(ABS(AS27)&lt;=0.05,0.5,IF(ABS(AS27)&lt;=0.1,1,IF(ABS(AS27)&lt;=0.2,2,IF(ABS(AS27)&lt;=0.3,3,"-"))))</f>
        <v/>
      </c>
      <c r="AX27" s="284">
        <f>IF($AX$18&gt;=400,0.5,IF($AX$18&gt;=200,1,IF($AX$18&gt;=100,2,IF($AX$18&gt;=67,3,"-"))))</f>
        <v/>
      </c>
      <c r="AY27" s="284">
        <f>IF($AE$21&lt;=0.12,0.5,IF($AE$21&lt;=0.25,1,IF($AE$21&lt;=0.5,2,"-")))</f>
        <v/>
      </c>
      <c r="AZ27" s="284">
        <f>MAX(AU27,AV27,AW27,AY27)</f>
        <v/>
      </c>
    </row>
    <row r="28" ht="17.45" customFormat="1" customHeight="1" s="216">
      <c r="A28" s="559" t="n"/>
      <c r="B28" s="559" t="n"/>
      <c r="C28" s="257">
        <f>U28</f>
        <v/>
      </c>
      <c r="D28" s="829">
        <f>W28*$U28/$V28</f>
        <v/>
      </c>
      <c r="E28" s="829">
        <f>Y28*$U28/$X28</f>
        <v/>
      </c>
      <c r="F28" s="829">
        <f>AA28*U28/Z28</f>
        <v/>
      </c>
      <c r="G28" s="258">
        <f>ROUND(AVERAGE(D28:F28),5)</f>
        <v/>
      </c>
      <c r="H28" s="253" t="n"/>
      <c r="I28" s="554" t="n"/>
      <c r="J28" s="229">
        <f>U28</f>
        <v/>
      </c>
      <c r="K28" s="830">
        <f>ABS(ROUND((($M$17*D28+$M$18*D28^2+$M$19*D28^3)),3))</f>
        <v/>
      </c>
      <c r="L28" s="830">
        <f>ABS(ROUND((($M$17*E28+$M$18*E28^2+$M$19*E28^3)),3))</f>
        <v/>
      </c>
      <c r="M28" s="830">
        <f>ABS(ROUND((($M$17*F28+$M$18*F28^2+$M$19*F28^3)),3))</f>
        <v/>
      </c>
      <c r="N28" s="254">
        <f>ABS(ROUND(AVERAGE(K28:M28),3))</f>
        <v/>
      </c>
      <c r="O28" s="255" t="n"/>
      <c r="P28" s="255" t="n"/>
      <c r="Q28" s="255" t="n"/>
      <c r="R28" s="255" t="n"/>
      <c r="S28" s="554" t="n"/>
      <c r="T28" s="250">
        <f>'Dash Board'!T12</f>
        <v/>
      </c>
      <c r="U28" s="826">
        <f>T28*Software!$K$35</f>
        <v/>
      </c>
      <c r="V28" s="542">
        <f>Software!F70</f>
        <v/>
      </c>
      <c r="W28" s="831">
        <f>Software!J70</f>
        <v/>
      </c>
      <c r="X28" s="826">
        <f>Software!F86</f>
        <v/>
      </c>
      <c r="Y28" s="828">
        <f>Software!J86</f>
        <v/>
      </c>
      <c r="Z28" s="826">
        <f>Software!F102</f>
        <v/>
      </c>
      <c r="AA28" s="828">
        <f>Software!J102</f>
        <v/>
      </c>
      <c r="AB28" s="827">
        <f>ROUND(AVERAGE(W28,Y28,AA28),5)</f>
        <v/>
      </c>
      <c r="AC28" s="827">
        <f>N28</f>
        <v/>
      </c>
      <c r="AD28" s="554" t="n"/>
      <c r="AE28" s="263" t="inlineStr">
        <is>
          <t>Temp Diff.</t>
        </is>
      </c>
      <c r="AF28" s="832">
        <f>((100/N28)*(SQRT(((K28-N28)^2+(L28-N28)^2+(M28-N28)^2)/2)))/SQRT(3)</f>
        <v/>
      </c>
      <c r="AG28" s="832">
        <f>($AE$24*100)/(N28*2*SQRT(3))</f>
        <v/>
      </c>
      <c r="AH28" s="833">
        <f>$AE$21/2</f>
        <v/>
      </c>
      <c r="AI28" s="832">
        <f>($AE$27*$AE$29)/SQRT(3)</f>
        <v/>
      </c>
      <c r="AJ28" s="832">
        <f>$AE$31/SQRT(3)</f>
        <v/>
      </c>
      <c r="AK28" s="832">
        <f>SQRT((SUMSQ(AH28:AJ28)))</f>
        <v/>
      </c>
      <c r="AL28" s="832">
        <f>SQRT(SUMSQ(AF28,AG28,AK28))</f>
        <v/>
      </c>
      <c r="AM28" s="262">
        <f>ROUNDDOWN(AL28^4/AF28^4*2,0)</f>
        <v/>
      </c>
      <c r="AN28" s="262" t="n">
        <v>2</v>
      </c>
      <c r="AO28" s="833">
        <f>AN28*AL28</f>
        <v/>
      </c>
      <c r="AP28" s="220" t="n"/>
      <c r="AQ28" s="257">
        <f>((J28-N28)/N28)*100</f>
        <v/>
      </c>
      <c r="AR28" s="276">
        <f>(MAX(K28,L28,M28)-MIN(K28,L28,M28))/N28*100</f>
        <v/>
      </c>
      <c r="AS28" s="276">
        <f>$V$36/IF($J$29&lt;&gt;0,$J$29,$J$29)*100</f>
        <v/>
      </c>
      <c r="AU28" s="284">
        <f>IF(ABS(AQ28)&lt;=0.5,0.5,IF(ABS(AQ28)&lt;=1,1,IF(ABS(AQ28)&lt;=2,2,IF(ABS(AQ28)&lt;=3,3,"-"))))</f>
        <v/>
      </c>
      <c r="AV28" s="284">
        <f>IF(AR28&lt;=0.5,0.5,IF(AR28&lt;=1,1,IF(AR28&lt;=2,2,IF(AR28&lt;=3,3,"-"))))</f>
        <v/>
      </c>
      <c r="AW28" s="284">
        <f>IF(ABS(AS28)&lt;=0.05,0.5,IF(ABS(AS28)&lt;=0.1,1,IF(ABS(AS28)&lt;=0.2,2,IF(ABS(AS28)&lt;=0.3,3,"-"))))</f>
        <v/>
      </c>
      <c r="AX28" s="284">
        <f>IF($AX$18&gt;=400,0.5,IF($AX$18&gt;=200,1,IF($AX$18&gt;=100,2,IF($AX$18&gt;=67,3,"-"))))</f>
        <v/>
      </c>
      <c r="AY28" s="284">
        <f>IF($AE$21&lt;=0.12,0.5,IF($AE$21&lt;=0.25,1,IF($AE$21&lt;=0.5,2,"-")))</f>
        <v/>
      </c>
      <c r="AZ28" s="284">
        <f>MAX(AU28,AV28,AW28,AY28)</f>
        <v/>
      </c>
    </row>
    <row r="29" ht="17.45" customFormat="1" customHeight="1" s="216">
      <c r="A29" s="559" t="n"/>
      <c r="B29" s="559" t="n"/>
      <c r="C29" s="257">
        <f>U29</f>
        <v/>
      </c>
      <c r="D29" s="829">
        <f>W29*$U29/$V29</f>
        <v/>
      </c>
      <c r="E29" s="829">
        <f>Y29*$U29/$X29</f>
        <v/>
      </c>
      <c r="F29" s="829">
        <f>AA29*U29/Z29</f>
        <v/>
      </c>
      <c r="G29" s="258">
        <f>ROUND(AVERAGE(D29:F29),5)</f>
        <v/>
      </c>
      <c r="H29" s="253" t="n"/>
      <c r="I29" s="554" t="n"/>
      <c r="J29" s="229">
        <f>U29</f>
        <v/>
      </c>
      <c r="K29" s="830">
        <f>ABS(ROUND((($M$17*D29+$M$18*D29^2+$M$19*D29^3)),3))</f>
        <v/>
      </c>
      <c r="L29" s="830">
        <f>ABS(ROUND((($M$17*E29+$M$18*E29^2+$M$19*E29^3)),3))</f>
        <v/>
      </c>
      <c r="M29" s="830">
        <f>ABS(ROUND((($M$17*F29+$M$18*F29^2+$M$19*F29^3)),3))</f>
        <v/>
      </c>
      <c r="N29" s="254">
        <f>ABS(ROUND(AVERAGE(K29:M29),3))</f>
        <v/>
      </c>
      <c r="O29" s="255" t="n"/>
      <c r="P29" s="255" t="n"/>
      <c r="Q29" s="255" t="n"/>
      <c r="R29" s="255" t="n"/>
      <c r="S29" s="554" t="n"/>
      <c r="T29" s="250">
        <f>'Dash Board'!T13</f>
        <v/>
      </c>
      <c r="U29" s="826">
        <f>T29*Software!$K$35</f>
        <v/>
      </c>
      <c r="V29" s="542">
        <f>Software!F71</f>
        <v/>
      </c>
      <c r="W29" s="831">
        <f>Software!J71</f>
        <v/>
      </c>
      <c r="X29" s="826">
        <f>Software!F87</f>
        <v/>
      </c>
      <c r="Y29" s="828">
        <f>Software!J87</f>
        <v/>
      </c>
      <c r="Z29" s="826">
        <f>Software!F103</f>
        <v/>
      </c>
      <c r="AA29" s="828">
        <f>Software!J103</f>
        <v/>
      </c>
      <c r="AB29" s="827">
        <f>ROUND(AVERAGE(W29,Y29,AA29),5)</f>
        <v/>
      </c>
      <c r="AC29" s="827">
        <f>N29</f>
        <v/>
      </c>
      <c r="AD29" s="554" t="n"/>
      <c r="AE29" s="834">
        <f>ABS(P17-P18)</f>
        <v/>
      </c>
      <c r="AF29" s="832">
        <f>((100/N29)*(SQRT(((K29-N29)^2+(L29-N29)^2+(M29-N29)^2)/2)))/SQRT(3)</f>
        <v/>
      </c>
      <c r="AG29" s="832">
        <f>($AE$24*100)/(N29*2*SQRT(3))</f>
        <v/>
      </c>
      <c r="AH29" s="833">
        <f>$AE$21/2</f>
        <v/>
      </c>
      <c r="AI29" s="832">
        <f>($AE$27*$AE$29)/SQRT(3)</f>
        <v/>
      </c>
      <c r="AJ29" s="832">
        <f>$AE$31/SQRT(3)</f>
        <v/>
      </c>
      <c r="AK29" s="832">
        <f>SQRT((SUMSQ(AH29:AJ29)))</f>
        <v/>
      </c>
      <c r="AL29" s="832">
        <f>SQRT(SUMSQ(AF29,AG29,AK29))</f>
        <v/>
      </c>
      <c r="AM29" s="262">
        <f>ROUNDDOWN(AL29^4/AF29^4*2,0)</f>
        <v/>
      </c>
      <c r="AN29" s="262" t="n">
        <v>2</v>
      </c>
      <c r="AO29" s="833">
        <f>AN29*AL29</f>
        <v/>
      </c>
      <c r="AP29" s="220" t="n"/>
      <c r="AQ29" s="257">
        <f>((J29-N29)/N29)*100</f>
        <v/>
      </c>
      <c r="AR29" s="276">
        <f>(MAX(K29,L29,M29)-MIN(K29,L29,M29))/N29*100</f>
        <v/>
      </c>
      <c r="AS29" s="276">
        <f>$V$36/IF($J$29&lt;&gt;0,$J$29,$J$29)*100</f>
        <v/>
      </c>
      <c r="AU29" s="284">
        <f>IF(ABS(AQ29)&lt;=0.5,0.5,IF(ABS(AQ29)&lt;=1,1,IF(ABS(AQ29)&lt;=2,2,IF(ABS(AQ29)&lt;=3,3,"-"))))</f>
        <v/>
      </c>
      <c r="AV29" s="284">
        <f>IF(AR29&lt;=0.5,0.5,IF(AR29&lt;=1,1,IF(AR29&lt;=2,2,IF(AR29&lt;=3,3,"-"))))</f>
        <v/>
      </c>
      <c r="AW29" s="284">
        <f>IF(ABS(AS29)&lt;=0.05,0.5,IF(ABS(AS29)&lt;=0.1,1,IF(ABS(AS29)&lt;=0.2,2,IF(ABS(AS29)&lt;=0.3,3,"-"))))</f>
        <v/>
      </c>
      <c r="AX29" s="284">
        <f>IF($AX$18&gt;=400,0.5,IF($AX$18&gt;=200,1,IF($AX$18&gt;=100,2,IF($AX$18&gt;=67,3,"-"))))</f>
        <v/>
      </c>
      <c r="AY29" s="284">
        <f>IF($AE$21&lt;=0.12,0.5,IF($AE$21&lt;=0.25,1,IF($AE$21&lt;=0.5,2,"-")))</f>
        <v/>
      </c>
      <c r="AZ29" s="284">
        <f>MAX(AU29,AV29,AW29,AY29)</f>
        <v/>
      </c>
    </row>
    <row r="30" ht="17.45" customFormat="1" customHeight="1" s="216">
      <c r="A30" s="559" t="n"/>
      <c r="B30" s="559" t="n"/>
      <c r="C30" s="257">
        <f>U30</f>
        <v/>
      </c>
      <c r="D30" s="542">
        <f>IFERROR(ROUND(W30*$U30/$V30,5),"- -")</f>
        <v/>
      </c>
      <c r="E30" s="542">
        <f>IFERROR(ROUND(Y30*$U30/$X30,5),"- -")</f>
        <v/>
      </c>
      <c r="F30" s="542">
        <f>IFERROR(ROUND(AA30*$U30/$Z30,5),"- -")</f>
        <v/>
      </c>
      <c r="G30" s="258">
        <f>IFERROR(ROUND(AVERAGE(D30:F30),5),"- -")</f>
        <v/>
      </c>
      <c r="H30" s="253" t="n"/>
      <c r="I30" s="554" t="n"/>
      <c r="J30" s="229">
        <f>U30</f>
        <v/>
      </c>
      <c r="K30" s="830">
        <f>IFERROR(ROUND((($M$17*D30+$M$18*D30^2+$M$19*D30^3)),3),"- -")</f>
        <v/>
      </c>
      <c r="L30" s="830">
        <f>IFERROR(ROUND((($M$17*E30+$M$18*E30^2+$M$19*E30^3)),3),"- -")</f>
        <v/>
      </c>
      <c r="M30" s="830">
        <f>IFERROR(ROUND((($M$17*F30+$M$18*F30^2+$M$19*F30^3)),3),"- -")</f>
        <v/>
      </c>
      <c r="N30" s="254">
        <f>IFERROR(ROUND(AVERAGE(K30:M30),3),"- -")</f>
        <v/>
      </c>
      <c r="O30" s="255" t="n"/>
      <c r="P30" s="255" t="n"/>
      <c r="Q30" s="255" t="n"/>
      <c r="R30" s="255" t="n"/>
      <c r="S30" s="554" t="n"/>
      <c r="T30" s="250">
        <f>IFERROR('Dash Board'!T14,"- -")</f>
        <v/>
      </c>
      <c r="U30" s="826">
        <f>T30*Software!$K$35</f>
        <v/>
      </c>
      <c r="V30" s="542">
        <f>Software!F72</f>
        <v/>
      </c>
      <c r="W30" s="827">
        <f>Software!J72</f>
        <v/>
      </c>
      <c r="X30" s="229">
        <f>Software!F88</f>
        <v/>
      </c>
      <c r="Y30" s="827">
        <f>Software!J88</f>
        <v/>
      </c>
      <c r="Z30" s="229">
        <f>Software!F104</f>
        <v/>
      </c>
      <c r="AA30" s="827">
        <f>Software!J104</f>
        <v/>
      </c>
      <c r="AB30" s="827">
        <f>IFERROR(ROUND(AVERAGE(W30,Y30,AA30),5),"- -")</f>
        <v/>
      </c>
      <c r="AC30" s="827">
        <f>N30</f>
        <v/>
      </c>
      <c r="AD30" s="554" t="n"/>
      <c r="AE30" s="263" t="inlineStr">
        <is>
          <t>Drift Sens.</t>
        </is>
      </c>
      <c r="AF30" s="832">
        <f>((100/N30)*(SQRT(((K30-N30)^2+(L30-N30)^2+(M30-N30)^2)/2)))/SQRT(3)</f>
        <v/>
      </c>
      <c r="AG30" s="832">
        <f>($AE$24*100)/(N30*2*SQRT(3))</f>
        <v/>
      </c>
      <c r="AH30" s="833">
        <f>$AE$21/2</f>
        <v/>
      </c>
      <c r="AI30" s="832">
        <f>($AE$27*$AE$29)/SQRT(3)</f>
        <v/>
      </c>
      <c r="AJ30" s="832">
        <f>$AE$31/SQRT(3)</f>
        <v/>
      </c>
      <c r="AK30" s="832">
        <f>SQRT((SUMSQ(AH30:AJ30)))</f>
        <v/>
      </c>
      <c r="AL30" s="832">
        <f>SQRT(SUMSQ(AF30,AG30,AK30))</f>
        <v/>
      </c>
      <c r="AM30" s="262" t="n"/>
      <c r="AN30" s="262" t="n">
        <v>2</v>
      </c>
      <c r="AO30" s="833">
        <f>AN30*AL30</f>
        <v/>
      </c>
      <c r="AP30" s="220" t="n"/>
      <c r="AQ30" s="257">
        <f>IFERROR(((J30-N30)/N30)*100,"- -")</f>
        <v/>
      </c>
      <c r="AR30" s="276">
        <f>IFERROR((MAX(K30,L30,M30)-MIN(K30,L30,M30))/N30*100,"- -")</f>
        <v/>
      </c>
      <c r="AS30" s="276">
        <f>$V$36/IF($J$29&lt;&gt;0,$J$29,$J$29)*100</f>
        <v/>
      </c>
      <c r="AU30" s="284">
        <f>IF(ABS(AQ30)&lt;=0.5,0.5,IF(ABS(AQ30)&lt;=1,1,IF(ABS(AQ30)&lt;=2,2,IF(ABS(AQ30)&lt;=3,3,"-"))))</f>
        <v/>
      </c>
      <c r="AV30" s="284">
        <f>IF(AR30&lt;=0.5,0.5,IF(AR30&lt;=1,1,IF(AR30&lt;=2,2,IF(AR30&lt;=3,3,"-"))))</f>
        <v/>
      </c>
      <c r="AW30" s="284">
        <f>IF(ABS(AS30)&lt;=0.05,0.5,IF(ABS(AS30)&lt;=0.1,1,IF(ABS(AS30)&lt;=0.2,2,IF(ABS(AS30)&lt;=0.3,3,"-"))))</f>
        <v/>
      </c>
      <c r="AX30" s="284">
        <f>IF($AX$18&gt;=400,0.5,IF($AX$18&gt;=200,1,IF($AX$18&gt;=100,2,IF($AX$18&gt;=67,3,"-"))))</f>
        <v/>
      </c>
      <c r="AY30" s="284">
        <f>IF($AE$21&lt;=0.12,0.5,IF($AE$21&lt;=0.25,1,IF($AE$21&lt;=0.5,2,"-")))</f>
        <v/>
      </c>
      <c r="AZ30" s="284">
        <f>MAX(AU30,AV30,AW30,AY30)</f>
        <v/>
      </c>
    </row>
    <row r="31" ht="15.75" customFormat="1" customHeight="1" s="216">
      <c r="A31" s="559" t="n"/>
      <c r="B31" s="559" t="n"/>
      <c r="C31" s="257">
        <f>U31</f>
        <v/>
      </c>
      <c r="D31" s="542">
        <f>IFERROR(ROUND(W31*$U31/$V31,5),"- -")</f>
        <v/>
      </c>
      <c r="E31" s="542">
        <f>IFERROR(ROUND(Y31*$U31/$X31,5),"- -")</f>
        <v/>
      </c>
      <c r="F31" s="542">
        <f>IFERROR(ROUND(AA31*$U31/$Z31,5),"- -")</f>
        <v/>
      </c>
      <c r="G31" s="258">
        <f>IFERROR(ROUND(AVERAGE(D31:F31),5),"- -")</f>
        <v/>
      </c>
      <c r="H31" s="253" t="n"/>
      <c r="I31" s="554" t="n"/>
      <c r="J31" s="229">
        <f>U31</f>
        <v/>
      </c>
      <c r="K31" s="830">
        <f>IFERROR(ROUND((($M$17*D31+$M$18*D31^2+$M$19*D31^3)),3),"- -")</f>
        <v/>
      </c>
      <c r="L31" s="830">
        <f>IFERROR(ROUND((($M$17*E31+$M$18*E31^2+$M$19*E31^3)),3),"- -")</f>
        <v/>
      </c>
      <c r="M31" s="830">
        <f>IFERROR(ROUND((($M$17*F31+$M$18*F31^2+$M$19*F31^3)),3),"- -")</f>
        <v/>
      </c>
      <c r="N31" s="254">
        <f>IFERROR(ROUND(AVERAGE(K31:M31),3),"- -")</f>
        <v/>
      </c>
      <c r="O31" s="255" t="n"/>
      <c r="P31" s="255" t="n"/>
      <c r="Q31" s="255" t="n"/>
      <c r="R31" s="255" t="n"/>
      <c r="S31" s="554" t="n"/>
      <c r="T31" s="250">
        <f>IFERROR('Dash Board'!T15,"- -")</f>
        <v/>
      </c>
      <c r="U31" s="826">
        <f>T31*Software!$K$35</f>
        <v/>
      </c>
      <c r="V31" s="542">
        <f>Software!F73</f>
        <v/>
      </c>
      <c r="W31" s="827">
        <f>Software!J73</f>
        <v/>
      </c>
      <c r="X31" s="229">
        <f>Software!F89</f>
        <v/>
      </c>
      <c r="Y31" s="827">
        <f>Software!J89</f>
        <v/>
      </c>
      <c r="Z31" s="229">
        <f>Software!F105</f>
        <v/>
      </c>
      <c r="AA31" s="827">
        <f>Software!J105</f>
        <v/>
      </c>
      <c r="AB31" s="827">
        <f>IFERROR(ROUND(AVERAGE(W31,Y31,AA31),5),"- -")</f>
        <v/>
      </c>
      <c r="AC31" s="827">
        <f>N31</f>
        <v/>
      </c>
      <c r="AD31" s="554" t="n"/>
      <c r="AE31" s="263" t="n">
        <v>0.05</v>
      </c>
      <c r="AF31" s="832">
        <f>((100/N31)*(SQRT(((K31-N31)^2+(L31-N31)^2+(M31-N31)^2)/2)))/SQRT(3)</f>
        <v/>
      </c>
      <c r="AG31" s="832">
        <f>($AE$24*100)/(N31*2*SQRT(3))</f>
        <v/>
      </c>
      <c r="AH31" s="833">
        <f>$AE$21/2</f>
        <v/>
      </c>
      <c r="AI31" s="832">
        <f>($AE$27*$AE$29)/SQRT(3)</f>
        <v/>
      </c>
      <c r="AJ31" s="832">
        <f>$AE$31/SQRT(3)</f>
        <v/>
      </c>
      <c r="AK31" s="832">
        <f>SQRT((SUMSQ(AH31:AJ31)))</f>
        <v/>
      </c>
      <c r="AL31" s="832">
        <f>SQRT(SUMSQ(AF31,AG31,AK31))</f>
        <v/>
      </c>
      <c r="AM31" s="262" t="n"/>
      <c r="AN31" s="262" t="n">
        <v>2</v>
      </c>
      <c r="AO31" s="833">
        <f>AN31*AL31</f>
        <v/>
      </c>
      <c r="AP31" s="220" t="n"/>
      <c r="AQ31" s="257">
        <f>IFERROR(((J31-N31)/N31)*100,"- -")</f>
        <v/>
      </c>
      <c r="AR31" s="276">
        <f>IFERROR((MAX(K31,L31,M31)-MIN(K31,L31,M31))/N31*100,"- -")</f>
        <v/>
      </c>
      <c r="AS31" s="276">
        <f>$V$36/IF($J$29&lt;&gt;0,$J$29,$J$29)*100</f>
        <v/>
      </c>
      <c r="AU31" s="284">
        <f>IF(ABS(AQ31)&lt;=0.5,0.5,IF(ABS(AQ31)&lt;=1,1,IF(ABS(AQ31)&lt;=2,2,IF(ABS(AQ31)&lt;=3,3,"-"))))</f>
        <v/>
      </c>
      <c r="AV31" s="284">
        <f>IF(AR31&lt;=0.5,0.5,IF(AR31&lt;=1,1,IF(AR31&lt;=2,2,IF(AR31&lt;=3,3,"-"))))</f>
        <v/>
      </c>
      <c r="AW31" s="284">
        <f>IF(ABS(AS31)&lt;=0.05,0.5,IF(ABS(AS31)&lt;=0.1,1,IF(ABS(AS31)&lt;=0.2,2,IF(ABS(AS31)&lt;=0.3,3,"-"))))</f>
        <v/>
      </c>
      <c r="AX31" s="284">
        <f>IF($AX$18&gt;=400,0.5,IF($AX$18&gt;=200,1,IF($AX$18&gt;=100,2,IF($AX$18&gt;=67,3,"-"))))</f>
        <v/>
      </c>
      <c r="AY31" s="284">
        <f>IF($AE$21&lt;=0.12,0.5,IF($AE$21&lt;=0.25,1,IF($AE$21&lt;=0.5,2,"-")))</f>
        <v/>
      </c>
      <c r="AZ31" s="284">
        <f>MAX(AU31,AV31,AW31,AY31)</f>
        <v/>
      </c>
    </row>
    <row r="32" ht="15.75" customFormat="1" customHeight="1" s="216">
      <c r="A32" s="559" t="n"/>
      <c r="B32" s="559" t="n"/>
      <c r="C32" s="257">
        <f>U32</f>
        <v/>
      </c>
      <c r="D32" s="542">
        <f>IFERROR(ROUND(W32*$U32/$V32,5),"- -")</f>
        <v/>
      </c>
      <c r="E32" s="542">
        <f>IFERROR(ROUND(Y32*$U32/$X32,5),"- -")</f>
        <v/>
      </c>
      <c r="F32" s="542">
        <f>IFERROR(ROUND(AA32*$U32/$Z32,5),"- -")</f>
        <v/>
      </c>
      <c r="G32" s="258">
        <f>IFERROR(ROUND(AVERAGE(D32:F32),5),"- -")</f>
        <v/>
      </c>
      <c r="H32" s="253" t="n"/>
      <c r="I32" s="554" t="n"/>
      <c r="J32" s="229">
        <f>U32</f>
        <v/>
      </c>
      <c r="K32" s="830">
        <f>IFERROR(ROUND((($M$17*D32+$M$18*D32^2+$M$19*D32^3)),3),"- -")</f>
        <v/>
      </c>
      <c r="L32" s="830">
        <f>IFERROR(ROUND((($M$17*E32+$M$18*E32^2+$M$19*E32^3)),3),"- -")</f>
        <v/>
      </c>
      <c r="M32" s="830">
        <f>IFERROR(ROUND((($M$17*F32+$M$18*F32^2+$M$19*F32^3)),3),"- -")</f>
        <v/>
      </c>
      <c r="N32" s="254">
        <f>IFERROR(ROUND(AVERAGE(K32:M32),3),"- -")</f>
        <v/>
      </c>
      <c r="O32" s="255" t="n"/>
      <c r="P32" s="255" t="n"/>
      <c r="Q32" s="255" t="n"/>
      <c r="R32" s="255" t="n"/>
      <c r="S32" s="554" t="n"/>
      <c r="T32" s="250">
        <f>IFERROR('Dash Board'!T16,"- -")</f>
        <v/>
      </c>
      <c r="U32" s="826">
        <f>T32*Software!$K$35</f>
        <v/>
      </c>
      <c r="V32" s="542">
        <f>Software!F74</f>
        <v/>
      </c>
      <c r="W32" s="827">
        <f>Software!J74</f>
        <v/>
      </c>
      <c r="X32" s="229">
        <f>Software!F90</f>
        <v/>
      </c>
      <c r="Y32" s="827">
        <f>Software!J90</f>
        <v/>
      </c>
      <c r="Z32" s="229">
        <f>Software!F106</f>
        <v/>
      </c>
      <c r="AA32" s="827">
        <f>Software!J106</f>
        <v/>
      </c>
      <c r="AB32" s="827">
        <f>IFERROR(ROUND(AVERAGE(W32,Y32,AA32),5),"- -")</f>
        <v/>
      </c>
      <c r="AC32" s="827">
        <f>N32</f>
        <v/>
      </c>
      <c r="AD32" s="554" t="n"/>
      <c r="AE32" s="220" t="n"/>
      <c r="AF32" s="832">
        <f>((100/N32)*(SQRT(((K32-N32)^2+(L32-N32)^2+(M32-N32)^2)/2)))/SQRT(3)</f>
        <v/>
      </c>
      <c r="AG32" s="832">
        <f>($AE$24*100)/(N32*2*SQRT(3))</f>
        <v/>
      </c>
      <c r="AH32" s="833">
        <f>$AE$21/2</f>
        <v/>
      </c>
      <c r="AI32" s="832">
        <f>($AE$27*$AE$29)/SQRT(3)</f>
        <v/>
      </c>
      <c r="AJ32" s="832">
        <f>$AE$31/SQRT(3)</f>
        <v/>
      </c>
      <c r="AK32" s="832">
        <f>SQRT((SUMSQ(AH32:AJ32)))</f>
        <v/>
      </c>
      <c r="AL32" s="832">
        <f>SQRT(SUMSQ(AF32,AG32,AK32))</f>
        <v/>
      </c>
      <c r="AM32" s="262" t="n"/>
      <c r="AN32" s="262" t="n">
        <v>2</v>
      </c>
      <c r="AO32" s="833">
        <f>AN32*AL32</f>
        <v/>
      </c>
      <c r="AP32" s="220" t="n"/>
      <c r="AQ32" s="257">
        <f>IFERROR(((J32-N32)/N32)*100,"- -")</f>
        <v/>
      </c>
      <c r="AR32" s="276">
        <f>IFERROR((MAX(K32,L32,M32)-MIN(K32,L32,M32))/N32*100,"- -")</f>
        <v/>
      </c>
      <c r="AS32" s="276">
        <f>$V$36/IF($J$29&lt;&gt;0,$J$29,$J$29)*100</f>
        <v/>
      </c>
      <c r="AU32" s="284">
        <f>IF(ABS(AQ32)&lt;=0.5,0.5,IF(ABS(AQ32)&lt;=1,1,IF(ABS(AQ32)&lt;=2,2,IF(ABS(AQ32)&lt;=3,3,"-"))))</f>
        <v/>
      </c>
      <c r="AV32" s="284">
        <f>IF(AR32&lt;=0.5,0.5,IF(AR32&lt;=1,1,IF(AR32&lt;=2,2,IF(AR32&lt;=3,3,"-"))))</f>
        <v/>
      </c>
      <c r="AW32" s="284">
        <f>IF(ABS(AS32)&lt;=0.05,0.5,IF(ABS(AS32)&lt;=0.1,1,IF(ABS(AS32)&lt;=0.2,2,IF(ABS(AS32)&lt;=0.3,3,"-"))))</f>
        <v/>
      </c>
      <c r="AX32" s="284">
        <f>IF($AX$18&gt;=400,0.5,IF($AX$18&gt;=200,1,IF($AX$18&gt;=100,2,IF($AX$18&gt;=67,3,"-"))))</f>
        <v/>
      </c>
      <c r="AY32" s="284">
        <f>IF($AE$21&lt;=0.12,0.5,IF($AE$21&lt;=0.25,1,IF($AE$21&lt;=0.5,2,"-")))</f>
        <v/>
      </c>
      <c r="AZ32" s="284">
        <f>MAX(AU32,AV32,AW32,AY32)</f>
        <v/>
      </c>
    </row>
    <row r="33" ht="15.75" customFormat="1" customHeight="1" s="216">
      <c r="A33" s="559" t="n"/>
      <c r="B33" s="559" t="n"/>
      <c r="C33" s="257">
        <f>U33</f>
        <v/>
      </c>
      <c r="D33" s="542">
        <f>IFERROR(ROUND(W33*$U33/$V33,5),"- -")</f>
        <v/>
      </c>
      <c r="E33" s="542">
        <f>IFERROR(ROUND(Y33*$U33/$X33,5),"- -")</f>
        <v/>
      </c>
      <c r="F33" s="542">
        <f>IFERROR(ROUND(AA33*$U33/$Z33,5),"- -")</f>
        <v/>
      </c>
      <c r="G33" s="258">
        <f>IFERROR(ROUND(AVERAGE(D33:F33),5),"- -")</f>
        <v/>
      </c>
      <c r="H33" s="253" t="n"/>
      <c r="I33" s="554" t="n"/>
      <c r="J33" s="229">
        <f>U33</f>
        <v/>
      </c>
      <c r="K33" s="830">
        <f>IFERROR(ROUND((($M$17*D33+$M$18*D33^2+$M$19*D33^3)),3),"- -")</f>
        <v/>
      </c>
      <c r="L33" s="830">
        <f>IFERROR(ROUND((($M$17*E33+$M$18*E33^2+$M$19*E33^3)),3),"- -")</f>
        <v/>
      </c>
      <c r="M33" s="830">
        <f>IFERROR(ROUND((($M$17*F33+$M$18*F33^2+$M$19*F33^3)),3),"- -")</f>
        <v/>
      </c>
      <c r="N33" s="254">
        <f>IFERROR(ROUND(AVERAGE(K33:M33),3),"- -")</f>
        <v/>
      </c>
      <c r="O33" s="255" t="n"/>
      <c r="P33" s="255" t="n"/>
      <c r="Q33" s="255" t="n"/>
      <c r="R33" s="255" t="n"/>
      <c r="S33" s="554" t="n"/>
      <c r="T33" s="250">
        <f>IFERROR('Dash Board'!T17,"- -")</f>
        <v/>
      </c>
      <c r="U33" s="826">
        <f>T33*Software!$K$35</f>
        <v/>
      </c>
      <c r="V33" s="542">
        <f>Software!F75</f>
        <v/>
      </c>
      <c r="W33" s="827">
        <f>Software!J75</f>
        <v/>
      </c>
      <c r="X33" s="229">
        <f>Software!F91</f>
        <v/>
      </c>
      <c r="Y33" s="827">
        <f>Software!J91</f>
        <v/>
      </c>
      <c r="Z33" s="229">
        <f>Software!F107</f>
        <v/>
      </c>
      <c r="AA33" s="827">
        <f>Software!J107</f>
        <v/>
      </c>
      <c r="AB33" s="827">
        <f>IFERROR(ROUND(AVERAGE(W33,Y33,AA33),5),"- -")</f>
        <v/>
      </c>
      <c r="AC33" s="827">
        <f>N33</f>
        <v/>
      </c>
      <c r="AD33" s="554" t="n"/>
      <c r="AF33" s="832">
        <f>((100/N33)*(SQRT(((K33-N33)^2+(L33-N33)^2+(M33-N33)^2)/2)))/SQRT(3)</f>
        <v/>
      </c>
      <c r="AG33" s="832">
        <f>($AE$24*100)/(N33*2*SQRT(3))</f>
        <v/>
      </c>
      <c r="AH33" s="833">
        <f>$AE$21/2</f>
        <v/>
      </c>
      <c r="AI33" s="832">
        <f>($AE$27*$AE$29)/SQRT(3)</f>
        <v/>
      </c>
      <c r="AJ33" s="832">
        <f>$AE$31/SQRT(3)</f>
        <v/>
      </c>
      <c r="AK33" s="832">
        <f>SQRT((SUMSQ(AH33:AJ33)))</f>
        <v/>
      </c>
      <c r="AL33" s="832">
        <f>SQRT(SUMSQ(AF33,AG33,AK33))</f>
        <v/>
      </c>
      <c r="AM33" s="262" t="n"/>
      <c r="AN33" s="262" t="n">
        <v>2</v>
      </c>
      <c r="AO33" s="833">
        <f>AN33*AL33</f>
        <v/>
      </c>
      <c r="AQ33" s="257">
        <f>IFERROR(((J33-N33)/N33)*100,"- -")</f>
        <v/>
      </c>
      <c r="AR33" s="276">
        <f>IFERROR((MAX(K33,L33,M33)-MIN(K33,L33,M33))/N33*100,"- -")</f>
        <v/>
      </c>
      <c r="AS33" s="276">
        <f>$V$36/IF($J$29&lt;&gt;0,$J$29,$J$29)*100</f>
        <v/>
      </c>
      <c r="AU33" s="284">
        <f>IF(ABS(AQ33)&lt;=0.5,0.5,IF(ABS(AQ33)&lt;=1,1,IF(ABS(AQ33)&lt;=2,2,IF(ABS(AQ33)&lt;=3,3,"-"))))</f>
        <v/>
      </c>
      <c r="AV33" s="284">
        <f>IF(AR33&lt;=0.5,0.5,IF(AR33&lt;=1,1,IF(AR33&lt;=2,2,IF(AR33&lt;=3,3,"-"))))</f>
        <v/>
      </c>
      <c r="AW33" s="284">
        <f>IF(ABS(AS33)&lt;=0.05,0.5,IF(ABS(AS33)&lt;=0.1,1,IF(ABS(AS33)&lt;=0.2,2,IF(ABS(AS33)&lt;=0.3,3,"-"))))</f>
        <v/>
      </c>
      <c r="AX33" s="284">
        <f>IF($AX$18&gt;=400,0.5,IF($AX$18&gt;=200,1,IF($AX$18&gt;=100,2,IF($AX$18&gt;=67,3,"-"))))</f>
        <v/>
      </c>
      <c r="AY33" s="284">
        <f>IF($AE$21&lt;=0.12,0.5,IF($AE$21&lt;=0.25,1,IF($AE$21&lt;=0.5,2,"-")))</f>
        <v/>
      </c>
      <c r="AZ33" s="284">
        <f>MAX(AU33,AV33,AW33,AY33)</f>
        <v/>
      </c>
    </row>
    <row r="34" ht="15.75" customFormat="1" customHeight="1" s="216">
      <c r="A34" s="559" t="n"/>
      <c r="B34" s="559" t="n"/>
      <c r="C34" s="257">
        <f>U34</f>
        <v/>
      </c>
      <c r="D34" s="542">
        <f>IFERROR(ROUND(W34*$U34/$V34,5),"- -")</f>
        <v/>
      </c>
      <c r="E34" s="542">
        <f>IFERROR(ROUND(Y34*$U34/$X34,5),"- -")</f>
        <v/>
      </c>
      <c r="F34" s="542">
        <f>IFERROR(ROUND(AA34*$U34/$Z34,5),"- -")</f>
        <v/>
      </c>
      <c r="G34" s="258">
        <f>IFERROR(ROUND(AVERAGE(D34:F34),5),"- -")</f>
        <v/>
      </c>
      <c r="H34" s="253" t="n"/>
      <c r="I34" s="554" t="n"/>
      <c r="J34" s="229">
        <f>U34</f>
        <v/>
      </c>
      <c r="K34" s="830">
        <f>IFERROR(ROUND((($M$17*D34+$M$18*D34^2+$M$19*D34^3)),3),"- -")</f>
        <v/>
      </c>
      <c r="L34" s="830">
        <f>IFERROR(ROUND((($M$17*E34+$M$18*E34^2+$M$19*E34^3)),3),"- -")</f>
        <v/>
      </c>
      <c r="M34" s="830">
        <f>IFERROR(ROUND((($M$17*F34+$M$18*F34^2+$M$19*F34^3)),3),"- -")</f>
        <v/>
      </c>
      <c r="N34" s="254">
        <f>IFERROR(ROUND(AVERAGE(K34:M34),3),"- -")</f>
        <v/>
      </c>
      <c r="O34" s="255" t="n"/>
      <c r="P34" s="255" t="n"/>
      <c r="Q34" s="255" t="n"/>
      <c r="R34" s="255" t="n"/>
      <c r="S34" s="554" t="n"/>
      <c r="T34" s="250">
        <f>IFERROR('Dash Board'!T18,"- -")</f>
        <v/>
      </c>
      <c r="U34" s="826">
        <f>T34*Software!$K$35</f>
        <v/>
      </c>
      <c r="V34" s="542">
        <f>Software!F76</f>
        <v/>
      </c>
      <c r="W34" s="827">
        <f>Software!J76</f>
        <v/>
      </c>
      <c r="X34" s="229">
        <f>Software!F92</f>
        <v/>
      </c>
      <c r="Y34" s="827">
        <f>Software!J92</f>
        <v/>
      </c>
      <c r="Z34" s="229">
        <f>Software!F108</f>
        <v/>
      </c>
      <c r="AA34" s="827">
        <f>Software!J108</f>
        <v/>
      </c>
      <c r="AB34" s="827">
        <f>IFERROR(ROUND(AVERAGE(W34,Y34,AA34),5),"- -")</f>
        <v/>
      </c>
      <c r="AC34" s="827">
        <f>N34</f>
        <v/>
      </c>
      <c r="AD34" s="554" t="n"/>
      <c r="AF34" s="832">
        <f>((100/N34)*(SQRT(((K34-N34)^2+(L34-N34)^2+(M34-N34)^2)/2)))/SQRT(3)</f>
        <v/>
      </c>
      <c r="AG34" s="832">
        <f>($AE$24*100)/(N34*2*SQRT(3))</f>
        <v/>
      </c>
      <c r="AH34" s="833">
        <f>$AE$21/2</f>
        <v/>
      </c>
      <c r="AI34" s="832">
        <f>($AE$27*$AE$29)/SQRT(3)</f>
        <v/>
      </c>
      <c r="AJ34" s="832">
        <f>$AE$31/SQRT(3)</f>
        <v/>
      </c>
      <c r="AK34" s="832">
        <f>SQRT((SUMSQ(AH34:AJ34)))</f>
        <v/>
      </c>
      <c r="AL34" s="832">
        <f>SQRT(SUMSQ(AF34,AG34,AK34))</f>
        <v/>
      </c>
      <c r="AM34" s="262" t="n"/>
      <c r="AN34" s="262" t="n">
        <v>2</v>
      </c>
      <c r="AO34" s="833">
        <f>AN34*AL34</f>
        <v/>
      </c>
      <c r="AQ34" s="257">
        <f>IFERROR(((J34-N34)/N34)*100,"- -")</f>
        <v/>
      </c>
      <c r="AR34" s="276">
        <f>IFERROR((MAX(K34,L34,M34)-MIN(K34,L34,M34))/N34*100,"- -")</f>
        <v/>
      </c>
      <c r="AS34" s="276">
        <f>$V$36/IF($J$29&lt;&gt;0,$J$29,$J$29)*100</f>
        <v/>
      </c>
      <c r="AU34" s="284">
        <f>IF(ABS(AQ34)&lt;=0.5,0.5,IF(ABS(AQ34)&lt;=1,1,IF(ABS(AQ34)&lt;=2,2,IF(ABS(AQ34)&lt;=3,3,"-"))))</f>
        <v/>
      </c>
      <c r="AV34" s="284">
        <f>IF(AR34&lt;=0.5,0.5,IF(AR34&lt;=1,1,IF(AR34&lt;=2,2,IF(AR34&lt;=3,3,"-"))))</f>
        <v/>
      </c>
      <c r="AW34" s="284">
        <f>IF(ABS(AS34)&lt;=0.05,0.5,IF(ABS(AS34)&lt;=0.1,1,IF(ABS(AS34)&lt;=0.2,2,IF(ABS(AS34)&lt;=0.3,3,"-"))))</f>
        <v/>
      </c>
      <c r="AX34" s="284">
        <f>IF($AX$18&gt;=400,0.5,IF($AX$18&gt;=200,1,IF($AX$18&gt;=100,2,IF($AX$18&gt;=67,3,"-"))))</f>
        <v/>
      </c>
      <c r="AY34" s="284">
        <f>IF($AE$21&lt;=0.12,0.5,IF($AE$21&lt;=0.25,1,IF($AE$21&lt;=0.5,2,"-")))</f>
        <v/>
      </c>
      <c r="AZ34" s="284">
        <f>MAX(AU34,AV34,AW34,AY34)</f>
        <v/>
      </c>
    </row>
    <row r="35" ht="15.75" customFormat="1" customHeight="1" s="216">
      <c r="A35" s="559" t="n"/>
      <c r="B35" s="559" t="n"/>
      <c r="C35" s="250" t="n">
        <v>0</v>
      </c>
      <c r="D35" s="824" t="n">
        <v>0</v>
      </c>
      <c r="E35" s="824" t="n">
        <v>0</v>
      </c>
      <c r="F35" s="824" t="n">
        <v>0</v>
      </c>
      <c r="G35" s="258">
        <f>ROUND((M17*Z24+M18*Z24^2)*1000,0)</f>
        <v/>
      </c>
      <c r="H35" s="237" t="n"/>
      <c r="I35" s="554" t="n"/>
      <c r="J35" s="229">
        <f>U35</f>
        <v/>
      </c>
      <c r="K35" s="229" t="n">
        <v>0</v>
      </c>
      <c r="L35" s="229">
        <f>ROUND((($M$17*E35+$M$18*E35^2+$M$19*E35^3)),3)</f>
        <v/>
      </c>
      <c r="M35" s="229">
        <f>ROUND((($M$17*F35+$M$18*F35^2+$M$19*F35^3)),3)</f>
        <v/>
      </c>
      <c r="N35" s="254" t="n">
        <v>0</v>
      </c>
      <c r="O35" s="255" t="n"/>
      <c r="P35" s="255" t="n"/>
      <c r="Q35" s="255" t="n"/>
      <c r="R35" s="255" t="n"/>
      <c r="S35" s="554" t="n"/>
      <c r="T35" s="250">
        <f>IFERROR('Dash Board'!T19,"- -")</f>
        <v/>
      </c>
      <c r="U35" s="826">
        <f>T35*Software!$K$35</f>
        <v/>
      </c>
      <c r="V35" s="542">
        <f>Software!F77</f>
        <v/>
      </c>
      <c r="W35" s="827">
        <f>Software!J77</f>
        <v/>
      </c>
      <c r="X35" s="229">
        <f>Software!F93</f>
        <v/>
      </c>
      <c r="Y35" s="827">
        <f>Software!J93</f>
        <v/>
      </c>
      <c r="Z35" s="229">
        <f>Software!F109</f>
        <v/>
      </c>
      <c r="AA35" s="827">
        <f>Software!J109</f>
        <v/>
      </c>
      <c r="AB35" s="827">
        <f>ROUND(AVERAGE(W35,Y35,AA35),5)</f>
        <v/>
      </c>
      <c r="AC35" s="827">
        <f>N35</f>
        <v/>
      </c>
      <c r="AD35" s="554" t="n"/>
    </row>
    <row r="36" ht="15.75" customFormat="1" customHeight="1" s="210">
      <c r="A36" s="41" t="n"/>
      <c r="B36" s="41" t="n"/>
      <c r="C36" s="41" t="n"/>
      <c r="D36" s="41" t="n"/>
      <c r="E36" s="41" t="n"/>
      <c r="F36" s="41" t="n"/>
      <c r="G36" s="41" t="n"/>
      <c r="H36" s="41" t="n"/>
      <c r="I36" s="41" t="n"/>
      <c r="J36" s="41" t="n"/>
      <c r="K36" s="41" t="n"/>
      <c r="L36" s="41" t="n"/>
      <c r="M36" s="41" t="n"/>
      <c r="N36" s="41" t="n"/>
      <c r="O36" s="41" t="n"/>
      <c r="P36" s="41" t="n"/>
      <c r="Q36" s="41" t="n"/>
      <c r="R36" s="41" t="n"/>
      <c r="S36" s="41" t="n"/>
      <c r="T36" s="41" t="inlineStr">
        <is>
          <t xml:space="preserve">Max Zero </t>
        </is>
      </c>
      <c r="U36" s="273" t="inlineStr">
        <is>
          <t>=</t>
        </is>
      </c>
      <c r="V36" s="274">
        <f>MAX(V35,X35,Z35)</f>
        <v/>
      </c>
      <c r="W36" s="41" t="n"/>
      <c r="X36" s="41" t="n"/>
      <c r="Y36" s="41" t="n"/>
      <c r="Z36" s="41" t="n"/>
      <c r="AA36" s="41" t="n"/>
      <c r="AB36" s="259" t="n"/>
      <c r="AC36" s="259" t="n"/>
      <c r="AD36" s="259" t="n"/>
    </row>
    <row r="37" ht="15.75" customFormat="1" customHeight="1" s="210">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c r="AA37" s="41" t="n"/>
      <c r="AB37" s="259" t="n"/>
      <c r="AC37" s="259" t="n"/>
      <c r="AD37" s="259" t="n"/>
      <c r="AF37" s="210">
        <f>(STDEV(K25:M25)/SQRT(3))/1</f>
        <v/>
      </c>
    </row>
    <row r="38" ht="15.75" customFormat="1" customHeight="1" s="210">
      <c r="A38" s="41" t="n"/>
      <c r="B38" s="41" t="n"/>
      <c r="C38" s="41" t="n"/>
      <c r="D38" s="41" t="n"/>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c r="AA38" s="41" t="n"/>
      <c r="AB38" s="259" t="n"/>
      <c r="AC38" s="259" t="n"/>
      <c r="AD38" s="259" t="n"/>
    </row>
    <row r="39" ht="15.75" customFormat="1" customHeight="1" s="210">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c r="AA39" s="41" t="n"/>
      <c r="AB39" s="259" t="n"/>
      <c r="AC39" s="259" t="n"/>
      <c r="AD39" s="259" t="n"/>
    </row>
    <row r="40" ht="15.75" customFormat="1" customHeight="1" s="210">
      <c r="A40" s="41" t="n"/>
      <c r="B40" s="41" t="n"/>
      <c r="C40" s="41" t="n"/>
      <c r="D40" s="41" t="n"/>
      <c r="E40" s="41" t="n"/>
      <c r="F40" s="41" t="n"/>
      <c r="G40" s="41" t="n"/>
      <c r="H40" s="41" t="n"/>
      <c r="I40" s="41" t="n"/>
      <c r="J40" s="41" t="n"/>
      <c r="K40" s="41" t="n"/>
      <c r="L40" s="41" t="n"/>
      <c r="M40" s="41" t="n"/>
      <c r="N40" s="41" t="n"/>
      <c r="O40" s="41" t="n"/>
      <c r="P40" s="41" t="n"/>
      <c r="Q40" s="41" t="n"/>
      <c r="R40" s="41" t="n"/>
      <c r="S40" s="41" t="n"/>
      <c r="T40" s="41" t="n"/>
      <c r="U40" s="41" t="n"/>
      <c r="V40" s="41" t="n"/>
      <c r="W40" s="41" t="n"/>
      <c r="X40" s="41" t="n"/>
      <c r="Y40" s="41" t="n"/>
      <c r="Z40" s="41" t="n"/>
      <c r="AA40" s="41" t="n"/>
      <c r="AB40" s="259" t="n"/>
      <c r="AC40" s="259" t="n"/>
      <c r="AD40" s="259" t="n"/>
    </row>
    <row r="41" ht="15.75" customFormat="1" customHeight="1" s="210">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c r="AA41" s="41" t="n"/>
      <c r="AB41" s="259" t="n"/>
      <c r="AC41" s="259" t="n"/>
      <c r="AD41" s="259" t="n"/>
    </row>
    <row r="42" ht="15.75" customFormat="1" customHeight="1" s="210">
      <c r="A42" s="41" t="n"/>
      <c r="B42" s="41" t="n"/>
      <c r="C42" s="41" t="n"/>
      <c r="D42" s="41" t="n"/>
      <c r="E42" s="41" t="n"/>
      <c r="F42" s="41" t="n"/>
      <c r="G42" s="41" t="n"/>
      <c r="H42" s="41" t="n"/>
      <c r="I42" s="41" t="n"/>
      <c r="J42" s="41" t="n"/>
      <c r="K42" s="41" t="n"/>
      <c r="L42" s="41" t="n"/>
      <c r="M42" s="41" t="n"/>
      <c r="N42" s="41" t="n"/>
      <c r="O42" s="41" t="n"/>
      <c r="P42" s="41" t="n"/>
      <c r="Q42" s="41" t="n"/>
      <c r="R42" s="41" t="n"/>
      <c r="S42" s="41" t="n"/>
      <c r="T42" s="41" t="n"/>
      <c r="U42" s="41" t="n"/>
      <c r="V42" s="41" t="n"/>
      <c r="W42" s="41" t="n"/>
      <c r="X42" s="41" t="n"/>
      <c r="Y42" s="41" t="n"/>
      <c r="Z42" s="41" t="n"/>
      <c r="AA42" s="41" t="n"/>
      <c r="AB42" s="259" t="n"/>
      <c r="AC42" s="259" t="n"/>
      <c r="AD42" s="259" t="n"/>
    </row>
    <row r="43" ht="15.75" customFormat="1" customHeight="1" s="210">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c r="AA43" s="41" t="n"/>
      <c r="AB43" s="259" t="n"/>
      <c r="AC43" s="259" t="n"/>
      <c r="AD43" s="259" t="n"/>
    </row>
    <row r="44" ht="15.75" customFormat="1" customHeight="1" s="210">
      <c r="A44" s="41" t="n"/>
      <c r="B44" s="41" t="n"/>
      <c r="C44" s="41" t="n"/>
      <c r="D44" s="41" t="n"/>
      <c r="E44" s="41" t="n"/>
      <c r="F44" s="41" t="n"/>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c r="AA44" s="41" t="n"/>
      <c r="AB44" s="259" t="n"/>
      <c r="AC44" s="259" t="n"/>
      <c r="AD44" s="259" t="n"/>
    </row>
    <row r="45" ht="15.75" customFormat="1" customHeight="1" s="210">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c r="AA45" s="41" t="n"/>
      <c r="AB45" s="259" t="n"/>
      <c r="AC45" s="259" t="n"/>
      <c r="AD45" s="259" t="n"/>
    </row>
    <row r="46" ht="15.75" customFormat="1" customHeight="1" s="210">
      <c r="A46" s="41" t="n"/>
      <c r="B46" s="41" t="n"/>
      <c r="C46" s="41" t="n"/>
      <c r="D46" s="41" t="n"/>
      <c r="E46" s="41" t="n"/>
      <c r="F46" s="41" t="n"/>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c r="AA46" s="41" t="n"/>
      <c r="AB46" s="259" t="n"/>
      <c r="AC46" s="259" t="n"/>
      <c r="AD46" s="259" t="n"/>
    </row>
    <row r="47" ht="15.75" customFormat="1" customHeight="1" s="210">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c r="AA47" s="41" t="n"/>
      <c r="AB47" s="259" t="n"/>
      <c r="AC47" s="259" t="n"/>
      <c r="AD47" s="259" t="n"/>
    </row>
    <row r="48" ht="15.75" customFormat="1" customHeight="1" s="210">
      <c r="A48" s="41" t="n"/>
      <c r="B48" s="41" t="n"/>
      <c r="C48" s="41" t="n"/>
      <c r="D48" s="41" t="n"/>
      <c r="E48" s="41" t="n"/>
      <c r="F48" s="41" t="n"/>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c r="AA48" s="41" t="n"/>
      <c r="AB48" s="259" t="n"/>
      <c r="AC48" s="259" t="n"/>
      <c r="AD48" s="259" t="n"/>
    </row>
    <row r="49" ht="15.75" customFormat="1" customHeight="1" s="210">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c r="AA49" s="41" t="n"/>
      <c r="AB49" s="259" t="n"/>
      <c r="AC49" s="259" t="n"/>
      <c r="AD49" s="259" t="n"/>
    </row>
    <row r="50" ht="15.75" customFormat="1" customHeight="1" s="210">
      <c r="A50" s="41" t="n"/>
      <c r="B50" s="41" t="n"/>
      <c r="C50" s="41" t="n"/>
      <c r="D50" s="41" t="n"/>
      <c r="E50" s="41" t="n"/>
      <c r="F50" s="41" t="n"/>
      <c r="G50" s="41" t="n"/>
      <c r="H50" s="41" t="n"/>
      <c r="I50" s="41" t="n"/>
      <c r="J50" s="41" t="n"/>
      <c r="K50" s="41" t="n"/>
      <c r="L50" s="41" t="n"/>
      <c r="M50" s="41" t="n"/>
      <c r="N50" s="41" t="n"/>
      <c r="O50" s="41" t="n"/>
      <c r="P50" s="41" t="n"/>
      <c r="Q50" s="41" t="n"/>
      <c r="R50" s="41" t="n"/>
      <c r="S50" s="41" t="n"/>
      <c r="T50" s="41" t="n"/>
      <c r="U50" s="41" t="n"/>
      <c r="V50" s="41" t="n"/>
      <c r="W50" s="41" t="n"/>
      <c r="X50" s="41" t="n"/>
      <c r="Y50" s="41" t="n"/>
      <c r="Z50" s="41" t="n"/>
      <c r="AA50" s="41" t="n"/>
      <c r="AB50" s="259" t="n"/>
      <c r="AC50" s="259" t="n"/>
      <c r="AD50" s="259" t="n"/>
    </row>
    <row r="51" ht="15.75" customFormat="1" customHeight="1" s="210">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c r="AA51" s="41" t="n"/>
      <c r="AB51" s="259" t="n"/>
      <c r="AC51" s="259" t="n"/>
      <c r="AD51" s="259" t="n"/>
    </row>
    <row r="52" customFormat="1" s="210">
      <c r="A52" s="41" t="n"/>
      <c r="B52" s="41" t="n"/>
      <c r="C52" s="41" t="n"/>
      <c r="D52" s="41" t="n"/>
      <c r="E52" s="41" t="n"/>
      <c r="F52" s="41" t="n"/>
      <c r="G52" s="41" t="n"/>
      <c r="H52" s="41" t="n"/>
      <c r="I52" s="41" t="n"/>
      <c r="J52" s="41" t="n"/>
      <c r="K52" s="41" t="n"/>
      <c r="L52" s="41" t="n"/>
      <c r="M52" s="41" t="n"/>
      <c r="N52" s="41" t="n"/>
      <c r="O52" s="41" t="n"/>
      <c r="P52" s="41" t="n"/>
      <c r="Q52" s="41" t="n"/>
      <c r="R52" s="41" t="n"/>
      <c r="S52" s="41" t="n"/>
      <c r="T52" s="41" t="n"/>
      <c r="U52" s="41" t="n"/>
      <c r="V52" s="41" t="n"/>
      <c r="W52" s="41" t="n"/>
      <c r="X52" s="41" t="n"/>
      <c r="Y52" s="41" t="n"/>
      <c r="Z52" s="41" t="n"/>
      <c r="AA52" s="41" t="n"/>
      <c r="AB52" s="41" t="n"/>
      <c r="AC52" s="41" t="n"/>
      <c r="AD52" s="41" t="n"/>
    </row>
    <row r="53" customFormat="1" s="210">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c r="AA53" s="41" t="n"/>
      <c r="AB53" s="41" t="n"/>
      <c r="AC53" s="41" t="n"/>
      <c r="AD53" s="41" t="n"/>
    </row>
    <row r="54" customFormat="1" s="210">
      <c r="A54" s="41" t="n"/>
      <c r="B54" s="41" t="n"/>
      <c r="C54" s="41" t="n"/>
      <c r="D54" s="41" t="n"/>
      <c r="E54" s="41" t="n"/>
      <c r="F54" s="41" t="n"/>
      <c r="G54" s="41" t="n"/>
      <c r="H54" s="41" t="n"/>
      <c r="I54" s="41" t="n"/>
      <c r="J54" s="41" t="n"/>
      <c r="K54" s="41" t="n"/>
      <c r="L54" s="41" t="n"/>
      <c r="M54" s="41" t="n"/>
      <c r="N54" s="41" t="n"/>
      <c r="O54" s="41" t="n"/>
      <c r="P54" s="41" t="n"/>
      <c r="Q54" s="41" t="n"/>
      <c r="R54" s="41" t="n"/>
      <c r="S54" s="41" t="n"/>
      <c r="T54" s="41" t="n"/>
      <c r="U54" s="41" t="n"/>
      <c r="V54" s="41" t="n"/>
      <c r="W54" s="41" t="n"/>
      <c r="X54" s="41" t="n"/>
      <c r="Y54" s="41" t="n"/>
      <c r="Z54" s="41" t="n"/>
      <c r="AA54" s="41" t="n"/>
      <c r="AB54" s="41" t="n"/>
      <c r="AC54" s="41" t="n"/>
      <c r="AD54" s="41" t="n"/>
    </row>
    <row r="55" customFormat="1" s="210">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c r="AA55" s="41" t="n"/>
      <c r="AB55" s="41" t="n"/>
      <c r="AC55" s="41" t="n"/>
      <c r="AD55" s="41" t="n"/>
    </row>
    <row r="56" customFormat="1" s="210">
      <c r="A56" s="41" t="n"/>
      <c r="B56" s="41" t="n"/>
      <c r="C56" s="41" t="n"/>
      <c r="D56" s="41" t="n"/>
      <c r="E56" s="41" t="n"/>
      <c r="F56" s="41" t="n"/>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c r="AA56" s="41" t="n"/>
      <c r="AB56" s="41" t="n"/>
      <c r="AC56" s="41" t="n"/>
      <c r="AD56" s="41" t="n"/>
    </row>
    <row r="57" customFormat="1" s="210">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c r="AA57" s="41" t="n"/>
      <c r="AB57" s="41" t="n"/>
      <c r="AC57" s="41" t="n"/>
      <c r="AD57" s="41" t="n"/>
    </row>
    <row r="58" customFormat="1" s="210">
      <c r="A58" s="41" t="n"/>
      <c r="B58" s="41" t="n"/>
      <c r="C58" s="41" t="n"/>
      <c r="D58" s="41" t="n"/>
      <c r="E58" s="41" t="n"/>
      <c r="F58" s="41" t="n"/>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c r="AA58" s="41" t="n"/>
      <c r="AB58" s="41" t="n"/>
      <c r="AC58" s="41" t="n"/>
      <c r="AD58" s="41" t="n"/>
    </row>
    <row r="59" customFormat="1" s="210">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c r="AA59" s="41" t="n"/>
      <c r="AB59" s="41" t="n"/>
      <c r="AC59" s="41" t="n"/>
      <c r="AD59" s="41" t="n"/>
    </row>
    <row r="60" customFormat="1" s="210">
      <c r="A60" s="41" t="n"/>
      <c r="B60" s="41" t="n"/>
      <c r="C60" s="41" t="n"/>
      <c r="D60" s="41" t="n"/>
      <c r="E60" s="41" t="n"/>
      <c r="F60" s="41" t="n"/>
      <c r="G60" s="41" t="n"/>
      <c r="H60" s="41" t="n"/>
      <c r="I60" s="41" t="n"/>
      <c r="J60" s="41" t="n"/>
      <c r="K60" s="41" t="n"/>
      <c r="L60" s="41" t="n"/>
      <c r="M60" s="41" t="n"/>
      <c r="N60" s="41" t="n"/>
      <c r="O60" s="41" t="n"/>
      <c r="P60" s="41" t="n"/>
      <c r="Q60" s="41" t="n"/>
      <c r="R60" s="41" t="n"/>
      <c r="S60" s="41" t="n"/>
      <c r="T60" s="41" t="n"/>
      <c r="U60" s="41" t="n"/>
      <c r="V60" s="41" t="n"/>
      <c r="W60" s="41" t="n"/>
      <c r="X60" s="41" t="n"/>
      <c r="Y60" s="41" t="n"/>
      <c r="Z60" s="41" t="n"/>
      <c r="AA60" s="41" t="n"/>
      <c r="AB60" s="41" t="n"/>
      <c r="AC60" s="41" t="n"/>
      <c r="AD60" s="41" t="n"/>
    </row>
    <row r="61" customFormat="1" s="210">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c r="AA61" s="41" t="n"/>
      <c r="AB61" s="41" t="n"/>
      <c r="AC61" s="41" t="n"/>
      <c r="AD61" s="41" t="n"/>
    </row>
    <row r="62" customFormat="1" s="210">
      <c r="A62" s="41" t="n"/>
      <c r="B62" s="41" t="n"/>
      <c r="C62" s="41" t="n"/>
      <c r="D62" s="41" t="n"/>
      <c r="E62" s="41" t="n"/>
      <c r="F62" s="41" t="n"/>
      <c r="G62" s="41" t="n"/>
      <c r="H62" s="41" t="n"/>
      <c r="I62" s="41" t="n"/>
      <c r="J62" s="41" t="n"/>
      <c r="K62" s="41" t="n"/>
      <c r="L62" s="41" t="n"/>
      <c r="M62" s="41" t="n"/>
      <c r="N62" s="41" t="n"/>
      <c r="O62" s="41" t="n"/>
      <c r="P62" s="41" t="n"/>
      <c r="Q62" s="41" t="n"/>
      <c r="R62" s="41" t="n"/>
      <c r="S62" s="41" t="n"/>
      <c r="T62" s="41" t="n"/>
      <c r="U62" s="41" t="n"/>
      <c r="V62" s="41" t="n"/>
      <c r="W62" s="41" t="n"/>
      <c r="X62" s="41" t="n"/>
      <c r="Y62" s="41" t="n"/>
      <c r="Z62" s="41" t="n"/>
      <c r="AA62" s="41" t="n"/>
      <c r="AB62" s="41" t="n"/>
      <c r="AC62" s="41" t="n"/>
      <c r="AD62" s="41" t="n"/>
    </row>
    <row r="63" customFormat="1" s="210">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c r="AA63" s="41" t="n"/>
      <c r="AB63" s="41" t="n"/>
      <c r="AC63" s="41" t="n"/>
      <c r="AD63" s="41" t="n"/>
    </row>
    <row r="64" customFormat="1" s="210">
      <c r="A64" s="41" t="n"/>
      <c r="B64" s="41" t="n"/>
      <c r="C64" s="41" t="n"/>
      <c r="D64" s="41" t="n"/>
      <c r="E64" s="41" t="n"/>
      <c r="F64" s="41" t="n"/>
      <c r="G64" s="41" t="n"/>
      <c r="H64" s="41" t="n"/>
      <c r="I64" s="41" t="n"/>
      <c r="J64" s="41" t="n"/>
      <c r="K64" s="41" t="n"/>
      <c r="L64" s="41" t="n"/>
      <c r="M64" s="41" t="n"/>
      <c r="N64" s="41" t="n"/>
      <c r="O64" s="41" t="n"/>
      <c r="P64" s="41" t="n"/>
      <c r="Q64" s="41" t="n"/>
      <c r="R64" s="41" t="n"/>
      <c r="S64" s="41" t="n"/>
      <c r="T64" s="41" t="n"/>
      <c r="U64" s="41" t="n"/>
      <c r="V64" s="41" t="n"/>
      <c r="W64" s="41" t="n"/>
      <c r="X64" s="41" t="n"/>
      <c r="Y64" s="41" t="n"/>
      <c r="Z64" s="41" t="n"/>
      <c r="AA64" s="41" t="n"/>
      <c r="AB64" s="41" t="n"/>
      <c r="AC64" s="41" t="n"/>
      <c r="AD64" s="41" t="n"/>
    </row>
    <row r="65" customFormat="1" s="210">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c r="AA65" s="41" t="n"/>
      <c r="AB65" s="41" t="n"/>
      <c r="AC65" s="41" t="n"/>
      <c r="AD65" s="41" t="n"/>
    </row>
    <row r="66" customFormat="1" s="210">
      <c r="A66" s="41" t="n"/>
      <c r="B66" s="41" t="n"/>
      <c r="C66" s="41" t="n"/>
      <c r="D66" s="41" t="n"/>
      <c r="E66" s="41" t="n"/>
      <c r="F66" s="41" t="n"/>
      <c r="G66" s="41" t="n"/>
      <c r="H66" s="41" t="n"/>
      <c r="I66" s="41" t="n"/>
      <c r="J66" s="41" t="n"/>
      <c r="K66" s="41" t="n"/>
      <c r="L66" s="41" t="n"/>
      <c r="M66" s="41" t="n"/>
      <c r="N66" s="41" t="n"/>
      <c r="O66" s="41" t="n"/>
      <c r="P66" s="41" t="n"/>
      <c r="Q66" s="41" t="n"/>
      <c r="R66" s="41" t="n"/>
      <c r="S66" s="41" t="n"/>
      <c r="T66" s="41" t="n"/>
      <c r="U66" s="41" t="n"/>
      <c r="V66" s="41" t="n"/>
      <c r="W66" s="41" t="n"/>
      <c r="X66" s="41" t="n"/>
      <c r="Y66" s="41" t="n"/>
      <c r="Z66" s="41" t="n"/>
      <c r="AA66" s="41" t="n"/>
      <c r="AB66" s="41" t="n"/>
      <c r="AC66" s="41" t="n"/>
      <c r="AD66" s="41" t="n"/>
    </row>
    <row r="67" customFormat="1" s="210">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c r="AA67" s="41" t="n"/>
      <c r="AB67" s="41" t="n"/>
      <c r="AC67" s="41" t="n"/>
      <c r="AD67" s="41" t="n"/>
    </row>
    <row r="68" customFormat="1" s="210">
      <c r="A68" s="41" t="n"/>
      <c r="B68" s="41" t="n"/>
      <c r="C68" s="41" t="n"/>
      <c r="D68" s="41" t="n"/>
      <c r="E68" s="41" t="n"/>
      <c r="F68" s="41" t="n"/>
      <c r="G68" s="41" t="n"/>
      <c r="H68" s="41" t="n"/>
      <c r="I68" s="41" t="n"/>
      <c r="J68" s="41" t="n"/>
      <c r="K68" s="41" t="n"/>
      <c r="L68" s="41" t="n"/>
      <c r="M68" s="41" t="n"/>
      <c r="N68" s="41" t="n"/>
      <c r="O68" s="41" t="n"/>
      <c r="P68" s="41" t="n"/>
      <c r="Q68" s="41" t="n"/>
      <c r="R68" s="41" t="n"/>
      <c r="S68" s="41" t="n"/>
      <c r="T68" s="41" t="n"/>
      <c r="U68" s="41" t="n"/>
      <c r="V68" s="41" t="n"/>
      <c r="W68" s="41" t="n"/>
      <c r="X68" s="41" t="n"/>
      <c r="Y68" s="41" t="n"/>
      <c r="Z68" s="41" t="n"/>
      <c r="AA68" s="41" t="n"/>
      <c r="AB68" s="41" t="n"/>
      <c r="AC68" s="41" t="n"/>
      <c r="AD68" s="41" t="n"/>
    </row>
    <row r="69" customFormat="1" s="210">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c r="AA69" s="41" t="n"/>
      <c r="AB69" s="41" t="n"/>
      <c r="AC69" s="41" t="n"/>
      <c r="AD69" s="41" t="n"/>
    </row>
    <row r="70" customFormat="1" s="21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1" t="n"/>
      <c r="AC70" s="41" t="n"/>
      <c r="AD70" s="41" t="n"/>
    </row>
  </sheetData>
  <mergeCells count="55">
    <mergeCell ref="R19:R20"/>
    <mergeCell ref="A11:B11"/>
    <mergeCell ref="AE25:AE26"/>
    <mergeCell ref="AB22:AB23"/>
    <mergeCell ref="AE22:AE23"/>
    <mergeCell ref="AH20:AH23"/>
    <mergeCell ref="A6:B6"/>
    <mergeCell ref="A1:Q1"/>
    <mergeCell ref="C22:C23"/>
    <mergeCell ref="AN20:AN23"/>
    <mergeCell ref="Z22:Z23"/>
    <mergeCell ref="S19:S20"/>
    <mergeCell ref="A7:B7"/>
    <mergeCell ref="AH18:AJ19"/>
    <mergeCell ref="W22:W23"/>
    <mergeCell ref="Y22:Y23"/>
    <mergeCell ref="AZ20:AZ23"/>
    <mergeCell ref="AI20:AI23"/>
    <mergeCell ref="AQ20:AQ23"/>
    <mergeCell ref="AK20:AK23"/>
    <mergeCell ref="AW20:AW23"/>
    <mergeCell ref="AM20:AM23"/>
    <mergeCell ref="A12:B12"/>
    <mergeCell ref="AY20:AY23"/>
    <mergeCell ref="AO20:AO23"/>
    <mergeCell ref="D22:G22"/>
    <mergeCell ref="AC22:AC23"/>
    <mergeCell ref="A3:Q3"/>
    <mergeCell ref="X22:X23"/>
    <mergeCell ref="A2:Q2"/>
    <mergeCell ref="M18:N18"/>
    <mergeCell ref="J22:J23"/>
    <mergeCell ref="AF20:AF23"/>
    <mergeCell ref="AR20:AR23"/>
    <mergeCell ref="T22:U22"/>
    <mergeCell ref="A8:B8"/>
    <mergeCell ref="AJ20:AJ23"/>
    <mergeCell ref="C8:D8"/>
    <mergeCell ref="AL20:AL23"/>
    <mergeCell ref="AE18:AE20"/>
    <mergeCell ref="M17:N17"/>
    <mergeCell ref="V22:V23"/>
    <mergeCell ref="L16:N16"/>
    <mergeCell ref="K22:N22"/>
    <mergeCell ref="A4:Q4"/>
    <mergeCell ref="AA22:AA23"/>
    <mergeCell ref="A10:B10"/>
    <mergeCell ref="AX20:AX23"/>
    <mergeCell ref="A13:B13"/>
    <mergeCell ref="M19:N19"/>
    <mergeCell ref="AV20:AV23"/>
    <mergeCell ref="A9:B9"/>
    <mergeCell ref="AG20:AG23"/>
    <mergeCell ref="AS20:AS23"/>
    <mergeCell ref="AU20:AU23"/>
  </mergeCells>
  <conditionalFormatting sqref="P22:P23">
    <cfRule type="expression" priority="27" dxfId="2">
      <formula>ABS($AF$20)&gt;3</formula>
    </cfRule>
  </conditionalFormatting>
  <conditionalFormatting sqref="R22:R23">
    <cfRule type="expression" priority="28" dxfId="2">
      <formula>ABS($AH$20)&gt;3</formula>
    </cfRule>
  </conditionalFormatting>
  <pageMargins left="0.2362204724409449" right="0.2362204724409449" top="0.5905511811023623" bottom="0.1968503937007874" header="0.3149606299212598" footer="0.3149606299212598"/>
  <pageSetup orientation="landscape" paperSize="9"/>
  <drawing xmlns:r="http://schemas.openxmlformats.org/officeDocument/2006/relationships" r:id="rId1"/>
</worksheet>
</file>

<file path=xl/worksheets/sheet4.xml><?xml version="1.0" encoding="utf-8"?>
<worksheet xmlns="http://schemas.openxmlformats.org/spreadsheetml/2006/main">
  <sheetPr codeName="Sheet4">
    <outlinePr summaryBelow="1" summaryRight="1"/>
    <pageSetUpPr/>
  </sheetPr>
  <dimension ref="B3:O13"/>
  <sheetViews>
    <sheetView zoomScale="79" zoomScaleNormal="79" workbookViewId="0">
      <selection activeCell="F14" sqref="F14"/>
    </sheetView>
  </sheetViews>
  <sheetFormatPr baseColWidth="8" defaultColWidth="9.140625" defaultRowHeight="18.75"/>
  <cols>
    <col width="9.140625" customWidth="1" style="29" min="1" max="1"/>
    <col width="33.140625" customWidth="1" style="29" min="2" max="2"/>
    <col width="17.140625" customWidth="1" style="29" min="3" max="3"/>
    <col width="17.85546875" customWidth="1" style="32" min="4" max="4"/>
    <col width="24.140625" customWidth="1" style="32" min="5" max="5"/>
    <col width="22" bestFit="1" customWidth="1" style="29" min="6" max="6"/>
    <col width="18.28515625" customWidth="1" style="32" min="7" max="10"/>
    <col width="18.28515625" customWidth="1" style="29" min="11" max="14"/>
    <col width="21.7109375" bestFit="1" customWidth="1" style="29" min="15" max="15"/>
    <col width="9.140625" customWidth="1" style="29" min="16" max="16384"/>
  </cols>
  <sheetData>
    <row r="3" ht="37.5" customHeight="1">
      <c r="B3" s="30" t="inlineStr">
        <is>
          <t>Description</t>
        </is>
      </c>
      <c r="C3" s="30" t="inlineStr">
        <is>
          <t>Capacity</t>
        </is>
      </c>
      <c r="D3" s="30" t="inlineStr">
        <is>
          <t>Serial Number</t>
        </is>
      </c>
      <c r="E3" s="30" t="inlineStr">
        <is>
          <t>Calibration Certificate</t>
        </is>
      </c>
      <c r="F3" s="30" t="inlineStr">
        <is>
          <t>Calibration Date</t>
        </is>
      </c>
      <c r="G3" s="30" t="inlineStr">
        <is>
          <t>a' (Compression)</t>
        </is>
      </c>
      <c r="H3" s="30" t="inlineStr">
        <is>
          <t>b' (Compression)</t>
        </is>
      </c>
      <c r="I3" s="30" t="inlineStr">
        <is>
          <t>c' (Compression)</t>
        </is>
      </c>
      <c r="J3" s="30" t="inlineStr">
        <is>
          <t>U (Compression)</t>
        </is>
      </c>
      <c r="K3" s="30" t="inlineStr">
        <is>
          <t>a' (Tension)</t>
        </is>
      </c>
      <c r="L3" s="30" t="inlineStr">
        <is>
          <t>b' (Tension)</t>
        </is>
      </c>
      <c r="M3" s="30" t="inlineStr">
        <is>
          <t>c' (Tension)</t>
        </is>
      </c>
      <c r="N3" s="30" t="inlineStr">
        <is>
          <t>U (Tension)</t>
        </is>
      </c>
      <c r="O3" s="30" t="inlineStr">
        <is>
          <t>Next Cal Date</t>
        </is>
      </c>
    </row>
    <row r="4" ht="26.25" customFormat="1" customHeight="1" s="33">
      <c r="B4" s="31" t="inlineStr">
        <is>
          <t>HBM/C6</t>
        </is>
      </c>
      <c r="C4" s="31" t="inlineStr">
        <is>
          <t>2000 kN</t>
        </is>
      </c>
      <c r="D4" s="31" t="inlineStr">
        <is>
          <t>F42442</t>
        </is>
      </c>
      <c r="E4" s="30" t="inlineStr">
        <is>
          <t>1800-00040-002</t>
        </is>
      </c>
      <c r="F4" s="835" t="n">
        <v>43153</v>
      </c>
      <c r="G4" s="836" t="n">
        <v>978.3389</v>
      </c>
      <c r="H4" s="836" t="n">
        <v>35.04818</v>
      </c>
      <c r="I4" s="836" t="n">
        <v>-7.94019</v>
      </c>
      <c r="J4" s="837" t="n">
        <v>1.375</v>
      </c>
      <c r="K4" s="838" t="inlineStr">
        <is>
          <t>--</t>
        </is>
      </c>
      <c r="L4" s="838" t="inlineStr">
        <is>
          <t>--</t>
        </is>
      </c>
      <c r="M4" s="838" t="inlineStr">
        <is>
          <t>--</t>
        </is>
      </c>
      <c r="N4" s="838" t="inlineStr">
        <is>
          <t>--</t>
        </is>
      </c>
      <c r="O4" s="835">
        <f>DATE(YEAR(Table1[[#This Row],[Calibration Date]])+3, MONTH(Table1[[#This Row],[Calibration Date]]),DAY(Table1[[#This Row],[Calibration Date]]))</f>
        <v/>
      </c>
    </row>
    <row r="5" ht="26.25" customFormat="1" customHeight="1" s="33">
      <c r="B5" s="31" t="inlineStr">
        <is>
          <t>HBM/TCBS</t>
        </is>
      </c>
      <c r="C5" s="31" t="inlineStr">
        <is>
          <t>500 kN</t>
        </is>
      </c>
      <c r="D5" s="31" t="n">
        <v>50036</v>
      </c>
      <c r="E5" s="30" t="inlineStr">
        <is>
          <t>1800-00040-003</t>
        </is>
      </c>
      <c r="F5" s="835" t="n">
        <v>43161</v>
      </c>
      <c r="G5" s="836" t="n">
        <v>-247.8101</v>
      </c>
      <c r="H5" s="836" t="n">
        <v>0.4774382</v>
      </c>
      <c r="I5" s="836" t="n">
        <v>-0.01014075</v>
      </c>
      <c r="J5" s="837" t="n">
        <v>0.07000000000000001</v>
      </c>
      <c r="K5" s="838" t="inlineStr">
        <is>
          <t>--</t>
        </is>
      </c>
      <c r="L5" s="838" t="inlineStr">
        <is>
          <t>--</t>
        </is>
      </c>
      <c r="M5" s="838" t="inlineStr">
        <is>
          <t>--</t>
        </is>
      </c>
      <c r="N5" s="838" t="inlineStr">
        <is>
          <t>--</t>
        </is>
      </c>
      <c r="O5" s="835">
        <f>DATE(YEAR(Table1[[#This Row],[Calibration Date]])+3, MONTH(Table1[[#This Row],[Calibration Date]]),DAY(Table1[[#This Row],[Calibration Date]]))</f>
        <v/>
      </c>
    </row>
    <row r="6" ht="26.25" customFormat="1" customHeight="1" s="33">
      <c r="B6" s="31" t="inlineStr">
        <is>
          <t>HBM/C3H3</t>
        </is>
      </c>
      <c r="C6" s="31" t="inlineStr">
        <is>
          <t>10 kN</t>
        </is>
      </c>
      <c r="D6" s="31" t="inlineStr">
        <is>
          <t>F93007</t>
        </is>
      </c>
      <c r="E6" s="30" t="inlineStr">
        <is>
          <t>1800-00040-004</t>
        </is>
      </c>
      <c r="F6" s="835" t="n">
        <v>43161</v>
      </c>
      <c r="G6" s="836" t="n">
        <v>4.902632</v>
      </c>
      <c r="H6" s="836" t="n">
        <v>-0.0009307508</v>
      </c>
      <c r="I6" s="836" t="n">
        <v>-6.355071e-05</v>
      </c>
      <c r="J6" s="837" t="n">
        <v>0.011</v>
      </c>
      <c r="K6" s="839" t="n">
        <v>-4.902262</v>
      </c>
      <c r="L6" s="839" t="n">
        <v>0.0004106273</v>
      </c>
      <c r="M6" s="839" t="n">
        <v>-0.0001682559</v>
      </c>
      <c r="N6" s="38" t="n">
        <v>0.012</v>
      </c>
      <c r="O6" s="835">
        <f>DATE(YEAR(Table1[[#This Row],[Calibration Date]])+3, MONTH(Table1[[#This Row],[Calibration Date]]),DAY(Table1[[#This Row],[Calibration Date]]))</f>
        <v/>
      </c>
    </row>
    <row r="7" ht="26.25" customFormat="1" customHeight="1" s="33">
      <c r="B7" s="31" t="inlineStr">
        <is>
          <t>HBM/Z3H3</t>
        </is>
      </c>
      <c r="C7" s="31" t="inlineStr">
        <is>
          <t>5 kN</t>
        </is>
      </c>
      <c r="D7" s="31" t="inlineStr">
        <is>
          <t>F73724</t>
        </is>
      </c>
      <c r="E7" s="30" t="inlineStr">
        <is>
          <t>1800-00040-005</t>
        </is>
      </c>
      <c r="F7" s="835" t="n">
        <v>43161</v>
      </c>
      <c r="G7" s="836" t="n">
        <v>2.449533</v>
      </c>
      <c r="H7" s="836" t="n">
        <v>0.0003271097</v>
      </c>
      <c r="I7" s="836" t="n">
        <v>-0.000173873</v>
      </c>
      <c r="J7" s="837" t="n">
        <v>0.017</v>
      </c>
      <c r="K7" s="839" t="n">
        <v>-2.450352</v>
      </c>
      <c r="L7" s="839" t="n">
        <v>-0.0003149063</v>
      </c>
      <c r="M7" s="839" t="n">
        <v>-9.935562e-05</v>
      </c>
      <c r="N7" s="38" t="n">
        <v>0.019</v>
      </c>
      <c r="O7" s="835">
        <f>DATE(YEAR(Table1[[#This Row],[Calibration Date]])+3, MONTH(Table1[[#This Row],[Calibration Date]]),DAY(Table1[[#This Row],[Calibration Date]]))</f>
        <v/>
      </c>
    </row>
    <row r="8" ht="26.25" customFormat="1" customHeight="1" s="33">
      <c r="B8" s="31" t="inlineStr">
        <is>
          <t>HBM/Z3OA</t>
        </is>
      </c>
      <c r="C8" s="31" t="inlineStr">
        <is>
          <t>2 kN</t>
        </is>
      </c>
      <c r="D8" s="31" t="n">
        <v>151730166</v>
      </c>
      <c r="E8" s="30" t="inlineStr">
        <is>
          <t>1600-02019-001</t>
        </is>
      </c>
      <c r="F8" s="835" t="n">
        <v>42538</v>
      </c>
      <c r="G8" s="836" t="n">
        <v>1000.037</v>
      </c>
      <c r="H8" s="836" t="n">
        <v>-0.09100949999999999</v>
      </c>
      <c r="I8" s="836" t="n">
        <v>-0.001796771</v>
      </c>
      <c r="J8" s="837" t="n">
        <v>0.024</v>
      </c>
      <c r="K8" s="838" t="inlineStr">
        <is>
          <t>--</t>
        </is>
      </c>
      <c r="L8" s="838" t="inlineStr">
        <is>
          <t>--</t>
        </is>
      </c>
      <c r="M8" s="838" t="inlineStr">
        <is>
          <t>--</t>
        </is>
      </c>
      <c r="N8" s="40" t="inlineStr">
        <is>
          <t>--</t>
        </is>
      </c>
      <c r="O8" s="835">
        <f>DATE(YEAR(Table1[[#This Row],[Calibration Date]])+3, MONTH(Table1[[#This Row],[Calibration Date]]),DAY(Table1[[#This Row],[Calibration Date]]))</f>
        <v/>
      </c>
    </row>
    <row r="9" ht="26.25" customFormat="1" customHeight="1" s="33">
      <c r="B9" s="31" t="inlineStr">
        <is>
          <t>HBM/Z4A (20kN)</t>
        </is>
      </c>
      <c r="C9" s="31" t="inlineStr">
        <is>
          <t>20 kN</t>
        </is>
      </c>
      <c r="D9" s="31" t="n">
        <v>161430192</v>
      </c>
      <c r="E9" s="30" t="inlineStr">
        <is>
          <t>1600-02019-003</t>
        </is>
      </c>
      <c r="F9" s="835" t="n">
        <v>42545</v>
      </c>
      <c r="G9" s="836" t="n">
        <v>10.00259</v>
      </c>
      <c r="H9" s="836" t="n">
        <v>0.0007285711</v>
      </c>
      <c r="I9" s="836" t="n">
        <v>-0.0005834712</v>
      </c>
      <c r="J9" s="837" t="n">
        <v>0.019</v>
      </c>
      <c r="K9" s="839" t="n">
        <v>-10.00219</v>
      </c>
      <c r="L9" s="839" t="n">
        <v>0.001893269</v>
      </c>
      <c r="M9" s="839" t="n">
        <v>0.0004154442</v>
      </c>
      <c r="N9" s="38" t="n">
        <v>0.012</v>
      </c>
      <c r="O9" s="835">
        <f>DATE(YEAR(Table1[[#This Row],[Calibration Date]])+3, MONTH(Table1[[#This Row],[Calibration Date]]),DAY(Table1[[#This Row],[Calibration Date]]))</f>
        <v/>
      </c>
    </row>
    <row r="10" ht="26.25" customFormat="1" customHeight="1" s="33">
      <c r="B10" s="31" t="inlineStr">
        <is>
          <t>HBM/Z4A (100kN)</t>
        </is>
      </c>
      <c r="C10" s="31" t="inlineStr">
        <is>
          <t>100 kN</t>
        </is>
      </c>
      <c r="D10" s="31" t="n">
        <v>160730020</v>
      </c>
      <c r="E10" s="30" t="inlineStr">
        <is>
          <t>1600-02019-002</t>
        </is>
      </c>
      <c r="F10" s="835" t="n">
        <v>42580</v>
      </c>
      <c r="G10" s="836" t="n">
        <v>50.03392</v>
      </c>
      <c r="H10" s="836" t="n">
        <v>-0.01476225</v>
      </c>
      <c r="I10" s="836" t="n">
        <v>-0.002207862</v>
      </c>
      <c r="J10" s="837" t="n">
        <v>0.041</v>
      </c>
      <c r="K10" s="839" t="n">
        <v>-50.03464</v>
      </c>
      <c r="L10" s="839" t="n">
        <v>0.006267658</v>
      </c>
      <c r="M10" s="839" t="n">
        <v>0.002665654</v>
      </c>
      <c r="N10" s="38" t="n">
        <v>0.053</v>
      </c>
      <c r="O10" s="835">
        <f>DATE(YEAR(Table1[[#This Row],[Calibration Date]])+3, MONTH(Table1[[#This Row],[Calibration Date]]),DAY(Table1[[#This Row],[Calibration Date]]))</f>
        <v/>
      </c>
    </row>
    <row r="11" ht="26.25" customFormat="1" customHeight="1" s="33">
      <c r="B11" s="31" t="inlineStr">
        <is>
          <t>WBRC/R200K</t>
        </is>
      </c>
      <c r="C11" s="31" t="inlineStr">
        <is>
          <t>200 kN</t>
        </is>
      </c>
      <c r="D11" s="31" t="inlineStr">
        <is>
          <t>WB-1210-010</t>
        </is>
      </c>
      <c r="E11" s="30" t="inlineStr">
        <is>
          <t>1600-02019-004</t>
        </is>
      </c>
      <c r="F11" s="835" t="n">
        <v>42576</v>
      </c>
      <c r="G11" s="836" t="n">
        <v>90.78288999999999</v>
      </c>
      <c r="H11" s="836" t="n">
        <v>-0.03282234</v>
      </c>
      <c r="I11" s="836" t="n">
        <v>-0.004875593</v>
      </c>
      <c r="J11" s="837" t="n">
        <v>0.081</v>
      </c>
      <c r="K11" s="838" t="inlineStr">
        <is>
          <t>--</t>
        </is>
      </c>
      <c r="L11" s="838" t="inlineStr">
        <is>
          <t>--</t>
        </is>
      </c>
      <c r="M11" s="838" t="inlineStr">
        <is>
          <t>--</t>
        </is>
      </c>
      <c r="N11" s="40" t="inlineStr">
        <is>
          <t>--</t>
        </is>
      </c>
      <c r="O11" s="835">
        <f>DATE(YEAR(Table1[[#This Row],[Calibration Date]])+3, MONTH(Table1[[#This Row],[Calibration Date]]),DAY(Table1[[#This Row],[Calibration Date]]))</f>
        <v/>
      </c>
    </row>
    <row r="12" ht="26.25" customFormat="1" customHeight="1" s="33">
      <c r="B12" s="31" t="inlineStr">
        <is>
          <t>WBRC-R2M</t>
        </is>
      </c>
      <c r="C12" s="31" t="inlineStr">
        <is>
          <t>2 MN</t>
        </is>
      </c>
      <c r="D12" s="31" t="inlineStr">
        <is>
          <t>WB-121005</t>
        </is>
      </c>
      <c r="E12" s="30" t="inlineStr">
        <is>
          <t>1800-00040-001</t>
        </is>
      </c>
      <c r="F12" s="835" t="n">
        <v>43153</v>
      </c>
      <c r="G12" s="836" t="n">
        <v>1379.299</v>
      </c>
      <c r="H12" s="836" t="n">
        <v>24.79271</v>
      </c>
      <c r="I12" s="836" t="n">
        <v>18.28049</v>
      </c>
      <c r="J12" s="837" t="n">
        <v>0.078</v>
      </c>
      <c r="K12" s="838" t="inlineStr">
        <is>
          <t>--</t>
        </is>
      </c>
      <c r="L12" s="838" t="inlineStr">
        <is>
          <t>--</t>
        </is>
      </c>
      <c r="M12" s="838" t="inlineStr">
        <is>
          <t>--</t>
        </is>
      </c>
      <c r="N12" s="838" t="inlineStr">
        <is>
          <t>--</t>
        </is>
      </c>
      <c r="O12" s="835">
        <f>DATE(YEAR(Table1[[#This Row],[Calibration Date]])+3, MONTH(Table1[[#This Row],[Calibration Date]]),DAY(Table1[[#This Row],[Calibration Date]]))</f>
        <v/>
      </c>
    </row>
    <row r="13" ht="37.5" customHeight="1">
      <c r="B13" s="31" t="inlineStr">
        <is>
          <t>Shimadzu/ UH-F1000kNX</t>
        </is>
      </c>
      <c r="C13" s="31" t="inlineStr">
        <is>
          <t>1000 kN</t>
        </is>
      </c>
      <c r="D13" s="31" t="inlineStr">
        <is>
          <t>1251056K0094</t>
        </is>
      </c>
      <c r="E13" s="30" t="inlineStr">
        <is>
          <t>11-2020-FORC-0116</t>
        </is>
      </c>
      <c r="F13" s="835" t="n">
        <v>44138</v>
      </c>
      <c r="G13" s="836" t="n"/>
      <c r="H13" s="836" t="n"/>
      <c r="I13" s="836" t="n"/>
      <c r="J13" s="837" t="n">
        <v>0.23</v>
      </c>
      <c r="K13" s="838" t="inlineStr">
        <is>
          <t>--</t>
        </is>
      </c>
      <c r="L13" s="838" t="inlineStr">
        <is>
          <t>--</t>
        </is>
      </c>
      <c r="M13" s="838" t="inlineStr">
        <is>
          <t>--</t>
        </is>
      </c>
      <c r="N13" s="838" t="n">
        <v>0.1</v>
      </c>
      <c r="O13" s="835">
        <f>DATE(YEAR(Table1[[#This Row],[Calibration Date]])+3, MONTH(Table1[[#This Row],[Calibration Date]]),DAY(Table1[[#This Row],[Calibration Date]]))</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codeName="Sheet10">
    <outlinePr summaryBelow="1" summaryRight="1"/>
    <pageSetUpPr/>
  </sheetPr>
  <dimension ref="B1:AM105"/>
  <sheetViews>
    <sheetView topLeftCell="A19" zoomScale="145" zoomScaleNormal="145" zoomScaleSheetLayoutView="130" zoomScalePageLayoutView="130" workbookViewId="0">
      <selection activeCell="K46" sqref="K46"/>
    </sheetView>
  </sheetViews>
  <sheetFormatPr baseColWidth="8" defaultColWidth="8.85546875" defaultRowHeight="15"/>
  <cols>
    <col width="0.7109375" customWidth="1" style="329" min="1" max="1"/>
    <col width="8.5703125" customWidth="1" style="329" min="2" max="4"/>
    <col hidden="1" width="8.5703125" customWidth="1" style="329" min="5" max="5"/>
    <col width="8.5703125" customWidth="1" style="329" min="6" max="12"/>
    <col width="8.85546875" customWidth="1" style="329" min="13" max="13"/>
    <col width="8.42578125" customWidth="1" style="329" min="14" max="18"/>
    <col width="8.85546875" customWidth="1" style="329" min="19" max="22"/>
    <col width="8.85546875" customWidth="1" style="329" min="23" max="24"/>
    <col width="8.85546875" customWidth="1" style="329" min="25" max="16384"/>
  </cols>
  <sheetData>
    <row r="1" ht="18.6" customHeight="1">
      <c r="B1" s="576" t="inlineStr">
        <is>
          <t xml:space="preserve"> CALIBRATION DATA SHEET</t>
        </is>
      </c>
      <c r="C1" s="329" t="n"/>
      <c r="D1" s="329" t="n"/>
      <c r="E1" s="329" t="n"/>
      <c r="F1" s="329" t="n"/>
      <c r="G1" s="329" t="n"/>
      <c r="H1" s="329" t="n"/>
      <c r="I1" s="329" t="n"/>
      <c r="J1" s="329" t="n"/>
      <c r="K1" s="329" t="n"/>
      <c r="L1" s="329" t="n"/>
      <c r="M1" s="329" t="n"/>
    </row>
    <row r="2" ht="14.45" customFormat="1" customHeight="1" s="323">
      <c r="B2" s="323" t="inlineStr">
        <is>
          <t>Customer Name:</t>
        </is>
      </c>
      <c r="C2" s="377" t="n"/>
      <c r="D2" s="575" t="inlineStr"/>
      <c r="E2" s="329" t="n"/>
      <c r="F2" s="329" t="n"/>
      <c r="G2" s="329" t="n"/>
      <c r="H2" s="329" t="n"/>
      <c r="I2" s="329" t="n"/>
      <c r="J2" s="329" t="n"/>
      <c r="K2" s="329" t="n"/>
      <c r="L2" s="329" t="n"/>
      <c r="M2" s="377" t="n"/>
    </row>
    <row r="3" ht="14.45" customFormat="1" customHeight="1" s="323">
      <c r="B3" s="323" t="inlineStr">
        <is>
          <t>Address Line 1:</t>
        </is>
      </c>
      <c r="C3" s="377" t="n"/>
      <c r="D3" s="577" t="inlineStr"/>
      <c r="E3" s="329" t="n"/>
      <c r="F3" s="329" t="n"/>
      <c r="G3" s="329" t="n"/>
      <c r="H3" s="329" t="n"/>
      <c r="I3" s="329" t="n"/>
      <c r="J3" s="329" t="n"/>
      <c r="K3" s="329" t="n"/>
      <c r="L3" s="329" t="n"/>
      <c r="M3" s="377" t="n"/>
    </row>
    <row r="4" ht="14.45" customFormat="1" customHeight="1" s="323">
      <c r="B4" s="323" t="inlineStr">
        <is>
          <t>Address Line 2:</t>
        </is>
      </c>
      <c r="C4" s="377" t="n"/>
      <c r="D4" s="575" t="inlineStr"/>
      <c r="E4" s="329" t="n"/>
      <c r="F4" s="329" t="n"/>
      <c r="G4" s="329" t="n"/>
      <c r="H4" s="329" t="n"/>
      <c r="I4" s="329" t="n"/>
      <c r="J4" s="329" t="n"/>
      <c r="K4" s="329" t="n"/>
      <c r="L4" s="329" t="n"/>
      <c r="M4" s="377" t="n"/>
    </row>
    <row r="5" ht="12" customFormat="1" customHeight="1" s="323">
      <c r="B5" s="323" t="inlineStr">
        <is>
          <t>Date of Calibration:</t>
        </is>
      </c>
      <c r="D5" s="578" t="inlineStr">
        <is>
          <t>2026-05-30</t>
        </is>
      </c>
      <c r="E5" s="329" t="n"/>
      <c r="F5" s="329" t="n"/>
      <c r="G5" s="329" t="n"/>
      <c r="H5" s="329" t="n"/>
      <c r="I5" s="311" t="n"/>
      <c r="J5" s="323" t="inlineStr">
        <is>
          <t>Mode:</t>
        </is>
      </c>
      <c r="K5" s="312" t="inlineStr">
        <is>
          <t>Compression</t>
        </is>
      </c>
    </row>
    <row r="6" ht="12" customFormat="1" customHeight="1" s="323">
      <c r="B6" s="323" t="inlineStr">
        <is>
          <t>Request Ref. No.:</t>
        </is>
      </c>
      <c r="D6" s="575" t="inlineStr">
        <is>
          <t>12345</t>
        </is>
      </c>
      <c r="E6" s="329" t="n"/>
      <c r="F6" s="329" t="n"/>
      <c r="G6" s="329" t="n"/>
      <c r="H6" s="329" t="n"/>
      <c r="J6" s="323" t="inlineStr">
        <is>
          <t>Capacity:</t>
        </is>
      </c>
      <c r="K6" s="312" t="n">
        <v>600</v>
      </c>
    </row>
    <row r="7" ht="12" customFormat="1" customHeight="1" s="323">
      <c r="B7" s="323" t="inlineStr">
        <is>
          <t>Calibration Item:</t>
        </is>
      </c>
      <c r="D7" s="575" t="inlineStr">
        <is>
          <t>efd</t>
        </is>
      </c>
      <c r="E7" s="329" t="n"/>
      <c r="F7" s="329" t="n"/>
      <c r="G7" s="329" t="n"/>
      <c r="H7" s="329" t="n"/>
      <c r="J7" s="323" t="inlineStr">
        <is>
          <t>Range:</t>
        </is>
      </c>
      <c r="K7" s="312" t="inlineStr">
        <is>
          <t>0 kN to 500 kN</t>
        </is>
      </c>
    </row>
    <row r="8" ht="12" customFormat="1" customHeight="1" s="323">
      <c r="B8" s="323" t="inlineStr">
        <is>
          <t xml:space="preserve">   Load Cell</t>
        </is>
      </c>
      <c r="D8" s="575" t="n"/>
      <c r="E8" s="575" t="n"/>
      <c r="F8" s="575" t="n"/>
      <c r="G8" s="575" t="n"/>
      <c r="H8" s="575" t="n"/>
      <c r="K8" s="312" t="n"/>
    </row>
    <row r="9" ht="12" customFormat="1" customHeight="1" s="323">
      <c r="B9" s="323" t="inlineStr">
        <is>
          <t xml:space="preserve">       Make / Model No.:</t>
        </is>
      </c>
      <c r="D9" s="575" t="inlineStr">
        <is>
          <t>N/A</t>
        </is>
      </c>
      <c r="E9" s="329" t="n"/>
      <c r="F9" s="329" t="n"/>
      <c r="G9" s="329" t="n"/>
      <c r="H9" s="329" t="n"/>
      <c r="J9" s="323" t="inlineStr">
        <is>
          <t>Increment:</t>
        </is>
      </c>
      <c r="K9" s="312" t="inlineStr">
        <is>
          <t>0.01 kN</t>
        </is>
      </c>
    </row>
    <row r="10" ht="12" customFormat="1" customHeight="1" s="323">
      <c r="B10" s="323" t="inlineStr">
        <is>
          <t xml:space="preserve">       Serial No. / ID No.:</t>
        </is>
      </c>
      <c r="D10" s="575" t="inlineStr">
        <is>
          <t>fdsdf</t>
        </is>
      </c>
      <c r="E10" s="329" t="n"/>
      <c r="F10" s="329" t="n"/>
      <c r="G10" s="329" t="n"/>
      <c r="H10" s="329" t="n"/>
      <c r="J10" s="323" t="inlineStr">
        <is>
          <t>Resolution:</t>
        </is>
      </c>
      <c r="K10" s="312" t="inlineStr">
        <is>
          <t>0.01 kN</t>
        </is>
      </c>
    </row>
    <row r="11" ht="12" customFormat="1" customHeight="1" s="323">
      <c r="B11" s="323" t="inlineStr">
        <is>
          <t xml:space="preserve">   Indicator</t>
        </is>
      </c>
      <c r="D11" s="575" t="n"/>
      <c r="E11" s="575" t="n"/>
      <c r="F11" s="575" t="n"/>
      <c r="G11" s="575" t="n"/>
      <c r="H11" s="575" t="n"/>
      <c r="K11" s="312" t="n"/>
    </row>
    <row r="12" ht="12" customFormat="1" customHeight="1" s="323">
      <c r="B12" s="323" t="inlineStr">
        <is>
          <t xml:space="preserve">       Make / Model No.:</t>
        </is>
      </c>
      <c r="D12" s="575" t="inlineStr">
        <is>
          <t>N/A</t>
        </is>
      </c>
      <c r="E12" s="329" t="n"/>
      <c r="F12" s="329" t="n"/>
      <c r="G12" s="329" t="n"/>
      <c r="H12" s="329" t="n"/>
      <c r="K12" s="312">
        <f>'Dash Board'!N25 &amp;" "&amp; 'Dash Board'!O26</f>
        <v/>
      </c>
    </row>
    <row r="13" ht="12" customFormat="1" customHeight="1" s="323">
      <c r="B13" s="323" t="inlineStr">
        <is>
          <t xml:space="preserve">       Serial No. / ID No.:</t>
        </is>
      </c>
      <c r="D13" s="575" t="inlineStr">
        <is>
          <t>N/A</t>
        </is>
      </c>
      <c r="E13" s="329" t="n"/>
      <c r="F13" s="329" t="n"/>
      <c r="G13" s="329" t="n"/>
      <c r="H13" s="329" t="n"/>
      <c r="K13" s="312">
        <f>'Dash Board'!N26 &amp;" "&amp; 'Dash Board'!O26</f>
        <v/>
      </c>
    </row>
    <row r="14" ht="12" customFormat="1" customHeight="1" s="323"/>
    <row r="15" ht="12" customFormat="1" customHeight="1" s="323">
      <c r="B15" s="313">
        <f>"2.) PRE-LOADING DATA"&amp;", "&amp;'Dash Board'!O20</f>
        <v/>
      </c>
    </row>
    <row r="16" ht="3.6" customFormat="1" customHeight="1" s="323">
      <c r="B16" s="313" t="n"/>
    </row>
    <row r="17" ht="28.9" customFormat="1" customHeight="1" s="323">
      <c r="B17" s="378" t="inlineStr">
        <is>
          <t>Indicated force</t>
        </is>
      </c>
      <c r="C17" s="379" t="inlineStr">
        <is>
          <t>1st (0˚)</t>
        </is>
      </c>
      <c r="D17" s="378" t="inlineStr">
        <is>
          <t>Indicated force</t>
        </is>
      </c>
      <c r="E17" s="378" t="n"/>
      <c r="F17" s="379" t="inlineStr">
        <is>
          <t xml:space="preserve"> 2nd (120˚)</t>
        </is>
      </c>
      <c r="G17" s="378" t="inlineStr">
        <is>
          <t>Indicated force</t>
        </is>
      </c>
      <c r="H17" s="379" t="inlineStr">
        <is>
          <t>3rd (240˚)</t>
        </is>
      </c>
      <c r="J17" s="380" t="inlineStr">
        <is>
          <t>Conversion Unit:</t>
        </is>
      </c>
    </row>
    <row r="18" ht="15" customFormat="1" customHeight="1" s="323">
      <c r="B18" s="306" t="n">
        <v>0</v>
      </c>
      <c r="C18" s="424" t="n">
        <v>0</v>
      </c>
      <c r="D18" s="306" t="n">
        <v>0</v>
      </c>
      <c r="E18" s="306" t="n"/>
      <c r="F18" s="424" t="n">
        <v>0</v>
      </c>
      <c r="G18" s="306" t="n">
        <v>0</v>
      </c>
      <c r="H18" s="424" t="n">
        <v>0</v>
      </c>
      <c r="J18" s="322">
        <f>"1 "&amp;'Dash Board'!O20&amp;" = "</f>
        <v/>
      </c>
      <c r="K18" s="323">
        <f>VLOOKUP('Dash Board'!O20,Table5[],2,FALSE)</f>
        <v/>
      </c>
      <c r="L18" s="323" t="inlineStr">
        <is>
          <t>kN</t>
        </is>
      </c>
    </row>
    <row r="19" ht="15" customFormat="1" customHeight="1" s="323">
      <c r="B19" s="423" t="n">
        <v>0</v>
      </c>
      <c r="C19" s="424" t="n">
        <v>0</v>
      </c>
      <c r="D19" s="306" t="n">
        <v>0</v>
      </c>
      <c r="E19" s="423" t="n"/>
      <c r="F19" s="424" t="n">
        <v>0</v>
      </c>
      <c r="G19" s="306" t="n">
        <v>0</v>
      </c>
      <c r="H19" s="424" t="n">
        <v>0</v>
      </c>
      <c r="J19" s="322" t="n"/>
      <c r="L19" s="324" t="n"/>
      <c r="M19" s="324" t="n"/>
    </row>
    <row r="20" ht="15" customFormat="1" customHeight="1" s="323">
      <c r="B20" s="306" t="n">
        <v>0</v>
      </c>
      <c r="C20" s="424" t="n">
        <v>0</v>
      </c>
      <c r="D20" s="306" t="n">
        <v>0</v>
      </c>
      <c r="E20" s="306" t="n"/>
      <c r="F20" s="424" t="n">
        <v>0</v>
      </c>
      <c r="G20" s="306" t="n">
        <v>0</v>
      </c>
      <c r="H20" s="424" t="n">
        <v>0</v>
      </c>
      <c r="J20" s="322" t="n"/>
    </row>
    <row r="21" ht="9.6" customFormat="1" customHeight="1" s="323"/>
    <row r="22" ht="12" customFormat="1" customHeight="1" s="323">
      <c r="B22" s="313">
        <f>"2.) MEASURED DATA"&amp;", "&amp;'Dash Board'!O20</f>
        <v/>
      </c>
    </row>
    <row r="23" ht="3.6" customFormat="1" customHeight="1" s="323">
      <c r="B23" s="313" t="n"/>
      <c r="G23" s="381" t="n"/>
    </row>
    <row r="24" ht="33.6" customFormat="1" customHeight="1" s="323">
      <c r="B24" s="379" t="inlineStr">
        <is>
          <t>Calibration Points</t>
        </is>
      </c>
      <c r="C24" s="379" t="inlineStr">
        <is>
          <t>Expected Machine Indication</t>
        </is>
      </c>
      <c r="D24" s="382" t="inlineStr">
        <is>
          <t>Indicated force</t>
        </is>
      </c>
      <c r="E24" s="382" t="n"/>
      <c r="F24" s="433" t="inlineStr">
        <is>
          <t>1st</t>
        </is>
      </c>
      <c r="G24" s="378" t="inlineStr">
        <is>
          <t>Indicated force</t>
        </is>
      </c>
      <c r="H24" s="433" t="inlineStr">
        <is>
          <t xml:space="preserve"> 2nd</t>
        </is>
      </c>
      <c r="I24" s="378" t="inlineStr">
        <is>
          <t>Indicated force</t>
        </is>
      </c>
      <c r="J24" s="433" t="inlineStr">
        <is>
          <t>3rd</t>
        </is>
      </c>
      <c r="K24" s="379" t="inlineStr">
        <is>
          <t>Mean Force</t>
        </is>
      </c>
      <c r="L24" s="379" t="inlineStr">
        <is>
          <t>Mean deflection</t>
        </is>
      </c>
    </row>
    <row r="25" ht="15" customFormat="1" customHeight="1" s="323">
      <c r="B25" s="383" t="inlineStr">
        <is>
          <t>0</t>
        </is>
      </c>
      <c r="C25" s="318" t="n">
        <v>0</v>
      </c>
      <c r="D25" s="325" t="n">
        <v>0</v>
      </c>
      <c r="E25" s="325" t="n"/>
      <c r="F25" s="424" t="n">
        <v>0</v>
      </c>
      <c r="G25" s="306" t="n">
        <v>0</v>
      </c>
      <c r="H25" s="424" t="n">
        <v>0</v>
      </c>
      <c r="I25" s="306" t="n">
        <v>0</v>
      </c>
      <c r="J25" s="424" t="n">
        <v>0</v>
      </c>
      <c r="K25" s="316">
        <f>IFERROR(AVERAGE(D25,G25,I25),"- -")</f>
        <v/>
      </c>
      <c r="L25" s="840">
        <f>IFERROR(AVERAGE(F25,H25,J25),"- -")</f>
        <v/>
      </c>
    </row>
    <row r="26" ht="15" customFormat="1" customHeight="1" s="323">
      <c r="B26" s="383" t="inlineStr">
        <is>
          <t>1st</t>
        </is>
      </c>
      <c r="C26" s="318" t="n">
        <v>75</v>
      </c>
      <c r="D26" s="325" t="n">
        <v>74.95</v>
      </c>
      <c r="E26" s="325" t="n"/>
      <c r="F26" s="424" t="n">
        <v>0.06849</v>
      </c>
      <c r="G26" s="306" t="n">
        <v>74.83</v>
      </c>
      <c r="H26" s="424" t="n">
        <v>0.06852999999999999</v>
      </c>
      <c r="I26" s="306" t="n">
        <v>74.90000000000001</v>
      </c>
      <c r="J26" s="424" t="n">
        <v>0.06858</v>
      </c>
      <c r="K26" s="316">
        <f>IFERROR(AVERAGE(D26,G26,I26),"- -")</f>
        <v/>
      </c>
      <c r="L26" s="840">
        <f>IFERROR(AVERAGE(F26,H26,J26),"- -")</f>
        <v/>
      </c>
    </row>
    <row r="27" ht="15" customFormat="1" customHeight="1" s="323">
      <c r="B27" s="383" t="inlineStr">
        <is>
          <t>2nd</t>
        </is>
      </c>
      <c r="C27" s="318" t="n">
        <v>150</v>
      </c>
      <c r="D27" s="325" t="n">
        <v>149.93</v>
      </c>
      <c r="E27" s="325" t="n"/>
      <c r="F27" s="424" t="n">
        <v>0.1227</v>
      </c>
      <c r="G27" s="306" t="n">
        <v>149.93</v>
      </c>
      <c r="H27" s="424" t="n">
        <v>0.12283</v>
      </c>
      <c r="I27" s="306" t="n">
        <v>149.88</v>
      </c>
      <c r="J27" s="424" t="n">
        <v>0.12292</v>
      </c>
      <c r="K27" s="316">
        <f>IFERROR(AVERAGE(D27,G27,I27),"- -")</f>
        <v/>
      </c>
      <c r="L27" s="840">
        <f>IFERROR(AVERAGE(F27,H27,J27),"- -")</f>
        <v/>
      </c>
    </row>
    <row r="28" ht="15" customFormat="1" customHeight="1" s="323">
      <c r="B28" s="383" t="inlineStr">
        <is>
          <t>3rd</t>
        </is>
      </c>
      <c r="C28" s="318" t="n">
        <v>200</v>
      </c>
      <c r="D28" s="325" t="n">
        <v>199.93</v>
      </c>
      <c r="E28" s="325" t="n"/>
      <c r="F28" s="424" t="n">
        <v>0.15881</v>
      </c>
      <c r="G28" s="306" t="n">
        <v>199.92</v>
      </c>
      <c r="H28" s="424" t="n">
        <v>0.159</v>
      </c>
      <c r="I28" s="306" t="n">
        <v>199.88</v>
      </c>
      <c r="J28" s="424" t="n">
        <v>0.15907</v>
      </c>
      <c r="K28" s="316">
        <f>IFERROR(AVERAGE(D28,G28,I28),"- -")</f>
        <v/>
      </c>
      <c r="L28" s="840">
        <f>IFERROR(AVERAGE(F28,H28,J28),"- -")</f>
        <v/>
      </c>
    </row>
    <row r="29" ht="15" customFormat="1" customHeight="1" s="323">
      <c r="B29" s="383" t="inlineStr">
        <is>
          <t>4th</t>
        </is>
      </c>
      <c r="C29" s="318" t="n">
        <v>250</v>
      </c>
      <c r="D29" s="325" t="n">
        <v>249.92</v>
      </c>
      <c r="E29" s="325" t="n"/>
      <c r="F29" s="424" t="n">
        <v>0.19508</v>
      </c>
      <c r="G29" s="306" t="n">
        <v>249.88</v>
      </c>
      <c r="H29" s="424" t="n">
        <v>0.1953</v>
      </c>
      <c r="I29" s="306" t="n">
        <v>249.8</v>
      </c>
      <c r="J29" s="424" t="n">
        <v>0.19538</v>
      </c>
      <c r="K29" s="316">
        <f>IFERROR(AVERAGE(D29,G29,I29),"- -")</f>
        <v/>
      </c>
      <c r="L29" s="840">
        <f>IFERROR(AVERAGE(F29,H29,J29),"- -")</f>
        <v/>
      </c>
    </row>
    <row r="30" ht="15" customFormat="1" customHeight="1" s="323">
      <c r="B30" s="383" t="inlineStr">
        <is>
          <t>5th</t>
        </is>
      </c>
      <c r="C30" s="318" t="n">
        <v>300</v>
      </c>
      <c r="D30" s="325" t="n">
        <v>299.72</v>
      </c>
      <c r="E30" s="325" t="n"/>
      <c r="F30" s="424" t="n">
        <v>0.2315</v>
      </c>
      <c r="G30" s="306" t="n">
        <v>299.91</v>
      </c>
      <c r="H30" s="424" t="n">
        <v>0.23177</v>
      </c>
      <c r="I30" s="306" t="n">
        <v>299.92</v>
      </c>
      <c r="J30" s="424" t="n">
        <v>0.23181</v>
      </c>
      <c r="K30" s="316">
        <f>IFERROR(AVERAGE(D30,G30,I30),"- -")</f>
        <v/>
      </c>
      <c r="L30" s="840">
        <f>IFERROR(AVERAGE(F30,H30,J30),"- -")</f>
        <v/>
      </c>
    </row>
    <row r="31" ht="15" customFormat="1" customHeight="1" s="323">
      <c r="B31" s="383" t="inlineStr">
        <is>
          <t>6th</t>
        </is>
      </c>
      <c r="C31" s="318" t="n">
        <v>350</v>
      </c>
      <c r="D31" s="325" t="n">
        <v>349.87</v>
      </c>
      <c r="E31" s="325" t="n"/>
      <c r="F31" s="424" t="n">
        <v>0.26811</v>
      </c>
      <c r="G31" s="325" t="n">
        <v>349.92</v>
      </c>
      <c r="H31" s="424" t="n">
        <v>0.26832</v>
      </c>
      <c r="I31" s="306" t="n">
        <v>349.88</v>
      </c>
      <c r="J31" s="424" t="n">
        <v>0.26834</v>
      </c>
      <c r="K31" s="316">
        <f>IFERROR(AVERAGE(D31,G31,I31),"- -")</f>
        <v/>
      </c>
      <c r="L31" s="840">
        <f>IFERROR(AVERAGE(F31,H31,J31),"- -")</f>
        <v/>
      </c>
    </row>
    <row r="32" ht="15" customFormat="1" customHeight="1" s="323">
      <c r="B32" s="383" t="inlineStr">
        <is>
          <t>7th</t>
        </is>
      </c>
      <c r="C32" s="318" t="n">
        <v>400</v>
      </c>
      <c r="D32" s="325" t="n">
        <v>399.92</v>
      </c>
      <c r="E32" s="325" t="n"/>
      <c r="F32" s="424" t="n">
        <v>0.30482</v>
      </c>
      <c r="G32" s="325" t="n">
        <v>399.93</v>
      </c>
      <c r="H32" s="424" t="n">
        <v>0.30504</v>
      </c>
      <c r="I32" s="306" t="n">
        <v>399.9</v>
      </c>
      <c r="J32" s="424" t="n">
        <v>0.30497</v>
      </c>
      <c r="K32" s="316">
        <f>IFERROR(AVERAGE(D32,G32,I32),"- -")</f>
        <v/>
      </c>
      <c r="L32" s="840">
        <f>IFERROR(AVERAGE(F32,H32,J32),"- -")</f>
        <v/>
      </c>
    </row>
    <row r="33" ht="15" customFormat="1" customHeight="1" s="323">
      <c r="B33" s="383" t="inlineStr">
        <is>
          <t>8th</t>
        </is>
      </c>
      <c r="C33" s="318" t="n">
        <v>450</v>
      </c>
      <c r="D33" s="325" t="n">
        <v>449.95</v>
      </c>
      <c r="E33" s="325" t="n"/>
      <c r="F33" s="424" t="n">
        <v>0.34167</v>
      </c>
      <c r="G33" s="325" t="n">
        <v>449.93</v>
      </c>
      <c r="H33" s="424" t="n">
        <v>0.34175</v>
      </c>
      <c r="I33" s="306" t="n">
        <v>449.88</v>
      </c>
      <c r="J33" s="424" t="n">
        <v>0.34165</v>
      </c>
      <c r="K33" s="316">
        <f>IFERROR(AVERAGE(D33,G33,I33),"- -")</f>
        <v/>
      </c>
      <c r="L33" s="840">
        <f>IFERROR(AVERAGE(F33,H33,J33),"- -")</f>
        <v/>
      </c>
    </row>
    <row r="34" ht="15" customFormat="1" customHeight="1" s="323">
      <c r="B34" s="383" t="inlineStr">
        <is>
          <t>9th</t>
        </is>
      </c>
      <c r="C34" s="318" t="n">
        <v>500</v>
      </c>
      <c r="D34" s="325" t="n">
        <v>500</v>
      </c>
      <c r="E34" s="325" t="n"/>
      <c r="F34" s="424" t="n">
        <v>0</v>
      </c>
      <c r="G34" s="325" t="n">
        <v>499.92</v>
      </c>
      <c r="H34" s="424" t="n">
        <v>0.37849</v>
      </c>
      <c r="I34" s="306" t="n">
        <v>499.98</v>
      </c>
      <c r="J34" s="424" t="n">
        <v>0.3785</v>
      </c>
      <c r="K34" s="316">
        <f>IFERROR(AVERAGE(D34,G34,I34),"- -")</f>
        <v/>
      </c>
      <c r="L34" s="840">
        <f>IFERROR(AVERAGE(F34,H34,J34),"- -")</f>
        <v/>
      </c>
    </row>
    <row r="35" ht="15" customFormat="1" customHeight="1" s="323">
      <c r="B35" s="383" t="inlineStr">
        <is>
          <t>10th</t>
        </is>
      </c>
      <c r="C35" s="318" t="n">
        <v>0</v>
      </c>
      <c r="D35" s="325" t="n">
        <v>0</v>
      </c>
      <c r="E35" s="325" t="n"/>
      <c r="F35" s="424" t="n">
        <v>0</v>
      </c>
      <c r="G35" s="325" t="n">
        <v>0</v>
      </c>
      <c r="H35" s="424" t="n">
        <v>0</v>
      </c>
      <c r="I35" s="306" t="n">
        <v>0</v>
      </c>
      <c r="J35" s="424" t="n">
        <v>0</v>
      </c>
      <c r="K35" s="316">
        <f>IFERROR(AVERAGE(D35,G35,I35),"- -")</f>
        <v/>
      </c>
      <c r="L35" s="840">
        <f>IFERROR(AVERAGE(F35,H35,J35),"- -")</f>
        <v/>
      </c>
    </row>
    <row r="36" ht="15" customFormat="1" customHeight="1" s="323">
      <c r="B36" s="383" t="n">
        <v>0</v>
      </c>
      <c r="C36" s="318">
        <f>IF('Dash Board'!T19&lt;&gt;"",'Dash Board'!T19,"- -")</f>
        <v/>
      </c>
      <c r="D36" s="325">
        <f>C36</f>
        <v/>
      </c>
      <c r="E36" s="325" t="n"/>
      <c r="F36" s="840" t="n">
        <v>0</v>
      </c>
      <c r="G36" s="325">
        <f>IF(C36="- -","",C36)</f>
        <v/>
      </c>
      <c r="H36" s="840" t="n">
        <v>0</v>
      </c>
      <c r="I36" s="306">
        <f>IF(C36="- -","",C36)</f>
        <v/>
      </c>
      <c r="J36" s="840" t="n">
        <v>0</v>
      </c>
      <c r="K36" s="384" t="n"/>
      <c r="L36" s="384" t="n"/>
    </row>
    <row r="37" ht="12" customFormat="1" customHeight="1" s="323">
      <c r="B37" s="322" t="inlineStr">
        <is>
          <t>Max Zero =</t>
        </is>
      </c>
    </row>
    <row r="38" ht="7.9" customFormat="1" customHeight="1" s="323"/>
    <row r="39" ht="12" customFormat="1" customHeight="1" s="323">
      <c r="B39" s="313" t="inlineStr">
        <is>
          <t>3.) Force Transducer Information</t>
        </is>
      </c>
      <c r="C39" s="313" t="n"/>
      <c r="D39" s="313" t="n"/>
      <c r="E39" s="313" t="n"/>
      <c r="F39" s="385" t="n"/>
      <c r="G39" s="385" t="n"/>
      <c r="H39" s="385" t="n"/>
      <c r="J39" s="385" t="inlineStr">
        <is>
          <t>4.) Environmental Conditions:</t>
        </is>
      </c>
    </row>
    <row r="40" ht="3.6" customFormat="1" customHeight="1" s="323">
      <c r="B40" s="313" t="n"/>
      <c r="C40" s="313" t="n"/>
      <c r="D40" s="313" t="n"/>
      <c r="E40" s="313" t="n"/>
      <c r="F40" s="385" t="n"/>
      <c r="G40" s="385" t="n"/>
      <c r="H40" s="385" t="n"/>
      <c r="J40" s="385" t="n"/>
    </row>
    <row r="41" ht="16.15" customFormat="1" customHeight="1" s="323" thickBot="1">
      <c r="B41" s="574">
        <f>"In: "&amp;K5&amp;" Mode"</f>
        <v/>
      </c>
      <c r="C41" s="761" t="n"/>
      <c r="D41" s="761" t="n"/>
      <c r="E41" s="761" t="n"/>
      <c r="F41" s="761" t="n"/>
      <c r="G41" s="761" t="n"/>
      <c r="H41" s="762" t="n"/>
      <c r="I41" s="376" t="n"/>
      <c r="J41" s="386" t="inlineStr">
        <is>
          <t>Thermo-hygrometer indication</t>
        </is>
      </c>
      <c r="K41" s="387" t="n"/>
      <c r="L41" s="388" t="n"/>
    </row>
    <row r="42" ht="12.75" customFormat="1" customHeight="1" s="323" thickTop="1">
      <c r="B42" s="389" t="inlineStr">
        <is>
          <t>Load Cell</t>
        </is>
      </c>
      <c r="C42" s="841" t="inlineStr">
        <is>
          <t>WBRC-R2M</t>
        </is>
      </c>
      <c r="D42" s="762" t="n"/>
      <c r="E42" s="585">
        <f>IF('Dash Board'!$N$17="Compression",6,10)</f>
        <v/>
      </c>
      <c r="F42" s="390" t="inlineStr">
        <is>
          <t>A</t>
        </is>
      </c>
      <c r="G42" s="842" t="n">
        <v>1376.099</v>
      </c>
      <c r="H42" s="762" t="n"/>
      <c r="I42" s="376" t="n"/>
      <c r="J42" s="391" t="n"/>
      <c r="K42" s="392" t="inlineStr">
        <is>
          <t>Before</t>
        </is>
      </c>
      <c r="L42" s="392" t="inlineStr">
        <is>
          <t>After</t>
        </is>
      </c>
    </row>
    <row r="43" ht="12" customFormat="1" customHeight="1" s="323">
      <c r="B43" s="389" t="inlineStr">
        <is>
          <t>Capacity</t>
        </is>
      </c>
      <c r="C43" s="841">
        <f>VLOOKUP($C$42,Table1[],2,FALSE)</f>
        <v/>
      </c>
      <c r="D43" s="762" t="n"/>
      <c r="E43" s="585">
        <f>IF('Dash Board'!$N$17="Compression",7,11)</f>
        <v/>
      </c>
      <c r="F43" s="390" t="inlineStr">
        <is>
          <t>B</t>
        </is>
      </c>
      <c r="G43" s="842" t="n">
        <v>-9.575582000000001</v>
      </c>
      <c r="H43" s="762" t="n"/>
      <c r="I43" s="376" t="n"/>
      <c r="J43" s="393" t="inlineStr">
        <is>
          <t>Temp:</t>
        </is>
      </c>
      <c r="K43" s="843" t="n">
        <v>23.9</v>
      </c>
      <c r="L43" s="843" t="n">
        <v>25</v>
      </c>
    </row>
    <row r="44" ht="12" customFormat="1" customHeight="1" s="323">
      <c r="B44" s="395" t="inlineStr">
        <is>
          <t>Serial No.</t>
        </is>
      </c>
      <c r="C44" s="841" t="inlineStr">
        <is>
          <t>WB-121005</t>
        </is>
      </c>
      <c r="D44" s="762" t="n"/>
      <c r="E44" s="585">
        <f>IF('Dash Board'!$N$17="Compression",8,12)</f>
        <v/>
      </c>
      <c r="F44" s="390" t="inlineStr">
        <is>
          <t>C</t>
        </is>
      </c>
      <c r="G44" s="842" t="n">
        <v>4.373055</v>
      </c>
      <c r="H44" s="762" t="n"/>
      <c r="I44" s="376" t="n"/>
      <c r="J44" s="393" t="inlineStr">
        <is>
          <t>Humidity:</t>
        </is>
      </c>
      <c r="K44" s="844" t="n">
        <v>55</v>
      </c>
      <c r="L44" s="844" t="n">
        <v>54</v>
      </c>
    </row>
    <row r="45" ht="12" customFormat="1" customHeight="1" s="323">
      <c r="B45" s="389" t="inlineStr">
        <is>
          <t>Cal. Cert. No.</t>
        </is>
      </c>
      <c r="C45" s="841" t="inlineStr">
        <is>
          <t>2400-00342-003</t>
        </is>
      </c>
      <c r="D45" s="762" t="n"/>
      <c r="E45" s="585">
        <f>IF('Dash Board'!$N$17="Compression",9,13)</f>
        <v/>
      </c>
      <c r="F45" s="390" t="inlineStr">
        <is>
          <t>U, %</t>
        </is>
      </c>
      <c r="G45" s="842" t="n">
        <v>0.08</v>
      </c>
      <c r="H45" s="762" t="n"/>
      <c r="I45" s="376" t="n"/>
      <c r="J45" s="376" t="n"/>
      <c r="K45" s="376" t="n"/>
      <c r="L45" s="376" t="n"/>
    </row>
    <row r="46">
      <c r="B46" s="389" t="inlineStr">
        <is>
          <t>Cal Date</t>
        </is>
      </c>
      <c r="C46" s="845" t="inlineStr">
        <is>
          <t>45405</t>
        </is>
      </c>
      <c r="D46" s="762" t="n"/>
      <c r="E46" s="846">
        <f>IF('Dash Board'!$N$17="Compression",10,14)</f>
        <v/>
      </c>
      <c r="F46" s="390" t="inlineStr">
        <is>
          <t>k</t>
        </is>
      </c>
      <c r="G46" s="847">
        <f>Software!J40</f>
        <v/>
      </c>
      <c r="H46" s="762" t="n"/>
    </row>
    <row r="47">
      <c r="C47" s="579" t="n"/>
      <c r="D47" s="329" t="n"/>
      <c r="E47" s="579" t="n"/>
    </row>
    <row r="48">
      <c r="B48" s="313" t="inlineStr">
        <is>
          <t>Calibrated by:</t>
        </is>
      </c>
      <c r="C48" s="323" t="n"/>
      <c r="D48" s="323" t="n"/>
      <c r="E48" s="323" t="n"/>
      <c r="F48" s="323" t="n"/>
      <c r="G48" s="323" t="n"/>
      <c r="H48" s="323" t="n"/>
      <c r="I48" s="313" t="inlineStr">
        <is>
          <t>Checked by:</t>
        </is>
      </c>
    </row>
    <row r="49">
      <c r="L49" s="376" t="n"/>
    </row>
    <row r="50">
      <c r="B50" s="397" t="n"/>
      <c r="C50" s="397" t="n"/>
      <c r="G50" s="397" t="n"/>
      <c r="I50" s="397" t="n"/>
      <c r="J50" s="397" t="n"/>
      <c r="L50" s="376" t="n"/>
    </row>
    <row r="51">
      <c r="B51" s="570" t="inlineStr">
        <is>
          <t>RFM</t>
        </is>
      </c>
      <c r="C51" s="406" t="n"/>
      <c r="D51" s="323" t="n"/>
      <c r="E51" s="323" t="n"/>
      <c r="F51" s="570" t="inlineStr">
        <is>
          <t>ACCG</t>
        </is>
      </c>
      <c r="G51" s="406" t="n"/>
    </row>
    <row r="52">
      <c r="B52" s="323" t="n"/>
      <c r="I52" s="323" t="inlineStr">
        <is>
          <t>date:</t>
        </is>
      </c>
    </row>
    <row r="54">
      <c r="B54" s="313" t="inlineStr">
        <is>
          <t>5.) Net value (dij) &amp; Mean Value (di) Calculation, units in kN</t>
        </is>
      </c>
    </row>
    <row r="55" ht="3.6" customHeight="1">
      <c r="B55" s="398" t="n"/>
    </row>
    <row r="56" ht="22.5" customHeight="1">
      <c r="B56" s="399" t="inlineStr">
        <is>
          <t>Calibration Points</t>
        </is>
      </c>
      <c r="C56" s="400" t="inlineStr">
        <is>
          <t>Force                                  (kN)</t>
        </is>
      </c>
      <c r="D56" s="401" t="inlineStr">
        <is>
          <t>1st (0˚)</t>
        </is>
      </c>
      <c r="E56" s="426" t="n"/>
      <c r="F56" s="400" t="inlineStr">
        <is>
          <t>Force                                  (kN)</t>
        </is>
      </c>
      <c r="G56" s="401" t="inlineStr">
        <is>
          <t xml:space="preserve"> 2nd (120˚)</t>
        </is>
      </c>
      <c r="H56" s="400" t="inlineStr">
        <is>
          <t>Force                                  (kN)</t>
        </is>
      </c>
      <c r="I56" s="401" t="inlineStr">
        <is>
          <t>3rd (240˚)</t>
        </is>
      </c>
      <c r="J56" s="402" t="inlineStr">
        <is>
          <t>Mean Force (kN)</t>
        </is>
      </c>
      <c r="K56" s="401" t="inlineStr">
        <is>
          <t>Mean deflection</t>
        </is>
      </c>
    </row>
    <row r="57" ht="11.45" customFormat="1" customHeight="1" s="376">
      <c r="B57" s="319" t="inlineStr">
        <is>
          <t>0</t>
        </is>
      </c>
      <c r="C57" s="848" t="n">
        <v>0</v>
      </c>
      <c r="D57" s="849" t="n">
        <v>0</v>
      </c>
      <c r="E57" s="849" t="n"/>
      <c r="F57" s="849" t="n">
        <v>0</v>
      </c>
      <c r="G57" s="849" t="n">
        <v>0</v>
      </c>
      <c r="H57" s="849" t="n">
        <v>0</v>
      </c>
      <c r="I57" s="849" t="n">
        <v>0</v>
      </c>
      <c r="J57" s="850" t="n">
        <v>0</v>
      </c>
      <c r="K57" s="850" t="n">
        <v>0</v>
      </c>
    </row>
    <row r="58" ht="11.45" customFormat="1" customHeight="1" s="376">
      <c r="B58" s="319" t="inlineStr">
        <is>
          <t>1st</t>
        </is>
      </c>
      <c r="C58" s="848" t="n">
        <v>74.95</v>
      </c>
      <c r="D58" s="849" t="n">
        <v>0.06849</v>
      </c>
      <c r="E58" s="849" t="n"/>
      <c r="F58" s="849" t="n">
        <v>74.83</v>
      </c>
      <c r="G58" s="849" t="n">
        <v>0.06852999999999999</v>
      </c>
      <c r="H58" s="849" t="n">
        <v>74.90000000000001</v>
      </c>
      <c r="I58" s="849" t="n">
        <v>0.06858</v>
      </c>
      <c r="J58" s="850" t="n">
        <v>94.39933366666666</v>
      </c>
      <c r="K58" s="850" t="n">
        <v>0.06863098003384992</v>
      </c>
    </row>
    <row r="59" ht="11.45" customFormat="1" customHeight="1" s="376">
      <c r="B59" s="319" t="inlineStr">
        <is>
          <t>2nd</t>
        </is>
      </c>
      <c r="C59" s="848" t="n">
        <v>149.93</v>
      </c>
      <c r="D59" s="849" t="n">
        <v>0.1227</v>
      </c>
      <c r="E59" s="849" t="n"/>
      <c r="F59" s="849" t="n">
        <v>149.93</v>
      </c>
      <c r="G59" s="849" t="n">
        <v>0.12283</v>
      </c>
      <c r="H59" s="849" t="n">
        <v>149.88</v>
      </c>
      <c r="I59" s="849" t="n">
        <v>0.12292</v>
      </c>
      <c r="J59" s="850" t="n">
        <v>168.9691283333333</v>
      </c>
      <c r="K59" s="850" t="n">
        <v>0.1228876829647982</v>
      </c>
    </row>
    <row r="60" ht="11.45" customFormat="1" customHeight="1" s="376">
      <c r="B60" s="319" t="inlineStr">
        <is>
          <t>3rd</t>
        </is>
      </c>
      <c r="C60" s="848" t="n">
        <v>199.93</v>
      </c>
      <c r="D60" s="849" t="n">
        <v>0.15881</v>
      </c>
      <c r="E60" s="849" t="n"/>
      <c r="F60" s="849" t="n">
        <v>199.92</v>
      </c>
      <c r="G60" s="849" t="n">
        <v>0.159</v>
      </c>
      <c r="H60" s="849" t="n">
        <v>199.88</v>
      </c>
      <c r="I60" s="849" t="n">
        <v>0.15907</v>
      </c>
      <c r="J60" s="850" t="n">
        <v>218.6186046666667</v>
      </c>
      <c r="K60" s="850" t="n">
        <v>0.1590315759035987</v>
      </c>
    </row>
    <row r="61" ht="11.45" customFormat="1" customHeight="1" s="376">
      <c r="B61" s="319" t="inlineStr">
        <is>
          <t>4th</t>
        </is>
      </c>
      <c r="C61" s="848" t="n">
        <v>249.92</v>
      </c>
      <c r="D61" s="849" t="n">
        <v>0.19508</v>
      </c>
      <c r="E61" s="849" t="n"/>
      <c r="F61" s="849" t="n">
        <v>249.88</v>
      </c>
      <c r="G61" s="849" t="n">
        <v>0.1953</v>
      </c>
      <c r="H61" s="849" t="n">
        <v>249.8</v>
      </c>
      <c r="I61" s="849" t="n">
        <v>0.19538</v>
      </c>
      <c r="J61" s="850" t="n">
        <v>268.4984916666667</v>
      </c>
      <c r="K61" s="850" t="n">
        <v>0.1953575545815434</v>
      </c>
    </row>
    <row r="62" ht="11.45" customFormat="1" customHeight="1" s="376">
      <c r="B62" s="319" t="inlineStr">
        <is>
          <t>5th</t>
        </is>
      </c>
      <c r="C62" s="848" t="n">
        <v>299.72</v>
      </c>
      <c r="D62" s="849" t="n">
        <v>0.2315</v>
      </c>
      <c r="E62" s="849" t="n"/>
      <c r="F62" s="849" t="n">
        <v>299.91</v>
      </c>
      <c r="G62" s="849" t="n">
        <v>0.23177</v>
      </c>
      <c r="H62" s="849" t="n">
        <v>299.92</v>
      </c>
      <c r="I62" s="849" t="n">
        <v>0.23181</v>
      </c>
      <c r="J62" s="850" t="n">
        <v>318.5323563333333</v>
      </c>
      <c r="K62" s="850" t="n">
        <v>0.2318092176238353</v>
      </c>
    </row>
    <row r="63" ht="11.45" customFormat="1" customHeight="1" s="376">
      <c r="B63" s="319" t="inlineStr">
        <is>
          <t>6th</t>
        </is>
      </c>
      <c r="C63" s="848" t="n">
        <v>349.87</v>
      </c>
      <c r="D63" s="849" t="n">
        <v>0.26811</v>
      </c>
      <c r="E63" s="849" t="n"/>
      <c r="F63" s="849" t="n">
        <v>349.92</v>
      </c>
      <c r="G63" s="849" t="n">
        <v>0.26832</v>
      </c>
      <c r="H63" s="849" t="n">
        <v>349.88</v>
      </c>
      <c r="I63" s="849" t="n">
        <v>0.26834</v>
      </c>
      <c r="J63" s="850" t="n">
        <v>368.6587709999999</v>
      </c>
      <c r="K63" s="850" t="n">
        <v>0.2683409996212367</v>
      </c>
    </row>
    <row r="64" ht="11.45" customFormat="1" customHeight="1" s="376">
      <c r="B64" s="319" t="inlineStr">
        <is>
          <t>7th</t>
        </is>
      </c>
      <c r="C64" s="848" t="n">
        <v>399.92</v>
      </c>
      <c r="D64" s="849" t="n">
        <v>0.30482</v>
      </c>
      <c r="E64" s="849" t="n"/>
      <c r="F64" s="849" t="n">
        <v>399.93</v>
      </c>
      <c r="G64" s="849" t="n">
        <v>0.30504</v>
      </c>
      <c r="H64" s="849" t="n">
        <v>399.9</v>
      </c>
      <c r="I64" s="849" t="n">
        <v>0.30497</v>
      </c>
      <c r="J64" s="850" t="n">
        <v>418.9529323333334</v>
      </c>
      <c r="K64" s="850" t="n">
        <v>0.3050068763680385</v>
      </c>
    </row>
    <row r="65" ht="11.45" customFormat="1" customHeight="1" s="376">
      <c r="B65" s="319" t="inlineStr">
        <is>
          <t>8th</t>
        </is>
      </c>
      <c r="C65" s="848" t="n">
        <v>449.95</v>
      </c>
      <c r="D65" s="849" t="n">
        <v>0.34167</v>
      </c>
      <c r="E65" s="849" t="n"/>
      <c r="F65" s="849" t="n">
        <v>449.93</v>
      </c>
      <c r="G65" s="849" t="n">
        <v>0.34175</v>
      </c>
      <c r="H65" s="849" t="n">
        <v>449.88</v>
      </c>
      <c r="I65" s="849" t="n">
        <v>0.34165</v>
      </c>
      <c r="J65" s="850" t="n">
        <v>469.3390546666666</v>
      </c>
      <c r="K65" s="850" t="n">
        <v>0.3417507559673707</v>
      </c>
    </row>
    <row r="66" ht="11.45" customFormat="1" customHeight="1" s="376">
      <c r="B66" s="319" t="inlineStr">
        <is>
          <t>9th</t>
        </is>
      </c>
      <c r="C66" s="848" t="n">
        <v>500</v>
      </c>
      <c r="D66" s="849" t="n">
        <v>0</v>
      </c>
      <c r="E66" s="849" t="n"/>
      <c r="F66" s="849" t="n">
        <v>499.92</v>
      </c>
      <c r="G66" s="849" t="n">
        <v>0.37849</v>
      </c>
      <c r="H66" s="849" t="n">
        <v>499.98</v>
      </c>
      <c r="I66" s="849" t="n">
        <v>0.3785</v>
      </c>
      <c r="J66" s="850" t="n">
        <v>346.5092096666667</v>
      </c>
      <c r="K66" s="850" t="n">
        <v>0.2523552362321729</v>
      </c>
    </row>
    <row r="67" ht="11.45" customFormat="1" customHeight="1" s="376">
      <c r="B67" s="319" t="inlineStr">
        <is>
          <t>10th</t>
        </is>
      </c>
      <c r="C67" s="848" t="n">
        <v>0</v>
      </c>
      <c r="D67" s="849" t="n">
        <v>0</v>
      </c>
      <c r="E67" s="849" t="n"/>
      <c r="F67" s="849" t="n">
        <v>0</v>
      </c>
      <c r="G67" s="849" t="n">
        <v>0</v>
      </c>
      <c r="H67" s="849" t="n">
        <v>0</v>
      </c>
      <c r="I67" s="849" t="n">
        <v>0</v>
      </c>
      <c r="J67" s="850" t="n">
        <v>0</v>
      </c>
      <c r="K67" s="850" t="n">
        <v>0</v>
      </c>
    </row>
    <row r="68" ht="11.45" customFormat="1" customHeight="1" s="376">
      <c r="B68" s="319" t="n">
        <v>0</v>
      </c>
      <c r="C68" s="848">
        <f>IF(D36&lt;&gt;"",D36*$K$18,"- -")</f>
        <v/>
      </c>
      <c r="D68" s="849">
        <f>IF(F36&lt;&gt;"",((F36-$F$25)*$K$18),"- -")</f>
        <v/>
      </c>
      <c r="E68" s="849" t="n"/>
      <c r="F68" s="849">
        <f>IF(G36&lt;&gt;"",G36*$K$18,"- -")</f>
        <v/>
      </c>
      <c r="G68" s="849">
        <f>IF(H36&lt;&gt;"",((H36-$H$25)*$K$18),"- -")</f>
        <v/>
      </c>
      <c r="H68" s="849">
        <f>IF(I36&lt;&gt;"",I36*$K$18,"- -")</f>
        <v/>
      </c>
      <c r="I68" s="849">
        <f>IF(J36&lt;&gt;"",(J36-$J$25)*$K$18,"- -")</f>
        <v/>
      </c>
      <c r="J68" s="851" t="n"/>
      <c r="K68" s="851" t="n"/>
    </row>
    <row r="69">
      <c r="O69" s="376" t="n"/>
      <c r="P69" s="376" t="n"/>
      <c r="Q69" s="376" t="n"/>
      <c r="R69" s="376" t="n"/>
      <c r="S69" s="376" t="n"/>
      <c r="T69" s="376" t="n"/>
      <c r="U69" s="376" t="n"/>
      <c r="V69" s="376" t="n"/>
      <c r="W69" s="376" t="n"/>
      <c r="X69" s="376" t="n"/>
      <c r="Y69" s="376" t="n"/>
      <c r="Z69" s="376" t="n"/>
      <c r="AA69" s="376" t="n"/>
      <c r="AB69" s="376" t="n"/>
      <c r="AC69" s="376" t="n"/>
      <c r="AD69" s="376" t="n"/>
      <c r="AE69" s="376" t="n"/>
      <c r="AF69" s="376" t="n"/>
      <c r="AG69" s="376" t="n"/>
      <c r="AH69" s="376" t="n"/>
      <c r="AI69" s="376" t="n"/>
      <c r="AJ69" s="376" t="n"/>
      <c r="AK69" s="376" t="n"/>
    </row>
    <row r="70" ht="12" customFormat="1" customHeight="1" s="323">
      <c r="B70" s="313" t="inlineStr">
        <is>
          <t>6.) Linear Interpolation</t>
        </is>
      </c>
      <c r="I70" s="313" t="inlineStr">
        <is>
          <t>7. Estimation of Reference Force</t>
        </is>
      </c>
    </row>
    <row r="71" ht="3" customHeight="1">
      <c r="B71" s="398" t="n"/>
      <c r="O71" s="376" t="n"/>
      <c r="P71" s="376" t="n"/>
      <c r="Q71" s="376" t="n"/>
      <c r="R71" s="376" t="n"/>
      <c r="S71" s="376" t="n"/>
      <c r="T71" s="376" t="n"/>
      <c r="U71" s="376" t="n"/>
      <c r="V71" s="376" t="n"/>
      <c r="W71" s="376" t="n"/>
      <c r="X71" s="376" t="n"/>
      <c r="Y71" s="376" t="n"/>
      <c r="Z71" s="376" t="n"/>
      <c r="AA71" s="376" t="n"/>
      <c r="AB71" s="376" t="n"/>
      <c r="AC71" s="376" t="n"/>
      <c r="AD71" s="376" t="n"/>
      <c r="AE71" s="376" t="n"/>
      <c r="AF71" s="376" t="n"/>
      <c r="AG71" s="376" t="n"/>
      <c r="AH71" s="376" t="n"/>
      <c r="AI71" s="376" t="n"/>
      <c r="AJ71" s="376" t="n"/>
      <c r="AK71" s="376" t="n"/>
    </row>
    <row r="72" ht="15.6" customHeight="1">
      <c r="B72" s="574" t="inlineStr">
        <is>
          <t>Force (kN)</t>
        </is>
      </c>
      <c r="C72" s="573" t="inlineStr">
        <is>
          <t>Load Value</t>
        </is>
      </c>
      <c r="D72" s="761" t="n"/>
      <c r="E72" s="761" t="n"/>
      <c r="F72" s="761" t="n"/>
      <c r="G72" s="762" t="n"/>
      <c r="H72" s="323" t="n"/>
      <c r="I72" s="574" t="inlineStr">
        <is>
          <t>Force (kN)</t>
        </is>
      </c>
      <c r="J72" s="573" t="inlineStr">
        <is>
          <t>Load Value</t>
        </is>
      </c>
      <c r="K72" s="761" t="n"/>
      <c r="L72" s="761" t="n"/>
      <c r="M72" s="762" t="n"/>
      <c r="O72" s="376" t="n"/>
      <c r="P72" s="376" t="n"/>
      <c r="Q72" s="376" t="n"/>
      <c r="R72" s="376" t="n"/>
      <c r="S72" s="376" t="n"/>
      <c r="T72" s="376" t="n"/>
      <c r="U72" s="376" t="n"/>
      <c r="V72" s="376" t="n"/>
      <c r="W72" s="376" t="n"/>
      <c r="X72" s="376" t="n"/>
      <c r="Y72" s="376" t="n"/>
      <c r="Z72" s="376" t="n"/>
      <c r="AA72" s="376" t="n"/>
      <c r="AB72" s="376" t="n"/>
      <c r="AC72" s="376" t="n"/>
      <c r="AD72" s="376" t="n"/>
      <c r="AE72" s="376" t="n"/>
      <c r="AF72" s="376" t="n"/>
      <c r="AG72" s="376" t="n"/>
      <c r="AH72" s="376" t="n"/>
      <c r="AI72" s="376" t="n"/>
      <c r="AJ72" s="376" t="n"/>
      <c r="AK72" s="376" t="n"/>
    </row>
    <row r="73" ht="13.15" customHeight="1">
      <c r="B73" s="852" t="n"/>
      <c r="C73" s="404" t="inlineStr">
        <is>
          <t>1st (0˚)</t>
        </is>
      </c>
      <c r="D73" s="404" t="inlineStr">
        <is>
          <t xml:space="preserve"> 2nd (120˚)</t>
        </is>
      </c>
      <c r="E73" s="404" t="n"/>
      <c r="F73" s="404" t="inlineStr">
        <is>
          <t>3rd (240˚)</t>
        </is>
      </c>
      <c r="G73" s="401" t="inlineStr">
        <is>
          <t>Mean Value</t>
        </is>
      </c>
      <c r="H73" s="323" t="n"/>
      <c r="I73" s="852" t="n"/>
      <c r="J73" s="404" t="inlineStr">
        <is>
          <t>1st (0˚)</t>
        </is>
      </c>
      <c r="K73" s="404" t="inlineStr">
        <is>
          <t xml:space="preserve"> 2nd (120˚)</t>
        </is>
      </c>
      <c r="L73" s="404" t="inlineStr">
        <is>
          <t>3rd (240˚)</t>
        </is>
      </c>
      <c r="M73" s="404" t="inlineStr">
        <is>
          <t>Mean Value</t>
        </is>
      </c>
      <c r="O73" s="376" t="n"/>
      <c r="P73" s="376" t="n"/>
      <c r="Q73" s="376" t="n"/>
      <c r="R73" s="376" t="n"/>
      <c r="S73" s="376" t="n"/>
      <c r="T73" s="376" t="n"/>
      <c r="U73" s="376" t="n"/>
      <c r="V73" s="376" t="n"/>
      <c r="W73" s="376" t="n"/>
      <c r="X73" s="376" t="n"/>
      <c r="Y73" s="376" t="n"/>
      <c r="Z73" s="376" t="n"/>
      <c r="AA73" s="376" t="n"/>
      <c r="AB73" s="376" t="n"/>
      <c r="AC73" s="376" t="n"/>
      <c r="AD73" s="376" t="n"/>
      <c r="AE73" s="376" t="n"/>
      <c r="AF73" s="376" t="n"/>
      <c r="AG73" s="376" t="n"/>
      <c r="AH73" s="376" t="n"/>
      <c r="AI73" s="376" t="n"/>
      <c r="AJ73" s="376" t="n"/>
      <c r="AK73" s="376" t="n"/>
    </row>
    <row r="74" ht="11.45" customFormat="1" customHeight="1" s="376">
      <c r="B74" s="853" t="n">
        <v>0</v>
      </c>
      <c r="C74" s="854" t="n">
        <v>0</v>
      </c>
      <c r="D74" s="854" t="n">
        <v>0</v>
      </c>
      <c r="E74" s="854" t="n"/>
      <c r="F74" s="854" t="n">
        <v>0</v>
      </c>
      <c r="G74" s="850" t="n">
        <v>0</v>
      </c>
      <c r="I74" s="853" t="n">
        <v>0</v>
      </c>
      <c r="J74" s="854" t="n">
        <v>0</v>
      </c>
      <c r="K74" s="854" t="n">
        <v>0</v>
      </c>
      <c r="L74" s="854" t="n">
        <v>0</v>
      </c>
      <c r="M74" s="850" t="n">
        <v>0</v>
      </c>
      <c r="AL74" s="329" t="n"/>
      <c r="AM74" s="329" t="n"/>
    </row>
    <row r="75" ht="11.45" customFormat="1" customHeight="1" s="376">
      <c r="B75" s="853" t="n">
        <v>75</v>
      </c>
      <c r="C75" s="854" t="n">
        <v>0.06853569046030686</v>
      </c>
      <c r="D75" s="854" t="n">
        <v>0.06868568755846585</v>
      </c>
      <c r="E75" s="854" t="n"/>
      <c r="F75" s="854" t="n">
        <v>0.06867156208277703</v>
      </c>
      <c r="G75" s="850" t="n">
        <v>0.06863098003384992</v>
      </c>
      <c r="I75" s="853" t="n">
        <v>75</v>
      </c>
      <c r="J75" s="854" t="n">
        <v>94.268325</v>
      </c>
      <c r="K75" s="854" t="n">
        <v>94.474548</v>
      </c>
      <c r="L75" s="854" t="n">
        <v>94.455128</v>
      </c>
      <c r="M75" s="850" t="n">
        <v>94.39933366666666</v>
      </c>
      <c r="AL75" s="329" t="n"/>
      <c r="AM75" s="329" t="n"/>
    </row>
    <row r="76" ht="11.45" customFormat="1" customHeight="1" s="376">
      <c r="B76" s="853" t="n">
        <v>150</v>
      </c>
      <c r="C76" s="854" t="n">
        <v>0.1227572867338091</v>
      </c>
      <c r="D76" s="854" t="n">
        <v>0.1228873474288001</v>
      </c>
      <c r="E76" s="854" t="n"/>
      <c r="F76" s="854" t="n">
        <v>0.1230184147317854</v>
      </c>
      <c r="G76" s="850" t="n">
        <v>0.1228876829647982</v>
      </c>
      <c r="I76" s="853" t="n">
        <v>150</v>
      </c>
      <c r="J76" s="854" t="n">
        <v>168.789971</v>
      </c>
      <c r="K76" s="854" t="n">
        <v>168.968668</v>
      </c>
      <c r="L76" s="854" t="n">
        <v>169.148746</v>
      </c>
      <c r="M76" s="850" t="n">
        <v>168.9691283333333</v>
      </c>
      <c r="AL76" s="329" t="n"/>
      <c r="AM76" s="329" t="n"/>
    </row>
    <row r="77" ht="11.45" customFormat="1" customHeight="1" s="376">
      <c r="B77" s="853" t="n">
        <v>200</v>
      </c>
      <c r="C77" s="854" t="n">
        <v>0.1588656029610364</v>
      </c>
      <c r="D77" s="854" t="n">
        <v>0.1590636254501801</v>
      </c>
      <c r="E77" s="854" t="n"/>
      <c r="F77" s="854" t="n">
        <v>0.1591654992995797</v>
      </c>
      <c r="G77" s="850" t="n">
        <v>0.1590315759035987</v>
      </c>
      <c r="I77" s="853" t="n">
        <v>200</v>
      </c>
      <c r="J77" s="854" t="n">
        <v>218.39066</v>
      </c>
      <c r="K77" s="854" t="n">
        <v>218.662621</v>
      </c>
      <c r="L77" s="854" t="n">
        <v>218.802533</v>
      </c>
      <c r="M77" s="850" t="n">
        <v>218.6186046666667</v>
      </c>
      <c r="AL77" s="329" t="n"/>
      <c r="AM77" s="329" t="n"/>
    </row>
    <row r="78" ht="11.45" customFormat="1" customHeight="1" s="376">
      <c r="B78" s="853" t="n">
        <v>250</v>
      </c>
      <c r="C78" s="854" t="n">
        <v>0.1951424455825864</v>
      </c>
      <c r="D78" s="854" t="n">
        <v>0.195393789018729</v>
      </c>
      <c r="E78" s="854" t="n"/>
      <c r="F78" s="854" t="n">
        <v>0.1955364291433146</v>
      </c>
      <c r="G78" s="850" t="n">
        <v>0.1953575545815434</v>
      </c>
      <c r="I78" s="853" t="n">
        <v>250</v>
      </c>
      <c r="J78" s="854" t="n">
        <v>268.203177</v>
      </c>
      <c r="K78" s="854" t="n">
        <v>268.548237</v>
      </c>
      <c r="L78" s="854" t="n">
        <v>268.744061</v>
      </c>
      <c r="M78" s="850" t="n">
        <v>268.4984916666667</v>
      </c>
      <c r="AL78" s="329" t="n"/>
      <c r="AM78" s="329" t="n"/>
    </row>
    <row r="79" ht="11.45" customFormat="1" customHeight="1" s="376">
      <c r="B79" s="853" t="n">
        <v>300</v>
      </c>
      <c r="C79" s="854" t="n">
        <v>0.2317162685172828</v>
      </c>
      <c r="D79" s="854" t="n">
        <v>0.2318395518655597</v>
      </c>
      <c r="E79" s="854" t="n"/>
      <c r="F79" s="854" t="n">
        <v>0.2318718324886636</v>
      </c>
      <c r="G79" s="850" t="n">
        <v>0.2318092176238353</v>
      </c>
      <c r="I79" s="853" t="n">
        <v>300</v>
      </c>
      <c r="J79" s="854" t="n">
        <v>318.404796</v>
      </c>
      <c r="K79" s="854" t="n">
        <v>318.573986</v>
      </c>
      <c r="L79" s="854" t="n">
        <v>318.618287</v>
      </c>
      <c r="M79" s="850" t="n">
        <v>318.5323563333333</v>
      </c>
      <c r="AL79" s="329" t="n"/>
      <c r="AM79" s="329" t="n"/>
    </row>
    <row r="80" ht="11.45" customFormat="1" customHeight="1" s="376">
      <c r="B80" s="853" t="n">
        <v>350</v>
      </c>
      <c r="C80" s="854" t="n">
        <v>0.268209620716266</v>
      </c>
      <c r="D80" s="854" t="n">
        <v>0.2683813443072702</v>
      </c>
      <c r="E80" s="854" t="n"/>
      <c r="F80" s="854" t="n">
        <v>0.2684320338401738</v>
      </c>
      <c r="G80" s="850" t="n">
        <v>0.2683409996212367</v>
      </c>
      <c r="I80" s="853" t="n">
        <v>350</v>
      </c>
      <c r="J80" s="854" t="n">
        <v>368.478532</v>
      </c>
      <c r="K80" s="854" t="n">
        <v>368.71412</v>
      </c>
      <c r="L80" s="854" t="n">
        <v>368.783661</v>
      </c>
      <c r="M80" s="850" t="n">
        <v>368.6587709999999</v>
      </c>
      <c r="AL80" s="329" t="n"/>
      <c r="AM80" s="329" t="n"/>
    </row>
    <row r="81" ht="11.45" customFormat="1" customHeight="1" s="376">
      <c r="B81" s="853" t="n">
        <v>400</v>
      </c>
      <c r="C81" s="854" t="n">
        <v>0.304880976195239</v>
      </c>
      <c r="D81" s="854" t="n">
        <v>0.3050933913434851</v>
      </c>
      <c r="E81" s="854" t="n"/>
      <c r="F81" s="854" t="n">
        <v>0.3050462615653914</v>
      </c>
      <c r="G81" s="850" t="n">
        <v>0.3050068763680385</v>
      </c>
      <c r="I81" s="853" t="n">
        <v>400</v>
      </c>
      <c r="J81" s="854" t="n">
        <v>418.780263</v>
      </c>
      <c r="K81" s="854" t="n">
        <v>419.071586</v>
      </c>
      <c r="L81" s="854" t="n">
        <v>419.006948</v>
      </c>
      <c r="M81" s="850" t="n">
        <v>418.9529323333334</v>
      </c>
      <c r="Z81" s="405" t="n"/>
    </row>
    <row r="82" ht="11.45" customFormat="1" customHeight="1" s="376">
      <c r="B82" s="853" t="n">
        <v>450</v>
      </c>
      <c r="C82" s="854" t="n">
        <v>0.3417079675519502</v>
      </c>
      <c r="D82" s="854" t="n">
        <v>0.3418031693819039</v>
      </c>
      <c r="E82" s="854" t="n"/>
      <c r="F82" s="854" t="n">
        <v>0.3417411309682582</v>
      </c>
      <c r="G82" s="850" t="n">
        <v>0.3417507559673707</v>
      </c>
      <c r="I82" s="853" t="n">
        <v>450</v>
      </c>
      <c r="J82" s="854" t="n">
        <v>469.280388</v>
      </c>
      <c r="K82" s="854" t="n">
        <v>469.410918</v>
      </c>
      <c r="L82" s="854" t="n">
        <v>469.325858</v>
      </c>
      <c r="M82" s="850" t="n">
        <v>469.3390546666666</v>
      </c>
      <c r="Z82" s="405" t="n"/>
    </row>
    <row r="83" ht="11.45" customFormat="1" customHeight="1" s="376">
      <c r="B83" s="853" t="n">
        <v>500</v>
      </c>
      <c r="C83" s="854" t="n">
        <v>0</v>
      </c>
      <c r="D83" s="854" t="n">
        <v>0.3785505680908945</v>
      </c>
      <c r="E83" s="854" t="n"/>
      <c r="F83" s="854" t="n">
        <v>0.3785151406056242</v>
      </c>
      <c r="G83" s="850" t="n">
        <v>0.2523552362321729</v>
      </c>
      <c r="I83" s="853" t="n">
        <v>500</v>
      </c>
      <c r="J83" s="854" t="n">
        <v>0</v>
      </c>
      <c r="K83" s="854" t="n">
        <v>519.788095</v>
      </c>
      <c r="L83" s="854" t="n">
        <v>519.739534</v>
      </c>
      <c r="M83" s="850" t="n">
        <v>346.5092096666667</v>
      </c>
      <c r="Z83" s="405" t="n"/>
    </row>
    <row r="84" ht="11.45" customFormat="1" customHeight="1" s="376">
      <c r="B84" s="853" t="n">
        <v>0</v>
      </c>
      <c r="C84" s="854" t="n">
        <v>0</v>
      </c>
      <c r="D84" s="854" t="n">
        <v>0</v>
      </c>
      <c r="E84" s="854" t="n"/>
      <c r="F84" s="854" t="n">
        <v>0</v>
      </c>
      <c r="G84" s="850" t="n">
        <v>0</v>
      </c>
      <c r="I84" s="853" t="n">
        <v>0</v>
      </c>
      <c r="J84" s="854" t="n">
        <v>0</v>
      </c>
      <c r="K84" s="854" t="n">
        <v>0</v>
      </c>
      <c r="L84" s="854" t="n">
        <v>0</v>
      </c>
      <c r="M84" s="850" t="n">
        <v>0</v>
      </c>
      <c r="Z84" s="405" t="n"/>
    </row>
    <row r="85" ht="11.45" customFormat="1" customHeight="1" s="376">
      <c r="B85" s="853">
        <f>IF('Dash Board'!T19&lt;&gt;"",'Dash Board'!T19*$K$18,"- -")</f>
        <v/>
      </c>
      <c r="C85" s="854" t="n">
        <v>0</v>
      </c>
      <c r="D85" s="854" t="n">
        <v>0</v>
      </c>
      <c r="E85" s="854" t="n"/>
      <c r="F85" s="854" t="n">
        <v>0</v>
      </c>
      <c r="G85" s="850">
        <f>IFERROR(AVERAGE(C85:F85),"- -")</f>
        <v/>
      </c>
      <c r="I85" s="853">
        <f>B85</f>
        <v/>
      </c>
      <c r="J85" s="854">
        <f>IF($C$42="Shimadzu/ UH-F1000kNX",C85,IFERROR(C85*$G$42+C85*$G$43^2+C85*$G$44^3,"- -"))</f>
        <v/>
      </c>
      <c r="K85" s="854">
        <f>IF($C$42="Shimadzu/ UH-F1000kNX",D85,IFERROR(D85*$G$42+D85*$G$43^2+D85*$G$44^3,"- -"))</f>
        <v/>
      </c>
      <c r="L85" s="854">
        <f>IF($C$42="Shimadzu/ UH-F1000kNX",F85,IFERROR(E85*$G$42+E85*$G$43^2+E85*$G$44^3,"- -"))</f>
        <v/>
      </c>
      <c r="M85" s="850">
        <f>IFERROR(AVERAGE(J85:L85),"- -")</f>
        <v/>
      </c>
      <c r="Z85" s="405" t="n"/>
    </row>
    <row r="86">
      <c r="J86" s="406" t="n"/>
      <c r="O86" s="572" t="inlineStr">
        <is>
          <t>Rel std unc of force measuring instrument wstd</t>
        </is>
      </c>
      <c r="P86" s="329" t="n"/>
      <c r="Q86" s="329" t="n"/>
      <c r="S86" s="301" t="n"/>
      <c r="T86" s="301" t="n"/>
      <c r="U86" s="301" t="n"/>
      <c r="V86" s="301">
        <f>M75/B91</f>
        <v/>
      </c>
      <c r="W86" s="301" t="n"/>
      <c r="X86" s="301" t="n"/>
      <c r="Z86" s="407" t="n"/>
    </row>
    <row r="87" ht="14.45" customHeight="1">
      <c r="B87" s="398" t="inlineStr">
        <is>
          <t>8.) Uncertainty Calculations</t>
        </is>
      </c>
      <c r="H87" s="376" t="n"/>
      <c r="I87" s="376" t="n"/>
      <c r="J87" s="408" t="n"/>
      <c r="O87" s="397" t="n"/>
      <c r="P87" s="397" t="n"/>
      <c r="Q87" s="397" t="n"/>
      <c r="S87" s="301" t="n"/>
      <c r="T87" s="301" t="n"/>
      <c r="U87" s="301" t="n"/>
      <c r="V87" s="301" t="n"/>
      <c r="W87" s="301" t="n"/>
      <c r="X87" s="301" t="n"/>
      <c r="Z87" s="301" t="n"/>
    </row>
    <row r="88" ht="46.5" customHeight="1">
      <c r="B88" s="409" t="inlineStr">
        <is>
          <t>Relative Expanded Uncertainty</t>
        </is>
      </c>
      <c r="C88" s="399" t="inlineStr">
        <is>
          <t>Calibration Points</t>
        </is>
      </c>
      <c r="D88" s="410" t="inlineStr">
        <is>
          <t>Relative uncertainty by rep (wrep,i)</t>
        </is>
      </c>
      <c r="E88" s="410" t="n"/>
      <c r="F88" s="410" t="inlineStr">
        <is>
          <t>Rel unc due to res  (wres,i)</t>
        </is>
      </c>
      <c r="G88" s="410" t="inlineStr">
        <is>
          <t>Relative std uncertainty (wstd)</t>
        </is>
      </c>
      <c r="H88" s="410" t="inlineStr">
        <is>
          <t>Relative combined unc (wci)</t>
        </is>
      </c>
      <c r="I88" s="410" t="inlineStr">
        <is>
          <t>Relative expanded unc (Wi)</t>
        </is>
      </c>
      <c r="J88" s="410" t="inlineStr">
        <is>
          <t>Relative accu error qi</t>
        </is>
      </c>
      <c r="K88" s="410" t="inlineStr">
        <is>
          <t>Relative rep error bi</t>
        </is>
      </c>
      <c r="L88" s="410" t="inlineStr">
        <is>
          <t>Relative zero error f0</t>
        </is>
      </c>
      <c r="M88" s="410" t="inlineStr">
        <is>
          <t>Class</t>
        </is>
      </c>
      <c r="O88" s="410" t="inlineStr">
        <is>
          <t>Calibration uncertainty (wstdc)</t>
        </is>
      </c>
      <c r="P88" s="410" t="inlineStr">
        <is>
          <t>Uncertainty due to temp dif (wtemp')</t>
        </is>
      </c>
      <c r="Q88" s="410" t="inlineStr">
        <is>
          <t>Uncertainty due to sen drift (wdrift)</t>
        </is>
      </c>
      <c r="S88" s="569" t="inlineStr">
        <is>
          <t>Relative accuracy error qi</t>
        </is>
      </c>
      <c r="T88" s="569" t="inlineStr">
        <is>
          <t>Relative repeatability error bi</t>
        </is>
      </c>
      <c r="U88" s="569" t="inlineStr">
        <is>
          <t>Relative zero error f0</t>
        </is>
      </c>
      <c r="V88" s="569" t="inlineStr">
        <is>
          <t>Lower Limit of calibration range</t>
        </is>
      </c>
      <c r="W88" s="569" t="inlineStr">
        <is>
          <t xml:space="preserve">Relative uncertainty of force measuring instrument
</t>
        </is>
      </c>
      <c r="X88" s="569" t="inlineStr">
        <is>
          <t>Class</t>
        </is>
      </c>
      <c r="Z88" s="301" t="n"/>
    </row>
    <row r="89" ht="14.45" customHeight="1">
      <c r="B89" s="302">
        <f>G45</f>
        <v/>
      </c>
      <c r="C89" s="319" t="inlineStr">
        <is>
          <t>0</t>
        </is>
      </c>
      <c r="D89" s="411" t="n">
        <v>0</v>
      </c>
      <c r="E89" s="411" t="n"/>
      <c r="F89" s="411" t="n">
        <v>288675134.594813</v>
      </c>
      <c r="G89" s="411" t="n">
        <v>0.04932911335104251</v>
      </c>
      <c r="H89" s="411" t="n">
        <v>288675134.768018</v>
      </c>
      <c r="I89" s="411" t="n">
        <v>577350269.536</v>
      </c>
      <c r="J89" s="412" t="n">
        <v>0</v>
      </c>
      <c r="K89" s="412" t="n">
        <v>0</v>
      </c>
      <c r="L89" s="412" t="n">
        <v>0</v>
      </c>
      <c r="M89" s="573" t="inlineStr">
        <is>
          <t>Outside Class</t>
        </is>
      </c>
      <c r="O89" s="411" t="n">
        <v>0</v>
      </c>
      <c r="P89" s="411" t="n">
        <v>0</v>
      </c>
      <c r="Q89" s="411" t="n">
        <v>0</v>
      </c>
      <c r="R89" s="301" t="n"/>
      <c r="S89" s="855" t="n"/>
      <c r="T89" s="855" t="n"/>
      <c r="U89" s="855" t="n"/>
      <c r="V89" s="855" t="n"/>
      <c r="W89" s="855" t="n"/>
      <c r="X89" s="855" t="n"/>
      <c r="Y89" s="301" t="n"/>
      <c r="Z89" s="301" t="n"/>
      <c r="AA89" s="301" t="n"/>
      <c r="AB89" s="301" t="n"/>
      <c r="AC89" s="301" t="n"/>
    </row>
    <row r="90">
      <c r="B90" s="413" t="inlineStr">
        <is>
          <t>Resolution</t>
        </is>
      </c>
      <c r="C90" s="319" t="inlineStr">
        <is>
          <t>1st</t>
        </is>
      </c>
      <c r="D90" s="856" t="n">
        <v>0.069644</v>
      </c>
      <c r="E90" s="856" t="n"/>
      <c r="F90" s="856" t="n">
        <v>0.003058</v>
      </c>
      <c r="G90" s="856" t="n">
        <v>0.04932911335104251</v>
      </c>
      <c r="H90" s="856" t="n">
        <v>0.085576</v>
      </c>
      <c r="I90" s="857" t="n">
        <v>0.1712</v>
      </c>
      <c r="J90" s="306" t="n">
        <v>-20.550287</v>
      </c>
      <c r="K90" s="306" t="n">
        <v>0.218458</v>
      </c>
      <c r="L90" s="306" t="n">
        <v>0</v>
      </c>
      <c r="M90" s="319" t="inlineStr">
        <is>
          <t>Class 2</t>
        </is>
      </c>
      <c r="O90" s="857">
        <f>$B$89/2</f>
        <v/>
      </c>
      <c r="P90" s="856">
        <f>($B$93*$B$95)/SQRT(3)</f>
        <v/>
      </c>
      <c r="Q90" s="856">
        <f>$B$97/SQRT(3)</f>
        <v/>
      </c>
      <c r="S90" s="855" t="n"/>
      <c r="T90" s="855" t="n"/>
      <c r="U90" s="855" t="n"/>
      <c r="V90" s="855" t="n"/>
      <c r="W90" s="855" t="n"/>
      <c r="X90" s="855" t="n"/>
    </row>
    <row r="91">
      <c r="B91" s="307">
        <f>'Dash Board'!N21*K18</f>
        <v/>
      </c>
      <c r="C91" s="319" t="inlineStr">
        <is>
          <t>2nd</t>
        </is>
      </c>
      <c r="D91" s="856" t="n">
        <v>0.061295</v>
      </c>
      <c r="E91" s="856" t="n"/>
      <c r="F91" s="856" t="n">
        <v>0.001708</v>
      </c>
      <c r="G91" s="856" t="n">
        <v>0.04932911335104251</v>
      </c>
      <c r="H91" s="856" t="n">
        <v>0.07889</v>
      </c>
      <c r="I91" s="857" t="n">
        <v>0.1578</v>
      </c>
      <c r="J91" s="306" t="n">
        <v>-11.226387</v>
      </c>
      <c r="K91" s="306" t="n">
        <v>0.212332</v>
      </c>
      <c r="L91" s="306" t="n">
        <v>0</v>
      </c>
      <c r="M91" s="319" t="inlineStr">
        <is>
          <t>Class 2</t>
        </is>
      </c>
      <c r="O91" s="857">
        <f>$B$89/2</f>
        <v/>
      </c>
      <c r="P91" s="856">
        <f>($B$93*$B$95)/SQRT(3)</f>
        <v/>
      </c>
      <c r="Q91" s="856">
        <f>$B$97/SQRT(3)</f>
        <v/>
      </c>
      <c r="S91" s="852" t="n"/>
      <c r="T91" s="852" t="n"/>
      <c r="U91" s="852" t="n"/>
      <c r="V91" s="852" t="n"/>
      <c r="W91" s="852" t="n"/>
      <c r="X91" s="852" t="n"/>
    </row>
    <row r="92">
      <c r="B92" s="414" t="inlineStr">
        <is>
          <t>temp sens.</t>
        </is>
      </c>
      <c r="C92" s="319" t="inlineStr">
        <is>
          <t>3rd</t>
        </is>
      </c>
      <c r="D92" s="856" t="n">
        <v>0.05531</v>
      </c>
      <c r="E92" s="856" t="n"/>
      <c r="F92" s="856" t="n">
        <v>0.00132</v>
      </c>
      <c r="G92" s="856" t="n">
        <v>0.04932911335104251</v>
      </c>
      <c r="H92" s="856" t="n">
        <v>0.074327</v>
      </c>
      <c r="I92" s="857" t="n">
        <v>0.1487</v>
      </c>
      <c r="J92" s="306" t="n">
        <v>-8.516477999999999</v>
      </c>
      <c r="K92" s="306" t="n">
        <v>0.188398</v>
      </c>
      <c r="L92" s="306" t="n">
        <v>0</v>
      </c>
      <c r="M92" s="319" t="inlineStr">
        <is>
          <t>Class 2</t>
        </is>
      </c>
      <c r="O92" s="857">
        <f>$B$89/2</f>
        <v/>
      </c>
      <c r="P92" s="856">
        <f>($B$93*$B$95)/SQRT(3)</f>
        <v/>
      </c>
      <c r="Q92" s="856">
        <f>$B$97/SQRT(3)</f>
        <v/>
      </c>
      <c r="S92" s="308" t="inlineStr">
        <is>
          <t>-</t>
        </is>
      </c>
      <c r="T92" s="308" t="inlineStr">
        <is>
          <t>-</t>
        </is>
      </c>
      <c r="U92" s="308" t="inlineStr">
        <is>
          <t>-</t>
        </is>
      </c>
      <c r="V92" s="308" t="inlineStr">
        <is>
          <t>-</t>
        </is>
      </c>
      <c r="W92" s="308" t="inlineStr">
        <is>
          <t>-</t>
        </is>
      </c>
      <c r="X92" s="308" t="inlineStr">
        <is>
          <t>-</t>
        </is>
      </c>
    </row>
    <row r="93">
      <c r="B93" s="307" t="n">
        <v>0.003</v>
      </c>
      <c r="C93" s="319" t="inlineStr">
        <is>
          <t>4th</t>
        </is>
      </c>
      <c r="D93" s="856" t="n">
        <v>0.058886</v>
      </c>
      <c r="E93" s="856" t="n"/>
      <c r="F93" s="856" t="n">
        <v>0.001075</v>
      </c>
      <c r="G93" s="856" t="n">
        <v>0.04932911335104251</v>
      </c>
      <c r="H93" s="856" t="n">
        <v>0.07702199999999999</v>
      </c>
      <c r="I93" s="857" t="n">
        <v>0.154</v>
      </c>
      <c r="J93" s="306" t="n">
        <v>-6.889607</v>
      </c>
      <c r="K93" s="306" t="n">
        <v>0.201448</v>
      </c>
      <c r="L93" s="306" t="n">
        <v>0</v>
      </c>
      <c r="M93" s="319" t="inlineStr">
        <is>
          <t>Class 2</t>
        </is>
      </c>
      <c r="O93" s="857">
        <f>$B$89/2</f>
        <v/>
      </c>
      <c r="P93" s="856">
        <f>($B$93*$B$95)/SQRT(3)</f>
        <v/>
      </c>
      <c r="Q93" s="856">
        <f>$B$97/SQRT(3)</f>
        <v/>
      </c>
      <c r="S93" s="308">
        <f>IF(B75&lt;&gt;"- -",IF(ABS(J90)&lt;=0.5,0.5,IF(ABS(J90)&lt;=1,1,IF(ABS(J90)&lt;=2,2,IF(ABS(J90)&lt;=3,3,"-")))),"- -")</f>
        <v/>
      </c>
      <c r="T93" s="308">
        <f>IF(B75&lt;&gt;"- -",IF(K90&lt;=0.5,0.5,IF(K90&lt;=1,1,IF(K90&lt;=2,2,IF(K90&lt;=3,3,"-")))),"- -")</f>
        <v/>
      </c>
      <c r="U93" s="308">
        <f>IF(B75&lt;&gt;"- -",IF(ABS(L90)&lt;=0.05,0.5,IF(ABS(L90)&lt;=0.1,1,IF(ABS(L90)&lt;=0.2,2,IF(ABS(L90)&lt;=0.3,3,"-")))),"- -")</f>
        <v/>
      </c>
      <c r="V93" s="308">
        <f>IF(B75&lt;&gt;"- -",IF($V$86&gt;=400,0.5,IF($V$86&gt;=200,1,IF($V$86&gt;=100,2,IF($V$86&gt;=67,3,"-")))),"- -")</f>
        <v/>
      </c>
      <c r="W93" s="308">
        <f>IF(B75&lt;&gt;"- -",IF($B$89&lt;=0.12,0.5,IF($B$89&lt;=0.25,1,IF($B$89&lt;=0.5,2,"-"))),"- -")</f>
        <v/>
      </c>
      <c r="X93" s="308">
        <f>IF(B75&lt;&gt;"- -",IF(COUNT(S93:W93)=5,MAX(S93,T93,U93,W93),"-"),"- -")</f>
        <v/>
      </c>
    </row>
    <row r="94">
      <c r="B94" s="307" t="inlineStr">
        <is>
          <t>Temp Diff.</t>
        </is>
      </c>
      <c r="C94" s="319" t="inlineStr">
        <is>
          <t>5th</t>
        </is>
      </c>
      <c r="D94" s="856" t="n">
        <v>0.020422</v>
      </c>
      <c r="E94" s="856" t="n"/>
      <c r="F94" s="856" t="n">
        <v>0.000906</v>
      </c>
      <c r="G94" s="856" t="n">
        <v>0.04932911335104251</v>
      </c>
      <c r="H94" s="856" t="n">
        <v>0.053679</v>
      </c>
      <c r="I94" s="857" t="n">
        <v>0.1074</v>
      </c>
      <c r="J94" s="306" t="n">
        <v>-5.818045</v>
      </c>
      <c r="K94" s="306" t="n">
        <v>0.067023</v>
      </c>
      <c r="L94" s="306" t="n">
        <v>0</v>
      </c>
      <c r="M94" s="319" t="inlineStr">
        <is>
          <t>Class 2</t>
        </is>
      </c>
      <c r="O94" s="857">
        <f>$B$89/2</f>
        <v/>
      </c>
      <c r="P94" s="856">
        <f>($B$93*$B$95)/SQRT(3)</f>
        <v/>
      </c>
      <c r="Q94" s="856">
        <f>$B$97/SQRT(3)</f>
        <v/>
      </c>
      <c r="S94" s="308">
        <f>IF(B76&lt;&gt;"- -",IF(ABS(J91)&lt;=0.5,0.5,IF(ABS(J91)&lt;=1,1,IF(ABS(J91)&lt;=2,2,IF(ABS(J91)&lt;=3,3,"-")))),"- -")</f>
        <v/>
      </c>
      <c r="T94" s="308">
        <f>IF(B76&lt;&gt;"- -",IF(K91&lt;=0.5,0.5,IF(K91&lt;=1,1,IF(K91&lt;=2,2,IF(K91&lt;=3,3,"-")))),"- -")</f>
        <v/>
      </c>
      <c r="U94" s="308">
        <f>IF(B76&lt;&gt;"- -",IF(ABS(L91)&lt;=0.05,0.5,IF(ABS(L91)&lt;=0.1,1,IF(ABS(L91)&lt;=0.2,2,IF(ABS(L91)&lt;=0.3,3,"-")))),"- -")</f>
        <v/>
      </c>
      <c r="V94" s="308">
        <f>IF(B76&lt;&gt;"- -",IF($V$86&gt;=400,0.5,IF($V$86&gt;=200,1,IF($V$86&gt;=100,2,IF($V$86&gt;=67,3,"-")))),"- -")</f>
        <v/>
      </c>
      <c r="W94" s="308">
        <f>IF(B76&lt;&gt;"- -",IF($B$89&lt;=0.12,0.5,IF($B$89&lt;=0.25,1,IF($B$89&lt;=0.5,2,"-"))),"- -")</f>
        <v/>
      </c>
      <c r="X94" s="308">
        <f>IF(B76&lt;&gt;"- -",MAX(S94,T94,U94,W94),"- -")</f>
        <v/>
      </c>
    </row>
    <row r="95">
      <c r="B95" s="858">
        <f>ABS(K43-L43)</f>
        <v/>
      </c>
      <c r="C95" s="319" t="inlineStr">
        <is>
          <t>6th</t>
        </is>
      </c>
      <c r="D95" s="856" t="n">
        <v>0.025044</v>
      </c>
      <c r="E95" s="856" t="n"/>
      <c r="F95" s="856" t="n">
        <v>0.000783</v>
      </c>
      <c r="G95" s="856" t="n">
        <v>0.04932911335104251</v>
      </c>
      <c r="H95" s="856" t="n">
        <v>0.055601</v>
      </c>
      <c r="I95" s="857" t="n">
        <v>0.1112</v>
      </c>
      <c r="J95" s="306" t="n">
        <v>-5.061258</v>
      </c>
      <c r="K95" s="306" t="n">
        <v>0.08276699999999999</v>
      </c>
      <c r="L95" s="306" t="n">
        <v>0</v>
      </c>
      <c r="M95" s="319" t="inlineStr">
        <is>
          <t>Class 2</t>
        </is>
      </c>
      <c r="O95" s="857">
        <f>$B$89/2</f>
        <v/>
      </c>
      <c r="P95" s="856">
        <f>($B$93*$B$95)/SQRT(3)</f>
        <v/>
      </c>
      <c r="Q95" s="856">
        <f>$B$97/SQRT(3)</f>
        <v/>
      </c>
      <c r="S95" s="308">
        <f>IF(B77&lt;&gt;"- -",IF(ABS(J92)&lt;=0.5,0.5,IF(ABS(J92)&lt;=1,1,IF(ABS(J92)&lt;=2,2,IF(ABS(J92)&lt;=3,3,"-")))),"- -")</f>
        <v/>
      </c>
      <c r="T95" s="308">
        <f>IF(B77&lt;&gt;"- -",IF(K92&lt;=0.5,0.5,IF(K92&lt;=1,1,IF(K92&lt;=2,2,IF(K92&lt;=3,3,"-")))),"- -")</f>
        <v/>
      </c>
      <c r="U95" s="308">
        <f>IF(B77&lt;&gt;"- -",IF(ABS(L92)&lt;=0.05,0.5,IF(ABS(L92)&lt;=0.1,1,IF(ABS(L92)&lt;=0.2,2,IF(ABS(L92)&lt;=0.3,3,"-")))),"- -")</f>
        <v/>
      </c>
      <c r="V95" s="308">
        <f>IF(B77&lt;&gt;"- -",IF($V$86&gt;=400,0.5,IF($V$86&gt;=200,1,IF($V$86&gt;=100,2,IF($V$86&gt;=67,3,"-")))),"- -")</f>
        <v/>
      </c>
      <c r="W95" s="308">
        <f>IF(B77&lt;&gt;"- -",IF($B$89&lt;=0.12,0.5,IF($B$89&lt;=0.25,1,IF($B$89&lt;=0.5,2,"-"))),"- -")</f>
        <v/>
      </c>
      <c r="X95" s="308">
        <f>IF(B77&lt;&gt;"- -",MAX(S95,T95,U95,W95),"- -")</f>
        <v/>
      </c>
    </row>
    <row r="96">
      <c r="B96" s="307" t="inlineStr">
        <is>
          <t>Drift Sens.</t>
        </is>
      </c>
      <c r="C96" s="319" t="inlineStr">
        <is>
          <t>7th</t>
        </is>
      </c>
      <c r="D96" s="856" t="n">
        <v>0.021083</v>
      </c>
      <c r="E96" s="856" t="n"/>
      <c r="F96" s="856" t="n">
        <v>0.0006890000000000001</v>
      </c>
      <c r="G96" s="856" t="n">
        <v>0.04932911335104251</v>
      </c>
      <c r="H96" s="856" t="n">
        <v>0.053931</v>
      </c>
      <c r="I96" s="857" t="n">
        <v>0.1079</v>
      </c>
      <c r="J96" s="306" t="n">
        <v>-4.523881</v>
      </c>
      <c r="K96" s="306" t="n">
        <v>0.069536</v>
      </c>
      <c r="L96" s="306" t="n">
        <v>0</v>
      </c>
      <c r="M96" s="319" t="inlineStr">
        <is>
          <t>Class 2</t>
        </is>
      </c>
      <c r="O96" s="857">
        <f>$B$89/2</f>
        <v/>
      </c>
      <c r="P96" s="856">
        <f>($B$93*$B$95)/SQRT(3)</f>
        <v/>
      </c>
      <c r="Q96" s="856">
        <f>$B$97/SQRT(3)</f>
        <v/>
      </c>
      <c r="S96" s="308">
        <f>IF(B78&lt;&gt;"- -",IF(ABS(J93)&lt;=0.5,0.5,IF(ABS(J93)&lt;=1,1,IF(ABS(J93)&lt;=2,2,IF(ABS(J93)&lt;=3,3,"-")))),"- -")</f>
        <v/>
      </c>
      <c r="T96" s="308">
        <f>IF(B78&lt;&gt;"- -",IF(K93&lt;=0.5,0.5,IF(K93&lt;=1,1,IF(K93&lt;=2,2,IF(K93&lt;=3,3,"-")))),"- -")</f>
        <v/>
      </c>
      <c r="U96" s="308">
        <f>IF(B78&lt;&gt;"- -",IF(ABS(L93)&lt;=0.05,0.5,IF(ABS(L93)&lt;=0.1,1,IF(ABS(L93)&lt;=0.2,2,IF(ABS(L93)&lt;=0.3,3,"-")))),"- -")</f>
        <v/>
      </c>
      <c r="V96" s="308">
        <f>IF(B78&lt;&gt;"- -",IF($V$86&gt;=400,0.5,IF($V$86&gt;=200,1,IF($V$86&gt;=100,2,IF($V$86&gt;=67,3,"-")))),"- -")</f>
        <v/>
      </c>
      <c r="W96" s="308">
        <f>IF(B78&lt;&gt;"- -",IF($B$89&lt;=0.12,0.5,IF($B$89&lt;=0.25,1,IF($B$89&lt;=0.5,2,"-"))),"- -")</f>
        <v/>
      </c>
      <c r="X96" s="308">
        <f>IF(B78&lt;&gt;"- -",MAX(S96,T96,U96,W96),"- -")</f>
        <v/>
      </c>
    </row>
    <row r="97">
      <c r="B97" s="307" t="n">
        <v>0.05</v>
      </c>
      <c r="C97" s="319" t="inlineStr">
        <is>
          <t>8th</t>
        </is>
      </c>
      <c r="D97" s="856" t="n">
        <v>0.008151</v>
      </c>
      <c r="E97" s="856" t="n"/>
      <c r="F97" s="856" t="n">
        <v>0.000615</v>
      </c>
      <c r="G97" s="856" t="n">
        <v>0.04932911335104251</v>
      </c>
      <c r="H97" s="856" t="n">
        <v>0.050303</v>
      </c>
      <c r="I97" s="857" t="n">
        <v>0.1006</v>
      </c>
      <c r="J97" s="306" t="n">
        <v>-4.120487</v>
      </c>
      <c r="K97" s="306" t="n">
        <v>0.027811</v>
      </c>
      <c r="L97" s="306" t="n">
        <v>0</v>
      </c>
      <c r="M97" s="319" t="inlineStr">
        <is>
          <t>Class 2</t>
        </is>
      </c>
      <c r="O97" s="857">
        <f>$B$89/2</f>
        <v/>
      </c>
      <c r="P97" s="856">
        <f>($B$93*$B$95)/SQRT(3)</f>
        <v/>
      </c>
      <c r="Q97" s="856">
        <f>$B$97/SQRT(3)</f>
        <v/>
      </c>
      <c r="S97" s="308">
        <f>IF(B79&lt;&gt;"- -",IF(ABS(J94)&lt;=0.5,0.5,IF(ABS(J94)&lt;=1,1,IF(ABS(J94)&lt;=2,2,IF(ABS(J94)&lt;=3,3,"-")))),"- -")</f>
        <v/>
      </c>
      <c r="T97" s="308">
        <f>IF(B79&lt;&gt;"- -",IF(K94&lt;=0.5,0.5,IF(K94&lt;=1,1,IF(K94&lt;=2,2,IF(K94&lt;=3,3,"-")))),"- -")</f>
        <v/>
      </c>
      <c r="U97" s="308">
        <f>IF(B79&lt;&gt;"- -",IF(ABS(L94)&lt;=0.05,0.5,IF(ABS(L94)&lt;=0.1,1,IF(ABS(L94)&lt;=0.2,2,IF(ABS(L94)&lt;=0.3,3,"-")))),"- -")</f>
        <v/>
      </c>
      <c r="V97" s="308">
        <f>IF(B79&lt;&gt;"- -",IF($V$86&gt;=400,0.5,IF($V$86&gt;=200,1,IF($V$86&gt;=100,2,IF($V$86&gt;=67,3,"-")))),"- -")</f>
        <v/>
      </c>
      <c r="W97" s="308">
        <f>IF(B79&lt;&gt;"- -",IF($B$89&lt;=0.12,0.5,IF($B$89&lt;=0.25,1,IF($B$89&lt;=0.5,2,"-"))),"- -")</f>
        <v/>
      </c>
      <c r="X97" s="308">
        <f>IF(B79&lt;&gt;"- -",MAX(S97,T97,U97,W97),"- -")</f>
        <v/>
      </c>
    </row>
    <row r="98">
      <c r="B98" s="376" t="n"/>
      <c r="C98" s="319" t="inlineStr">
        <is>
          <t>9th</t>
        </is>
      </c>
      <c r="D98" s="856" t="n">
        <v>50</v>
      </c>
      <c r="E98" s="856" t="n"/>
      <c r="F98" s="856" t="n">
        <v>0.000833</v>
      </c>
      <c r="G98" s="856" t="n">
        <v>0.04932911335104251</v>
      </c>
      <c r="H98" s="856" t="n">
        <v>50.000025</v>
      </c>
      <c r="I98" s="857" t="n">
        <v>100</v>
      </c>
      <c r="J98" s="306" t="n">
        <v>44.296309</v>
      </c>
      <c r="K98" s="306" t="n">
        <v>150.007007</v>
      </c>
      <c r="L98" s="306" t="n">
        <v>0</v>
      </c>
      <c r="M98" s="319" t="inlineStr">
        <is>
          <t>Outside Class</t>
        </is>
      </c>
      <c r="O98" s="857">
        <f>$B$89/2</f>
        <v/>
      </c>
      <c r="P98" s="856">
        <f>($B$93*$B$95)/SQRT(3)</f>
        <v/>
      </c>
      <c r="Q98" s="856">
        <f>$B$97/SQRT(3)</f>
        <v/>
      </c>
      <c r="S98" s="308">
        <f>IF(B80&lt;&gt;"- -",IF(ABS(J95)&lt;=0.5,0.5,IF(ABS(J95)&lt;=1,1,IF(ABS(J95)&lt;=2,2,IF(ABS(J95)&lt;=3,3,"-")))),"- -")</f>
        <v/>
      </c>
      <c r="T98" s="308">
        <f>IF(B80&lt;&gt;"- -",IF(K95&lt;=0.5,0.5,IF(K95&lt;=1,1,IF(K95&lt;=2,2,IF(K95&lt;=3,3,"-")))),"- -")</f>
        <v/>
      </c>
      <c r="U98" s="308">
        <f>IF(B80&lt;&gt;"- -",IF(ABS(L95)&lt;=0.05,0.5,IF(ABS(L95)&lt;=0.1,1,IF(ABS(L95)&lt;=0.2,2,IF(ABS(L95)&lt;=0.3,3,"-")))),"- -")</f>
        <v/>
      </c>
      <c r="V98" s="308">
        <f>IF(B80&lt;&gt;"- -",IF($V$86&gt;=400,0.5,IF($V$86&gt;=200,1,IF($V$86&gt;=100,2,IF($V$86&gt;=67,3,"-")))),"- -")</f>
        <v/>
      </c>
      <c r="W98" s="308">
        <f>IF(B80&lt;&gt;"- -",IF($B$89&lt;=0.12,0.5,IF($B$89&lt;=0.25,1,IF($B$89&lt;=0.5,2,"-"))),"- -")</f>
        <v/>
      </c>
      <c r="X98" s="308">
        <f>IF(B80&lt;&gt;"- -",MAX(S98,T98,U98,W98),"- -")</f>
        <v/>
      </c>
    </row>
    <row r="99">
      <c r="B99" s="376" t="n"/>
      <c r="C99" s="319" t="inlineStr">
        <is>
          <t>10th</t>
        </is>
      </c>
      <c r="D99" s="856" t="n">
        <v>0</v>
      </c>
      <c r="E99" s="856" t="n"/>
      <c r="F99" s="856" t="n">
        <v>288675134.594813</v>
      </c>
      <c r="G99" s="856" t="n">
        <v>0.04932911335104251</v>
      </c>
      <c r="H99" s="856" t="n">
        <v>288675134.768018</v>
      </c>
      <c r="I99" s="857" t="n">
        <v>577350269.536</v>
      </c>
      <c r="J99" s="306" t="n">
        <v>0</v>
      </c>
      <c r="K99" s="306" t="n">
        <v>0</v>
      </c>
      <c r="L99" s="306" t="n">
        <v>0</v>
      </c>
      <c r="M99" s="319" t="inlineStr">
        <is>
          <t>Outside Class</t>
        </is>
      </c>
      <c r="O99" s="857">
        <f>$B$89/2</f>
        <v/>
      </c>
      <c r="P99" s="856">
        <f>($B$93*$B$95)/SQRT(3)</f>
        <v/>
      </c>
      <c r="Q99" s="856">
        <f>$B$97/SQRT(3)</f>
        <v/>
      </c>
      <c r="S99" s="308">
        <f>IF(B81&lt;&gt;"- -",IF(ABS(J96)&lt;=0.5,0.5,IF(ABS(J96)&lt;=1,1,IF(ABS(J96)&lt;=2,2,IF(ABS(J96)&lt;=3,3,"-")))),"- -")</f>
        <v/>
      </c>
      <c r="T99" s="308">
        <f>IF(B81&lt;&gt;"- -",IF(K96&lt;=0.5,0.5,IF(K96&lt;=1,1,IF(K96&lt;=2,2,IF(K96&lt;=3,3,"-")))),"- -")</f>
        <v/>
      </c>
      <c r="U99" s="308">
        <f>IF(B81&lt;&gt;"- -",IF(ABS(L96)&lt;=0.05,0.5,IF(ABS(L96)&lt;=0.1,1,IF(ABS(L96)&lt;=0.2,2,IF(ABS(L96)&lt;=0.3,3,"-")))),"- -")</f>
        <v/>
      </c>
      <c r="V99" s="308">
        <f>IF(B81&lt;&gt;"- -",IF($V$86&gt;=400,0.5,IF($V$86&gt;=200,1,IF($V$86&gt;=100,2,IF($V$86&gt;=67,3,"-")))),"- -")</f>
        <v/>
      </c>
      <c r="W99" s="308">
        <f>IF(B81&lt;&gt;"- -",IF($B$89&lt;=0.12,0.5,IF($B$89&lt;=0.25,1,IF($B$89&lt;=0.5,2,"-"))),"- -")</f>
        <v/>
      </c>
      <c r="X99" s="308">
        <f>IF(B81&lt;&gt;"- -",MAX(S99,T99,U99,W99),"- -")</f>
        <v/>
      </c>
    </row>
    <row r="100">
      <c r="C100" s="415" t="n"/>
      <c r="D100" s="406" t="n"/>
      <c r="M100" s="427">
        <f>COUNT(D90:D99)</f>
        <v/>
      </c>
      <c r="S100" s="308">
        <f>IF(B82&lt;&gt;"- -",IF(ABS(J97)&lt;=0.5,0.5,IF(ABS(J97)&lt;=1,1,IF(ABS(J97)&lt;=2,2,IF(ABS(J97)&lt;=3,3,"-")))),"- -")</f>
        <v/>
      </c>
      <c r="T100" s="308">
        <f>IF(B82&lt;&gt;"- -",IF(K97&lt;=0.5,0.5,IF(K97&lt;=1,1,IF(K97&lt;=2,2,IF(K97&lt;=3,3,"-")))),"- -")</f>
        <v/>
      </c>
      <c r="U100" s="308">
        <f>IF(B82&lt;&gt;"- -",IF(ABS(L97)&lt;=0.05,0.5,IF(ABS(L97)&lt;=0.1,1,IF(ABS(L97)&lt;=0.2,2,IF(ABS(L97)&lt;=0.3,3,"-")))),"- -")</f>
        <v/>
      </c>
      <c r="V100" s="308">
        <f>IF(B82&lt;&gt;"- -",IF($V$86&gt;=400,0.5,IF($V$86&gt;=200,1,IF($V$86&gt;=100,2,IF($V$86&gt;=67,3,"-")))),"- -")</f>
        <v/>
      </c>
      <c r="W100" s="308">
        <f>IF(B82&lt;&gt;"- -",IF($B$89&lt;=0.12,0.5,IF($B$89&lt;=0.25,1,IF($B$89&lt;=0.5,2,"-"))),"- -")</f>
        <v/>
      </c>
      <c r="X100" s="308">
        <f>IF(B82&lt;&gt;"- -",MAX(S100,T100,U100,W100),"- -")</f>
        <v/>
      </c>
    </row>
    <row r="101">
      <c r="B101" s="313" t="inlineStr">
        <is>
          <t>Calibrated by:</t>
        </is>
      </c>
      <c r="C101" s="323" t="n"/>
      <c r="D101" s="323" t="n"/>
      <c r="E101" s="323" t="n"/>
      <c r="F101" s="323" t="n"/>
      <c r="G101" s="323" t="n"/>
      <c r="H101" s="323" t="n"/>
      <c r="I101" s="313" t="inlineStr">
        <is>
          <t>Checked by:</t>
        </is>
      </c>
      <c r="S101" s="308">
        <f>IF(B83&lt;&gt;"- -",IF(ABS(J98)&lt;=0.5,0.5,IF(ABS(J98)&lt;=1,1,IF(ABS(J98)&lt;=2,2,IF(ABS(J98)&lt;=3,3,"-")))),"- -")</f>
        <v/>
      </c>
      <c r="T101" s="308">
        <f>IF(B83&lt;&gt;"- -",IF(K98&lt;=0.5,0.5,IF(K98&lt;=1,1,IF(K98&lt;=2,2,IF(K98&lt;=3,3,"-")))),"- -")</f>
        <v/>
      </c>
      <c r="U101" s="308">
        <f>IF(B83&lt;&gt;"- -",IF(ABS(L98)&lt;=0.05,0.5,IF(ABS(L98)&lt;=0.1,1,IF(ABS(L98)&lt;=0.2,2,IF(ABS(L98)&lt;=0.3,3,"-")))),"- -")</f>
        <v/>
      </c>
      <c r="V101" s="308">
        <f>IF(B83&lt;&gt;"- -",IF($V$86&gt;=400,0.5,IF($V$86&gt;=200,1,IF($V$86&gt;=100,2,IF($V$86&gt;=67,3,"-")))),"- -")</f>
        <v/>
      </c>
      <c r="W101" s="308">
        <f>IF(B83&lt;&gt;"- -",IF($B$89&lt;=0.12,0.5,IF($B$89&lt;=0.25,1,IF($B$89&lt;=0.5,2,"-"))),"- -")</f>
        <v/>
      </c>
      <c r="X101" s="308">
        <f>IF(B83&lt;&gt;"- -",MAX(S101,T101,U101,W101),"- -")</f>
        <v/>
      </c>
    </row>
    <row r="102">
      <c r="L102" s="376" t="n"/>
      <c r="S102" s="308">
        <f>IF(B84&lt;&gt;"- -",IF(ABS(J99)&lt;=0.5,0.5,IF(ABS(J99)&lt;=1,1,IF(ABS(J99)&lt;=2,2,IF(ABS(J99)&lt;=3,3,"-")))),"- -")</f>
        <v/>
      </c>
      <c r="T102" s="308">
        <f>IF(B84&lt;&gt;"- -",IF(K99&lt;=0.5,0.5,IF(K99&lt;=1,1,IF(K99&lt;=2,2,IF(K99&lt;=3,3,"-")))),"- -")</f>
        <v/>
      </c>
      <c r="U102" s="308">
        <f>IF(B84&lt;&gt;"- -",IF(ABS(L99)&lt;=0.05,0.5,IF(ABS(L99)&lt;=0.1,1,IF(ABS(L99)&lt;=0.2,2,IF(ABS(L99)&lt;=0.3,3,"-")))),"- -")</f>
        <v/>
      </c>
      <c r="V102" s="308">
        <f>IF(B84&lt;&gt;"- -",IF($V$86&gt;=400,0.5,IF($V$86&gt;=200,1,IF($V$86&gt;=100,2,IF($V$86&gt;=67,3,"-")))),"- -")</f>
        <v/>
      </c>
      <c r="W102" s="308">
        <f>IF(B84&lt;&gt;"- -",IF($B$89&lt;=0.12,0.5,IF($B$89&lt;=0.25,1,IF($B$89&lt;=0.5,2,"-"))),"- -")</f>
        <v/>
      </c>
      <c r="X102" s="308">
        <f>IF(B84&lt;&gt;"- -",MAX(S102,T102,U102,W102),"- -")</f>
        <v/>
      </c>
    </row>
    <row r="103">
      <c r="B103" s="397" t="n"/>
      <c r="C103" s="397" t="n"/>
      <c r="G103" s="397" t="n"/>
      <c r="I103" s="397" t="n"/>
      <c r="J103" s="397" t="n"/>
      <c r="L103" s="376" t="n"/>
    </row>
    <row r="104">
      <c r="B104" s="570" t="inlineStr">
        <is>
          <t>RFM</t>
        </is>
      </c>
      <c r="C104" s="406" t="n"/>
      <c r="D104" s="323" t="n"/>
      <c r="E104" s="323" t="n"/>
      <c r="F104" s="570" t="inlineStr">
        <is>
          <t>ACCG</t>
        </is>
      </c>
      <c r="G104" s="406" t="n"/>
    </row>
    <row r="105">
      <c r="B105" s="323" t="n"/>
      <c r="I105" s="323" t="inlineStr">
        <is>
          <t>date:</t>
        </is>
      </c>
    </row>
  </sheetData>
  <mergeCells count="38">
    <mergeCell ref="D2:L2"/>
    <mergeCell ref="G43:H43"/>
    <mergeCell ref="V88:V91"/>
    <mergeCell ref="D10:H10"/>
    <mergeCell ref="G42:H42"/>
    <mergeCell ref="C42:D42"/>
    <mergeCell ref="C45:D45"/>
    <mergeCell ref="I72:I73"/>
    <mergeCell ref="B1:M1"/>
    <mergeCell ref="O86:Q87"/>
    <mergeCell ref="D6:H6"/>
    <mergeCell ref="C47:D47"/>
    <mergeCell ref="B41:H41"/>
    <mergeCell ref="F104:G104"/>
    <mergeCell ref="F51:G51"/>
    <mergeCell ref="D4:L4"/>
    <mergeCell ref="D13:H13"/>
    <mergeCell ref="C44:D44"/>
    <mergeCell ref="D3:L3"/>
    <mergeCell ref="J72:M72"/>
    <mergeCell ref="C43:D43"/>
    <mergeCell ref="D7:H7"/>
    <mergeCell ref="T88:T91"/>
    <mergeCell ref="C46:D46"/>
    <mergeCell ref="X88:X91"/>
    <mergeCell ref="G45:H45"/>
    <mergeCell ref="D9:H9"/>
    <mergeCell ref="D12:H12"/>
    <mergeCell ref="S88:S91"/>
    <mergeCell ref="U88:U91"/>
    <mergeCell ref="B104:C104"/>
    <mergeCell ref="W88:W91"/>
    <mergeCell ref="B51:C51"/>
    <mergeCell ref="C72:G72"/>
    <mergeCell ref="D5:H5"/>
    <mergeCell ref="G44:H44"/>
    <mergeCell ref="G46:H46"/>
    <mergeCell ref="B72:B73"/>
  </mergeCells>
  <dataValidations count="2">
    <dataValidation sqref="B51:C51 B104:C104 F51:G51 F104:G104" showDropDown="0" showInputMessage="1" showErrorMessage="1" allowBlank="1" type="list">
      <formula1>"ACCG, RFM, MDA"</formula1>
    </dataValidation>
    <dataValidation sqref="C42:D42" showDropDown="0" showInputMessage="1" showErrorMessage="1" allowBlank="1" type="list">
      <formula1>LoadCell</formula1>
    </dataValidation>
  </dataValidations>
  <pageMargins left="0.2362204724409449" right="0.03937007874015748" top="0.7480314960629921" bottom="0.7480314960629921" header="0.3149606299212598" footer="0.3149606299212598"/>
  <pageSetup orientation="portrait" paperSize="9"/>
  <headerFooter>
    <oddHeader>&amp;L&amp;8 FORCE MEASUREMENT SOFTWARE          _x000a_Ver. 2 Rev.0&amp;R&amp;8 developed by: a.c.gernale_x000a_copyright  @ 2019. All rights reserved.</oddHeader>
    <oddFooter>&amp;LPage _x000a_&amp;P of &amp;N&amp;C&amp;8 &amp;Z&amp;F&amp;R&amp;8 Date reported: &amp;D_x000a_&amp;T</oddFooter>
    <evenHeader/>
    <evenFooter/>
    <firstHeader/>
    <firstFooter/>
  </headerFooter>
</worksheet>
</file>

<file path=xl/worksheets/sheet6.xml><?xml version="1.0" encoding="utf-8"?>
<worksheet xmlns="http://schemas.openxmlformats.org/spreadsheetml/2006/main">
  <sheetPr codeName="Sheet9">
    <outlinePr summaryBelow="1" summaryRight="1"/>
    <pageSetUpPr/>
  </sheetPr>
  <dimension ref="A6:AZ89"/>
  <sheetViews>
    <sheetView view="pageBreakPreview" topLeftCell="A47" zoomScale="115" zoomScaleNormal="130" zoomScaleSheetLayoutView="178" zoomScalePageLayoutView="115" workbookViewId="0">
      <selection activeCell="L58" sqref="L58:N58"/>
    </sheetView>
  </sheetViews>
  <sheetFormatPr baseColWidth="8" defaultRowHeight="15"/>
  <cols>
    <col width="2.28515625" customWidth="1" min="1" max="1"/>
    <col width="4.7109375" customWidth="1" min="2" max="2"/>
    <col width="3.42578125" customWidth="1" min="3" max="3"/>
    <col width="3.28515625" customWidth="1" min="4" max="4"/>
    <col width="2" customWidth="1" min="5" max="5"/>
    <col width="5.85546875" customWidth="1" min="6" max="6"/>
    <col width="2" customWidth="1" min="7" max="7"/>
    <col width="9.5703125" customWidth="1" min="8" max="8"/>
    <col width="5.7109375" customWidth="1" min="9" max="9"/>
    <col width="9.42578125" customWidth="1" min="10" max="10"/>
    <col width="13.85546875" customWidth="1" min="11" max="11"/>
    <col width="3.42578125" customWidth="1" min="12" max="12"/>
    <col width="5.28515625" customWidth="1" min="13" max="13"/>
    <col width="5.42578125" customWidth="1" min="14" max="14"/>
    <col width="3.42578125" customWidth="1" min="15" max="15"/>
    <col width="0.7109375" customWidth="1" min="16" max="16"/>
    <col width="4.42578125" customWidth="1" min="17" max="17"/>
    <col width="1.7109375" customWidth="1" min="18" max="18"/>
    <col width="3.42578125" customWidth="1" min="19" max="23"/>
    <col width="3.140625" customWidth="1" min="24" max="24"/>
    <col width="3.7109375" customWidth="1" min="25" max="25"/>
    <col width="3.5703125" customWidth="1" min="26" max="26"/>
    <col width="3.7109375" customWidth="1" min="27" max="27"/>
    <col hidden="1" width="255.7109375" customWidth="1" min="28" max="28"/>
    <col width="3.7109375" customWidth="1" min="29" max="37"/>
  </cols>
  <sheetData>
    <row r="6" ht="18.75" customHeight="1">
      <c r="A6" s="626" t="inlineStr">
        <is>
          <t xml:space="preserve">     CALIBRATION CERTIFICATE</t>
        </is>
      </c>
      <c r="S6" s="73" t="n"/>
      <c r="T6" s="73" t="n"/>
      <c r="U6" s="73" t="n"/>
      <c r="V6" s="73" t="n"/>
      <c r="W6" s="73" t="n"/>
      <c r="X6" s="73" t="n"/>
      <c r="Y6" s="73" t="n"/>
      <c r="Z6" s="73" t="n"/>
    </row>
    <row r="7" ht="19.5" customHeight="1">
      <c r="A7" s="606">
        <f>"No. "&amp;'Dash Board'!D18</f>
        <v/>
      </c>
      <c r="S7" s="73" t="n"/>
      <c r="T7" s="73" t="n"/>
      <c r="U7" s="73" t="n"/>
      <c r="V7" s="74" t="n"/>
    </row>
    <row r="8" ht="15" customHeight="1"/>
    <row r="9" ht="15.75" customHeight="1">
      <c r="A9" s="26" t="inlineStr">
        <is>
          <t>Date of Calibration</t>
        </is>
      </c>
      <c r="B9" s="76" t="n"/>
      <c r="C9" s="76" t="n"/>
      <c r="D9" s="76" t="n"/>
      <c r="E9" s="26" t="n"/>
      <c r="F9" s="26" t="n"/>
      <c r="G9" s="594" t="inlineStr">
        <is>
          <t>:</t>
        </is>
      </c>
      <c r="H9" s="859">
        <f>'Dash Board'!D17</f>
        <v/>
      </c>
      <c r="S9" s="859" t="n"/>
      <c r="T9" s="859" t="n"/>
      <c r="U9" s="859" t="n"/>
      <c r="V9" s="859" t="n"/>
      <c r="W9" s="859" t="n"/>
      <c r="X9" s="859" t="n"/>
      <c r="Y9" s="859" t="n"/>
      <c r="Z9" s="859" t="n"/>
      <c r="AA9" s="75" t="n"/>
      <c r="AB9" s="75" t="n"/>
    </row>
    <row r="10" ht="15.75" customHeight="1">
      <c r="A10" s="26" t="inlineStr">
        <is>
          <t>Calibration Item</t>
        </is>
      </c>
      <c r="B10" s="76" t="n"/>
      <c r="C10" s="76" t="n"/>
      <c r="D10" s="76" t="n"/>
      <c r="E10" s="26" t="n"/>
      <c r="F10" s="26" t="n"/>
      <c r="G10" s="594" t="inlineStr">
        <is>
          <t>:</t>
        </is>
      </c>
      <c r="H10" s="859">
        <f>'Dash Board'!D19</f>
        <v/>
      </c>
      <c r="S10" s="270" t="n"/>
      <c r="T10" s="270" t="n"/>
      <c r="U10" s="270" t="n"/>
      <c r="V10" s="270" t="n"/>
      <c r="W10" s="270" t="n"/>
      <c r="X10" s="270" t="n"/>
      <c r="Y10" s="270" t="n"/>
      <c r="Z10" s="270" t="n"/>
      <c r="AA10" s="75" t="n"/>
      <c r="AB10" s="75" t="n"/>
    </row>
    <row r="11" ht="15.75" customHeight="1">
      <c r="A11" s="76" t="n"/>
      <c r="B11" s="26" t="inlineStr">
        <is>
          <t>Capacity</t>
        </is>
      </c>
      <c r="C11" s="76" t="n"/>
      <c r="D11" s="76" t="n"/>
      <c r="E11" s="76" t="n"/>
      <c r="F11" s="26" t="n"/>
      <c r="G11" s="594" t="inlineStr">
        <is>
          <t>:</t>
        </is>
      </c>
      <c r="H11" s="859">
        <f>'Calibration Data'!L10</f>
        <v/>
      </c>
      <c r="S11" s="270" t="n"/>
      <c r="T11" s="270" t="n"/>
      <c r="U11" s="270" t="n"/>
      <c r="V11" s="270" t="n"/>
      <c r="W11" s="270" t="n"/>
      <c r="X11" s="270" t="n"/>
      <c r="Y11" s="270" t="n"/>
      <c r="Z11" s="270" t="n"/>
      <c r="AA11" s="75" t="n"/>
      <c r="AB11" s="75" t="n"/>
    </row>
    <row r="12" ht="15.75" customHeight="1">
      <c r="A12" s="76" t="n"/>
      <c r="B12" s="26" t="inlineStr">
        <is>
          <t>Measurement Range</t>
        </is>
      </c>
      <c r="C12" s="76" t="n"/>
      <c r="D12" s="76" t="n"/>
      <c r="E12" s="76" t="n"/>
      <c r="F12" s="26" t="n"/>
      <c r="G12" s="594" t="inlineStr">
        <is>
          <t>:</t>
        </is>
      </c>
      <c r="H12" s="859">
        <f>'Calibration Data'!L11</f>
        <v/>
      </c>
      <c r="S12" s="270" t="n"/>
      <c r="T12" s="270" t="n"/>
      <c r="U12" s="270" t="n"/>
      <c r="V12" s="270" t="n"/>
      <c r="W12" s="270" t="n"/>
      <c r="X12" s="270" t="n"/>
      <c r="Y12" s="270" t="n"/>
      <c r="Z12" s="270" t="n"/>
      <c r="AA12" s="75" t="n"/>
      <c r="AB12" s="75" t="n"/>
    </row>
    <row r="13" ht="15.75" customHeight="1">
      <c r="A13" s="76" t="n"/>
      <c r="B13" s="26">
        <f>'Dash Board'!K21</f>
        <v/>
      </c>
      <c r="C13" s="76" t="n"/>
      <c r="D13" s="76" t="n"/>
      <c r="E13" s="76" t="n"/>
      <c r="F13" s="26" t="n"/>
      <c r="G13" s="594" t="inlineStr">
        <is>
          <t>:</t>
        </is>
      </c>
      <c r="H13" s="859">
        <f>'Calibration Data'!L12</f>
        <v/>
      </c>
      <c r="S13" s="270" t="n"/>
      <c r="T13" s="270" t="n"/>
      <c r="U13" s="270" t="n"/>
      <c r="V13" s="270" t="n"/>
      <c r="W13" s="270" t="n"/>
      <c r="X13" s="270" t="n"/>
      <c r="Y13" s="270" t="n"/>
      <c r="Z13" s="270" t="n"/>
      <c r="AA13" s="75" t="n"/>
      <c r="AB13" s="75" t="n"/>
    </row>
    <row r="14" ht="15.75" customHeight="1">
      <c r="A14" s="76" t="n"/>
      <c r="B14" s="26" t="inlineStr">
        <is>
          <t>Make / Model</t>
        </is>
      </c>
      <c r="C14" s="76" t="n"/>
      <c r="D14" s="76" t="n"/>
      <c r="E14" s="76" t="n"/>
      <c r="F14" s="26" t="n"/>
      <c r="G14" s="594" t="inlineStr">
        <is>
          <t>:</t>
        </is>
      </c>
      <c r="H14" s="859">
        <f>'Calibration Data'!C11</f>
        <v/>
      </c>
      <c r="S14" s="270" t="n"/>
      <c r="T14" s="270" t="n"/>
      <c r="U14" s="270" t="n"/>
      <c r="V14" s="270" t="n"/>
      <c r="W14" s="270" t="n"/>
      <c r="X14" s="270" t="n"/>
      <c r="Y14" s="270" t="n"/>
      <c r="Z14" s="270" t="n"/>
      <c r="AA14" s="75" t="n"/>
      <c r="AB14" s="75" t="n"/>
    </row>
    <row r="15" ht="15.75" customHeight="1">
      <c r="A15" s="76" t="n"/>
      <c r="B15" s="26" t="inlineStr">
        <is>
          <t>Serial No.</t>
        </is>
      </c>
      <c r="C15" s="76" t="n"/>
      <c r="D15" s="76" t="n"/>
      <c r="E15" s="76" t="n"/>
      <c r="F15" s="76" t="n"/>
      <c r="G15" s="594" t="inlineStr">
        <is>
          <t>:</t>
        </is>
      </c>
      <c r="H15" s="859">
        <f>'Calibration Data'!C12</f>
        <v/>
      </c>
      <c r="S15" s="272" t="n"/>
      <c r="T15" s="272" t="n"/>
      <c r="U15" s="272" t="n"/>
      <c r="V15" s="272" t="n"/>
      <c r="W15" s="272" t="n"/>
      <c r="X15" s="272" t="n"/>
      <c r="Y15" s="272" t="n"/>
      <c r="Z15" s="272" t="n"/>
      <c r="AA15" s="75" t="n"/>
      <c r="AB15" s="75" t="n"/>
    </row>
    <row r="16" hidden="1" ht="15.6" customHeight="1">
      <c r="A16" s="76" t="n"/>
      <c r="B16" s="26" t="n"/>
      <c r="C16" s="76" t="n"/>
      <c r="D16" s="76" t="n"/>
      <c r="E16" s="76" t="n"/>
      <c r="F16" s="76" t="n"/>
      <c r="G16" s="594" t="n"/>
      <c r="H16" s="78">
        <f>Software!O21&amp; " (Indicator)"</f>
        <v/>
      </c>
      <c r="K16" s="72" t="n"/>
      <c r="L16" s="72" t="n"/>
      <c r="M16" s="72" t="n"/>
      <c r="N16" s="72" t="n"/>
      <c r="O16" s="72" t="n"/>
      <c r="P16" s="72" t="n"/>
      <c r="Q16" s="72" t="n"/>
      <c r="R16" s="72" t="n"/>
      <c r="S16" s="72" t="n"/>
      <c r="T16" s="72" t="n"/>
      <c r="U16" s="72" t="n"/>
      <c r="V16" s="72" t="n"/>
      <c r="W16" s="72" t="n"/>
      <c r="X16" s="72" t="n"/>
      <c r="Y16" s="26" t="n"/>
      <c r="Z16" s="26" t="n"/>
      <c r="AA16" s="75" t="n"/>
      <c r="AB16" s="75" t="n"/>
    </row>
    <row r="17" ht="16.9" customHeight="1">
      <c r="A17" s="26" t="inlineStr">
        <is>
          <t>Customer</t>
        </is>
      </c>
      <c r="B17" s="76" t="n"/>
      <c r="C17" s="76" t="n"/>
      <c r="D17" s="76" t="n"/>
      <c r="E17" s="26" t="n"/>
      <c r="F17" s="26" t="n"/>
      <c r="G17" s="594" t="inlineStr">
        <is>
          <t>:</t>
        </is>
      </c>
      <c r="H17" s="859">
        <f>UPPER('Calibration Data'!C7)</f>
        <v/>
      </c>
      <c r="S17" s="270" t="n"/>
      <c r="T17" s="270" t="n"/>
      <c r="U17" s="270" t="n"/>
      <c r="V17" s="270" t="n"/>
      <c r="W17" s="270" t="n"/>
      <c r="X17" s="270" t="n"/>
      <c r="Y17" s="270" t="n"/>
      <c r="Z17" s="270" t="n"/>
      <c r="AA17" s="75" t="n"/>
      <c r="AB17" s="75" t="n"/>
    </row>
    <row r="18" ht="16.5" customHeight="1">
      <c r="A18" s="76" t="n"/>
      <c r="B18" s="76" t="n"/>
      <c r="C18" s="26" t="n"/>
      <c r="D18" s="26" t="n"/>
      <c r="E18" s="26" t="n"/>
      <c r="F18" s="26" t="n"/>
      <c r="G18" s="26" t="n"/>
      <c r="H18" s="859">
        <f>'Dash Board'!D8</f>
        <v/>
      </c>
      <c r="S18" s="268" t="n"/>
      <c r="T18" s="268" t="n"/>
      <c r="U18" s="268" t="n"/>
      <c r="V18" s="268" t="n"/>
      <c r="W18" s="268" t="n"/>
      <c r="X18" s="268" t="n"/>
      <c r="Y18" s="268" t="n"/>
      <c r="Z18" s="268" t="n"/>
      <c r="AA18" s="79" t="n"/>
      <c r="AB18" s="75" t="n"/>
    </row>
    <row r="19" ht="19.5" customHeight="1">
      <c r="A19" s="80" t="n"/>
      <c r="B19" s="80" t="n"/>
      <c r="C19" s="75" t="n"/>
      <c r="D19" s="75" t="n"/>
      <c r="E19" s="75" t="n"/>
      <c r="F19" s="75" t="n"/>
      <c r="G19" s="75" t="n"/>
      <c r="H19" s="859">
        <f>IF('Dash Board'!D9&lt;&gt;0,'Dash Board'!D9,"")</f>
        <v/>
      </c>
      <c r="S19" s="268" t="n"/>
      <c r="T19" s="268" t="n"/>
      <c r="U19" s="268" t="n"/>
      <c r="V19" s="268" t="n"/>
      <c r="W19" s="268" t="n"/>
      <c r="X19" s="268" t="n"/>
      <c r="Y19" s="268" t="n"/>
      <c r="Z19" s="268" t="n"/>
      <c r="AA19" s="79" t="n"/>
      <c r="AB19" s="75" t="n"/>
    </row>
    <row r="20" ht="15" customHeight="1">
      <c r="B20" s="80" t="n"/>
      <c r="C20" s="75" t="n"/>
      <c r="D20" s="75" t="n"/>
      <c r="E20" s="75" t="n"/>
      <c r="F20" s="75" t="n"/>
      <c r="G20" s="75" t="n"/>
      <c r="H20" s="75" t="n"/>
      <c r="I20" s="81" t="n"/>
      <c r="J20" s="82" t="n"/>
      <c r="K20" s="81" t="n"/>
      <c r="L20" s="81" t="n"/>
      <c r="M20" s="81" t="n"/>
      <c r="N20" s="81" t="n"/>
      <c r="O20" s="81" t="n"/>
      <c r="P20" s="81" t="n"/>
      <c r="Q20" s="81" t="n"/>
      <c r="R20" s="81" t="n"/>
      <c r="S20" s="81" t="n"/>
      <c r="T20" s="81" t="n"/>
      <c r="U20" s="81" t="n"/>
      <c r="V20" s="81" t="n"/>
      <c r="W20" s="83" t="n"/>
      <c r="X20" s="79" t="n"/>
      <c r="Y20" s="79" t="n"/>
      <c r="Z20" s="79" t="n"/>
      <c r="AA20" s="79" t="n"/>
      <c r="AB20" s="75" t="n"/>
    </row>
    <row r="21" ht="16.5" customHeight="1">
      <c r="A21" s="75" t="inlineStr">
        <is>
          <t>MEASUREMENT RESULTS:</t>
        </is>
      </c>
      <c r="B21" s="80" t="n"/>
      <c r="D21" s="80" t="n"/>
      <c r="E21" s="75" t="n"/>
      <c r="F21" s="75" t="n"/>
      <c r="G21" s="75" t="n"/>
      <c r="H21" s="75" t="n"/>
      <c r="I21" s="75" t="n"/>
      <c r="J21" s="75" t="n"/>
      <c r="K21" s="75" t="n"/>
      <c r="L21" s="75" t="n"/>
      <c r="M21" s="75" t="n"/>
      <c r="N21" s="75" t="n"/>
      <c r="O21" s="75" t="n"/>
      <c r="P21" s="75" t="n"/>
      <c r="Q21" s="75" t="n"/>
      <c r="R21" s="75" t="n"/>
      <c r="S21" s="75" t="n"/>
      <c r="T21" s="75" t="n"/>
      <c r="U21" s="75" t="n"/>
      <c r="V21" s="75" t="n"/>
      <c r="W21" s="84" t="n"/>
      <c r="X21" s="84" t="n"/>
      <c r="Y21" s="84" t="n"/>
      <c r="Z21" s="84" t="n"/>
      <c r="AA21" s="84" t="n"/>
      <c r="AB21" s="75" t="n"/>
    </row>
    <row r="22" ht="3.6" customHeight="1">
      <c r="A22" s="75" t="n"/>
      <c r="B22" s="80" t="n"/>
      <c r="D22" s="80" t="n"/>
      <c r="E22" s="75" t="n"/>
      <c r="F22" s="75" t="n"/>
      <c r="G22" s="75" t="n"/>
      <c r="H22" s="75" t="n"/>
      <c r="I22" s="75" t="n"/>
      <c r="J22" s="75" t="n"/>
      <c r="K22" s="75" t="n"/>
      <c r="L22" s="75" t="n"/>
      <c r="M22" s="75" t="n"/>
      <c r="N22" s="75" t="n"/>
      <c r="O22" s="75" t="n"/>
      <c r="P22" s="75" t="n"/>
      <c r="Q22" s="75" t="n"/>
      <c r="R22" s="75" t="n"/>
      <c r="S22" s="75" t="n"/>
      <c r="T22" s="75" t="n"/>
      <c r="U22" s="75" t="n"/>
      <c r="V22" s="75" t="n"/>
      <c r="W22" s="84" t="n"/>
      <c r="X22" s="84" t="n"/>
      <c r="Y22" s="84" t="n"/>
      <c r="Z22" s="84" t="n"/>
      <c r="AA22" s="84" t="n"/>
      <c r="AB22" s="75" t="n"/>
    </row>
    <row r="23" ht="15.6" customHeight="1">
      <c r="A23" s="75" t="inlineStr">
        <is>
          <t>Refer to the "Calibration Results" on the next page(s).</t>
        </is>
      </c>
      <c r="B23" s="860" t="n"/>
      <c r="C23" s="860" t="n"/>
      <c r="D23" s="860" t="n"/>
      <c r="E23" s="860" t="n"/>
      <c r="F23" s="860" t="n"/>
      <c r="G23" s="860" t="n"/>
      <c r="H23" s="860" t="n"/>
      <c r="I23" s="87" t="n"/>
      <c r="J23" s="87" t="n"/>
      <c r="K23" s="86" t="n"/>
      <c r="L23" s="87" t="n"/>
      <c r="M23" s="87" t="n"/>
      <c r="N23" s="87" t="n"/>
      <c r="O23" s="861" t="n"/>
      <c r="P23" s="861" t="n"/>
      <c r="Q23" s="861" t="n"/>
      <c r="R23" s="861" t="n"/>
      <c r="Z23" s="75" t="n"/>
      <c r="AA23" s="75" t="n"/>
      <c r="AB23" s="75" t="n"/>
    </row>
    <row r="24" ht="15" customHeight="1">
      <c r="A24" s="75" t="n"/>
      <c r="B24" s="860" t="n"/>
      <c r="C24" s="860" t="n"/>
      <c r="D24" s="860" t="n"/>
      <c r="E24" s="860" t="n"/>
      <c r="F24" s="860" t="n"/>
      <c r="G24" s="860" t="n"/>
      <c r="H24" s="860" t="n"/>
      <c r="I24" s="87" t="n"/>
      <c r="J24" s="87" t="n"/>
      <c r="K24" s="86" t="n"/>
      <c r="L24" s="87" t="n"/>
      <c r="M24" s="87" t="n"/>
      <c r="N24" s="87" t="n"/>
      <c r="O24" s="861" t="n"/>
      <c r="P24" s="861" t="n"/>
      <c r="Q24" s="861" t="n"/>
      <c r="R24" s="861" t="n"/>
      <c r="Z24" s="75" t="n"/>
      <c r="AA24" s="75" t="n"/>
      <c r="AB24" s="75" t="n"/>
    </row>
    <row r="25" ht="15.75" customHeight="1">
      <c r="A25" s="75" t="inlineStr">
        <is>
          <t>UNCERTAINTY OF MEASUREMENT:</t>
        </is>
      </c>
      <c r="B25" s="80" t="n"/>
      <c r="C25" s="75" t="n"/>
      <c r="D25" s="80" t="n"/>
      <c r="E25" s="75" t="n"/>
      <c r="F25" s="75" t="n"/>
      <c r="G25" s="75" t="n"/>
      <c r="H25" s="75" t="n"/>
      <c r="I25" s="75" t="n"/>
      <c r="J25" s="75" t="n"/>
      <c r="K25" s="75" t="n"/>
      <c r="L25" s="75" t="n"/>
      <c r="M25" s="75" t="n"/>
      <c r="N25" s="75" t="n"/>
      <c r="O25" s="75" t="n"/>
      <c r="P25" s="75" t="n"/>
      <c r="Q25" s="75" t="n"/>
      <c r="R25" s="75" t="n"/>
      <c r="Z25" s="75" t="n"/>
      <c r="AA25" s="75" t="n"/>
      <c r="AB25" s="75" t="n"/>
    </row>
    <row r="26" ht="3.6" customHeight="1">
      <c r="A26" s="75" t="n"/>
      <c r="B26" s="80" t="n"/>
      <c r="C26" s="75" t="n"/>
      <c r="D26" s="80" t="n"/>
      <c r="E26" s="75" t="n"/>
      <c r="F26" s="75" t="n"/>
      <c r="G26" s="75" t="n"/>
      <c r="H26" s="75" t="n"/>
      <c r="I26" s="75" t="n"/>
      <c r="J26" s="75" t="n"/>
      <c r="K26" s="75" t="n"/>
      <c r="L26" s="75" t="n"/>
      <c r="M26" s="75" t="n"/>
      <c r="N26" s="75" t="n"/>
      <c r="O26" s="75" t="n"/>
      <c r="P26" s="75" t="n"/>
      <c r="Q26" s="75" t="n"/>
      <c r="R26" s="75" t="n"/>
      <c r="Z26" s="75" t="n"/>
      <c r="AA26" s="75" t="n"/>
      <c r="AB26" s="75" t="n"/>
    </row>
    <row r="27" ht="77.45" customHeight="1">
      <c r="A27" s="628" t="inlineStr">
        <is>
          <t>The uncertainty stated is the expanded uncertainty obtained by multiplying the standard uncertainty by the coverage factor k = 2. It has been determined in accordance with the “JCGM 100:2008 Evaluation of measurement data- Guide to the Expression of Uncertainty in measurement ”. The value of the measurand lies within the assigned range of values with a probability of  approximately 95%.</t>
        </is>
      </c>
      <c r="Z27" s="278" t="n"/>
      <c r="AA27" s="84" t="n"/>
      <c r="AB27" s="75" t="n"/>
    </row>
    <row r="28" ht="15" customHeight="1">
      <c r="A28" s="621" t="n"/>
    </row>
    <row r="29" ht="15.75" customHeight="1">
      <c r="A29" s="75" t="inlineStr">
        <is>
          <t>STANDARD USED :</t>
        </is>
      </c>
      <c r="B29" s="80" t="n"/>
      <c r="C29" s="75" t="n"/>
      <c r="D29" s="75" t="n"/>
      <c r="E29" s="75" t="n"/>
      <c r="F29" s="75" t="n"/>
      <c r="G29" s="75" t="n"/>
      <c r="H29" s="75" t="n"/>
      <c r="I29" s="75" t="n"/>
      <c r="J29" s="75" t="n"/>
      <c r="K29" s="75" t="n"/>
      <c r="L29" s="75" t="n"/>
      <c r="M29" s="75" t="n"/>
      <c r="N29" s="75" t="n"/>
      <c r="O29" s="75" t="n"/>
      <c r="P29" s="75" t="n"/>
      <c r="Q29" s="75" t="n"/>
      <c r="R29" s="75" t="n"/>
      <c r="S29" s="75" t="n"/>
      <c r="T29" s="75" t="n"/>
      <c r="U29" s="75" t="n"/>
      <c r="V29" s="75" t="n"/>
      <c r="W29" s="75" t="n"/>
      <c r="X29" s="75" t="n"/>
      <c r="Y29" s="75" t="n"/>
      <c r="Z29" s="75" t="n"/>
      <c r="AA29" s="75" t="n"/>
      <c r="AB29" s="75" t="n"/>
    </row>
    <row r="30" ht="3.6" customHeight="1">
      <c r="A30" s="80" t="n"/>
      <c r="B30" s="80" t="n"/>
      <c r="C30" s="75" t="n"/>
      <c r="D30" s="75" t="n"/>
      <c r="E30" s="75" t="n"/>
      <c r="F30" s="75" t="n"/>
      <c r="G30" s="75" t="n"/>
      <c r="H30" s="75" t="n"/>
      <c r="I30" s="75" t="n"/>
      <c r="J30" s="75" t="n"/>
      <c r="K30" s="75" t="n"/>
      <c r="L30" s="75" t="n"/>
      <c r="M30" s="75" t="n"/>
      <c r="N30" s="75" t="n"/>
      <c r="O30" s="75" t="n"/>
      <c r="P30" s="75" t="n"/>
      <c r="Q30" s="75" t="n"/>
      <c r="R30" s="75" t="n"/>
      <c r="S30" s="75" t="n"/>
      <c r="T30" s="75" t="n"/>
      <c r="U30" s="75" t="n"/>
      <c r="V30" s="75" t="n"/>
      <c r="W30" s="75" t="n"/>
      <c r="X30" s="75" t="n"/>
      <c r="Y30" s="75" t="n"/>
      <c r="Z30" s="75" t="n"/>
      <c r="AA30" s="75" t="n"/>
      <c r="AB30" s="75" t="n"/>
    </row>
    <row r="31" ht="16.9" customHeight="1">
      <c r="A31" s="629" t="inlineStr">
        <is>
          <t>Name of Standard</t>
        </is>
      </c>
      <c r="B31" s="810" t="n"/>
      <c r="C31" s="810" t="n"/>
      <c r="D31" s="810" t="n"/>
      <c r="E31" s="810" t="n"/>
      <c r="F31" s="793" t="n"/>
      <c r="G31" s="629" t="inlineStr">
        <is>
          <t>Make/Model</t>
        </is>
      </c>
      <c r="H31" s="810" t="n"/>
      <c r="I31" s="793" t="n"/>
      <c r="J31" s="625" t="inlineStr">
        <is>
          <t>Calibration Certificate No.</t>
        </is>
      </c>
      <c r="K31" s="810" t="n"/>
      <c r="L31" s="793" t="n"/>
      <c r="M31" s="629" t="inlineStr">
        <is>
          <t>Traceability</t>
        </is>
      </c>
      <c r="N31" s="810" t="n"/>
      <c r="O31" s="810" t="n"/>
      <c r="P31" s="810" t="n"/>
      <c r="Q31" s="810" t="n"/>
      <c r="R31" s="793" t="n"/>
      <c r="S31" s="280" t="n"/>
      <c r="AA31" s="84" t="n"/>
      <c r="AB31" s="75" t="n"/>
    </row>
    <row r="32" ht="43.9" customHeight="1">
      <c r="A32" s="625">
        <f>"Load Cell                     SN "&amp;Software!E38</f>
        <v/>
      </c>
      <c r="B32" s="810" t="n"/>
      <c r="C32" s="810" t="n"/>
      <c r="D32" s="810" t="n"/>
      <c r="E32" s="810" t="n"/>
      <c r="F32" s="793" t="n"/>
      <c r="G32" s="625">
        <f>IFERROR(LEFT(Software!E36,8),Software!E36)</f>
        <v/>
      </c>
      <c r="H32" s="810" t="n"/>
      <c r="I32" s="793" t="n"/>
      <c r="J32" s="625">
        <f>Software!E39</f>
        <v/>
      </c>
      <c r="K32" s="810" t="n"/>
      <c r="L32" s="793" t="n"/>
      <c r="M32" s="625" t="inlineStr">
        <is>
          <t>Traceable to SI through KRISS - Korea</t>
        </is>
      </c>
      <c r="N32" s="810" t="n"/>
      <c r="O32" s="810" t="n"/>
      <c r="P32" s="810" t="n"/>
      <c r="Q32" s="810" t="n"/>
      <c r="R32" s="793" t="n"/>
      <c r="S32" s="279" t="n"/>
      <c r="T32" s="95" t="n"/>
      <c r="AA32" s="93" t="n"/>
      <c r="AB32" s="75" t="n"/>
      <c r="AL32" s="517" t="n"/>
    </row>
    <row r="33" ht="15" customHeight="1">
      <c r="A33" s="588" t="n"/>
      <c r="B33" s="588" t="n"/>
      <c r="C33" s="588" t="n"/>
      <c r="D33" s="588" t="n"/>
      <c r="E33" s="588" t="n"/>
      <c r="F33" s="588" t="n"/>
      <c r="G33" s="588" t="n"/>
      <c r="H33" s="588" t="n"/>
      <c r="I33" s="588" t="n"/>
      <c r="J33" s="588" t="n"/>
      <c r="K33" s="588" t="n"/>
      <c r="L33" s="588" t="n"/>
      <c r="M33" s="588" t="n"/>
      <c r="N33" s="588" t="n"/>
      <c r="O33" s="588" t="n"/>
      <c r="P33" s="588" t="n"/>
      <c r="Q33" s="588" t="n"/>
      <c r="R33" s="588" t="n"/>
      <c r="S33" s="95" t="n"/>
      <c r="T33" s="95" t="n"/>
      <c r="AA33" s="93" t="n"/>
      <c r="AB33" s="75" t="n"/>
      <c r="AL33" s="517" t="n"/>
    </row>
    <row r="34" ht="15.75" customHeight="1">
      <c r="A34" s="75" t="inlineStr">
        <is>
          <t>CALIBRATION PROCEDURE:</t>
        </is>
      </c>
      <c r="B34" s="80" t="n"/>
      <c r="C34" s="75" t="n"/>
      <c r="D34" s="75" t="n"/>
      <c r="E34" s="75" t="n"/>
      <c r="F34" s="75" t="n"/>
      <c r="G34" s="75" t="n"/>
      <c r="H34" s="75" t="n"/>
      <c r="I34" s="75" t="n"/>
      <c r="J34" s="75" t="n"/>
      <c r="K34" s="75" t="n"/>
      <c r="L34" s="75" t="n"/>
      <c r="M34" s="75" t="n"/>
      <c r="N34" s="75" t="n"/>
      <c r="O34" s="75" t="n"/>
      <c r="P34" s="75" t="n"/>
      <c r="Q34" s="75" t="n"/>
      <c r="R34" s="75" t="n"/>
      <c r="S34" s="75" t="n"/>
      <c r="T34" s="75" t="n"/>
      <c r="U34" s="75" t="n"/>
      <c r="V34" s="75" t="n"/>
      <c r="W34" s="75" t="n"/>
      <c r="X34" s="75" t="n"/>
      <c r="Y34" s="75" t="n"/>
      <c r="Z34" s="75" t="n"/>
      <c r="AA34" s="75" t="n"/>
      <c r="AB34" s="75" t="n"/>
    </row>
    <row r="35" ht="3.6" customHeight="1">
      <c r="A35" s="80" t="n"/>
      <c r="B35" s="80" t="n"/>
      <c r="C35" s="75" t="n"/>
      <c r="D35" s="75" t="n"/>
      <c r="E35" s="75" t="n"/>
      <c r="F35" s="75" t="n"/>
      <c r="G35" s="75" t="n"/>
      <c r="H35" s="75" t="n"/>
      <c r="I35" s="75" t="n"/>
      <c r="J35" s="75" t="n"/>
      <c r="K35" s="75" t="n"/>
      <c r="L35" s="75" t="n"/>
      <c r="M35" s="75" t="n"/>
      <c r="N35" s="75" t="n"/>
      <c r="O35" s="75" t="n"/>
      <c r="P35" s="75" t="n"/>
      <c r="Q35" s="75" t="n"/>
      <c r="R35" s="75" t="n"/>
      <c r="S35" s="75" t="n"/>
      <c r="T35" s="75" t="n"/>
      <c r="U35" s="75" t="n"/>
      <c r="V35" s="75" t="n"/>
      <c r="W35" s="75" t="n"/>
      <c r="X35" s="75" t="n"/>
      <c r="Y35" s="75" t="n"/>
      <c r="Z35" s="75" t="n"/>
      <c r="AA35" s="75" t="n"/>
      <c r="AB35" s="75" t="n"/>
    </row>
    <row r="36" ht="30.75" customHeight="1">
      <c r="A36" s="591" t="inlineStr">
        <is>
          <t xml:space="preserve">The testing machine under calibration was subjected to specified force values which were applied on the force-proving instrument and readings were noted.
</t>
        </is>
      </c>
      <c r="S36" s="83" t="n"/>
      <c r="T36" s="83" t="n"/>
      <c r="U36" s="83" t="n"/>
      <c r="V36" s="83" t="n"/>
      <c r="W36" s="83" t="n"/>
      <c r="X36" s="83" t="n"/>
      <c r="Y36" s="83" t="n"/>
      <c r="Z36" s="83" t="n"/>
      <c r="AA36" s="75" t="n"/>
      <c r="AB36" s="75" t="n"/>
    </row>
    <row r="37" ht="3.6" customHeight="1">
      <c r="A37" s="628" t="n"/>
      <c r="B37" s="628" t="n"/>
      <c r="C37" s="628" t="n"/>
      <c r="D37" s="628" t="n"/>
      <c r="E37" s="628" t="n"/>
      <c r="F37" s="628" t="n"/>
      <c r="G37" s="628" t="n"/>
      <c r="H37" s="628" t="n"/>
      <c r="I37" s="628" t="n"/>
      <c r="J37" s="628" t="n"/>
      <c r="K37" s="628" t="n"/>
      <c r="L37" s="628" t="n"/>
      <c r="M37" s="628" t="n"/>
      <c r="N37" s="628" t="n"/>
      <c r="O37" s="628" t="n"/>
      <c r="P37" s="628" t="n"/>
      <c r="Q37" s="628" t="n"/>
      <c r="R37" s="628" t="n"/>
      <c r="S37" s="628" t="n"/>
      <c r="T37" s="628" t="n"/>
      <c r="U37" s="628" t="n"/>
      <c r="V37" s="628" t="n"/>
      <c r="W37" s="628" t="n"/>
      <c r="X37" s="628" t="n"/>
      <c r="Y37" s="628" t="n"/>
      <c r="Z37" s="628" t="n"/>
      <c r="AA37" s="75" t="n"/>
      <c r="AB37" s="75" t="n"/>
    </row>
    <row r="38" ht="31.15" customHeight="1">
      <c r="A38" s="591" t="inlineStr">
        <is>
          <t>The relevant method for this calibration is ISO 7500-1:2018, Metallic materials – Verification of static uniaxial testing machines.</t>
        </is>
      </c>
      <c r="S38" s="278" t="n"/>
      <c r="T38" s="278" t="n"/>
      <c r="U38" s="278" t="n"/>
      <c r="V38" s="278" t="n"/>
      <c r="W38" s="278" t="n"/>
      <c r="X38" s="278" t="n"/>
      <c r="Y38" s="278" t="n"/>
      <c r="Z38" s="278" t="n"/>
      <c r="AA38" s="95" t="n"/>
      <c r="AB38" s="75" t="n"/>
    </row>
    <row r="39" ht="15" customHeight="1">
      <c r="A39" s="628" t="n"/>
      <c r="B39" s="628" t="n"/>
      <c r="C39" s="628" t="n"/>
      <c r="D39" s="628" t="n"/>
      <c r="E39" s="628" t="n"/>
      <c r="F39" s="628" t="n"/>
      <c r="G39" s="628" t="n"/>
      <c r="H39" s="628" t="n"/>
      <c r="I39" s="628" t="n"/>
      <c r="J39" s="628" t="n"/>
      <c r="K39" s="628" t="n"/>
      <c r="L39" s="628" t="n"/>
      <c r="M39" s="628" t="n"/>
      <c r="N39" s="628" t="n"/>
      <c r="O39" s="628" t="n"/>
      <c r="P39" s="628" t="n"/>
      <c r="Q39" s="628" t="n"/>
      <c r="R39" s="628" t="n"/>
      <c r="S39" s="628" t="n"/>
      <c r="T39" s="628" t="n"/>
      <c r="U39" s="628" t="n"/>
      <c r="V39" s="628" t="n"/>
      <c r="W39" s="628" t="n"/>
      <c r="X39" s="628" t="n"/>
      <c r="Y39" s="628" t="n"/>
      <c r="Z39" s="628" t="n"/>
      <c r="AA39" s="95" t="n"/>
      <c r="AB39" s="75" t="n"/>
    </row>
    <row r="40" ht="15.75" customHeight="1">
      <c r="A40" s="75" t="inlineStr">
        <is>
          <t>ENVIRONMENTAL CONDITIONS:</t>
        </is>
      </c>
      <c r="B40" s="80" t="n"/>
      <c r="C40" s="75" t="n"/>
      <c r="D40" s="80" t="n"/>
      <c r="E40" s="75" t="n"/>
      <c r="F40" s="75" t="n"/>
      <c r="G40" s="75" t="n"/>
      <c r="H40" s="75" t="n"/>
      <c r="I40" s="75" t="n"/>
      <c r="J40" s="75" t="n"/>
      <c r="K40" s="75" t="n"/>
      <c r="L40" s="75" t="n"/>
      <c r="M40" s="75" t="n"/>
      <c r="N40" s="75" t="n"/>
      <c r="O40" s="75" t="n"/>
      <c r="P40" s="75" t="n"/>
      <c r="Q40" s="75" t="n"/>
      <c r="R40" s="75" t="n"/>
      <c r="S40" s="75" t="n"/>
      <c r="T40" s="75" t="n"/>
      <c r="U40" s="75" t="n"/>
      <c r="V40" s="75" t="n"/>
      <c r="W40" s="75" t="n"/>
      <c r="X40" s="75" t="n"/>
      <c r="Y40" s="75" t="n"/>
      <c r="Z40" s="75" t="n"/>
      <c r="AA40" s="75" t="n"/>
      <c r="AB40" s="75" t="n"/>
    </row>
    <row r="41" ht="3.6" customHeight="1">
      <c r="A41" s="80" t="n"/>
      <c r="B41" s="80" t="n"/>
      <c r="C41" s="75" t="n"/>
      <c r="D41" s="75" t="n"/>
      <c r="E41" s="75" t="n"/>
      <c r="F41" s="75" t="n"/>
      <c r="G41" s="75" t="n"/>
      <c r="H41" s="75" t="n"/>
      <c r="I41" s="75" t="n"/>
      <c r="J41" s="75" t="n"/>
      <c r="K41" s="75" t="n"/>
      <c r="L41" s="75" t="n"/>
      <c r="M41" s="75" t="n"/>
      <c r="N41" s="75" t="n"/>
      <c r="O41" s="75" t="n"/>
      <c r="P41" s="75" t="n"/>
      <c r="Q41" s="75" t="n"/>
      <c r="R41" s="75" t="n"/>
      <c r="S41" s="75" t="n"/>
      <c r="T41" s="75" t="n"/>
      <c r="U41" s="75" t="n"/>
      <c r="V41" s="75" t="n"/>
      <c r="W41" s="75" t="n"/>
      <c r="X41" s="75" t="n"/>
      <c r="Y41" s="75" t="n"/>
      <c r="Z41" s="75" t="n"/>
      <c r="AA41" s="75" t="n"/>
      <c r="AB41" s="75" t="n"/>
    </row>
    <row r="42" ht="15.6" customHeight="1">
      <c r="A42" s="80" t="n"/>
      <c r="B42" s="75" t="inlineStr">
        <is>
          <t>Ambient Temperature</t>
        </is>
      </c>
      <c r="D42" s="75" t="n"/>
      <c r="E42" s="75" t="n"/>
      <c r="F42" s="75" t="n"/>
      <c r="G42" s="80" t="n"/>
      <c r="H42" s="620">
        <f>" :   ("&amp;ROUND('Calibration Data'!P19,1)&amp;"± 1) °C"</f>
        <v/>
      </c>
      <c r="K42" s="589" t="n"/>
      <c r="M42" s="862" t="n"/>
      <c r="N42" s="862" t="n"/>
      <c r="O42" s="862" t="n"/>
      <c r="P42" s="862" t="n"/>
      <c r="Q42" s="862" t="n"/>
      <c r="R42" s="862" t="n"/>
      <c r="S42" s="80" t="n"/>
      <c r="T42" s="80" t="n"/>
      <c r="U42" s="80" t="n"/>
      <c r="V42" s="80" t="n"/>
      <c r="W42" s="80" t="n"/>
      <c r="X42" s="80" t="n"/>
      <c r="Z42" s="75" t="n"/>
      <c r="AA42" s="75" t="n"/>
      <c r="AB42" s="75" t="n"/>
    </row>
    <row r="43" ht="15.6" customHeight="1">
      <c r="A43" s="80" t="n"/>
      <c r="B43" s="75" t="inlineStr">
        <is>
          <t>Relative Humidity</t>
        </is>
      </c>
      <c r="D43" s="75" t="n"/>
      <c r="E43" s="75" t="n"/>
      <c r="F43" s="75" t="n"/>
      <c r="G43" s="80" t="n"/>
      <c r="H43" s="592">
        <f>" :   ("&amp;ROUND('Calibration Data'!Q19,1)&amp;"± 5)"</f>
        <v/>
      </c>
      <c r="K43" s="589" t="n"/>
      <c r="M43" s="100" t="n"/>
      <c r="N43" s="100" t="n"/>
      <c r="O43" s="100" t="n"/>
      <c r="P43" s="100" t="n"/>
      <c r="Q43" s="100" t="n"/>
      <c r="R43" s="100" t="n"/>
      <c r="S43" s="863" t="n"/>
      <c r="T43" s="863" t="n"/>
      <c r="U43" s="80" t="n"/>
      <c r="V43" s="594" t="n"/>
      <c r="X43" s="594" t="n"/>
      <c r="Z43" s="75" t="n"/>
      <c r="AA43" s="75" t="n"/>
      <c r="AB43" s="75" t="n"/>
    </row>
    <row r="44" ht="15.75" customHeight="1">
      <c r="A44" s="80" t="n"/>
      <c r="B44" s="80" t="n"/>
      <c r="C44" s="75" t="n"/>
      <c r="D44" s="75" t="n"/>
      <c r="E44" s="75" t="n"/>
      <c r="F44" s="75" t="n"/>
      <c r="G44" s="80" t="n"/>
      <c r="H44" s="80" t="n"/>
      <c r="I44" s="75" t="n"/>
      <c r="K44" s="589" t="n"/>
      <c r="L44" s="592" t="n"/>
      <c r="M44" s="592" t="n"/>
      <c r="N44" s="592" t="n"/>
      <c r="O44" s="592" t="n"/>
      <c r="P44" s="592" t="n"/>
      <c r="Q44" s="592" t="n"/>
      <c r="R44" s="592" t="n"/>
      <c r="S44" s="863" t="n"/>
      <c r="T44" s="863" t="n"/>
      <c r="U44" s="80" t="n"/>
      <c r="V44" s="594" t="n"/>
      <c r="W44" s="594" t="n"/>
      <c r="X44" s="594" t="n"/>
      <c r="Z44" s="75" t="n"/>
      <c r="AA44" s="75" t="n"/>
      <c r="AB44" s="75" t="n"/>
    </row>
    <row r="45" ht="16.5" customHeight="1">
      <c r="A45" s="621" t="inlineStr">
        <is>
          <t>Page 1 of 2</t>
        </is>
      </c>
      <c r="S45" s="102" t="n"/>
      <c r="T45" s="102" t="n"/>
      <c r="U45" s="102" t="n"/>
      <c r="V45" s="102" t="n"/>
      <c r="W45" s="102" t="n"/>
      <c r="X45" s="102" t="n"/>
      <c r="Y45" s="102" t="n"/>
      <c r="Z45" s="102" t="n"/>
      <c r="AA45" s="92" t="n"/>
      <c r="AB45" s="75" t="n"/>
    </row>
    <row r="46" ht="16.5" customHeight="1">
      <c r="A46" s="588" t="n"/>
      <c r="B46" s="588" t="n"/>
      <c r="C46" s="588" t="n"/>
      <c r="D46" s="588" t="n"/>
      <c r="E46" s="588" t="n"/>
      <c r="F46" s="588" t="n"/>
      <c r="G46" s="588" t="n"/>
      <c r="H46" s="588" t="n"/>
      <c r="I46" s="588" t="n"/>
      <c r="J46" s="588" t="n"/>
      <c r="K46" s="588" t="n"/>
      <c r="L46" s="588" t="n"/>
      <c r="M46" s="588" t="n"/>
      <c r="N46" s="588" t="n"/>
      <c r="O46" s="588" t="n"/>
      <c r="P46" s="588" t="n"/>
      <c r="Q46" s="588" t="n"/>
      <c r="R46" s="588" t="n"/>
      <c r="S46" s="588" t="n"/>
      <c r="T46" s="588" t="n"/>
      <c r="U46" s="588" t="n"/>
      <c r="V46" s="588" t="n"/>
      <c r="W46" s="588" t="n"/>
      <c r="X46" s="588" t="n"/>
      <c r="Y46" s="588" t="n"/>
      <c r="Z46" s="588" t="n"/>
      <c r="AA46" s="93" t="n"/>
      <c r="AB46" s="75" t="n"/>
      <c r="AL46" s="517" t="n"/>
    </row>
    <row r="47" ht="16.5" customHeight="1">
      <c r="A47" s="622" t="inlineStr">
        <is>
          <t>CALIBRATION RESULTS</t>
        </is>
      </c>
      <c r="S47" s="588" t="n"/>
      <c r="T47" s="588" t="n"/>
      <c r="U47" s="588" t="n"/>
      <c r="V47" s="588" t="n"/>
      <c r="W47" s="588" t="n"/>
      <c r="X47" s="588" t="n"/>
      <c r="Y47" s="588" t="n"/>
      <c r="Z47" s="588" t="n"/>
      <c r="AA47" s="93" t="n"/>
      <c r="AB47" s="75" t="n"/>
      <c r="AL47" s="517" t="n"/>
    </row>
    <row r="48" ht="16.5" customHeight="1">
      <c r="A48" s="623" t="inlineStr">
        <is>
          <t>Compression</t>
        </is>
      </c>
      <c r="B48" s="803" t="n"/>
      <c r="C48" s="803" t="n"/>
      <c r="D48" s="803" t="n"/>
      <c r="E48" s="803" t="n"/>
      <c r="F48" s="803" t="n"/>
      <c r="G48" s="803" t="n"/>
      <c r="H48" s="803" t="n"/>
      <c r="I48" s="803" t="n"/>
      <c r="J48" s="803" t="n"/>
      <c r="K48" s="803" t="n"/>
      <c r="L48" s="803" t="n"/>
      <c r="M48" s="803" t="n"/>
      <c r="N48" s="803" t="n"/>
      <c r="O48" s="803" t="n"/>
      <c r="P48" s="803" t="n"/>
      <c r="Q48" s="803" t="n"/>
      <c r="R48" s="803" t="n"/>
      <c r="S48" s="588" t="n"/>
      <c r="T48" s="588" t="n"/>
      <c r="U48" s="588" t="n"/>
      <c r="V48" s="588" t="n"/>
      <c r="W48" s="588" t="n"/>
      <c r="X48" s="588" t="n"/>
      <c r="Y48" s="588" t="n"/>
      <c r="Z48" s="588" t="n"/>
      <c r="AA48" s="93" t="n"/>
      <c r="AB48" s="75" t="n"/>
      <c r="AL48" s="517" t="n"/>
    </row>
    <row r="49" ht="49.9" customFormat="1" customHeight="1" s="85">
      <c r="A49" s="613" t="inlineStr">
        <is>
          <t>Indicated Force</t>
        </is>
      </c>
      <c r="B49" s="810" t="n"/>
      <c r="C49" s="810" t="n"/>
      <c r="D49" s="810" t="n"/>
      <c r="E49" s="810" t="n"/>
      <c r="F49" s="793" t="n"/>
      <c r="G49" s="613" t="inlineStr">
        <is>
          <t>Applied Force</t>
        </is>
      </c>
      <c r="H49" s="793" t="n"/>
      <c r="I49" s="612" t="inlineStr">
        <is>
          <t xml:space="preserve">Relative Expanded Uncertainty </t>
        </is>
      </c>
      <c r="J49" s="793" t="n"/>
      <c r="K49" s="613" t="inlineStr">
        <is>
          <t xml:space="preserve">Relative Accuracy Error </t>
        </is>
      </c>
      <c r="L49" s="613" t="inlineStr">
        <is>
          <t>Relative Repeatability Error</t>
        </is>
      </c>
      <c r="M49" s="810" t="n"/>
      <c r="N49" s="793" t="n"/>
      <c r="O49" s="613" t="inlineStr">
        <is>
          <t>Class</t>
        </is>
      </c>
      <c r="P49" s="802" t="n"/>
      <c r="Q49" s="802" t="n"/>
      <c r="R49" s="817" t="n"/>
      <c r="AE49" s="605" t="n"/>
      <c r="AK49" s="605" t="n"/>
      <c r="AQ49" s="605" t="n"/>
      <c r="AV49" s="606" t="n"/>
    </row>
    <row r="50" ht="18.75" customHeight="1">
      <c r="A50" s="595">
        <f>Software!E21</f>
        <v/>
      </c>
      <c r="B50" s="810" t="n"/>
      <c r="C50" s="793" t="n"/>
      <c r="D50" s="595" t="inlineStr">
        <is>
          <t>kN</t>
        </is>
      </c>
      <c r="E50" s="810" t="n"/>
      <c r="F50" s="793" t="n"/>
      <c r="G50" s="595" t="inlineStr">
        <is>
          <t>kN</t>
        </is>
      </c>
      <c r="H50" s="793" t="n"/>
      <c r="I50" s="595" t="inlineStr">
        <is>
          <t>%</t>
        </is>
      </c>
      <c r="J50" s="793" t="n"/>
      <c r="K50" s="595" t="inlineStr">
        <is>
          <t>%</t>
        </is>
      </c>
      <c r="L50" s="595" t="inlineStr">
        <is>
          <t>%</t>
        </is>
      </c>
      <c r="M50" s="810" t="n"/>
      <c r="N50" s="793" t="n"/>
      <c r="O50" s="822" t="n"/>
      <c r="P50" s="803" t="n"/>
      <c r="Q50" s="803" t="n"/>
      <c r="R50" s="819" t="n"/>
      <c r="AA50" s="84" t="n"/>
      <c r="AB50" s="75" t="n"/>
      <c r="AE50" s="517" t="n"/>
      <c r="AK50" s="517" t="n"/>
      <c r="AQ50" s="517" t="n"/>
      <c r="AV50" s="517" t="n"/>
    </row>
    <row r="51" ht="19.15" customHeight="1">
      <c r="A51" s="595">
        <f>'Calibration Data'!T24</f>
        <v/>
      </c>
      <c r="B51" s="810" t="n"/>
      <c r="C51" s="793" t="n"/>
      <c r="D51" s="596">
        <f>'Calibration Data'!U24</f>
        <v/>
      </c>
      <c r="E51" s="810" t="n"/>
      <c r="F51" s="793" t="n"/>
      <c r="G51" s="596">
        <f>'Calibration Data'!N24</f>
        <v/>
      </c>
      <c r="H51" s="793" t="n"/>
      <c r="I51" s="596" t="n">
        <v>0</v>
      </c>
      <c r="J51" s="793" t="n"/>
      <c r="K51" s="596" t="n">
        <v>0</v>
      </c>
      <c r="L51" s="596" t="n">
        <v>0</v>
      </c>
      <c r="M51" s="810" t="n"/>
      <c r="N51" s="793" t="n"/>
      <c r="O51" s="864">
        <f>'Calibration Data'!AZ24</f>
        <v/>
      </c>
      <c r="P51" s="810" t="n"/>
      <c r="Q51" s="810" t="n"/>
      <c r="R51" s="793" t="n"/>
      <c r="AA51" s="84" t="n"/>
      <c r="AB51" s="75" t="n"/>
      <c r="AE51" s="861" t="n"/>
      <c r="AK51" s="604" t="n"/>
      <c r="AQ51" s="861" t="n"/>
      <c r="AV51" s="861" t="n"/>
    </row>
    <row r="52" ht="19.15" customHeight="1">
      <c r="A52" s="595">
        <f>'Calibration Data'!T25</f>
        <v/>
      </c>
      <c r="B52" s="810" t="n"/>
      <c r="C52" s="793" t="n"/>
      <c r="D52" s="596">
        <f>'Calibration Data'!U25</f>
        <v/>
      </c>
      <c r="E52" s="810" t="n"/>
      <c r="F52" s="793" t="n"/>
      <c r="G52" s="596">
        <f>'Calibration Data'!N25</f>
        <v/>
      </c>
      <c r="H52" s="793" t="n"/>
      <c r="I52" s="596">
        <f>ROUNDUP('Calibration Data'!AO26,2)</f>
        <v/>
      </c>
      <c r="J52" s="793" t="n"/>
      <c r="K52" s="596">
        <f>ROUNDUP('Calibration Data'!AQ26,2)</f>
        <v/>
      </c>
      <c r="L52" s="596">
        <f>ROUNDUP('Calibration Data'!AR25,2)</f>
        <v/>
      </c>
      <c r="M52" s="810" t="n"/>
      <c r="N52" s="793" t="n"/>
      <c r="O52" s="864">
        <f>'Calibration Data'!AZ25</f>
        <v/>
      </c>
      <c r="P52" s="810" t="n"/>
      <c r="Q52" s="810" t="n"/>
      <c r="R52" s="793" t="n"/>
      <c r="AA52" s="84" t="n"/>
      <c r="AB52" s="75" t="n"/>
      <c r="AE52" s="861" t="n"/>
      <c r="AF52" s="861" t="n"/>
      <c r="AG52" s="861" t="n"/>
      <c r="AH52" s="861" t="n"/>
      <c r="AI52" s="861" t="n"/>
      <c r="AJ52" s="861" t="n"/>
      <c r="AK52" s="604" t="n"/>
      <c r="AL52" s="604" t="n"/>
      <c r="AM52" s="604" t="n"/>
      <c r="AN52" s="604" t="n"/>
      <c r="AO52" s="604" t="n"/>
      <c r="AP52" s="604" t="n"/>
      <c r="AQ52" s="861" t="n"/>
      <c r="AR52" s="861" t="n"/>
      <c r="AS52" s="861" t="n"/>
      <c r="AT52" s="861" t="n"/>
      <c r="AU52" s="861" t="n"/>
      <c r="AV52" s="861" t="n"/>
      <c r="AW52" s="861" t="n"/>
      <c r="AX52" s="861" t="n"/>
      <c r="AY52" s="861" t="n"/>
      <c r="AZ52" s="861" t="n"/>
    </row>
    <row r="53" ht="19.15" customHeight="1">
      <c r="A53" s="595">
        <f>'Calibration Data'!T26</f>
        <v/>
      </c>
      <c r="B53" s="810" t="n"/>
      <c r="C53" s="793" t="n"/>
      <c r="D53" s="596">
        <f>'Calibration Data'!U26</f>
        <v/>
      </c>
      <c r="E53" s="810" t="n"/>
      <c r="F53" s="793" t="n"/>
      <c r="G53" s="596">
        <f>'Calibration Data'!N26</f>
        <v/>
      </c>
      <c r="H53" s="793" t="n"/>
      <c r="I53" s="596">
        <f>ROUNDUP('Calibration Data'!AO27,2)</f>
        <v/>
      </c>
      <c r="J53" s="793" t="n"/>
      <c r="K53" s="596">
        <f>ROUNDUP('Calibration Data'!AQ27,2)</f>
        <v/>
      </c>
      <c r="L53" s="596">
        <f>ROUNDUP('Calibration Data'!AR26,2)</f>
        <v/>
      </c>
      <c r="M53" s="810" t="n"/>
      <c r="N53" s="793" t="n"/>
      <c r="O53" s="864">
        <f>'Calibration Data'!AZ26</f>
        <v/>
      </c>
      <c r="P53" s="810" t="n"/>
      <c r="Q53" s="810" t="n"/>
      <c r="R53" s="793" t="n"/>
      <c r="AA53" s="84" t="n"/>
      <c r="AB53" s="75" t="n"/>
      <c r="AE53" s="861" t="n"/>
      <c r="AF53" s="861" t="n"/>
      <c r="AG53" s="861" t="n"/>
      <c r="AH53" s="861" t="n"/>
      <c r="AI53" s="861" t="n"/>
      <c r="AJ53" s="861" t="n"/>
      <c r="AK53" s="604" t="n"/>
      <c r="AL53" s="604" t="n"/>
      <c r="AM53" s="604" t="n"/>
      <c r="AN53" s="604" t="n"/>
      <c r="AO53" s="604" t="n"/>
      <c r="AP53" s="604" t="n"/>
      <c r="AQ53" s="861" t="n"/>
      <c r="AR53" s="861" t="n"/>
      <c r="AS53" s="861" t="n"/>
      <c r="AT53" s="861" t="n"/>
      <c r="AU53" s="861" t="n"/>
      <c r="AV53" s="861" t="n"/>
      <c r="AW53" s="861" t="n"/>
      <c r="AX53" s="861" t="n"/>
      <c r="AY53" s="861" t="n"/>
      <c r="AZ53" s="861" t="n"/>
    </row>
    <row r="54" ht="19.15" customHeight="1">
      <c r="A54" s="595">
        <f>'Calibration Data'!T27</f>
        <v/>
      </c>
      <c r="B54" s="810" t="n"/>
      <c r="C54" s="793" t="n"/>
      <c r="D54" s="596">
        <f>'Calibration Data'!U27</f>
        <v/>
      </c>
      <c r="E54" s="810" t="n"/>
      <c r="F54" s="793" t="n"/>
      <c r="G54" s="596">
        <f>'Calibration Data'!N27</f>
        <v/>
      </c>
      <c r="H54" s="793" t="n"/>
      <c r="I54" s="596">
        <f>ROUNDUP('Calibration Data'!AO28,2)</f>
        <v/>
      </c>
      <c r="J54" s="793" t="n"/>
      <c r="K54" s="596">
        <f>ROUNDUP('Calibration Data'!AQ28,2)</f>
        <v/>
      </c>
      <c r="L54" s="596">
        <f>ROUNDUP('Calibration Data'!AR27,2)</f>
        <v/>
      </c>
      <c r="M54" s="810" t="n"/>
      <c r="N54" s="793" t="n"/>
      <c r="O54" s="864">
        <f>'Calibration Data'!AZ27</f>
        <v/>
      </c>
      <c r="P54" s="810" t="n"/>
      <c r="Q54" s="810" t="n"/>
      <c r="R54" s="793" t="n"/>
      <c r="AA54" s="84" t="n"/>
      <c r="AB54" s="75" t="n"/>
      <c r="AE54" s="861" t="n"/>
      <c r="AF54" s="861" t="n"/>
      <c r="AG54" s="861" t="n"/>
      <c r="AH54" s="861" t="n"/>
      <c r="AI54" s="861" t="n"/>
      <c r="AJ54" s="861" t="n"/>
      <c r="AK54" s="604" t="n"/>
      <c r="AL54" s="604" t="n"/>
      <c r="AM54" s="604" t="n"/>
      <c r="AN54" s="604" t="n"/>
      <c r="AO54" s="604" t="n"/>
      <c r="AP54" s="604" t="n"/>
      <c r="AQ54" s="861" t="n"/>
      <c r="AR54" s="861" t="n"/>
      <c r="AS54" s="861" t="n"/>
      <c r="AT54" s="861" t="n"/>
      <c r="AU54" s="861" t="n"/>
      <c r="AV54" s="861" t="n"/>
      <c r="AW54" s="861" t="n"/>
      <c r="AX54" s="861" t="n"/>
      <c r="AY54" s="861" t="n"/>
      <c r="AZ54" s="861" t="n"/>
    </row>
    <row r="55" ht="19.15" customHeight="1">
      <c r="A55" s="595">
        <f>'Calibration Data'!T28</f>
        <v/>
      </c>
      <c r="B55" s="810" t="n"/>
      <c r="C55" s="793" t="n"/>
      <c r="D55" s="596">
        <f>'Calibration Data'!U28</f>
        <v/>
      </c>
      <c r="E55" s="810" t="n"/>
      <c r="F55" s="793" t="n"/>
      <c r="G55" s="596">
        <f>'Calibration Data'!N28</f>
        <v/>
      </c>
      <c r="H55" s="793" t="n"/>
      <c r="I55" s="596">
        <f>ROUNDUP('Calibration Data'!AO29,2)</f>
        <v/>
      </c>
      <c r="J55" s="793" t="n"/>
      <c r="K55" s="596">
        <f>ROUNDUP('Calibration Data'!AQ29,2)</f>
        <v/>
      </c>
      <c r="L55" s="596">
        <f>ROUNDUP('Calibration Data'!AR28,2)</f>
        <v/>
      </c>
      <c r="M55" s="810" t="n"/>
      <c r="N55" s="793" t="n"/>
      <c r="O55" s="864">
        <f>'Calibration Data'!AZ28</f>
        <v/>
      </c>
      <c r="P55" s="810" t="n"/>
      <c r="Q55" s="810" t="n"/>
      <c r="R55" s="793" t="n"/>
      <c r="AA55" s="84" t="n"/>
      <c r="AB55" s="75" t="n"/>
      <c r="AE55" s="861" t="n"/>
      <c r="AF55" s="861" t="n"/>
      <c r="AG55" s="861" t="n"/>
      <c r="AH55" s="861" t="n"/>
      <c r="AI55" s="861" t="n"/>
      <c r="AJ55" s="861" t="n"/>
      <c r="AK55" s="604" t="n"/>
      <c r="AL55" s="604" t="n"/>
      <c r="AM55" s="604" t="n"/>
      <c r="AN55" s="604" t="n"/>
      <c r="AO55" s="604" t="n"/>
      <c r="AP55" s="604" t="n"/>
      <c r="AQ55" s="861" t="n"/>
      <c r="AR55" s="861" t="n"/>
      <c r="AS55" s="861" t="n"/>
      <c r="AT55" s="861" t="n"/>
      <c r="AU55" s="861" t="n"/>
      <c r="AV55" s="861" t="n"/>
      <c r="AW55" s="861" t="n"/>
      <c r="AX55" s="861" t="n"/>
      <c r="AY55" s="861" t="n"/>
      <c r="AZ55" s="861" t="n"/>
    </row>
    <row r="56" ht="19.15" customHeight="1">
      <c r="A56" s="595">
        <f>'Calibration Data'!T29</f>
        <v/>
      </c>
      <c r="B56" s="810" t="n"/>
      <c r="C56" s="793" t="n"/>
      <c r="D56" s="596">
        <f>'Calibration Data'!U29</f>
        <v/>
      </c>
      <c r="E56" s="810" t="n"/>
      <c r="F56" s="793" t="n"/>
      <c r="G56" s="596">
        <f>'Calibration Data'!N29</f>
        <v/>
      </c>
      <c r="H56" s="793" t="n"/>
      <c r="I56" s="596">
        <f>ROUNDUP('Calibration Data'!AO30,2)</f>
        <v/>
      </c>
      <c r="J56" s="793" t="n"/>
      <c r="K56" s="596">
        <f>ROUNDUP('Calibration Data'!AQ30,2)</f>
        <v/>
      </c>
      <c r="L56" s="596">
        <f>ROUNDUP('Calibration Data'!AR29,2)</f>
        <v/>
      </c>
      <c r="M56" s="810" t="n"/>
      <c r="N56" s="793" t="n"/>
      <c r="O56" s="864">
        <f>'Calibration Data'!AZ29</f>
        <v/>
      </c>
      <c r="P56" s="810" t="n"/>
      <c r="Q56" s="810" t="n"/>
      <c r="R56" s="793" t="n"/>
      <c r="AA56" s="84" t="n"/>
      <c r="AB56" s="75" t="n"/>
      <c r="AE56" s="861" t="n"/>
      <c r="AF56" s="861" t="n"/>
      <c r="AG56" s="861" t="n"/>
      <c r="AH56" s="861" t="n"/>
      <c r="AI56" s="861" t="n"/>
      <c r="AJ56" s="861" t="n"/>
      <c r="AK56" s="604" t="n"/>
      <c r="AL56" s="604" t="n"/>
      <c r="AM56" s="604" t="n"/>
      <c r="AN56" s="604" t="n"/>
      <c r="AO56" s="604" t="n"/>
      <c r="AP56" s="604" t="n"/>
      <c r="AQ56" s="861" t="n"/>
      <c r="AR56" s="861" t="n"/>
      <c r="AS56" s="861" t="n"/>
      <c r="AT56" s="861" t="n"/>
      <c r="AU56" s="861" t="n"/>
      <c r="AV56" s="861" t="n"/>
      <c r="AW56" s="861" t="n"/>
      <c r="AX56" s="861" t="n"/>
      <c r="AY56" s="861" t="n"/>
      <c r="AZ56" s="861" t="n"/>
    </row>
    <row r="57" ht="19.15" customHeight="1">
      <c r="A57" s="595">
        <f>'Calibration Data'!T30</f>
        <v/>
      </c>
      <c r="B57" s="810" t="n"/>
      <c r="C57" s="793" t="n"/>
      <c r="D57" s="596">
        <f>'Calibration Data'!U30</f>
        <v/>
      </c>
      <c r="E57" s="810" t="n"/>
      <c r="F57" s="793" t="n"/>
      <c r="G57" s="596">
        <f>'Calibration Data'!N30</f>
        <v/>
      </c>
      <c r="H57" s="793" t="n"/>
      <c r="I57" s="596">
        <f>ROUNDUP('Calibration Data'!AO31,2)</f>
        <v/>
      </c>
      <c r="J57" s="793" t="n"/>
      <c r="K57" s="596">
        <f>ROUNDUP('Calibration Data'!AQ31,2)</f>
        <v/>
      </c>
      <c r="L57" s="596">
        <f>ROUNDUP('Calibration Data'!AR30,2)</f>
        <v/>
      </c>
      <c r="M57" s="810" t="n"/>
      <c r="N57" s="793" t="n"/>
      <c r="O57" s="864">
        <f>'Calibration Data'!AZ30</f>
        <v/>
      </c>
      <c r="P57" s="810" t="n"/>
      <c r="Q57" s="810" t="n"/>
      <c r="R57" s="793" t="n"/>
      <c r="AA57" s="84" t="n"/>
      <c r="AB57" s="75" t="n"/>
      <c r="AE57" s="861" t="n"/>
      <c r="AK57" s="604" t="n"/>
      <c r="AQ57" s="861" t="n"/>
      <c r="AV57" s="861" t="n"/>
    </row>
    <row r="58" ht="19.15" customHeight="1">
      <c r="A58" s="595">
        <f>'Calibration Data'!T31</f>
        <v/>
      </c>
      <c r="B58" s="810" t="n"/>
      <c r="C58" s="793" t="n"/>
      <c r="D58" s="596">
        <f>'Calibration Data'!U31</f>
        <v/>
      </c>
      <c r="E58" s="810" t="n"/>
      <c r="F58" s="793" t="n"/>
      <c r="G58" s="596">
        <f>'Calibration Data'!N31</f>
        <v/>
      </c>
      <c r="H58" s="793" t="n"/>
      <c r="I58" s="596">
        <f>ROUNDUP('Calibration Data'!AO32,2)</f>
        <v/>
      </c>
      <c r="J58" s="793" t="n"/>
      <c r="K58" s="596">
        <f>ROUNDUP('Calibration Data'!AQ32,2)</f>
        <v/>
      </c>
      <c r="L58" s="596">
        <f>ROUNDUP('Calibration Data'!AR31,2)</f>
        <v/>
      </c>
      <c r="M58" s="810" t="n"/>
      <c r="N58" s="793" t="n"/>
      <c r="O58" s="864">
        <f>'Calibration Data'!AZ31</f>
        <v/>
      </c>
      <c r="P58" s="810" t="n"/>
      <c r="Q58" s="810" t="n"/>
      <c r="R58" s="793" t="n"/>
      <c r="AA58" s="84" t="n"/>
      <c r="AB58" s="75" t="n"/>
      <c r="AE58" s="861" t="n"/>
      <c r="AK58" s="604" t="n"/>
      <c r="AQ58" s="861" t="n"/>
      <c r="AV58" s="861" t="n"/>
    </row>
    <row r="59" ht="19.15" customHeight="1">
      <c r="A59" s="595">
        <f>'Calibration Data'!T32</f>
        <v/>
      </c>
      <c r="B59" s="810" t="n"/>
      <c r="C59" s="793" t="n"/>
      <c r="D59" s="596">
        <f>'Calibration Data'!U32</f>
        <v/>
      </c>
      <c r="E59" s="810" t="n"/>
      <c r="F59" s="793" t="n"/>
      <c r="G59" s="596">
        <f>'Calibration Data'!N32</f>
        <v/>
      </c>
      <c r="H59" s="793" t="n"/>
      <c r="I59" s="596">
        <f>ROUNDUP('Calibration Data'!AO33,2)</f>
        <v/>
      </c>
      <c r="J59" s="793" t="n"/>
      <c r="K59" s="596">
        <f>ROUNDUP('Calibration Data'!AQ33,2)</f>
        <v/>
      </c>
      <c r="L59" s="596">
        <f>ROUNDUP('Calibration Data'!AR32,2)</f>
        <v/>
      </c>
      <c r="M59" s="810" t="n"/>
      <c r="N59" s="793" t="n"/>
      <c r="O59" s="864">
        <f>'Calibration Data'!AZ32</f>
        <v/>
      </c>
      <c r="P59" s="810" t="n"/>
      <c r="Q59" s="810" t="n"/>
      <c r="R59" s="793" t="n"/>
      <c r="AA59" s="84" t="n"/>
      <c r="AB59" s="75" t="n"/>
      <c r="AE59" s="861" t="n"/>
      <c r="AK59" s="604" t="n"/>
      <c r="AQ59" s="861" t="n"/>
      <c r="AV59" s="861" t="n"/>
    </row>
    <row r="60" ht="19.15" customHeight="1">
      <c r="A60" s="595">
        <f>'Calibration Data'!T33</f>
        <v/>
      </c>
      <c r="B60" s="810" t="n"/>
      <c r="C60" s="793" t="n"/>
      <c r="D60" s="596">
        <f>'Calibration Data'!U33</f>
        <v/>
      </c>
      <c r="E60" s="810" t="n"/>
      <c r="F60" s="793" t="n"/>
      <c r="G60" s="596">
        <f>'Calibration Data'!N33</f>
        <v/>
      </c>
      <c r="H60" s="793" t="n"/>
      <c r="I60" s="596">
        <f>ROUNDUP('Calibration Data'!AO34,2)</f>
        <v/>
      </c>
      <c r="J60" s="793" t="n"/>
      <c r="K60" s="596">
        <f>ROUNDUP('Calibration Data'!AQ34,2)</f>
        <v/>
      </c>
      <c r="L60" s="596">
        <f>ROUNDUP('Calibration Data'!AR33,2)</f>
        <v/>
      </c>
      <c r="M60" s="810" t="n"/>
      <c r="N60" s="793" t="n"/>
      <c r="O60" s="864">
        <f>'Calibration Data'!AZ33</f>
        <v/>
      </c>
      <c r="P60" s="810" t="n"/>
      <c r="Q60" s="810" t="n"/>
      <c r="R60" s="793" t="n"/>
      <c r="AA60" s="84" t="n"/>
      <c r="AB60" s="75" t="n"/>
      <c r="AE60" s="861" t="n"/>
      <c r="AF60" s="861" t="n"/>
      <c r="AG60" s="861" t="n"/>
      <c r="AH60" s="861" t="n"/>
      <c r="AI60" s="861" t="n"/>
      <c r="AJ60" s="861" t="n"/>
      <c r="AK60" s="604" t="n"/>
      <c r="AL60" s="604" t="n"/>
      <c r="AM60" s="604" t="n"/>
      <c r="AN60" s="604" t="n"/>
      <c r="AO60" s="604" t="n"/>
      <c r="AP60" s="604" t="n"/>
      <c r="AQ60" s="861" t="n"/>
      <c r="AR60" s="861" t="n"/>
      <c r="AS60" s="861" t="n"/>
      <c r="AT60" s="861" t="n"/>
      <c r="AU60" s="861" t="n"/>
      <c r="AV60" s="861" t="n"/>
      <c r="AW60" s="861" t="n"/>
      <c r="AX60" s="861" t="n"/>
      <c r="AY60" s="861" t="n"/>
      <c r="AZ60" s="861" t="n"/>
    </row>
    <row r="61" ht="19.15" customHeight="1">
      <c r="A61" s="595">
        <f>'Calibration Data'!T34</f>
        <v/>
      </c>
      <c r="B61" s="810" t="n"/>
      <c r="C61" s="793" t="n"/>
      <c r="D61" s="596">
        <f>'Calibration Data'!U34</f>
        <v/>
      </c>
      <c r="E61" s="810" t="n"/>
      <c r="F61" s="793" t="n"/>
      <c r="G61" s="596">
        <f>'Calibration Data'!N34</f>
        <v/>
      </c>
      <c r="H61" s="793" t="n"/>
      <c r="I61" s="596">
        <f>ROUNDUP('Calibration Data'!AO35,2)</f>
        <v/>
      </c>
      <c r="J61" s="793" t="n"/>
      <c r="K61" s="596">
        <f>ROUNDUP('Calibration Data'!AQ35,2)</f>
        <v/>
      </c>
      <c r="L61" s="596">
        <f>ROUNDUP('Calibration Data'!AR34,2)</f>
        <v/>
      </c>
      <c r="M61" s="810" t="n"/>
      <c r="N61" s="793" t="n"/>
      <c r="O61" s="864">
        <f>'Calibration Data'!AZ34</f>
        <v/>
      </c>
      <c r="P61" s="810" t="n"/>
      <c r="Q61" s="810" t="n"/>
      <c r="R61" s="793" t="n"/>
      <c r="AA61" s="84" t="n"/>
      <c r="AB61" s="75" t="n"/>
      <c r="AE61" s="861" t="n"/>
      <c r="AK61" s="604" t="n"/>
      <c r="AQ61" s="861" t="n"/>
      <c r="AV61" s="861" t="n"/>
    </row>
    <row r="62" ht="7.9" customHeight="1">
      <c r="A62" s="621" t="n"/>
      <c r="B62" s="621" t="n"/>
      <c r="C62" s="621" t="n"/>
      <c r="D62" s="621" t="n"/>
      <c r="E62" s="621" t="n"/>
      <c r="F62" s="621" t="n"/>
      <c r="G62" s="621" t="n"/>
      <c r="H62" s="621" t="n"/>
      <c r="I62" s="621" t="n"/>
      <c r="J62" s="621" t="n"/>
      <c r="K62" s="621" t="n"/>
      <c r="L62" s="621" t="n"/>
      <c r="M62" s="621" t="n"/>
      <c r="N62" s="621" t="n"/>
      <c r="O62" s="621" t="n"/>
      <c r="P62" s="621" t="n"/>
      <c r="Q62" s="621" t="n"/>
      <c r="R62" s="621" t="n"/>
      <c r="S62" s="621" t="n"/>
      <c r="T62" s="621" t="n"/>
      <c r="U62" s="621" t="n"/>
      <c r="V62" s="621" t="n"/>
      <c r="W62" s="621" t="n"/>
      <c r="X62" s="621" t="n"/>
      <c r="Y62" s="621" t="n"/>
      <c r="Z62" s="621" t="n"/>
    </row>
    <row r="63" ht="9.6" customHeight="1">
      <c r="A63" s="80" t="n"/>
      <c r="B63" s="80" t="n"/>
      <c r="C63" s="75" t="n"/>
      <c r="D63" s="75" t="n"/>
      <c r="E63" s="75" t="n"/>
      <c r="F63" s="75" t="n"/>
      <c r="G63" s="80" t="n"/>
      <c r="H63" s="80" t="n"/>
      <c r="I63" s="75" t="n"/>
      <c r="K63" s="589" t="n"/>
      <c r="L63" s="592" t="n"/>
      <c r="S63" s="865" t="n"/>
      <c r="U63" s="80" t="n"/>
      <c r="V63" s="594" t="n"/>
      <c r="X63" s="594" t="n"/>
      <c r="Y63" s="75" t="n"/>
      <c r="Z63" s="75" t="n"/>
      <c r="AA63" s="75" t="n"/>
      <c r="AB63" s="75" t="n"/>
    </row>
    <row r="64" ht="15.75" customHeight="1">
      <c r="A64" s="26" t="inlineStr">
        <is>
          <t>REMARKS:</t>
        </is>
      </c>
      <c r="B64" s="80" t="n"/>
      <c r="C64" s="75" t="n"/>
      <c r="E64" s="75" t="n"/>
      <c r="F64" s="75" t="n"/>
      <c r="G64" s="75" t="n"/>
      <c r="H64" s="75" t="n"/>
      <c r="I64" s="75" t="n"/>
      <c r="J64" s="75" t="n"/>
      <c r="K64" s="75" t="n"/>
      <c r="L64" s="75" t="n"/>
      <c r="M64" s="75" t="n"/>
      <c r="N64" s="75" t="n"/>
      <c r="O64" s="75" t="n"/>
      <c r="P64" s="75" t="n"/>
      <c r="Q64" s="75" t="n"/>
      <c r="R64" s="75" t="n"/>
      <c r="S64" s="75" t="n"/>
      <c r="T64" s="75" t="n"/>
      <c r="U64" s="75" t="n"/>
      <c r="V64" s="75" t="n"/>
      <c r="W64" s="75" t="n"/>
      <c r="X64" s="75" t="n"/>
      <c r="Y64" s="75" t="n"/>
      <c r="Z64" s="75" t="n"/>
      <c r="AA64" s="75" t="n"/>
      <c r="AB64" s="75" t="n"/>
    </row>
    <row r="65" ht="15.75" customHeight="1">
      <c r="B65" s="80" t="n"/>
      <c r="C65" s="75" t="n"/>
      <c r="D65" s="75" t="n"/>
      <c r="E65" s="75" t="n"/>
      <c r="F65" s="75" t="n"/>
      <c r="G65" s="75" t="n"/>
      <c r="H65" s="75" t="n"/>
      <c r="I65" s="75" t="n"/>
      <c r="J65" s="75" t="n"/>
      <c r="K65" s="75" t="n"/>
      <c r="L65" s="75" t="n"/>
      <c r="M65" s="75" t="n"/>
      <c r="N65" s="75" t="n"/>
      <c r="O65" s="75" t="n"/>
      <c r="P65" s="75" t="n"/>
      <c r="Q65" s="75" t="n"/>
      <c r="R65" s="75" t="n"/>
      <c r="S65" s="75" t="n"/>
      <c r="T65" s="75" t="n"/>
      <c r="U65" s="75" t="n"/>
      <c r="V65" s="75" t="n"/>
      <c r="W65" s="75" t="n"/>
      <c r="X65" s="75" t="n"/>
      <c r="Y65" s="75" t="n"/>
      <c r="Z65" s="75" t="n"/>
      <c r="AA65" s="75" t="n"/>
      <c r="AB65" s="75" t="n"/>
    </row>
    <row r="66" ht="15.75" customHeight="1">
      <c r="A66" s="98" t="inlineStr">
        <is>
          <t>-</t>
        </is>
      </c>
      <c r="B66" s="591" t="inlineStr">
        <is>
          <t>The above results were those obtained at the time of calibration and refer only to the testing machine calibrated.</t>
        </is>
      </c>
      <c r="S66" s="83" t="n"/>
      <c r="T66" s="83" t="n"/>
      <c r="U66" s="83" t="n"/>
      <c r="V66" s="83" t="n"/>
      <c r="W66" s="83" t="n"/>
      <c r="X66" s="83" t="n"/>
      <c r="Y66" s="83" t="n"/>
      <c r="Z66" s="83" t="n"/>
      <c r="AA66" s="95" t="n"/>
      <c r="AB66" s="591" t="inlineStr">
        <is>
          <t>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t>
        </is>
      </c>
    </row>
    <row r="67" ht="14.25" customHeight="1">
      <c r="A67" s="98" t="n"/>
      <c r="S67" s="83" t="n"/>
      <c r="T67" s="83" t="n"/>
      <c r="U67" s="83" t="n"/>
      <c r="V67" s="83" t="n"/>
      <c r="W67" s="83" t="n"/>
      <c r="X67" s="83" t="n"/>
      <c r="Y67" s="83" t="n"/>
      <c r="Z67" s="83" t="n"/>
      <c r="AA67" s="95" t="n"/>
      <c r="AB67" s="95" t="n"/>
    </row>
    <row r="68" hidden="1" ht="60.75" customHeight="1">
      <c r="A68" s="106" t="inlineStr">
        <is>
          <t>-</t>
        </is>
      </c>
      <c r="B68" s="591">
        <f>AB66&amp;Software!AH34</f>
        <v/>
      </c>
      <c r="S68" s="95" t="n"/>
      <c r="T68" s="95" t="n"/>
      <c r="U68" s="95" t="n"/>
      <c r="V68" s="95" t="n"/>
      <c r="W68" s="95" t="n"/>
      <c r="X68" s="95" t="n"/>
      <c r="Y68" s="95" t="n"/>
      <c r="Z68" s="95" t="n"/>
      <c r="AA68" s="95" t="n"/>
      <c r="AB68" s="95" t="n"/>
    </row>
    <row r="69" ht="30" customHeight="1">
      <c r="A69" s="107" t="inlineStr">
        <is>
          <t>-</t>
        </is>
      </c>
      <c r="B69" s="591" t="inlineStr">
        <is>
          <t>No adjustment was performed on the testing machine. The user should determine suitability of the testing machine for its intended use.</t>
        </is>
      </c>
      <c r="S69" s="95" t="n"/>
      <c r="T69" s="95" t="n"/>
      <c r="U69" s="95" t="n"/>
      <c r="V69" s="95" t="n"/>
      <c r="W69" s="95" t="n"/>
      <c r="X69" s="95" t="n"/>
      <c r="Y69" s="95" t="n"/>
      <c r="Z69" s="95" t="n"/>
      <c r="AA69" s="95" t="n"/>
      <c r="AB69" s="95" t="n"/>
    </row>
    <row r="70" ht="15.6" customHeight="1">
      <c r="A70" s="98" t="inlineStr">
        <is>
          <t>-</t>
        </is>
      </c>
      <c r="B70" s="591">
        <f>"The conversion factor used is: 1 "&amp;Software!E21&amp;" = "&amp;Software!S46&amp;" kN."</f>
        <v/>
      </c>
      <c r="S70" s="278" t="n"/>
      <c r="T70" s="278" t="n"/>
      <c r="U70" s="278" t="n"/>
      <c r="V70" s="278" t="n"/>
      <c r="W70" s="278" t="n"/>
      <c r="X70" s="278" t="n"/>
      <c r="Y70" s="278" t="n"/>
      <c r="Z70" s="278" t="n"/>
      <c r="AA70" s="95" t="n"/>
      <c r="AB70" s="95" t="n"/>
    </row>
    <row r="71" ht="15.75" customHeight="1">
      <c r="A71" s="98" t="inlineStr">
        <is>
          <t>-</t>
        </is>
      </c>
      <c r="B71" s="591">
        <f>"The testing machine was calibrated at the "&amp;'Dash Board'!N7&amp;" of "&amp;'Dash Board'!D7&amp;" at "&amp;'Dash Board'!D8&amp;IF('Dash Board'!D9&lt;&gt;"",", "&amp;'Dash Board'!D9&amp;".",".")</f>
        <v/>
      </c>
      <c r="S71" s="95" t="n"/>
      <c r="T71" s="95" t="n"/>
      <c r="U71" s="95" t="n"/>
      <c r="V71" s="95" t="n"/>
      <c r="W71" s="95" t="n"/>
      <c r="X71" s="95" t="n"/>
      <c r="Y71" s="95" t="n"/>
      <c r="Z71" s="95" t="n"/>
      <c r="AA71" s="95" t="n"/>
      <c r="AB71" s="95" t="n"/>
    </row>
    <row r="72" ht="29.25" customHeight="1">
      <c r="A72" s="98" t="n"/>
      <c r="S72" s="95" t="n"/>
      <c r="T72" s="95" t="n"/>
      <c r="U72" s="95" t="n"/>
      <c r="V72" s="95" t="n"/>
      <c r="W72" s="95" t="n"/>
      <c r="X72" s="95" t="n"/>
      <c r="Y72" s="95" t="n"/>
      <c r="Z72" s="95" t="n"/>
      <c r="AA72" s="95" t="n"/>
      <c r="AB72" s="95" t="n"/>
    </row>
    <row r="73" ht="15" customHeight="1">
      <c r="A73" s="98" t="n"/>
      <c r="B73" s="99" t="n"/>
      <c r="C73" s="99" t="n"/>
      <c r="D73" s="99" t="n"/>
      <c r="E73" s="99" t="n"/>
      <c r="F73" s="99" t="n"/>
      <c r="G73" s="99" t="n"/>
      <c r="H73" s="99" t="n"/>
      <c r="I73" s="99" t="n"/>
      <c r="J73" s="99" t="n"/>
      <c r="K73" s="99" t="n"/>
      <c r="L73" s="99" t="n"/>
      <c r="M73" s="99" t="n"/>
      <c r="N73" s="99" t="n"/>
      <c r="O73" s="99" t="n"/>
      <c r="P73" s="99" t="n"/>
      <c r="Q73" s="99" t="n"/>
      <c r="R73" s="99" t="n"/>
      <c r="S73" s="99" t="n"/>
      <c r="T73" s="99" t="n"/>
      <c r="U73" s="99" t="n"/>
      <c r="V73" s="99" t="n"/>
      <c r="W73" s="99" t="n"/>
      <c r="X73" s="99" t="n"/>
      <c r="Y73" s="99" t="n"/>
      <c r="Z73" s="99" t="n"/>
      <c r="AA73" s="95" t="n"/>
      <c r="AB73" s="95" t="n"/>
    </row>
    <row r="74" ht="15" customHeight="1">
      <c r="A74" s="80" t="n"/>
      <c r="B74" s="95" t="n"/>
      <c r="C74" s="95" t="n"/>
      <c r="D74" s="95" t="n"/>
      <c r="E74" s="95" t="n"/>
      <c r="F74" s="95" t="n"/>
      <c r="G74" s="95" t="n"/>
      <c r="H74" s="95" t="n"/>
      <c r="I74" s="95" t="n"/>
      <c r="J74" s="95" t="n"/>
      <c r="K74" s="95" t="n"/>
      <c r="L74" s="95" t="n"/>
      <c r="M74" s="95" t="n"/>
      <c r="N74" s="95" t="n"/>
      <c r="O74" s="95" t="n"/>
      <c r="P74" s="75" t="n"/>
      <c r="Q74" s="75" t="n"/>
      <c r="R74" s="75" t="n"/>
      <c r="S74" s="75" t="n"/>
      <c r="T74" s="75" t="n"/>
      <c r="U74" s="75" t="n"/>
      <c r="V74" s="75" t="n"/>
      <c r="W74" s="75" t="n"/>
      <c r="X74" s="75" t="n"/>
      <c r="Y74" s="75" t="n"/>
      <c r="Z74" s="75" t="n"/>
      <c r="AA74" s="75" t="n"/>
      <c r="AB74" s="75" t="n"/>
    </row>
    <row r="75" ht="15.75" customHeight="1">
      <c r="A75" s="589" t="inlineStr">
        <is>
          <t>AHDRIAN CAMILO C. GERNALE</t>
        </is>
      </c>
      <c r="I75" s="75" t="n"/>
      <c r="J75" s="75" t="n"/>
      <c r="K75" s="75" t="n"/>
      <c r="L75" s="75" t="n"/>
      <c r="M75" s="95" t="n"/>
      <c r="N75" s="95" t="n"/>
      <c r="O75" s="95" t="n"/>
      <c r="P75" s="75" t="n"/>
      <c r="Q75" s="75" t="n"/>
      <c r="R75" s="75" t="n"/>
      <c r="S75" s="75" t="n"/>
      <c r="T75" s="75" t="n"/>
      <c r="U75" s="75" t="n"/>
      <c r="V75" s="75" t="n"/>
      <c r="W75" s="75" t="n"/>
      <c r="X75" s="75" t="n"/>
      <c r="Y75" s="75" t="n"/>
      <c r="Z75" s="75" t="n"/>
      <c r="AA75" s="75" t="n"/>
      <c r="AB75" s="75" t="n"/>
    </row>
    <row r="76" ht="15.6" customHeight="1">
      <c r="A76" s="588" t="inlineStr">
        <is>
          <t>Science Research Specialist I</t>
        </is>
      </c>
      <c r="I76" s="95" t="n"/>
      <c r="J76" s="95" t="n"/>
      <c r="K76" s="95" t="n"/>
      <c r="L76" s="95" t="n"/>
      <c r="M76" s="95" t="n"/>
      <c r="N76" s="95" t="n"/>
      <c r="O76" s="95" t="n"/>
      <c r="P76" s="75" t="n"/>
      <c r="Q76" s="75" t="n"/>
      <c r="R76" s="75" t="n"/>
      <c r="S76" s="75" t="n"/>
      <c r="T76" s="75" t="n"/>
      <c r="U76" s="75" t="n"/>
      <c r="V76" s="75" t="n"/>
      <c r="W76" s="75" t="n"/>
      <c r="X76" s="75" t="n"/>
      <c r="Y76" s="75" t="n"/>
      <c r="Z76" s="75" t="n"/>
      <c r="AA76" s="75" t="n"/>
      <c r="AB76" s="75" t="n"/>
    </row>
    <row r="77" ht="15" customHeight="1">
      <c r="A77" s="75" t="n"/>
      <c r="B77" s="75" t="n"/>
      <c r="C77" s="75" t="n"/>
      <c r="D77" s="75" t="n"/>
      <c r="E77" s="75" t="n"/>
      <c r="F77" s="75" t="n"/>
      <c r="G77" s="75" t="n"/>
      <c r="H77" s="75" t="n"/>
      <c r="I77" s="75" t="n"/>
      <c r="J77" s="75" t="n"/>
      <c r="K77" s="75" t="n"/>
      <c r="L77" s="75" t="n"/>
      <c r="M77" s="95" t="n"/>
      <c r="N77" s="95" t="n"/>
      <c r="O77" s="95" t="n"/>
      <c r="P77" s="75" t="n"/>
      <c r="Q77" s="75" t="n"/>
      <c r="R77" s="75" t="n"/>
      <c r="S77" s="75" t="n"/>
      <c r="T77" s="75" t="n"/>
      <c r="U77" s="75" t="n"/>
      <c r="V77" s="75" t="n"/>
      <c r="W77" s="75" t="n"/>
      <c r="X77" s="75" t="n"/>
      <c r="Y77" s="75" t="n"/>
      <c r="Z77" s="75" t="n"/>
      <c r="AA77" s="75" t="n"/>
      <c r="AB77" s="75" t="n"/>
    </row>
    <row r="78" ht="15" customHeight="1">
      <c r="B78" s="75" t="n"/>
      <c r="C78" s="75" t="n"/>
      <c r="D78" s="75" t="n"/>
      <c r="E78" s="75" t="n"/>
      <c r="F78" s="75" t="n"/>
      <c r="G78" s="75" t="n"/>
      <c r="H78" s="75" t="n"/>
      <c r="I78" s="75" t="n"/>
      <c r="J78" s="75" t="n"/>
      <c r="K78" s="75" t="n"/>
      <c r="L78" s="75" t="n"/>
      <c r="M78" s="95" t="n"/>
      <c r="N78" s="95" t="n"/>
      <c r="O78" s="95" t="n"/>
      <c r="P78" s="75" t="n"/>
      <c r="Q78" s="75" t="n"/>
      <c r="R78" s="75" t="n"/>
      <c r="S78" s="75" t="n"/>
      <c r="T78" s="75" t="n"/>
      <c r="U78" s="75" t="n"/>
      <c r="V78" s="75" t="n"/>
      <c r="W78" s="75" t="n"/>
      <c r="X78" s="75" t="n"/>
      <c r="Y78" s="75" t="n"/>
      <c r="Z78" s="75" t="n"/>
      <c r="AA78" s="75" t="n"/>
      <c r="AB78" s="75" t="n"/>
    </row>
    <row r="79" ht="15.75" customHeight="1">
      <c r="A79" s="589" t="inlineStr">
        <is>
          <t>RADLEY F. MANALO</t>
        </is>
      </c>
      <c r="I79" s="75" t="n"/>
      <c r="J79" s="75" t="n"/>
      <c r="K79" s="75" t="n"/>
      <c r="L79" s="75" t="n"/>
      <c r="M79" s="95" t="n"/>
      <c r="N79" s="95" t="n"/>
      <c r="O79" s="95" t="n"/>
      <c r="P79" s="75" t="n"/>
      <c r="Q79" s="75" t="n"/>
      <c r="R79" s="75" t="n"/>
      <c r="S79" s="75" t="n"/>
      <c r="T79" s="75" t="n"/>
      <c r="U79" s="75" t="n"/>
      <c r="V79" s="75" t="n"/>
      <c r="W79" s="75" t="n"/>
      <c r="X79" s="75" t="n"/>
      <c r="Y79" s="75" t="n"/>
      <c r="Z79" s="75" t="n"/>
      <c r="AA79" s="75" t="n"/>
      <c r="AB79" s="75" t="n"/>
    </row>
    <row r="80" ht="15.75" customHeight="1">
      <c r="A80" s="589" t="inlineStr">
        <is>
          <t>Science Research Specialist II</t>
        </is>
      </c>
      <c r="I80" s="75" t="n"/>
      <c r="J80" s="75" t="n"/>
      <c r="K80" s="75" t="n"/>
      <c r="L80" s="75" t="n"/>
      <c r="M80" s="95" t="n"/>
      <c r="N80" s="95" t="n"/>
      <c r="O80" s="95" t="n"/>
      <c r="P80" s="75" t="n"/>
      <c r="Q80" s="75" t="n"/>
      <c r="R80" s="75" t="n"/>
      <c r="S80" s="75" t="n"/>
      <c r="T80" s="75" t="n"/>
      <c r="U80" s="75" t="n"/>
      <c r="V80" s="75" t="n"/>
      <c r="W80" s="75" t="n"/>
      <c r="X80" s="75" t="n"/>
      <c r="Y80" s="75" t="n"/>
      <c r="Z80" s="75" t="n"/>
      <c r="AA80" s="75" t="n"/>
      <c r="AB80" s="75" t="n"/>
    </row>
    <row r="81" ht="11.45" customHeight="1">
      <c r="A81" s="80" t="n"/>
      <c r="B81" s="80" t="n"/>
      <c r="C81" s="95" t="n"/>
      <c r="D81" s="95" t="n"/>
      <c r="E81" s="95" t="n"/>
      <c r="F81" s="95" t="n"/>
      <c r="G81" s="95" t="n"/>
      <c r="H81" s="95" t="n"/>
      <c r="I81" s="95" t="n"/>
      <c r="J81" s="95" t="n"/>
      <c r="K81" s="95" t="n"/>
      <c r="L81" s="95" t="n"/>
      <c r="M81" s="95" t="n"/>
      <c r="N81" s="95" t="n"/>
      <c r="Q81" s="75" t="n"/>
      <c r="R81" s="75" t="n"/>
      <c r="S81" s="75" t="n"/>
      <c r="T81" s="75" t="n"/>
      <c r="U81" s="75" t="n"/>
      <c r="V81" s="75" t="n"/>
      <c r="W81" s="75" t="n"/>
      <c r="X81" s="75" t="n"/>
      <c r="Y81" s="75" t="n"/>
      <c r="Z81" s="75" t="n"/>
      <c r="AA81" s="75" t="n"/>
      <c r="AB81" s="75" t="n"/>
    </row>
    <row r="82" ht="15.6" customHeight="1">
      <c r="A82" s="80" t="n"/>
      <c r="B82" s="80" t="n"/>
      <c r="C82" s="95" t="n"/>
      <c r="D82" s="95" t="n"/>
      <c r="E82" s="95" t="n"/>
      <c r="F82" s="95" t="n"/>
      <c r="G82" s="95" t="n"/>
      <c r="H82" s="95" t="n"/>
      <c r="I82" s="95" t="n"/>
      <c r="J82" s="95" t="n"/>
      <c r="K82" s="590" t="inlineStr">
        <is>
          <t>For the Chief, National Metrology Laboratory</t>
        </is>
      </c>
      <c r="S82" s="100" t="n"/>
      <c r="T82" s="100" t="n"/>
      <c r="U82" s="100" t="n"/>
      <c r="V82" s="100" t="n"/>
      <c r="W82" s="100" t="n"/>
      <c r="X82" s="100" t="n"/>
      <c r="Y82" s="100" t="n"/>
      <c r="Z82" s="75" t="n"/>
      <c r="AA82" s="75" t="n"/>
      <c r="AB82" s="75" t="n"/>
    </row>
    <row r="83" ht="15" customHeight="1">
      <c r="A83" s="80" t="n"/>
      <c r="B83" s="80" t="n"/>
      <c r="C83" s="75" t="n"/>
      <c r="D83" s="75" t="n"/>
      <c r="E83" s="75" t="n"/>
      <c r="F83" s="75" t="n"/>
      <c r="G83" s="75" t="n"/>
      <c r="H83" s="75" t="n"/>
      <c r="I83" s="75" t="n"/>
      <c r="J83" s="75" t="n"/>
      <c r="K83" s="75" t="n"/>
      <c r="L83" s="75" t="n"/>
      <c r="M83" s="75" t="n"/>
      <c r="N83" s="75" t="n"/>
      <c r="O83" s="75" t="n"/>
      <c r="Q83" s="75" t="n"/>
      <c r="R83" s="75" t="n"/>
      <c r="S83" s="75" t="n"/>
      <c r="T83" s="75" t="n"/>
      <c r="U83" s="75" t="n"/>
      <c r="V83" s="75" t="n"/>
      <c r="W83" s="75" t="n"/>
      <c r="X83" s="75" t="n"/>
      <c r="Y83" s="75" t="n"/>
      <c r="Z83" s="75" t="n"/>
      <c r="AA83" s="75" t="n"/>
      <c r="AB83" s="75" t="n"/>
    </row>
    <row r="84" ht="15" customHeight="1">
      <c r="A84" s="80" t="n"/>
      <c r="B84" s="80" t="n"/>
      <c r="C84" s="75" t="n"/>
      <c r="D84" s="75" t="n"/>
      <c r="E84" s="75" t="n"/>
      <c r="F84" s="75" t="n"/>
      <c r="G84" s="75" t="n"/>
      <c r="H84" s="75" t="n"/>
      <c r="I84" s="75" t="n"/>
      <c r="J84" s="75" t="n"/>
      <c r="K84" s="75" t="n"/>
      <c r="L84" s="75" t="n"/>
      <c r="M84" s="75" t="n"/>
      <c r="N84" s="75" t="n"/>
      <c r="O84" s="75" t="n"/>
      <c r="P84" s="75" t="n"/>
      <c r="Q84" s="75" t="n"/>
      <c r="R84" s="75" t="n"/>
      <c r="S84" s="75" t="n"/>
      <c r="T84" s="75" t="n"/>
      <c r="U84" s="75" t="n"/>
      <c r="V84" s="75" t="n"/>
      <c r="W84" s="75" t="n"/>
      <c r="X84" s="75" t="n"/>
      <c r="Y84" s="75" t="n"/>
      <c r="Z84" s="75" t="n"/>
      <c r="AA84" s="75" t="n"/>
      <c r="AB84" s="75" t="n"/>
    </row>
    <row r="85" ht="15.75" customHeight="1">
      <c r="A85" s="80" t="n"/>
      <c r="B85" s="80" t="n"/>
      <c r="C85" s="75" t="n"/>
      <c r="D85" s="75" t="n"/>
      <c r="E85" s="75" t="n"/>
      <c r="F85" s="75" t="n"/>
      <c r="G85" s="75" t="n"/>
      <c r="H85" s="75" t="n"/>
      <c r="I85" s="75" t="n"/>
      <c r="J85" s="75" t="n"/>
      <c r="K85" s="589" t="inlineStr">
        <is>
          <t>MARYNESS I. SALAZAR</t>
        </is>
      </c>
      <c r="S85" s="75" t="n"/>
      <c r="T85" s="75" t="n"/>
      <c r="U85" s="75" t="n"/>
      <c r="V85" s="75" t="n"/>
      <c r="W85" s="75" t="n"/>
      <c r="X85" s="75" t="n"/>
      <c r="Y85" s="75" t="n"/>
      <c r="Z85" s="100" t="n"/>
      <c r="AA85" s="95" t="n"/>
      <c r="AB85" s="95" t="n"/>
    </row>
    <row r="86" ht="15.75" customHeight="1">
      <c r="A86" s="80" t="n"/>
      <c r="B86" s="80" t="n"/>
      <c r="C86" s="75" t="n"/>
      <c r="D86" s="75" t="n"/>
      <c r="E86" s="75" t="n"/>
      <c r="F86" s="75" t="n"/>
      <c r="G86" s="75" t="n"/>
      <c r="H86" s="75" t="n"/>
      <c r="I86" s="75" t="n"/>
      <c r="J86" s="75" t="n"/>
      <c r="K86" s="589" t="inlineStr">
        <is>
          <t>Section Head</t>
        </is>
      </c>
      <c r="S86" s="75" t="n"/>
      <c r="T86" s="75" t="n"/>
      <c r="U86" s="75" t="n"/>
      <c r="V86" s="75" t="n"/>
      <c r="W86" s="75" t="n"/>
      <c r="X86" s="75" t="n"/>
      <c r="Y86" s="75" t="n"/>
      <c r="Z86" s="100" t="n"/>
      <c r="AA86" s="95" t="n"/>
      <c r="AB86" s="95" t="n"/>
    </row>
    <row r="87" ht="37.9" customHeight="1">
      <c r="B87" s="101" t="n"/>
      <c r="G87" s="101" t="n"/>
      <c r="H87" s="101" t="n"/>
      <c r="J87" s="103" t="n"/>
      <c r="K87" s="103" t="n"/>
      <c r="L87" s="103" t="n"/>
      <c r="M87" s="103" t="n"/>
      <c r="N87" s="103" t="n"/>
    </row>
    <row r="88">
      <c r="B88" s="101" t="inlineStr">
        <is>
          <t xml:space="preserve"> Page 2 of 2</t>
        </is>
      </c>
      <c r="E88" s="102" t="n"/>
      <c r="O88" s="104" t="n"/>
    </row>
    <row r="89">
      <c r="B89" s="101">
        <f>"Calibration Certificate No. "&amp;'Dash Board'!D18</f>
        <v/>
      </c>
      <c r="C89" s="101" t="n"/>
      <c r="D89" s="101" t="n"/>
      <c r="E89" s="101" t="n"/>
      <c r="F89" s="101" t="n"/>
      <c r="G89" s="101" t="n"/>
      <c r="H89" s="101" t="n"/>
    </row>
  </sheetData>
  <mergeCells count="149">
    <mergeCell ref="A7:R7"/>
    <mergeCell ref="AK58:AP58"/>
    <mergeCell ref="O52:R52"/>
    <mergeCell ref="D52:F52"/>
    <mergeCell ref="M31:R31"/>
    <mergeCell ref="A27:R27"/>
    <mergeCell ref="D53:F53"/>
    <mergeCell ref="L58:N58"/>
    <mergeCell ref="A57:C57"/>
    <mergeCell ref="H9:R9"/>
    <mergeCell ref="B70:R70"/>
    <mergeCell ref="A32:F32"/>
    <mergeCell ref="L60:N60"/>
    <mergeCell ref="G57:H57"/>
    <mergeCell ref="AK59:AP59"/>
    <mergeCell ref="A75:H75"/>
    <mergeCell ref="I58:J58"/>
    <mergeCell ref="AQ61:AU61"/>
    <mergeCell ref="AV57:AZ57"/>
    <mergeCell ref="A52:C52"/>
    <mergeCell ref="M32:R32"/>
    <mergeCell ref="L59:N59"/>
    <mergeCell ref="K86:R86"/>
    <mergeCell ref="A31:F31"/>
    <mergeCell ref="G58:H58"/>
    <mergeCell ref="L61:N61"/>
    <mergeCell ref="I52:J52"/>
    <mergeCell ref="O54:R54"/>
    <mergeCell ref="H13:R13"/>
    <mergeCell ref="A48:R48"/>
    <mergeCell ref="B68:R68"/>
    <mergeCell ref="AK57:AP57"/>
    <mergeCell ref="H15:R15"/>
    <mergeCell ref="O55:R55"/>
    <mergeCell ref="H18:R18"/>
    <mergeCell ref="D57:F57"/>
    <mergeCell ref="V43:W43"/>
    <mergeCell ref="G59:H59"/>
    <mergeCell ref="O49:R50"/>
    <mergeCell ref="O60:R60"/>
    <mergeCell ref="AV59:AZ59"/>
    <mergeCell ref="G61:H61"/>
    <mergeCell ref="H10:R10"/>
    <mergeCell ref="A55:C55"/>
    <mergeCell ref="L51:N51"/>
    <mergeCell ref="I61:J61"/>
    <mergeCell ref="AQ51:AU51"/>
    <mergeCell ref="AQ57:AU57"/>
    <mergeCell ref="I57:J57"/>
    <mergeCell ref="AV61:AZ61"/>
    <mergeCell ref="I54:J54"/>
    <mergeCell ref="L50:N50"/>
    <mergeCell ref="AQ50:AU50"/>
    <mergeCell ref="K85:R85"/>
    <mergeCell ref="I56:J56"/>
    <mergeCell ref="O53:R53"/>
    <mergeCell ref="L52:N52"/>
    <mergeCell ref="D55:F55"/>
    <mergeCell ref="G49:H49"/>
    <mergeCell ref="H17:R17"/>
    <mergeCell ref="G32:I32"/>
    <mergeCell ref="L49:N49"/>
    <mergeCell ref="H11:R11"/>
    <mergeCell ref="A58:C58"/>
    <mergeCell ref="D54:F54"/>
    <mergeCell ref="AK61:AP61"/>
    <mergeCell ref="D60:F60"/>
    <mergeCell ref="H19:R19"/>
    <mergeCell ref="A51:C51"/>
    <mergeCell ref="A60:C60"/>
    <mergeCell ref="B71:R72"/>
    <mergeCell ref="AE50:AJ50"/>
    <mergeCell ref="H12:R12"/>
    <mergeCell ref="AE59:AJ59"/>
    <mergeCell ref="AQ59:AU59"/>
    <mergeCell ref="S63:T63"/>
    <mergeCell ref="A36:R36"/>
    <mergeCell ref="AV49:AZ49"/>
    <mergeCell ref="I59:J59"/>
    <mergeCell ref="A45:R45"/>
    <mergeCell ref="G60:H60"/>
    <mergeCell ref="I60:J60"/>
    <mergeCell ref="H14:R14"/>
    <mergeCell ref="O56:R56"/>
    <mergeCell ref="O58:R58"/>
    <mergeCell ref="H43:I43"/>
    <mergeCell ref="AK51:AP51"/>
    <mergeCell ref="AV50:AZ50"/>
    <mergeCell ref="L55:N55"/>
    <mergeCell ref="A50:C50"/>
    <mergeCell ref="A79:H79"/>
    <mergeCell ref="O57:R57"/>
    <mergeCell ref="J32:L32"/>
    <mergeCell ref="L54:N54"/>
    <mergeCell ref="AE57:AJ57"/>
    <mergeCell ref="AK50:AP50"/>
    <mergeCell ref="AV51:AZ51"/>
    <mergeCell ref="V63:W63"/>
    <mergeCell ref="D58:F58"/>
    <mergeCell ref="L56:N56"/>
    <mergeCell ref="D51:F51"/>
    <mergeCell ref="AE49:AJ49"/>
    <mergeCell ref="G31:I31"/>
    <mergeCell ref="B69:R69"/>
    <mergeCell ref="D50:F50"/>
    <mergeCell ref="AQ58:AU58"/>
    <mergeCell ref="A76:H76"/>
    <mergeCell ref="D59:F59"/>
    <mergeCell ref="A59:C59"/>
    <mergeCell ref="AE51:AJ51"/>
    <mergeCell ref="A49:F49"/>
    <mergeCell ref="G51:H51"/>
    <mergeCell ref="I51:J51"/>
    <mergeCell ref="L57:N57"/>
    <mergeCell ref="G54:H54"/>
    <mergeCell ref="H42:I42"/>
    <mergeCell ref="A61:C61"/>
    <mergeCell ref="L53:N53"/>
    <mergeCell ref="G50:H50"/>
    <mergeCell ref="O59:R59"/>
    <mergeCell ref="I50:J50"/>
    <mergeCell ref="A6:R6"/>
    <mergeCell ref="A54:C54"/>
    <mergeCell ref="G56:H56"/>
    <mergeCell ref="O51:R51"/>
    <mergeCell ref="A28:Z28"/>
    <mergeCell ref="L63:R63"/>
    <mergeCell ref="G52:H52"/>
    <mergeCell ref="O61:R61"/>
    <mergeCell ref="D61:F61"/>
    <mergeCell ref="AE61:AJ61"/>
    <mergeCell ref="I49:J49"/>
    <mergeCell ref="A56:C56"/>
    <mergeCell ref="A47:R47"/>
    <mergeCell ref="J31:L31"/>
    <mergeCell ref="D56:F56"/>
    <mergeCell ref="G53:H53"/>
    <mergeCell ref="A53:C53"/>
    <mergeCell ref="I53:J53"/>
    <mergeCell ref="AV58:AZ58"/>
    <mergeCell ref="A80:H80"/>
    <mergeCell ref="A38:R38"/>
    <mergeCell ref="I55:J55"/>
    <mergeCell ref="B66:R67"/>
    <mergeCell ref="AK49:AP49"/>
    <mergeCell ref="G55:H55"/>
    <mergeCell ref="K82:R82"/>
    <mergeCell ref="AE58:AJ58"/>
    <mergeCell ref="AQ49:AU49"/>
  </mergeCells>
  <pageMargins left="0.7" right="0.7" top="0.75" bottom="0" header="0.3" footer="0.5"/>
  <pageSetup orientation="portrait" paperSize="9" fitToHeight="2"/>
  <headerFooter differentFirst="1">
    <oddHeader/>
    <oddFooter/>
    <evenHeader/>
    <evenFooter/>
    <firstHeader/>
    <firstFooter/>
  </headerFooter>
</worksheet>
</file>

<file path=xl/worksheets/sheet7.xml><?xml version="1.0" encoding="utf-8"?>
<worksheet xmlns="http://schemas.openxmlformats.org/spreadsheetml/2006/main">
  <sheetPr codeName="Sheet5">
    <outlinePr summaryBelow="1" summaryRight="1"/>
    <pageSetUpPr/>
  </sheetPr>
  <dimension ref="A6:AL92"/>
  <sheetViews>
    <sheetView view="pageBreakPreview" topLeftCell="A5" zoomScale="96" zoomScaleNormal="130" zoomScaleSheetLayoutView="96" zoomScalePageLayoutView="115" workbookViewId="0">
      <selection activeCell="H19" sqref="H19:R19"/>
    </sheetView>
  </sheetViews>
  <sheetFormatPr baseColWidth="8" defaultColWidth="8.85546875" defaultRowHeight="15"/>
  <cols>
    <col width="2.28515625" customWidth="1" style="329" min="1" max="1"/>
    <col width="4.7109375" customWidth="1" style="329" min="2" max="2"/>
    <col width="3.42578125" customWidth="1" style="329" min="3" max="3"/>
    <col width="3.28515625" customWidth="1" style="329" min="4" max="4"/>
    <col width="2" customWidth="1" style="329" min="5" max="5"/>
    <col width="5.85546875" customWidth="1" style="329" min="6" max="6"/>
    <col width="2" customWidth="1" style="329" min="7" max="7"/>
    <col width="9.5703125" customWidth="1" style="329" min="8" max="8"/>
    <col width="5.7109375" customWidth="1" style="329" min="9" max="9"/>
    <col width="9.42578125" customWidth="1" style="329" min="10" max="10"/>
    <col width="13.85546875" customWidth="1" style="329" min="11" max="11"/>
    <col width="3.42578125" customWidth="1" style="329" min="12" max="12"/>
    <col width="5.28515625" customWidth="1" style="329" min="13" max="13"/>
    <col width="5.42578125" customWidth="1" style="329" min="14" max="14"/>
    <col width="3.42578125" customWidth="1" style="329" min="15" max="15"/>
    <col width="0.7109375" customWidth="1" style="329" min="16" max="16"/>
    <col width="4.42578125" customWidth="1" style="329" min="17" max="17"/>
    <col width="1.7109375" customWidth="1" style="329" min="18" max="18"/>
    <col width="3.42578125" customWidth="1" style="329" min="19" max="23"/>
    <col width="3.140625" customWidth="1" style="329" min="24" max="24"/>
    <col width="3.7109375" customWidth="1" style="329" min="25" max="25"/>
    <col width="3.5703125" customWidth="1" style="329" min="26" max="26"/>
    <col width="3.7109375" customWidth="1" style="329" min="27" max="27"/>
    <col hidden="1" width="255.7109375" customWidth="1" style="329" min="28" max="28"/>
    <col width="3.7109375" customWidth="1" style="329" min="29" max="37"/>
    <col width="8.85546875" customWidth="1" style="329" min="38" max="16384"/>
  </cols>
  <sheetData>
    <row r="6" ht="18.75" customHeight="1">
      <c r="A6" s="664" t="inlineStr">
        <is>
          <t xml:space="preserve">     CALIBRATION CERTIFICATE</t>
        </is>
      </c>
      <c r="B6" s="329" t="n"/>
      <c r="C6" s="329" t="n"/>
      <c r="D6" s="329" t="n"/>
      <c r="E6" s="329" t="n"/>
      <c r="F6" s="329" t="n"/>
      <c r="G6" s="329" t="n"/>
      <c r="H6" s="329" t="n"/>
      <c r="I6" s="329" t="n"/>
      <c r="J6" s="329" t="n"/>
      <c r="K6" s="329" t="n"/>
      <c r="L6" s="329" t="n"/>
      <c r="M6" s="329" t="n"/>
      <c r="N6" s="329" t="n"/>
      <c r="O6" s="329" t="n"/>
      <c r="P6" s="329" t="n"/>
      <c r="Q6" s="329" t="n"/>
      <c r="R6" s="329" t="n"/>
      <c r="S6" s="328" t="n"/>
      <c r="T6" s="328" t="n"/>
      <c r="U6" s="328" t="n"/>
      <c r="V6" s="328" t="n"/>
      <c r="W6" s="328" t="n"/>
      <c r="X6" s="328" t="n"/>
      <c r="Y6" s="328" t="n"/>
      <c r="Z6" s="328" t="n"/>
    </row>
    <row r="7" ht="19.5" customHeight="1">
      <c r="A7" s="665">
        <f>"No. "&amp;'Dash Board'!D18</f>
        <v/>
      </c>
      <c r="B7" s="329" t="n"/>
      <c r="C7" s="329" t="n"/>
      <c r="D7" s="329" t="n"/>
      <c r="E7" s="329" t="n"/>
      <c r="F7" s="329" t="n"/>
      <c r="G7" s="329" t="n"/>
      <c r="H7" s="329" t="n"/>
      <c r="I7" s="329" t="n"/>
      <c r="J7" s="329" t="n"/>
      <c r="K7" s="329" t="n"/>
      <c r="L7" s="329" t="n"/>
      <c r="M7" s="329" t="n"/>
      <c r="N7" s="329" t="n"/>
      <c r="O7" s="329" t="n"/>
      <c r="P7" s="329" t="n"/>
      <c r="Q7" s="329" t="n"/>
      <c r="R7" s="329" t="n"/>
      <c r="S7" s="328" t="n"/>
      <c r="T7" s="328" t="n"/>
      <c r="U7" s="328" t="n"/>
      <c r="V7" s="330" t="n"/>
    </row>
    <row r="8" ht="15" customHeight="1"/>
    <row r="9" ht="15.75" customHeight="1">
      <c r="A9" s="331" t="inlineStr">
        <is>
          <t>Date of Calibration</t>
        </is>
      </c>
      <c r="B9" s="332" t="n"/>
      <c r="C9" s="332" t="n"/>
      <c r="D9" s="332" t="n"/>
      <c r="E9" s="331" t="n"/>
      <c r="F9" s="331" t="n"/>
      <c r="G9" s="644" t="inlineStr">
        <is>
          <t>:</t>
        </is>
      </c>
      <c r="H9" s="866">
        <f>'Dash Board'!D17</f>
        <v/>
      </c>
      <c r="I9" s="329" t="n"/>
      <c r="J9" s="329" t="n"/>
      <c r="K9" s="329" t="n"/>
      <c r="L9" s="329" t="n"/>
      <c r="M9" s="329" t="n"/>
      <c r="N9" s="329" t="n"/>
      <c r="O9" s="329" t="n"/>
      <c r="P9" s="329" t="n"/>
      <c r="Q9" s="329" t="n"/>
      <c r="R9" s="329" t="n"/>
      <c r="S9" s="866" t="n"/>
      <c r="T9" s="866" t="n"/>
      <c r="U9" s="866" t="n"/>
      <c r="V9" s="866" t="n"/>
      <c r="W9" s="866" t="n"/>
      <c r="X9" s="866" t="n"/>
      <c r="Y9" s="866" t="n"/>
      <c r="Z9" s="866" t="n"/>
      <c r="AA9" s="335" t="n"/>
      <c r="AB9" s="335" t="n"/>
    </row>
    <row r="10" ht="15.75" customHeight="1">
      <c r="A10" s="331" t="inlineStr">
        <is>
          <t>Calibration Item</t>
        </is>
      </c>
      <c r="B10" s="332" t="n"/>
      <c r="C10" s="332" t="n"/>
      <c r="D10" s="332" t="n"/>
      <c r="E10" s="331" t="n"/>
      <c r="F10" s="331" t="n"/>
      <c r="G10" s="644" t="inlineStr">
        <is>
          <t>:</t>
        </is>
      </c>
      <c r="H10" s="866">
        <f>'Dash Board'!D19</f>
        <v/>
      </c>
      <c r="I10" s="329" t="n"/>
      <c r="J10" s="329" t="n"/>
      <c r="K10" s="329" t="n"/>
      <c r="L10" s="329" t="n"/>
      <c r="M10" s="329" t="n"/>
      <c r="N10" s="329" t="n"/>
      <c r="O10" s="329" t="n"/>
      <c r="P10" s="329" t="n"/>
      <c r="Q10" s="329" t="n"/>
      <c r="R10" s="329" t="n"/>
      <c r="S10" s="336" t="n"/>
      <c r="T10" s="336" t="n"/>
      <c r="U10" s="336" t="n"/>
      <c r="V10" s="336" t="n"/>
      <c r="W10" s="336" t="n"/>
      <c r="X10" s="336" t="n"/>
      <c r="Y10" s="336" t="n"/>
      <c r="Z10" s="336" t="n"/>
      <c r="AA10" s="335" t="n"/>
      <c r="AB10" s="335" t="n"/>
    </row>
    <row r="11" ht="15.75" customHeight="1">
      <c r="A11" s="332" t="n"/>
      <c r="B11" s="331" t="inlineStr">
        <is>
          <t>Capacity</t>
        </is>
      </c>
      <c r="C11" s="332" t="n"/>
      <c r="D11" s="332" t="n"/>
      <c r="E11" s="332" t="n"/>
      <c r="F11" s="331" t="n"/>
      <c r="G11" s="644" t="inlineStr">
        <is>
          <t>:</t>
        </is>
      </c>
      <c r="H11" s="866">
        <f>'Calibration Data'!L10</f>
        <v/>
      </c>
      <c r="I11" s="329" t="n"/>
      <c r="J11" s="329" t="n"/>
      <c r="K11" s="329" t="n"/>
      <c r="L11" s="329" t="n"/>
      <c r="M11" s="329" t="n"/>
      <c r="N11" s="329" t="n"/>
      <c r="O11" s="329" t="n"/>
      <c r="P11" s="329" t="n"/>
      <c r="Q11" s="329" t="n"/>
      <c r="R11" s="329" t="n"/>
      <c r="S11" s="336" t="n"/>
      <c r="T11" s="336" t="n"/>
      <c r="U11" s="336" t="n"/>
      <c r="V11" s="336" t="n"/>
      <c r="W11" s="336" t="n"/>
      <c r="X11" s="336" t="n"/>
      <c r="Y11" s="336" t="n"/>
      <c r="Z11" s="336" t="n"/>
      <c r="AA11" s="335" t="n"/>
      <c r="AB11" s="335" t="n"/>
    </row>
    <row r="12" ht="15.75" customHeight="1">
      <c r="A12" s="332" t="n"/>
      <c r="B12" s="331" t="inlineStr">
        <is>
          <t>Measurement Range</t>
        </is>
      </c>
      <c r="C12" s="332" t="n"/>
      <c r="D12" s="332" t="n"/>
      <c r="E12" s="332" t="n"/>
      <c r="F12" s="331" t="n"/>
      <c r="G12" s="644" t="inlineStr">
        <is>
          <t>:</t>
        </is>
      </c>
      <c r="H12" s="866">
        <f>'Calibration Data'!L11</f>
        <v/>
      </c>
      <c r="I12" s="329" t="n"/>
      <c r="J12" s="329" t="n"/>
      <c r="K12" s="329" t="n"/>
      <c r="L12" s="329" t="n"/>
      <c r="M12" s="329" t="n"/>
      <c r="N12" s="329" t="n"/>
      <c r="O12" s="329" t="n"/>
      <c r="P12" s="329" t="n"/>
      <c r="Q12" s="329" t="n"/>
      <c r="R12" s="329" t="n"/>
      <c r="S12" s="336" t="n"/>
      <c r="T12" s="336" t="n"/>
      <c r="U12" s="336" t="n"/>
      <c r="V12" s="336" t="n"/>
      <c r="W12" s="336" t="n"/>
      <c r="X12" s="336" t="n"/>
      <c r="Y12" s="336" t="n"/>
      <c r="Z12" s="336" t="n"/>
      <c r="AA12" s="335" t="n"/>
      <c r="AB12" s="335" t="n"/>
    </row>
    <row r="13" ht="15.75" customHeight="1">
      <c r="A13" s="332" t="n"/>
      <c r="B13" s="331">
        <f>'Dash Board'!K21</f>
        <v/>
      </c>
      <c r="C13" s="332" t="n"/>
      <c r="D13" s="332" t="n"/>
      <c r="E13" s="332" t="n"/>
      <c r="F13" s="331" t="n"/>
      <c r="G13" s="644" t="inlineStr">
        <is>
          <t>:</t>
        </is>
      </c>
      <c r="H13" s="866">
        <f>'Calibration Data'!L12</f>
        <v/>
      </c>
      <c r="I13" s="329" t="n"/>
      <c r="J13" s="329" t="n"/>
      <c r="K13" s="329" t="n"/>
      <c r="L13" s="329" t="n"/>
      <c r="M13" s="329" t="n"/>
      <c r="N13" s="329" t="n"/>
      <c r="O13" s="329" t="n"/>
      <c r="P13" s="329" t="n"/>
      <c r="Q13" s="329" t="n"/>
      <c r="R13" s="329" t="n"/>
      <c r="S13" s="336" t="n"/>
      <c r="T13" s="336" t="n"/>
      <c r="U13" s="336" t="n"/>
      <c r="V13" s="336" t="n"/>
      <c r="W13" s="336" t="n"/>
      <c r="X13" s="336" t="n"/>
      <c r="Y13" s="336" t="n"/>
      <c r="Z13" s="336" t="n"/>
      <c r="AA13" s="335" t="n"/>
      <c r="AB13" s="335" t="n"/>
    </row>
    <row r="14" ht="15.75" customHeight="1">
      <c r="A14" s="332" t="n"/>
      <c r="B14" s="331" t="inlineStr">
        <is>
          <t>Make / Model</t>
        </is>
      </c>
      <c r="C14" s="332" t="n"/>
      <c r="D14" s="332" t="n"/>
      <c r="E14" s="332" t="n"/>
      <c r="F14" s="331" t="n"/>
      <c r="G14" s="644" t="inlineStr">
        <is>
          <t>:</t>
        </is>
      </c>
      <c r="H14" s="866">
        <f>'Calibration Data'!C11&amp;" (Load Cell); "&amp;IF('Dash Board'!D26&lt;&gt;"",'Dash Board'!D26&amp;" (Indicator)","")</f>
        <v/>
      </c>
      <c r="I14" s="329" t="n"/>
      <c r="J14" s="329" t="n"/>
      <c r="K14" s="329" t="n"/>
      <c r="L14" s="329" t="n"/>
      <c r="M14" s="329" t="n"/>
      <c r="N14" s="329" t="n"/>
      <c r="O14" s="329" t="n"/>
      <c r="P14" s="329" t="n"/>
      <c r="Q14" s="329" t="n"/>
      <c r="R14" s="329" t="n"/>
      <c r="S14" s="336" t="n"/>
      <c r="T14" s="336" t="n"/>
      <c r="U14" s="336" t="n"/>
      <c r="V14" s="336" t="n"/>
      <c r="W14" s="336" t="n"/>
      <c r="X14" s="336" t="n"/>
      <c r="Y14" s="336" t="n"/>
      <c r="Z14" s="336" t="n"/>
      <c r="AA14" s="335" t="n"/>
      <c r="AB14" s="335" t="n"/>
    </row>
    <row r="15" ht="15.75" customHeight="1">
      <c r="A15" s="332" t="n"/>
      <c r="B15" s="331" t="inlineStr">
        <is>
          <t>Serial No.</t>
        </is>
      </c>
      <c r="C15" s="332" t="n"/>
      <c r="D15" s="332" t="n"/>
      <c r="E15" s="332" t="n"/>
      <c r="F15" s="332" t="n"/>
      <c r="G15" s="644" t="inlineStr">
        <is>
          <t>:</t>
        </is>
      </c>
      <c r="H15" s="866">
        <f>'Calibration Data'!C12&amp;" (Load Cell); "&amp;IF('Dash Board'!D27&lt;&gt;"",'Dash Board'!D27&amp;" (Indicator)","")</f>
        <v/>
      </c>
      <c r="I15" s="329" t="n"/>
      <c r="J15" s="329" t="n"/>
      <c r="K15" s="329" t="n"/>
      <c r="L15" s="329" t="n"/>
      <c r="M15" s="329" t="n"/>
      <c r="N15" s="329" t="n"/>
      <c r="O15" s="329" t="n"/>
      <c r="P15" s="329" t="n"/>
      <c r="Q15" s="329" t="n"/>
      <c r="R15" s="329" t="n"/>
      <c r="S15" s="337" t="n"/>
      <c r="T15" s="337" t="n"/>
      <c r="U15" s="337" t="n"/>
      <c r="V15" s="337" t="n"/>
      <c r="W15" s="337" t="n"/>
      <c r="X15" s="337" t="n"/>
      <c r="Y15" s="337" t="n"/>
      <c r="Z15" s="337" t="n"/>
      <c r="AA15" s="335" t="n"/>
      <c r="AB15" s="335" t="n"/>
    </row>
    <row r="16" hidden="1" ht="15.6" customHeight="1">
      <c r="A16" s="332" t="n"/>
      <c r="B16" s="331" t="n"/>
      <c r="C16" s="332" t="n"/>
      <c r="D16" s="332" t="n"/>
      <c r="E16" s="332" t="n"/>
      <c r="F16" s="332" t="n"/>
      <c r="G16" s="644" t="n"/>
      <c r="H16" s="338">
        <f>Software!O21&amp; " (Indicator)"</f>
        <v/>
      </c>
      <c r="K16" s="339" t="n"/>
      <c r="L16" s="339" t="n"/>
      <c r="M16" s="339" t="n"/>
      <c r="N16" s="339" t="n"/>
      <c r="O16" s="339" t="n"/>
      <c r="P16" s="339" t="n"/>
      <c r="Q16" s="339" t="n"/>
      <c r="R16" s="339" t="n"/>
      <c r="S16" s="339" t="n"/>
      <c r="T16" s="339" t="n"/>
      <c r="U16" s="339" t="n"/>
      <c r="V16" s="339" t="n"/>
      <c r="W16" s="339" t="n"/>
      <c r="X16" s="339" t="n"/>
      <c r="Y16" s="331" t="n"/>
      <c r="Z16" s="331" t="n"/>
      <c r="AA16" s="335" t="n"/>
      <c r="AB16" s="335" t="n"/>
    </row>
    <row r="17" ht="16.9" customHeight="1">
      <c r="A17" s="331" t="inlineStr">
        <is>
          <t>Customer</t>
        </is>
      </c>
      <c r="B17" s="332" t="n"/>
      <c r="C17" s="332" t="n"/>
      <c r="D17" s="332" t="n"/>
      <c r="E17" s="331" t="n"/>
      <c r="F17" s="331" t="n"/>
      <c r="G17" s="644" t="inlineStr">
        <is>
          <t>:</t>
        </is>
      </c>
      <c r="H17" s="866">
        <f>UPPER('Calibration Data'!C7)</f>
        <v/>
      </c>
      <c r="I17" s="329" t="n"/>
      <c r="J17" s="329" t="n"/>
      <c r="K17" s="329" t="n"/>
      <c r="L17" s="329" t="n"/>
      <c r="M17" s="329" t="n"/>
      <c r="N17" s="329" t="n"/>
      <c r="O17" s="329" t="n"/>
      <c r="P17" s="329" t="n"/>
      <c r="Q17" s="329" t="n"/>
      <c r="R17" s="329" t="n"/>
      <c r="S17" s="336" t="n"/>
      <c r="T17" s="336" t="n"/>
      <c r="U17" s="336" t="n"/>
      <c r="V17" s="336" t="n"/>
      <c r="W17" s="336" t="n"/>
      <c r="X17" s="336" t="n"/>
      <c r="Y17" s="336" t="n"/>
      <c r="Z17" s="336" t="n"/>
      <c r="AA17" s="335" t="n"/>
      <c r="AB17" s="335" t="n"/>
    </row>
    <row r="18" ht="16.5" customHeight="1">
      <c r="A18" s="332" t="n"/>
      <c r="B18" s="332" t="n"/>
      <c r="C18" s="331" t="n"/>
      <c r="D18" s="331" t="n"/>
      <c r="E18" s="331" t="n"/>
      <c r="F18" s="331" t="n"/>
      <c r="G18" s="331" t="n"/>
      <c r="H18" s="866">
        <f>'Dash Board'!D8</f>
        <v/>
      </c>
      <c r="I18" s="329" t="n"/>
      <c r="J18" s="329" t="n"/>
      <c r="K18" s="329" t="n"/>
      <c r="L18" s="329" t="n"/>
      <c r="M18" s="329" t="n"/>
      <c r="N18" s="329" t="n"/>
      <c r="O18" s="329" t="n"/>
      <c r="P18" s="329" t="n"/>
      <c r="Q18" s="329" t="n"/>
      <c r="R18" s="329" t="n"/>
      <c r="S18" s="340" t="n"/>
      <c r="T18" s="340" t="n"/>
      <c r="U18" s="340" t="n"/>
      <c r="V18" s="340" t="n"/>
      <c r="W18" s="340" t="n"/>
      <c r="X18" s="340" t="n"/>
      <c r="Y18" s="340" t="n"/>
      <c r="Z18" s="340" t="n"/>
      <c r="AA18" s="341" t="n"/>
      <c r="AB18" s="335" t="n"/>
    </row>
    <row r="19" ht="19.5" customHeight="1">
      <c r="A19" s="342" t="n"/>
      <c r="B19" s="342" t="n"/>
      <c r="C19" s="335" t="n"/>
      <c r="D19" s="335" t="n"/>
      <c r="E19" s="335" t="n"/>
      <c r="F19" s="335" t="n"/>
      <c r="G19" s="335" t="n"/>
      <c r="H19" s="866">
        <f>IF('Dash Board'!D9&lt;&gt;0,'Dash Board'!D9,"")</f>
        <v/>
      </c>
      <c r="I19" s="329" t="n"/>
      <c r="J19" s="329" t="n"/>
      <c r="K19" s="329" t="n"/>
      <c r="L19" s="329" t="n"/>
      <c r="M19" s="329" t="n"/>
      <c r="N19" s="329" t="n"/>
      <c r="O19" s="329" t="n"/>
      <c r="P19" s="329" t="n"/>
      <c r="Q19" s="329" t="n"/>
      <c r="R19" s="329" t="n"/>
      <c r="S19" s="340" t="n"/>
      <c r="T19" s="340" t="n"/>
      <c r="U19" s="340" t="n"/>
      <c r="V19" s="340" t="n"/>
      <c r="W19" s="340" t="n"/>
      <c r="X19" s="340" t="n"/>
      <c r="Y19" s="340" t="n"/>
      <c r="Z19" s="340" t="n"/>
      <c r="AA19" s="341" t="n"/>
      <c r="AB19" s="335" t="n"/>
    </row>
    <row r="20" ht="15" customHeight="1">
      <c r="B20" s="342" t="n"/>
      <c r="C20" s="335" t="n"/>
      <c r="D20" s="335" t="n"/>
      <c r="E20" s="335" t="n"/>
      <c r="F20" s="335" t="n"/>
      <c r="G20" s="335" t="n"/>
      <c r="H20" s="335" t="n"/>
      <c r="I20" s="343" t="n"/>
      <c r="J20" s="344" t="n"/>
      <c r="K20" s="343" t="n"/>
      <c r="L20" s="343" t="n"/>
      <c r="M20" s="343" t="n"/>
      <c r="N20" s="343" t="n"/>
      <c r="O20" s="343" t="n"/>
      <c r="P20" s="343" t="n"/>
      <c r="Q20" s="343" t="n"/>
      <c r="R20" s="343" t="n"/>
      <c r="S20" s="343" t="n"/>
      <c r="T20" s="343" t="n"/>
      <c r="U20" s="343" t="n"/>
      <c r="V20" s="343" t="n"/>
      <c r="W20" s="345" t="n"/>
      <c r="X20" s="341" t="n"/>
      <c r="Y20" s="341" t="n"/>
      <c r="Z20" s="341" t="n"/>
      <c r="AA20" s="341" t="n"/>
      <c r="AB20" s="335" t="n"/>
    </row>
    <row r="21" ht="16.5" customHeight="1">
      <c r="A21" s="335" t="inlineStr">
        <is>
          <t>MEASUREMENT RESULTS:</t>
        </is>
      </c>
      <c r="B21" s="342" t="n"/>
      <c r="D21" s="342" t="n"/>
      <c r="E21" s="335" t="n"/>
      <c r="F21" s="335" t="n"/>
      <c r="G21" s="335" t="n"/>
      <c r="H21" s="335" t="n"/>
      <c r="I21" s="335" t="n"/>
      <c r="J21" s="335" t="n"/>
      <c r="K21" s="335" t="n"/>
      <c r="L21" s="335" t="n"/>
      <c r="M21" s="335" t="n"/>
      <c r="N21" s="335" t="n"/>
      <c r="O21" s="335" t="n"/>
      <c r="P21" s="335" t="n"/>
      <c r="Q21" s="335" t="n"/>
      <c r="R21" s="335" t="n"/>
      <c r="S21" s="335" t="n"/>
      <c r="T21" s="335" t="n"/>
      <c r="U21" s="335" t="n"/>
      <c r="V21" s="335" t="n"/>
      <c r="W21" s="346" t="n"/>
      <c r="X21" s="346" t="n"/>
      <c r="Y21" s="346" t="n"/>
      <c r="Z21" s="346" t="n"/>
      <c r="AA21" s="346" t="n"/>
      <c r="AB21" s="335" t="n"/>
    </row>
    <row r="22" ht="6" customHeight="1">
      <c r="A22" s="335" t="n"/>
      <c r="B22" s="342" t="n"/>
      <c r="D22" s="342" t="n"/>
      <c r="E22" s="335" t="n"/>
      <c r="F22" s="335" t="n"/>
      <c r="G22" s="335" t="n"/>
      <c r="H22" s="335" t="n"/>
      <c r="I22" s="335" t="n"/>
      <c r="J22" s="335" t="n"/>
      <c r="K22" s="335" t="n"/>
      <c r="L22" s="335" t="n"/>
      <c r="M22" s="335" t="n"/>
      <c r="N22" s="335" t="n"/>
      <c r="O22" s="335" t="n"/>
      <c r="P22" s="335" t="n"/>
      <c r="Q22" s="335" t="n"/>
      <c r="R22" s="335" t="n"/>
      <c r="S22" s="335" t="n"/>
      <c r="T22" s="335" t="n"/>
      <c r="U22" s="335" t="n"/>
      <c r="V22" s="335" t="n"/>
      <c r="W22" s="346" t="n"/>
      <c r="X22" s="346" t="n"/>
      <c r="Y22" s="346" t="n"/>
      <c r="Z22" s="346" t="n"/>
      <c r="AA22" s="346" t="n"/>
      <c r="AB22" s="335" t="n"/>
    </row>
    <row r="23" ht="48" customHeight="1">
      <c r="A23" s="652" t="inlineStr">
        <is>
          <t>Indicated Force</t>
        </is>
      </c>
      <c r="B23" s="761" t="n"/>
      <c r="C23" s="761" t="n"/>
      <c r="D23" s="761" t="n"/>
      <c r="E23" s="761" t="n"/>
      <c r="F23" s="762" t="n"/>
      <c r="G23" s="652" t="inlineStr">
        <is>
          <t>Applied Force</t>
        </is>
      </c>
      <c r="H23" s="762" t="n"/>
      <c r="I23" s="651" t="inlineStr">
        <is>
          <t xml:space="preserve">Relative Expanded Uncertainty </t>
        </is>
      </c>
      <c r="J23" s="762" t="n"/>
      <c r="K23" s="652" t="inlineStr">
        <is>
          <t xml:space="preserve">Relative Accuracy Error </t>
        </is>
      </c>
      <c r="L23" s="652" t="inlineStr">
        <is>
          <t>Relative Repeatability Error</t>
        </is>
      </c>
      <c r="M23" s="761" t="n"/>
      <c r="N23" s="762" t="n"/>
      <c r="O23" s="652" t="inlineStr">
        <is>
          <t>Class</t>
        </is>
      </c>
      <c r="P23" s="406" t="n"/>
      <c r="Q23" s="406" t="n"/>
      <c r="R23" s="867" t="n"/>
      <c r="S23" s="335" t="n"/>
      <c r="T23" s="335" t="n"/>
      <c r="U23" s="335" t="n"/>
      <c r="V23" s="335" t="n"/>
      <c r="W23" s="346" t="n"/>
      <c r="X23" s="346" t="n"/>
      <c r="Y23" s="346" t="n"/>
      <c r="Z23" s="346" t="n"/>
      <c r="AA23" s="346" t="n"/>
      <c r="AB23" s="335" t="n"/>
    </row>
    <row r="24" ht="16.9" customHeight="1">
      <c r="A24" s="659">
        <f>Software!E21</f>
        <v/>
      </c>
      <c r="B24" s="761" t="n"/>
      <c r="C24" s="762" t="n"/>
      <c r="D24" s="659" t="inlineStr">
        <is>
          <t>kN</t>
        </is>
      </c>
      <c r="E24" s="761" t="n"/>
      <c r="F24" s="762" t="n"/>
      <c r="G24" s="659" t="inlineStr">
        <is>
          <t>kN</t>
        </is>
      </c>
      <c r="H24" s="762" t="n"/>
      <c r="I24" s="659" t="inlineStr">
        <is>
          <t>%</t>
        </is>
      </c>
      <c r="J24" s="762" t="n"/>
      <c r="K24" s="659" t="inlineStr">
        <is>
          <t>%</t>
        </is>
      </c>
      <c r="L24" s="659" t="inlineStr">
        <is>
          <t>%</t>
        </is>
      </c>
      <c r="M24" s="761" t="n"/>
      <c r="N24" s="762" t="n"/>
      <c r="O24" s="868" t="n"/>
      <c r="P24" s="397" t="n"/>
      <c r="Q24" s="397" t="n"/>
      <c r="R24" s="869" t="n"/>
      <c r="Z24" s="335" t="n"/>
      <c r="AA24" s="335" t="n"/>
      <c r="AB24" s="335" t="n"/>
    </row>
    <row r="25" ht="16.9" customHeight="1">
      <c r="A25" s="870">
        <f>'Calibration Data'!T24</f>
        <v/>
      </c>
      <c r="B25" s="761" t="n"/>
      <c r="C25" s="762" t="n"/>
      <c r="D25" s="637">
        <f>'Calibration Data'!U24</f>
        <v/>
      </c>
      <c r="E25" s="761" t="n"/>
      <c r="F25" s="762" t="n"/>
      <c r="G25" s="637">
        <f>'Calibration Data'!N24</f>
        <v/>
      </c>
      <c r="H25" s="762" t="n"/>
      <c r="I25" s="637" t="n">
        <v>0</v>
      </c>
      <c r="J25" s="762" t="n"/>
      <c r="K25" s="637" t="n">
        <v>0</v>
      </c>
      <c r="L25" s="637" t="n">
        <v>0</v>
      </c>
      <c r="M25" s="761" t="n"/>
      <c r="N25" s="762" t="n"/>
      <c r="O25" s="871">
        <f>'Calibration Data'!AZ24</f>
        <v/>
      </c>
      <c r="P25" s="761" t="n"/>
      <c r="Q25" s="761" t="n"/>
      <c r="R25" s="762" t="n"/>
      <c r="Z25" s="335" t="n"/>
      <c r="AA25" s="335" t="n"/>
      <c r="AB25" s="335" t="n"/>
    </row>
    <row r="26" ht="16.9" customHeight="1">
      <c r="A26" s="870">
        <f>'Calibration Data'!T25</f>
        <v/>
      </c>
      <c r="B26" s="761" t="n"/>
      <c r="C26" s="762" t="n"/>
      <c r="D26" s="637">
        <f>'Calibration Data'!U25</f>
        <v/>
      </c>
      <c r="E26" s="761" t="n"/>
      <c r="F26" s="762" t="n"/>
      <c r="G26" s="637">
        <f>'Calibration Data'!N25</f>
        <v/>
      </c>
      <c r="H26" s="762" t="n"/>
      <c r="I26" s="637">
        <f>ROUNDUP('Calibration Data'!AO25,2)</f>
        <v/>
      </c>
      <c r="J26" s="762" t="n"/>
      <c r="K26" s="637">
        <f>ROUNDUP('Calibration Data'!AQ25,2)</f>
        <v/>
      </c>
      <c r="L26" s="637">
        <f>ROUNDUP('Calibration Data'!AR25,2)</f>
        <v/>
      </c>
      <c r="M26" s="761" t="n"/>
      <c r="N26" s="762" t="n"/>
      <c r="O26" s="871">
        <f>'Calibration Data'!AZ25</f>
        <v/>
      </c>
      <c r="P26" s="761" t="n"/>
      <c r="Q26" s="761" t="n"/>
      <c r="R26" s="762" t="n"/>
      <c r="Z26" s="335" t="n"/>
      <c r="AA26" s="335" t="n"/>
      <c r="AB26" s="335" t="n"/>
    </row>
    <row r="27" ht="16.9" customHeight="1">
      <c r="A27" s="870">
        <f>'Calibration Data'!T26</f>
        <v/>
      </c>
      <c r="B27" s="761" t="n"/>
      <c r="C27" s="762" t="n"/>
      <c r="D27" s="637">
        <f>'Calibration Data'!U26</f>
        <v/>
      </c>
      <c r="E27" s="761" t="n"/>
      <c r="F27" s="762" t="n"/>
      <c r="G27" s="637">
        <f>'Calibration Data'!N26</f>
        <v/>
      </c>
      <c r="H27" s="762" t="n"/>
      <c r="I27" s="637">
        <f>ROUNDUP('Calibration Data'!AO26,2)</f>
        <v/>
      </c>
      <c r="J27" s="762" t="n"/>
      <c r="K27" s="637">
        <f>ROUNDUP('Calibration Data'!AQ26,2)</f>
        <v/>
      </c>
      <c r="L27" s="637">
        <f>ROUNDUP('Calibration Data'!AR26,2)</f>
        <v/>
      </c>
      <c r="M27" s="761" t="n"/>
      <c r="N27" s="762" t="n"/>
      <c r="O27" s="871">
        <f>'Calibration Data'!AZ26</f>
        <v/>
      </c>
      <c r="P27" s="761" t="n"/>
      <c r="Q27" s="761" t="n"/>
      <c r="R27" s="762" t="n"/>
      <c r="Z27" s="335" t="n"/>
      <c r="AA27" s="335" t="n"/>
      <c r="AB27" s="335" t="n"/>
    </row>
    <row r="28" ht="16.9" customHeight="1">
      <c r="A28" s="870">
        <f>'Calibration Data'!T27</f>
        <v/>
      </c>
      <c r="B28" s="761" t="n"/>
      <c r="C28" s="762" t="n"/>
      <c r="D28" s="637">
        <f>'Calibration Data'!U27</f>
        <v/>
      </c>
      <c r="E28" s="761" t="n"/>
      <c r="F28" s="762" t="n"/>
      <c r="G28" s="637">
        <f>'Calibration Data'!N27</f>
        <v/>
      </c>
      <c r="H28" s="762" t="n"/>
      <c r="I28" s="637">
        <f>ROUNDUP('Calibration Data'!AO27,2)</f>
        <v/>
      </c>
      <c r="J28" s="762" t="n"/>
      <c r="K28" s="637">
        <f>ROUNDUP('Calibration Data'!AQ27,2)</f>
        <v/>
      </c>
      <c r="L28" s="637">
        <f>ROUNDUP('Calibration Data'!AR27,2)</f>
        <v/>
      </c>
      <c r="M28" s="761" t="n"/>
      <c r="N28" s="762" t="n"/>
      <c r="O28" s="871">
        <f>'Calibration Data'!AZ27</f>
        <v/>
      </c>
      <c r="P28" s="761" t="n"/>
      <c r="Q28" s="761" t="n"/>
      <c r="R28" s="762" t="n"/>
      <c r="Z28" s="335" t="n"/>
      <c r="AA28" s="335" t="n"/>
      <c r="AB28" s="335" t="n"/>
    </row>
    <row r="29" ht="16.9" customHeight="1">
      <c r="A29" s="870">
        <f>'Calibration Data'!T28</f>
        <v/>
      </c>
      <c r="B29" s="761" t="n"/>
      <c r="C29" s="762" t="n"/>
      <c r="D29" s="637">
        <f>'Calibration Data'!U28</f>
        <v/>
      </c>
      <c r="E29" s="761" t="n"/>
      <c r="F29" s="762" t="n"/>
      <c r="G29" s="637">
        <f>'Calibration Data'!N28</f>
        <v/>
      </c>
      <c r="H29" s="762" t="n"/>
      <c r="I29" s="637">
        <f>ROUNDUP('Calibration Data'!AO28,2)</f>
        <v/>
      </c>
      <c r="J29" s="762" t="n"/>
      <c r="K29" s="637">
        <f>ROUNDUP('Calibration Data'!AQ28,2)</f>
        <v/>
      </c>
      <c r="L29" s="637">
        <f>ROUNDUP('Calibration Data'!AR28,2)</f>
        <v/>
      </c>
      <c r="M29" s="761" t="n"/>
      <c r="N29" s="762" t="n"/>
      <c r="O29" s="871">
        <f>'Calibration Data'!AZ28</f>
        <v/>
      </c>
      <c r="P29" s="761" t="n"/>
      <c r="Q29" s="761" t="n"/>
      <c r="R29" s="762" t="n"/>
      <c r="Z29" s="335" t="n"/>
      <c r="AA29" s="335" t="n"/>
      <c r="AB29" s="335" t="n"/>
    </row>
    <row r="30" ht="16.9" customHeight="1">
      <c r="A30" s="870">
        <f>'Calibration Data'!T29</f>
        <v/>
      </c>
      <c r="B30" s="761" t="n"/>
      <c r="C30" s="762" t="n"/>
      <c r="D30" s="637">
        <f>'Calibration Data'!U29</f>
        <v/>
      </c>
      <c r="E30" s="761" t="n"/>
      <c r="F30" s="762" t="n"/>
      <c r="G30" s="637">
        <f>'Calibration Data'!N29</f>
        <v/>
      </c>
      <c r="H30" s="762" t="n"/>
      <c r="I30" s="637">
        <f>ROUNDUP('Calibration Data'!AO29,2)</f>
        <v/>
      </c>
      <c r="J30" s="762" t="n"/>
      <c r="K30" s="637">
        <f>ROUNDUP('Calibration Data'!AQ29,2)</f>
        <v/>
      </c>
      <c r="L30" s="637">
        <f>ROUNDUP('Calibration Data'!AR29,2)</f>
        <v/>
      </c>
      <c r="M30" s="761" t="n"/>
      <c r="N30" s="762" t="n"/>
      <c r="O30" s="871">
        <f>'Calibration Data'!AZ29</f>
        <v/>
      </c>
      <c r="P30" s="761" t="n"/>
      <c r="Q30" s="761" t="n"/>
      <c r="R30" s="762" t="n"/>
      <c r="Z30" s="335" t="n"/>
      <c r="AA30" s="335" t="n"/>
      <c r="AB30" s="335" t="n"/>
    </row>
    <row r="31" ht="16.9" customHeight="1">
      <c r="A31" s="870">
        <f>'Calibration Data'!T30</f>
        <v/>
      </c>
      <c r="B31" s="761" t="n"/>
      <c r="C31" s="762" t="n"/>
      <c r="D31" s="637">
        <f>'Calibration Data'!U30</f>
        <v/>
      </c>
      <c r="E31" s="761" t="n"/>
      <c r="F31" s="762" t="n"/>
      <c r="G31" s="637">
        <f>'Calibration Data'!N30</f>
        <v/>
      </c>
      <c r="H31" s="762" t="n"/>
      <c r="I31" s="637" t="n">
        <v>0</v>
      </c>
      <c r="J31" s="762" t="n"/>
      <c r="K31" s="637" t="n">
        <v>0</v>
      </c>
      <c r="L31" s="637" t="n">
        <v>0</v>
      </c>
      <c r="M31" s="761" t="n"/>
      <c r="N31" s="762" t="n"/>
      <c r="O31" s="871">
        <f>'Calibration Data'!AZ30</f>
        <v/>
      </c>
      <c r="P31" s="761" t="n"/>
      <c r="Q31" s="761" t="n"/>
      <c r="R31" s="762" t="n"/>
      <c r="Z31" s="335" t="n"/>
      <c r="AA31" s="335" t="n"/>
      <c r="AB31" s="335" t="n"/>
    </row>
    <row r="32" ht="16.9" customHeight="1">
      <c r="A32" s="870">
        <f>'Calibration Data'!T31</f>
        <v/>
      </c>
      <c r="B32" s="761" t="n"/>
      <c r="C32" s="762" t="n"/>
      <c r="D32" s="637">
        <f>'Calibration Data'!U31</f>
        <v/>
      </c>
      <c r="E32" s="761" t="n"/>
      <c r="F32" s="762" t="n"/>
      <c r="G32" s="637">
        <f>'Calibration Data'!N31</f>
        <v/>
      </c>
      <c r="H32" s="762" t="n"/>
      <c r="I32" s="637">
        <f>ROUNDUP('Calibration Data'!AO31,2)</f>
        <v/>
      </c>
      <c r="J32" s="762" t="n"/>
      <c r="K32" s="637">
        <f>ROUNDUP('Calibration Data'!AQ31,2)</f>
        <v/>
      </c>
      <c r="L32" s="637">
        <f>ROUNDUP('Calibration Data'!AR31,2)</f>
        <v/>
      </c>
      <c r="M32" s="761" t="n"/>
      <c r="N32" s="762" t="n"/>
      <c r="O32" s="871">
        <f>'Calibration Data'!AZ31</f>
        <v/>
      </c>
      <c r="P32" s="761" t="n"/>
      <c r="Q32" s="761" t="n"/>
      <c r="R32" s="762" t="n"/>
      <c r="Z32" s="335" t="n"/>
      <c r="AA32" s="335" t="n"/>
      <c r="AB32" s="335" t="n"/>
    </row>
    <row r="33" ht="16.9" customHeight="1">
      <c r="A33" s="870">
        <f>'Calibration Data'!T32</f>
        <v/>
      </c>
      <c r="B33" s="761" t="n"/>
      <c r="C33" s="762" t="n"/>
      <c r="D33" s="637">
        <f>'Calibration Data'!U32</f>
        <v/>
      </c>
      <c r="E33" s="761" t="n"/>
      <c r="F33" s="762" t="n"/>
      <c r="G33" s="637">
        <f>'Calibration Data'!N32</f>
        <v/>
      </c>
      <c r="H33" s="762" t="n"/>
      <c r="I33" s="637">
        <f>ROUNDUP('Calibration Data'!AO32,2)</f>
        <v/>
      </c>
      <c r="J33" s="762" t="n"/>
      <c r="K33" s="637">
        <f>ROUNDUP('Calibration Data'!AQ32,2)</f>
        <v/>
      </c>
      <c r="L33" s="637">
        <f>ROUNDUP('Calibration Data'!AR32,2)</f>
        <v/>
      </c>
      <c r="M33" s="761" t="n"/>
      <c r="N33" s="762" t="n"/>
      <c r="O33" s="871">
        <f>'Calibration Data'!AZ32</f>
        <v/>
      </c>
      <c r="P33" s="761" t="n"/>
      <c r="Q33" s="761" t="n"/>
      <c r="R33" s="762" t="n"/>
      <c r="Z33" s="335" t="n"/>
      <c r="AA33" s="335" t="n"/>
      <c r="AB33" s="335" t="n"/>
    </row>
    <row r="34" ht="16.9" customHeight="1">
      <c r="A34" s="870">
        <f>'Calibration Data'!T33</f>
        <v/>
      </c>
      <c r="B34" s="761" t="n"/>
      <c r="C34" s="762" t="n"/>
      <c r="D34" s="637">
        <f>'Calibration Data'!U33</f>
        <v/>
      </c>
      <c r="E34" s="761" t="n"/>
      <c r="F34" s="762" t="n"/>
      <c r="G34" s="637">
        <f>'Calibration Data'!N33</f>
        <v/>
      </c>
      <c r="H34" s="762" t="n"/>
      <c r="I34" s="637">
        <f>ROUNDUP('Calibration Data'!AO33,2)</f>
        <v/>
      </c>
      <c r="J34" s="762" t="n"/>
      <c r="K34" s="637">
        <f>ROUNDUP('Calibration Data'!AQ33,2)</f>
        <v/>
      </c>
      <c r="L34" s="637">
        <f>ROUNDUP('Calibration Data'!AR33,2)</f>
        <v/>
      </c>
      <c r="M34" s="761" t="n"/>
      <c r="N34" s="762" t="n"/>
      <c r="O34" s="871">
        <f>'Calibration Data'!AZ33</f>
        <v/>
      </c>
      <c r="P34" s="761" t="n"/>
      <c r="Q34" s="761" t="n"/>
      <c r="R34" s="762" t="n"/>
      <c r="Z34" s="335" t="n"/>
      <c r="AA34" s="335" t="n"/>
      <c r="AB34" s="335" t="n"/>
    </row>
    <row r="35" ht="16.9" customHeight="1">
      <c r="A35" s="870">
        <f>'Calibration Data'!T34</f>
        <v/>
      </c>
      <c r="B35" s="761" t="n"/>
      <c r="C35" s="762" t="n"/>
      <c r="D35" s="637">
        <f>'Calibration Data'!U34</f>
        <v/>
      </c>
      <c r="E35" s="761" t="n"/>
      <c r="F35" s="762" t="n"/>
      <c r="G35" s="637">
        <f>'Calibration Data'!N34</f>
        <v/>
      </c>
      <c r="H35" s="762" t="n"/>
      <c r="I35" s="637">
        <f>ROUNDUP('Calibration Data'!AO34,2)</f>
        <v/>
      </c>
      <c r="J35" s="762" t="n"/>
      <c r="K35" s="637">
        <f>ROUNDUP('Calibration Data'!AQ34,2)</f>
        <v/>
      </c>
      <c r="L35" s="637">
        <f>ROUNDUP('Calibration Data'!AR34,2)</f>
        <v/>
      </c>
      <c r="M35" s="761" t="n"/>
      <c r="N35" s="762" t="n"/>
      <c r="O35" s="871">
        <f>'Calibration Data'!AZ34</f>
        <v/>
      </c>
      <c r="P35" s="761" t="n"/>
      <c r="Q35" s="761" t="n"/>
      <c r="R35" s="762" t="n"/>
      <c r="Z35" s="335" t="n"/>
      <c r="AA35" s="335" t="n"/>
      <c r="AB35" s="335" t="n"/>
    </row>
    <row r="36" ht="16.9" customHeight="1">
      <c r="A36" s="870">
        <f>'Calibration Data'!T35</f>
        <v/>
      </c>
      <c r="B36" s="761" t="n"/>
      <c r="C36" s="762" t="n"/>
      <c r="D36" s="637">
        <f>'Calibration Data'!U35</f>
        <v/>
      </c>
      <c r="E36" s="761" t="n"/>
      <c r="F36" s="762" t="n"/>
      <c r="G36" s="637">
        <f>'Calibration Data'!N35</f>
        <v/>
      </c>
      <c r="H36" s="762" t="n"/>
      <c r="I36" s="637">
        <f>ROUNDUP('Calibration Data'!AO35,2)</f>
        <v/>
      </c>
      <c r="J36" s="762" t="n"/>
      <c r="K36" s="637">
        <f>ROUNDUP('Calibration Data'!AQ35,2)</f>
        <v/>
      </c>
      <c r="L36" s="637">
        <f>ROUNDUP('Calibration Data'!AR35,2)</f>
        <v/>
      </c>
      <c r="M36" s="761" t="n"/>
      <c r="N36" s="762" t="n"/>
      <c r="O36" s="871">
        <f>'Calibration Data'!AZ35</f>
        <v/>
      </c>
      <c r="P36" s="761" t="n"/>
      <c r="Q36" s="761" t="n"/>
      <c r="R36" s="762" t="n"/>
      <c r="Z36" s="335" t="n"/>
      <c r="AA36" s="335" t="n"/>
      <c r="AB36" s="335" t="n"/>
    </row>
    <row r="37" ht="15" customHeight="1">
      <c r="A37" s="335" t="n"/>
      <c r="B37" s="872" t="n"/>
      <c r="C37" s="872" t="n"/>
      <c r="D37" s="872" t="n"/>
      <c r="E37" s="872" t="n"/>
      <c r="F37" s="872" t="n"/>
      <c r="G37" s="872" t="n"/>
      <c r="H37" s="872" t="n"/>
      <c r="I37" s="351" t="n"/>
      <c r="J37" s="351" t="n"/>
      <c r="K37" s="668" t="n"/>
      <c r="L37" s="351" t="n"/>
      <c r="M37" s="351" t="n"/>
      <c r="N37" s="351" t="n"/>
      <c r="O37" s="873" t="n"/>
      <c r="P37" s="873" t="n"/>
      <c r="Q37" s="873" t="n"/>
      <c r="R37" s="873" t="n"/>
      <c r="Z37" s="335" t="n"/>
      <c r="AA37" s="335" t="n"/>
      <c r="AB37" s="335" t="n"/>
    </row>
    <row r="38" ht="15.75" customHeight="1">
      <c r="A38" s="335" t="inlineStr">
        <is>
          <t>UNCERTAINTY OF MEASUREMENT:</t>
        </is>
      </c>
      <c r="B38" s="342" t="n"/>
      <c r="C38" s="335" t="n"/>
      <c r="D38" s="342" t="n"/>
      <c r="E38" s="335" t="n"/>
      <c r="F38" s="335" t="n"/>
      <c r="G38" s="335" t="n"/>
      <c r="H38" s="335" t="n"/>
      <c r="I38" s="335" t="n"/>
      <c r="J38" s="335" t="n"/>
      <c r="K38" s="335" t="n"/>
      <c r="L38" s="335" t="n"/>
      <c r="M38" s="335" t="n"/>
      <c r="N38" s="335" t="n"/>
      <c r="O38" s="335" t="n"/>
      <c r="P38" s="335" t="n"/>
      <c r="Q38" s="335" t="n"/>
      <c r="R38" s="335" t="n"/>
      <c r="Z38" s="335" t="n"/>
      <c r="AA38" s="335" t="n"/>
      <c r="AB38" s="335" t="n"/>
    </row>
    <row r="39" ht="6" customHeight="1">
      <c r="A39" s="335" t="n"/>
      <c r="B39" s="342" t="n"/>
      <c r="C39" s="335" t="n"/>
      <c r="D39" s="342" t="n"/>
      <c r="E39" s="335" t="n"/>
      <c r="F39" s="335" t="n"/>
      <c r="G39" s="335" t="n"/>
      <c r="H39" s="335" t="n"/>
      <c r="I39" s="335" t="n"/>
      <c r="J39" s="335" t="n"/>
      <c r="K39" s="335" t="n"/>
      <c r="L39" s="335" t="n"/>
      <c r="M39" s="335" t="n"/>
      <c r="N39" s="335" t="n"/>
      <c r="O39" s="335" t="n"/>
      <c r="P39" s="335" t="n"/>
      <c r="Q39" s="335" t="n"/>
      <c r="R39" s="335" t="n"/>
      <c r="Z39" s="335" t="n"/>
      <c r="AA39" s="335" t="n"/>
      <c r="AB39" s="335" t="n"/>
    </row>
    <row r="40" ht="77.45" customHeight="1">
      <c r="A40" s="646" t="inlineStr">
        <is>
          <t>The uncertainty stated is the expanded uncertainty obtained by multiplying the standard uncertainty by the coverage factor k = 2. It has been determined in accordance with the “JCGM 100:2008 Evaluation of measurement data- Guide to the Expression of Uncertainty in measurement ”. The value of the measurand lies within the assigned range of values with a probability of  approximately 95%.</t>
        </is>
      </c>
      <c r="B40" s="329" t="n"/>
      <c r="C40" s="329" t="n"/>
      <c r="D40" s="329" t="n"/>
      <c r="E40" s="329" t="n"/>
      <c r="F40" s="329" t="n"/>
      <c r="G40" s="329" t="n"/>
      <c r="H40" s="329" t="n"/>
      <c r="I40" s="329" t="n"/>
      <c r="J40" s="329" t="n"/>
      <c r="K40" s="329" t="n"/>
      <c r="L40" s="329" t="n"/>
      <c r="M40" s="329" t="n"/>
      <c r="N40" s="329" t="n"/>
      <c r="O40" s="329" t="n"/>
      <c r="P40" s="329" t="n"/>
      <c r="Q40" s="329" t="n"/>
      <c r="R40" s="329" t="n"/>
      <c r="Z40" s="354" t="n"/>
      <c r="AA40" s="346" t="n"/>
      <c r="AB40" s="335" t="n"/>
    </row>
    <row r="41" ht="3" customHeight="1">
      <c r="A41" s="647" t="n"/>
      <c r="B41" s="329" t="n"/>
      <c r="C41" s="329" t="n"/>
      <c r="D41" s="329" t="n"/>
      <c r="E41" s="329" t="n"/>
      <c r="F41" s="329" t="n"/>
      <c r="G41" s="329" t="n"/>
      <c r="H41" s="329" t="n"/>
      <c r="I41" s="329" t="n"/>
      <c r="J41" s="329" t="n"/>
      <c r="K41" s="329" t="n"/>
      <c r="L41" s="329" t="n"/>
      <c r="M41" s="329" t="n"/>
      <c r="N41" s="329" t="n"/>
      <c r="O41" s="329" t="n"/>
      <c r="P41" s="329" t="n"/>
      <c r="Q41" s="329" t="n"/>
      <c r="R41" s="329" t="n"/>
      <c r="S41" s="329" t="n"/>
      <c r="T41" s="329" t="n"/>
      <c r="U41" s="329" t="n"/>
      <c r="V41" s="329" t="n"/>
      <c r="W41" s="329" t="n"/>
      <c r="X41" s="329" t="n"/>
      <c r="Y41" s="329" t="n"/>
      <c r="Z41" s="329" t="n"/>
    </row>
    <row r="42" ht="10.15" customHeight="1">
      <c r="A42" s="647" t="n"/>
      <c r="B42" s="647" t="n"/>
      <c r="C42" s="647" t="n"/>
      <c r="D42" s="647" t="n"/>
      <c r="E42" s="647" t="n"/>
      <c r="F42" s="647" t="n"/>
      <c r="G42" s="647" t="n"/>
      <c r="H42" s="647" t="n"/>
      <c r="I42" s="647" t="n"/>
      <c r="J42" s="647" t="n"/>
      <c r="K42" s="647" t="n"/>
      <c r="L42" s="647" t="n"/>
      <c r="M42" s="647" t="n"/>
      <c r="N42" s="647" t="n"/>
      <c r="O42" s="647" t="n"/>
      <c r="P42" s="647" t="n"/>
      <c r="Q42" s="647" t="n"/>
      <c r="R42" s="647" t="n"/>
      <c r="S42" s="647" t="n"/>
      <c r="T42" s="647" t="n"/>
      <c r="U42" s="647" t="n"/>
      <c r="V42" s="647" t="n"/>
      <c r="W42" s="647" t="n"/>
      <c r="X42" s="647" t="n"/>
      <c r="Y42" s="647" t="n"/>
      <c r="Z42" s="647" t="n"/>
    </row>
    <row r="43" ht="15" customHeight="1">
      <c r="A43" s="647" t="inlineStr">
        <is>
          <t>Page 1 of 2</t>
        </is>
      </c>
      <c r="B43" s="329" t="n"/>
      <c r="C43" s="329" t="n"/>
      <c r="D43" s="329" t="n"/>
      <c r="E43" s="329" t="n"/>
      <c r="F43" s="329" t="n"/>
      <c r="G43" s="329" t="n"/>
      <c r="H43" s="329" t="n"/>
      <c r="I43" s="329" t="n"/>
      <c r="J43" s="329" t="n"/>
      <c r="K43" s="329" t="n"/>
      <c r="L43" s="329" t="n"/>
      <c r="M43" s="329" t="n"/>
      <c r="N43" s="329" t="n"/>
      <c r="O43" s="329" t="n"/>
      <c r="P43" s="329" t="n"/>
      <c r="Q43" s="329" t="n"/>
      <c r="R43" s="329" t="n"/>
      <c r="S43" s="647" t="n"/>
      <c r="T43" s="647" t="n"/>
      <c r="U43" s="647" t="n"/>
      <c r="V43" s="647" t="n"/>
      <c r="W43" s="647" t="n"/>
      <c r="X43" s="647" t="n"/>
      <c r="Y43" s="647" t="n"/>
      <c r="Z43" s="647" t="n"/>
    </row>
    <row r="44" ht="15" customHeight="1">
      <c r="A44" s="647" t="n"/>
      <c r="B44" s="647" t="n"/>
      <c r="C44" s="647" t="n"/>
      <c r="D44" s="647" t="n"/>
      <c r="E44" s="647" t="n"/>
      <c r="F44" s="647" t="n"/>
      <c r="G44" s="647" t="n"/>
      <c r="H44" s="647" t="n"/>
      <c r="I44" s="647" t="n"/>
      <c r="J44" s="647" t="n"/>
      <c r="K44" s="647" t="n"/>
      <c r="L44" s="647" t="n"/>
      <c r="M44" s="647" t="n"/>
      <c r="N44" s="647" t="n"/>
      <c r="O44" s="647" t="n"/>
      <c r="P44" s="647" t="n"/>
      <c r="Q44" s="647" t="n"/>
      <c r="R44" s="647" t="n"/>
      <c r="S44" s="647" t="n"/>
      <c r="T44" s="647" t="n"/>
      <c r="U44" s="647" t="n"/>
      <c r="V44" s="647" t="n"/>
      <c r="W44" s="647" t="n"/>
      <c r="X44" s="647" t="n"/>
      <c r="Y44" s="647" t="n"/>
      <c r="Z44" s="647" t="n"/>
    </row>
    <row r="45" ht="15.75" customHeight="1">
      <c r="A45" s="335" t="inlineStr">
        <is>
          <t>STANDARD USED :</t>
        </is>
      </c>
      <c r="B45" s="342" t="n"/>
      <c r="C45" s="335" t="n"/>
      <c r="D45" s="335" t="n"/>
      <c r="E45" s="335" t="n"/>
      <c r="F45" s="335" t="n"/>
      <c r="G45" s="335" t="n"/>
      <c r="H45" s="335" t="n"/>
      <c r="I45" s="335" t="n"/>
      <c r="J45" s="335" t="n"/>
      <c r="K45" s="335" t="n"/>
      <c r="L45" s="335" t="n"/>
      <c r="M45" s="335" t="n"/>
      <c r="N45" s="335" t="n"/>
      <c r="O45" s="335" t="n"/>
      <c r="P45" s="335" t="n"/>
      <c r="Q45" s="335" t="n"/>
      <c r="R45" s="335" t="n"/>
      <c r="S45" s="335" t="n"/>
      <c r="T45" s="335" t="n"/>
      <c r="U45" s="335" t="n"/>
      <c r="V45" s="335" t="n"/>
      <c r="W45" s="335" t="n"/>
      <c r="X45" s="335" t="n"/>
      <c r="Y45" s="335" t="n"/>
      <c r="Z45" s="335" t="n"/>
      <c r="AA45" s="335" t="n"/>
      <c r="AB45" s="335" t="n"/>
    </row>
    <row r="46" ht="6" customHeight="1">
      <c r="A46" s="342" t="n"/>
      <c r="B46" s="342" t="n"/>
      <c r="C46" s="335" t="n"/>
      <c r="D46" s="335" t="n"/>
      <c r="E46" s="335" t="n"/>
      <c r="F46" s="335" t="n"/>
      <c r="G46" s="335" t="n"/>
      <c r="H46" s="335" t="n"/>
      <c r="I46" s="335" t="n"/>
      <c r="J46" s="335" t="n"/>
      <c r="K46" s="335" t="n"/>
      <c r="L46" s="335" t="n"/>
      <c r="M46" s="335" t="n"/>
      <c r="N46" s="335" t="n"/>
      <c r="O46" s="335" t="n"/>
      <c r="P46" s="335" t="n"/>
      <c r="Q46" s="335" t="n"/>
      <c r="R46" s="335" t="n"/>
      <c r="S46" s="335" t="n"/>
      <c r="T46" s="335" t="n"/>
      <c r="U46" s="335" t="n"/>
      <c r="V46" s="335" t="n"/>
      <c r="W46" s="335" t="n"/>
      <c r="X46" s="335" t="n"/>
      <c r="Y46" s="335" t="n"/>
      <c r="Z46" s="335" t="n"/>
      <c r="AA46" s="335" t="n"/>
      <c r="AB46" s="335" t="n"/>
    </row>
    <row r="47" ht="16.9" customHeight="1">
      <c r="A47" s="648" t="inlineStr">
        <is>
          <t>Name of Standard</t>
        </is>
      </c>
      <c r="B47" s="761" t="n"/>
      <c r="C47" s="761" t="n"/>
      <c r="D47" s="761" t="n"/>
      <c r="E47" s="761" t="n"/>
      <c r="F47" s="762" t="n"/>
      <c r="G47" s="648" t="inlineStr">
        <is>
          <t>Make/Model</t>
        </is>
      </c>
      <c r="H47" s="761" t="n"/>
      <c r="I47" s="762" t="n"/>
      <c r="J47" s="645" t="inlineStr">
        <is>
          <t>Calibration Certificate No.</t>
        </is>
      </c>
      <c r="K47" s="761" t="n"/>
      <c r="L47" s="762" t="n"/>
      <c r="M47" s="648" t="inlineStr">
        <is>
          <t>Traceability</t>
        </is>
      </c>
      <c r="N47" s="761" t="n"/>
      <c r="O47" s="761" t="n"/>
      <c r="P47" s="761" t="n"/>
      <c r="Q47" s="761" t="n"/>
      <c r="R47" s="762" t="n"/>
      <c r="S47" s="356" t="n"/>
      <c r="AA47" s="346" t="n"/>
      <c r="AB47" s="335" t="n"/>
    </row>
    <row r="48" ht="43.9" customHeight="1">
      <c r="A48" s="645">
        <f>"Load Cell                     SN "&amp;Software!E38</f>
        <v/>
      </c>
      <c r="B48" s="761" t="n"/>
      <c r="C48" s="761" t="n"/>
      <c r="D48" s="761" t="n"/>
      <c r="E48" s="761" t="n"/>
      <c r="F48" s="762" t="n"/>
      <c r="G48" s="645">
        <f>IFERROR(LEFT(Software!E36,8),Software!E36)</f>
        <v/>
      </c>
      <c r="H48" s="761" t="n"/>
      <c r="I48" s="762" t="n"/>
      <c r="J48" s="645">
        <f>Software!E39</f>
        <v/>
      </c>
      <c r="K48" s="761" t="n"/>
      <c r="L48" s="762" t="n"/>
      <c r="M48" s="645" t="inlineStr">
        <is>
          <t>Traceable to SI through KRISS - Korea</t>
        </is>
      </c>
      <c r="N48" s="761" t="n"/>
      <c r="O48" s="761" t="n"/>
      <c r="P48" s="761" t="n"/>
      <c r="Q48" s="761" t="n"/>
      <c r="R48" s="762" t="n"/>
      <c r="S48" s="357" t="n"/>
      <c r="T48" s="358" t="n"/>
      <c r="AA48" s="359" t="n"/>
      <c r="AB48" s="335" t="n"/>
      <c r="AL48" s="360" t="n"/>
    </row>
    <row r="49" ht="15" customHeight="1">
      <c r="A49" s="639" t="n"/>
      <c r="B49" s="639" t="n"/>
      <c r="C49" s="639" t="n"/>
      <c r="D49" s="639" t="n"/>
      <c r="E49" s="639" t="n"/>
      <c r="F49" s="639" t="n"/>
      <c r="G49" s="639" t="n"/>
      <c r="H49" s="639" t="n"/>
      <c r="I49" s="639" t="n"/>
      <c r="J49" s="639" t="n"/>
      <c r="K49" s="639" t="n"/>
      <c r="L49" s="639" t="n"/>
      <c r="M49" s="639" t="n"/>
      <c r="N49" s="639" t="n"/>
      <c r="O49" s="639" t="n"/>
      <c r="P49" s="639" t="n"/>
      <c r="Q49" s="639" t="n"/>
      <c r="R49" s="639" t="n"/>
      <c r="S49" s="358" t="n"/>
      <c r="T49" s="358" t="n"/>
      <c r="AA49" s="359" t="n"/>
      <c r="AB49" s="335" t="n"/>
      <c r="AL49" s="360" t="n"/>
    </row>
    <row r="50" ht="15" customHeight="1">
      <c r="A50" s="639" t="n"/>
      <c r="B50" s="639" t="n"/>
      <c r="C50" s="639" t="n"/>
      <c r="D50" s="639" t="n"/>
      <c r="E50" s="639" t="n"/>
      <c r="F50" s="639" t="n"/>
      <c r="G50" s="639" t="n"/>
      <c r="H50" s="639" t="n"/>
      <c r="I50" s="639" t="n"/>
      <c r="J50" s="639" t="n"/>
      <c r="K50" s="639" t="n"/>
      <c r="L50" s="639" t="n"/>
      <c r="M50" s="639" t="n"/>
      <c r="N50" s="639" t="n"/>
      <c r="O50" s="639" t="n"/>
      <c r="P50" s="639" t="n"/>
      <c r="Q50" s="639" t="n"/>
      <c r="R50" s="639" t="n"/>
      <c r="S50" s="358" t="n"/>
      <c r="T50" s="358" t="n"/>
      <c r="AA50" s="359" t="n"/>
      <c r="AB50" s="335" t="n"/>
      <c r="AL50" s="360" t="n"/>
    </row>
    <row r="51" ht="15.75" customHeight="1">
      <c r="A51" s="335" t="inlineStr">
        <is>
          <t>CALIBRATION PROCEDURE:</t>
        </is>
      </c>
      <c r="B51" s="342" t="n"/>
      <c r="C51" s="335" t="n"/>
      <c r="D51" s="335" t="n"/>
      <c r="E51" s="335" t="n"/>
      <c r="F51" s="335" t="n"/>
      <c r="G51" s="335" t="n"/>
      <c r="H51" s="335" t="n"/>
      <c r="I51" s="335" t="n"/>
      <c r="J51" s="335" t="n"/>
      <c r="K51" s="335" t="n"/>
      <c r="L51" s="335" t="n"/>
      <c r="M51" s="335" t="n"/>
      <c r="N51" s="335" t="n"/>
      <c r="O51" s="335" t="n"/>
      <c r="P51" s="335" t="n"/>
      <c r="Q51" s="335" t="n"/>
      <c r="R51" s="335" t="n"/>
      <c r="S51" s="335" t="n"/>
      <c r="T51" s="335" t="n"/>
      <c r="U51" s="335" t="n"/>
      <c r="V51" s="335" t="n"/>
      <c r="W51" s="335" t="n"/>
      <c r="X51" s="335" t="n"/>
      <c r="Y51" s="335" t="n"/>
      <c r="Z51" s="335" t="n"/>
      <c r="AA51" s="335" t="n"/>
      <c r="AB51" s="335" t="n"/>
    </row>
    <row r="52" ht="6" customHeight="1">
      <c r="A52" s="342" t="n"/>
      <c r="B52" s="342" t="n"/>
      <c r="C52" s="335" t="n"/>
      <c r="D52" s="335" t="n"/>
      <c r="E52" s="335" t="n"/>
      <c r="F52" s="335" t="n"/>
      <c r="G52" s="335" t="n"/>
      <c r="H52" s="335" t="n"/>
      <c r="I52" s="335" t="n"/>
      <c r="J52" s="335" t="n"/>
      <c r="K52" s="335" t="n"/>
      <c r="L52" s="335" t="n"/>
      <c r="M52" s="335" t="n"/>
      <c r="N52" s="335" t="n"/>
      <c r="O52" s="335" t="n"/>
      <c r="P52" s="335" t="n"/>
      <c r="Q52" s="335" t="n"/>
      <c r="R52" s="335" t="n"/>
      <c r="S52" s="335" t="n"/>
      <c r="T52" s="335" t="n"/>
      <c r="U52" s="335" t="n"/>
      <c r="V52" s="335" t="n"/>
      <c r="W52" s="335" t="n"/>
      <c r="X52" s="335" t="n"/>
      <c r="Y52" s="335" t="n"/>
      <c r="Z52" s="335" t="n"/>
      <c r="AA52" s="335" t="n"/>
      <c r="AB52" s="335" t="n"/>
    </row>
    <row r="53" ht="30.75" customHeight="1">
      <c r="A53" s="641" t="inlineStr">
        <is>
          <t xml:space="preserve">The testing machine under calibration was subjected to specified force values which were applied on the force-proving instrument and readings were noted.
</t>
        </is>
      </c>
      <c r="B53" s="329" t="n"/>
      <c r="C53" s="329" t="n"/>
      <c r="D53" s="329" t="n"/>
      <c r="E53" s="329" t="n"/>
      <c r="F53" s="329" t="n"/>
      <c r="G53" s="329" t="n"/>
      <c r="H53" s="329" t="n"/>
      <c r="I53" s="329" t="n"/>
      <c r="J53" s="329" t="n"/>
      <c r="K53" s="329" t="n"/>
      <c r="L53" s="329" t="n"/>
      <c r="M53" s="329" t="n"/>
      <c r="N53" s="329" t="n"/>
      <c r="O53" s="329" t="n"/>
      <c r="P53" s="329" t="n"/>
      <c r="Q53" s="329" t="n"/>
      <c r="R53" s="329" t="n"/>
      <c r="S53" s="345" t="n"/>
      <c r="T53" s="345" t="n"/>
      <c r="U53" s="345" t="n"/>
      <c r="V53" s="345" t="n"/>
      <c r="W53" s="345" t="n"/>
      <c r="X53" s="345" t="n"/>
      <c r="Y53" s="345" t="n"/>
      <c r="Z53" s="345" t="n"/>
      <c r="AA53" s="335" t="n"/>
      <c r="AB53" s="335" t="n"/>
    </row>
    <row r="54" ht="7.5" customHeight="1">
      <c r="A54" s="646" t="n"/>
      <c r="B54" s="646" t="n"/>
      <c r="C54" s="646" t="n"/>
      <c r="D54" s="646" t="n"/>
      <c r="E54" s="646" t="n"/>
      <c r="F54" s="646" t="n"/>
      <c r="G54" s="646" t="n"/>
      <c r="H54" s="646" t="n"/>
      <c r="I54" s="646" t="n"/>
      <c r="J54" s="646" t="n"/>
      <c r="K54" s="646" t="n"/>
      <c r="L54" s="646" t="n"/>
      <c r="M54" s="646" t="n"/>
      <c r="N54" s="646" t="n"/>
      <c r="O54" s="646" t="n"/>
      <c r="P54" s="646" t="n"/>
      <c r="Q54" s="646" t="n"/>
      <c r="R54" s="646" t="n"/>
      <c r="S54" s="646" t="n"/>
      <c r="T54" s="646" t="n"/>
      <c r="U54" s="646" t="n"/>
      <c r="V54" s="646" t="n"/>
      <c r="W54" s="646" t="n"/>
      <c r="X54" s="646" t="n"/>
      <c r="Y54" s="646" t="n"/>
      <c r="Z54" s="646" t="n"/>
      <c r="AA54" s="335" t="n"/>
      <c r="AB54" s="335" t="n"/>
    </row>
    <row r="55" ht="31.15" customHeight="1">
      <c r="A55" s="641" t="inlineStr">
        <is>
          <t>The relevant reference document for this calibration is ISO 7500-1:2018, Metallic materials – Verification of static uniaxial testing machines.</t>
        </is>
      </c>
      <c r="B55" s="329" t="n"/>
      <c r="C55" s="329" t="n"/>
      <c r="D55" s="329" t="n"/>
      <c r="E55" s="329" t="n"/>
      <c r="F55" s="329" t="n"/>
      <c r="G55" s="329" t="n"/>
      <c r="H55" s="329" t="n"/>
      <c r="I55" s="329" t="n"/>
      <c r="J55" s="329" t="n"/>
      <c r="K55" s="329" t="n"/>
      <c r="L55" s="329" t="n"/>
      <c r="M55" s="329" t="n"/>
      <c r="N55" s="329" t="n"/>
      <c r="O55" s="329" t="n"/>
      <c r="P55" s="329" t="n"/>
      <c r="Q55" s="329" t="n"/>
      <c r="R55" s="329" t="n"/>
      <c r="S55" s="354" t="n"/>
      <c r="T55" s="354" t="n"/>
      <c r="U55" s="354" t="n"/>
      <c r="V55" s="354" t="n"/>
      <c r="W55" s="354" t="n"/>
      <c r="X55" s="354" t="n"/>
      <c r="Y55" s="354" t="n"/>
      <c r="Z55" s="354" t="n"/>
      <c r="AA55" s="358" t="n"/>
      <c r="AB55" s="335" t="n"/>
    </row>
    <row r="56" ht="12" customHeight="1">
      <c r="A56" s="641" t="n"/>
      <c r="B56" s="641" t="n"/>
      <c r="C56" s="641" t="n"/>
      <c r="D56" s="641" t="n"/>
      <c r="E56" s="641" t="n"/>
      <c r="F56" s="641" t="n"/>
      <c r="G56" s="641" t="n"/>
      <c r="H56" s="641" t="n"/>
      <c r="I56" s="641" t="n"/>
      <c r="J56" s="641" t="n"/>
      <c r="K56" s="641" t="n"/>
      <c r="L56" s="641" t="n"/>
      <c r="M56" s="641" t="n"/>
      <c r="N56" s="641" t="n"/>
      <c r="O56" s="641" t="n"/>
      <c r="P56" s="641" t="n"/>
      <c r="Q56" s="641" t="n"/>
      <c r="R56" s="641" t="n"/>
      <c r="S56" s="354" t="n"/>
      <c r="T56" s="354" t="n"/>
      <c r="U56" s="354" t="n"/>
      <c r="V56" s="354" t="n"/>
      <c r="W56" s="354" t="n"/>
      <c r="X56" s="354" t="n"/>
      <c r="Y56" s="354" t="n"/>
      <c r="Z56" s="354" t="n"/>
      <c r="AA56" s="358" t="n"/>
      <c r="AB56" s="335" t="n"/>
    </row>
    <row r="57" ht="15" customHeight="1">
      <c r="A57" s="646" t="n"/>
      <c r="B57" s="646" t="n"/>
      <c r="C57" s="646" t="n"/>
      <c r="D57" s="646" t="n"/>
      <c r="E57" s="646" t="n"/>
      <c r="F57" s="646" t="n"/>
      <c r="G57" s="646" t="n"/>
      <c r="H57" s="646" t="n"/>
      <c r="I57" s="646" t="n"/>
      <c r="J57" s="646" t="n"/>
      <c r="K57" s="646" t="n"/>
      <c r="L57" s="646" t="n"/>
      <c r="M57" s="646" t="n"/>
      <c r="N57" s="646" t="n"/>
      <c r="O57" s="646" t="n"/>
      <c r="P57" s="646" t="n"/>
      <c r="Q57" s="646" t="n"/>
      <c r="R57" s="646" t="n"/>
      <c r="S57" s="646" t="n"/>
      <c r="T57" s="646" t="n"/>
      <c r="U57" s="646" t="n"/>
      <c r="V57" s="646" t="n"/>
      <c r="W57" s="646" t="n"/>
      <c r="X57" s="646" t="n"/>
      <c r="Y57" s="646" t="n"/>
      <c r="Z57" s="646" t="n"/>
      <c r="AA57" s="358" t="n"/>
      <c r="AB57" s="335" t="n"/>
    </row>
    <row r="58" ht="15.75" customHeight="1">
      <c r="A58" s="335" t="inlineStr">
        <is>
          <t>ENVIRONMENTAL CONDITIONS:</t>
        </is>
      </c>
      <c r="B58" s="342" t="n"/>
      <c r="C58" s="335" t="n"/>
      <c r="D58" s="342" t="n"/>
      <c r="E58" s="335" t="n"/>
      <c r="F58" s="335" t="n"/>
      <c r="G58" s="335" t="n"/>
      <c r="H58" s="335" t="n"/>
      <c r="I58" s="335" t="n"/>
      <c r="J58" s="335" t="n"/>
      <c r="K58" s="335" t="n"/>
      <c r="L58" s="335" t="n"/>
      <c r="M58" s="335" t="n"/>
      <c r="N58" s="335" t="n"/>
      <c r="O58" s="335" t="n"/>
      <c r="P58" s="335" t="n"/>
      <c r="Q58" s="335" t="n"/>
      <c r="R58" s="335" t="n"/>
      <c r="S58" s="335" t="n"/>
      <c r="T58" s="335" t="n"/>
      <c r="U58" s="335" t="n"/>
      <c r="V58" s="335" t="n"/>
      <c r="W58" s="335" t="n"/>
      <c r="X58" s="335" t="n"/>
      <c r="Y58" s="335" t="n"/>
      <c r="Z58" s="335" t="n"/>
      <c r="AA58" s="335" t="n"/>
      <c r="AB58" s="335" t="n"/>
    </row>
    <row r="59" ht="6.75" customHeight="1">
      <c r="A59" s="342" t="n"/>
      <c r="B59" s="342" t="n"/>
      <c r="C59" s="335" t="n"/>
      <c r="D59" s="335" t="n"/>
      <c r="E59" s="335" t="n"/>
      <c r="F59" s="335" t="n"/>
      <c r="G59" s="335" t="n"/>
      <c r="H59" s="335" t="n"/>
      <c r="I59" s="335" t="n"/>
      <c r="J59" s="335" t="n"/>
      <c r="K59" s="335" t="n"/>
      <c r="L59" s="335" t="n"/>
      <c r="M59" s="335" t="n"/>
      <c r="N59" s="335" t="n"/>
      <c r="O59" s="335" t="n"/>
      <c r="P59" s="335" t="n"/>
      <c r="Q59" s="335" t="n"/>
      <c r="R59" s="335" t="n"/>
      <c r="S59" s="335" t="n"/>
      <c r="T59" s="335" t="n"/>
      <c r="U59" s="335" t="n"/>
      <c r="V59" s="335" t="n"/>
      <c r="W59" s="335" t="n"/>
      <c r="X59" s="335" t="n"/>
      <c r="Y59" s="335" t="n"/>
      <c r="Z59" s="335" t="n"/>
      <c r="AA59" s="335" t="n"/>
      <c r="AB59" s="335" t="n"/>
    </row>
    <row r="60" ht="15.6" customHeight="1">
      <c r="A60" s="342" t="n"/>
      <c r="B60" s="335" t="inlineStr">
        <is>
          <t>Ambient Temperature</t>
        </is>
      </c>
      <c r="D60" s="335" t="n"/>
      <c r="E60" s="335" t="n"/>
      <c r="F60" s="335" t="n"/>
      <c r="G60" s="342" t="n"/>
      <c r="H60" s="642">
        <f>" :   ("&amp;ROUND('Calibration Data'!P19,1)&amp;" ± 1) °C"</f>
        <v/>
      </c>
      <c r="I60" s="329" t="n"/>
      <c r="K60" s="638" t="n"/>
      <c r="M60" s="874" t="n"/>
      <c r="N60" s="874" t="n"/>
      <c r="O60" s="874" t="n"/>
      <c r="P60" s="874" t="n"/>
      <c r="Q60" s="874" t="n"/>
      <c r="R60" s="874" t="n"/>
      <c r="S60" s="342" t="n"/>
      <c r="T60" s="342" t="n"/>
      <c r="U60" s="342" t="n"/>
      <c r="V60" s="342" t="n"/>
      <c r="W60" s="342" t="n"/>
      <c r="X60" s="342" t="n"/>
      <c r="Z60" s="335" t="n"/>
      <c r="AA60" s="335" t="n"/>
      <c r="AB60" s="335" t="n"/>
    </row>
    <row r="61" ht="15.6" customHeight="1">
      <c r="A61" s="342" t="n"/>
      <c r="B61" s="335" t="inlineStr">
        <is>
          <t>Relative Humidity</t>
        </is>
      </c>
      <c r="D61" s="335" t="n"/>
      <c r="E61" s="335" t="n"/>
      <c r="F61" s="335" t="n"/>
      <c r="G61" s="342" t="n"/>
      <c r="H61" s="643">
        <f>" :   ("&amp;ROUND('Calibration Data'!Q19,1)&amp;" ± 5) % "</f>
        <v/>
      </c>
      <c r="I61" s="329" t="n"/>
      <c r="K61" s="638" t="n"/>
      <c r="M61" s="366" t="n"/>
      <c r="N61" s="366" t="n"/>
      <c r="O61" s="366" t="n"/>
      <c r="P61" s="366" t="n"/>
      <c r="Q61" s="366" t="n"/>
      <c r="R61" s="366" t="n"/>
      <c r="S61" s="875" t="n"/>
      <c r="T61" s="875" t="n"/>
      <c r="U61" s="342" t="n"/>
      <c r="V61" s="644" t="n"/>
      <c r="W61" s="329" t="n"/>
      <c r="X61" s="644" t="n"/>
      <c r="Z61" s="335" t="n"/>
      <c r="AA61" s="335" t="n"/>
      <c r="AB61" s="335" t="n"/>
    </row>
    <row r="62" ht="15.6" customHeight="1">
      <c r="A62" s="342" t="n"/>
      <c r="B62" s="335" t="n"/>
      <c r="D62" s="335" t="n"/>
      <c r="E62" s="335" t="n"/>
      <c r="F62" s="335" t="n"/>
      <c r="G62" s="342" t="n"/>
      <c r="H62" s="643" t="n"/>
      <c r="I62" s="643" t="n"/>
      <c r="K62" s="638" t="n"/>
      <c r="M62" s="366" t="n"/>
      <c r="N62" s="366" t="n"/>
      <c r="O62" s="366" t="n"/>
      <c r="P62" s="366" t="n"/>
      <c r="Q62" s="366" t="n"/>
      <c r="R62" s="366" t="n"/>
      <c r="S62" s="875" t="n"/>
      <c r="T62" s="875" t="n"/>
      <c r="U62" s="342" t="n"/>
      <c r="V62" s="644" t="n"/>
      <c r="W62" s="644" t="n"/>
      <c r="X62" s="644" t="n"/>
      <c r="Z62" s="335" t="n"/>
      <c r="AA62" s="335" t="n"/>
      <c r="AB62" s="335" t="n"/>
    </row>
    <row r="63" ht="15.6" customHeight="1">
      <c r="A63" s="342" t="n"/>
      <c r="B63" s="335" t="n"/>
      <c r="D63" s="335" t="n"/>
      <c r="E63" s="335" t="n"/>
      <c r="F63" s="335" t="n"/>
      <c r="G63" s="342" t="n"/>
      <c r="H63" s="643" t="n"/>
      <c r="I63" s="643" t="n"/>
      <c r="K63" s="638" t="n"/>
      <c r="M63" s="366" t="n"/>
      <c r="N63" s="366" t="n"/>
      <c r="O63" s="366" t="n"/>
      <c r="P63" s="366" t="n"/>
      <c r="Q63" s="366" t="n"/>
      <c r="R63" s="366" t="n"/>
      <c r="S63" s="875" t="n"/>
      <c r="T63" s="875" t="n"/>
      <c r="U63" s="342" t="n"/>
      <c r="V63" s="644" t="n"/>
      <c r="W63" s="644" t="n"/>
      <c r="X63" s="644" t="n"/>
      <c r="Z63" s="335" t="n"/>
      <c r="AA63" s="335" t="n"/>
      <c r="AB63" s="335" t="n"/>
    </row>
    <row r="64" ht="15.75" customHeight="1">
      <c r="A64" s="331" t="inlineStr">
        <is>
          <t>REMARKS:</t>
        </is>
      </c>
      <c r="B64" s="342" t="n"/>
      <c r="C64" s="335" t="n"/>
      <c r="E64" s="335" t="n"/>
      <c r="F64" s="335" t="n"/>
      <c r="G64" s="335" t="n"/>
      <c r="H64" s="335" t="n"/>
      <c r="I64" s="335" t="n"/>
      <c r="J64" s="335" t="n"/>
      <c r="K64" s="335" t="n"/>
      <c r="L64" s="335" t="n"/>
      <c r="M64" s="335" t="n"/>
      <c r="N64" s="335" t="n"/>
      <c r="O64" s="335" t="n"/>
      <c r="P64" s="335" t="n"/>
      <c r="Q64" s="335" t="n"/>
      <c r="R64" s="335" t="n"/>
      <c r="S64" s="335" t="n"/>
      <c r="T64" s="335" t="n"/>
      <c r="U64" s="335" t="n"/>
      <c r="V64" s="335" t="n"/>
      <c r="W64" s="335" t="n"/>
      <c r="X64" s="335" t="n"/>
      <c r="Y64" s="335" t="n"/>
      <c r="Z64" s="335" t="n"/>
      <c r="AA64" s="335" t="n"/>
      <c r="AB64" s="335" t="n"/>
    </row>
    <row r="65" ht="6" customHeight="1">
      <c r="B65" s="342" t="n"/>
      <c r="C65" s="335" t="n"/>
      <c r="D65" s="335" t="n"/>
      <c r="E65" s="335" t="n"/>
      <c r="F65" s="335" t="n"/>
      <c r="G65" s="335" t="n"/>
      <c r="H65" s="335" t="n"/>
      <c r="I65" s="335" t="n"/>
      <c r="J65" s="335" t="n"/>
      <c r="K65" s="335" t="n"/>
      <c r="L65" s="335" t="n"/>
      <c r="M65" s="335" t="n"/>
      <c r="N65" s="335" t="n"/>
      <c r="O65" s="335" t="n"/>
      <c r="P65" s="335" t="n"/>
      <c r="Q65" s="335" t="n"/>
      <c r="R65" s="335" t="n"/>
      <c r="S65" s="335" t="n"/>
      <c r="T65" s="335" t="n"/>
      <c r="U65" s="335" t="n"/>
      <c r="V65" s="335" t="n"/>
      <c r="W65" s="335" t="n"/>
      <c r="X65" s="335" t="n"/>
      <c r="Y65" s="335" t="n"/>
      <c r="Z65" s="335" t="n"/>
      <c r="AA65" s="335" t="n"/>
      <c r="AB65" s="335" t="n"/>
    </row>
    <row r="66" ht="15.75" customHeight="1">
      <c r="A66" s="371" t="inlineStr">
        <is>
          <t>-</t>
        </is>
      </c>
      <c r="B66" s="641">
        <f>"The above results were those obtained at the time of calibration and refer only to the testing machine calibrated in "&amp;LOWER('Dash Board'!N17)&amp;"."</f>
        <v/>
      </c>
      <c r="C66" s="329" t="n"/>
      <c r="D66" s="329" t="n"/>
      <c r="E66" s="329" t="n"/>
      <c r="F66" s="329" t="n"/>
      <c r="G66" s="329" t="n"/>
      <c r="H66" s="329" t="n"/>
      <c r="I66" s="329" t="n"/>
      <c r="J66" s="329" t="n"/>
      <c r="K66" s="329" t="n"/>
      <c r="L66" s="329" t="n"/>
      <c r="M66" s="329" t="n"/>
      <c r="N66" s="329" t="n"/>
      <c r="O66" s="329" t="n"/>
      <c r="P66" s="329" t="n"/>
      <c r="Q66" s="329" t="n"/>
      <c r="R66" s="329" t="n"/>
      <c r="S66" s="345" t="n"/>
      <c r="T66" s="345" t="n"/>
      <c r="U66" s="345" t="n"/>
      <c r="V66" s="345" t="n"/>
      <c r="W66" s="345" t="n"/>
      <c r="X66" s="345" t="n"/>
      <c r="Y66" s="345" t="n"/>
      <c r="Z66" s="345" t="n"/>
      <c r="AA66" s="358" t="n"/>
      <c r="AB66" s="641" t="inlineStr">
        <is>
          <t>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t>
        </is>
      </c>
    </row>
    <row r="67" ht="14.25" customHeight="1">
      <c r="A67" s="371" t="n"/>
      <c r="B67" s="329" t="n"/>
      <c r="C67" s="329" t="n"/>
      <c r="D67" s="329" t="n"/>
      <c r="E67" s="329" t="n"/>
      <c r="F67" s="329" t="n"/>
      <c r="G67" s="329" t="n"/>
      <c r="H67" s="329" t="n"/>
      <c r="I67" s="329" t="n"/>
      <c r="J67" s="329" t="n"/>
      <c r="K67" s="329" t="n"/>
      <c r="L67" s="329" t="n"/>
      <c r="M67" s="329" t="n"/>
      <c r="N67" s="329" t="n"/>
      <c r="O67" s="329" t="n"/>
      <c r="P67" s="329" t="n"/>
      <c r="Q67" s="329" t="n"/>
      <c r="R67" s="329" t="n"/>
      <c r="S67" s="345" t="n"/>
      <c r="T67" s="345" t="n"/>
      <c r="U67" s="345" t="n"/>
      <c r="V67" s="345" t="n"/>
      <c r="W67" s="345" t="n"/>
      <c r="X67" s="345" t="n"/>
      <c r="Y67" s="345" t="n"/>
      <c r="Z67" s="345" t="n"/>
      <c r="AA67" s="358" t="n"/>
      <c r="AB67" s="358" t="n"/>
    </row>
    <row r="68" hidden="1" ht="60.75" customHeight="1">
      <c r="A68" s="416" t="inlineStr">
        <is>
          <t>-</t>
        </is>
      </c>
      <c r="B68" s="641">
        <f>AB66&amp;Software!AH34</f>
        <v/>
      </c>
      <c r="C68" s="329" t="n"/>
      <c r="D68" s="329" t="n"/>
      <c r="E68" s="329" t="n"/>
      <c r="F68" s="329" t="n"/>
      <c r="G68" s="329" t="n"/>
      <c r="H68" s="329" t="n"/>
      <c r="I68" s="329" t="n"/>
      <c r="J68" s="329" t="n"/>
      <c r="K68" s="329" t="n"/>
      <c r="L68" s="329" t="n"/>
      <c r="M68" s="329" t="n"/>
      <c r="N68" s="329" t="n"/>
      <c r="O68" s="329" t="n"/>
      <c r="P68" s="329" t="n"/>
      <c r="Q68" s="329" t="n"/>
      <c r="R68" s="329" t="n"/>
      <c r="S68" s="358" t="n"/>
      <c r="T68" s="358" t="n"/>
      <c r="U68" s="358" t="n"/>
      <c r="V68" s="358" t="n"/>
      <c r="W68" s="358" t="n"/>
      <c r="X68" s="358" t="n"/>
      <c r="Y68" s="358" t="n"/>
      <c r="Z68" s="358" t="n"/>
      <c r="AA68" s="358" t="n"/>
      <c r="AB68" s="358" t="n"/>
    </row>
    <row r="69" ht="30" customHeight="1">
      <c r="A69" s="417" t="inlineStr">
        <is>
          <t>-</t>
        </is>
      </c>
      <c r="B69" s="641" t="inlineStr">
        <is>
          <t>No adjustment was performed on the testing machine. The user should determine suitability of the testing machine for its intended use.</t>
        </is>
      </c>
      <c r="C69" s="329" t="n"/>
      <c r="D69" s="329" t="n"/>
      <c r="E69" s="329" t="n"/>
      <c r="F69" s="329" t="n"/>
      <c r="G69" s="329" t="n"/>
      <c r="H69" s="329" t="n"/>
      <c r="I69" s="329" t="n"/>
      <c r="J69" s="329" t="n"/>
      <c r="K69" s="329" t="n"/>
      <c r="L69" s="329" t="n"/>
      <c r="M69" s="329" t="n"/>
      <c r="N69" s="329" t="n"/>
      <c r="O69" s="329" t="n"/>
      <c r="P69" s="329" t="n"/>
      <c r="Q69" s="329" t="n"/>
      <c r="R69" s="329" t="n"/>
      <c r="S69" s="358" t="n"/>
      <c r="T69" s="358" t="n"/>
      <c r="U69" s="358" t="n"/>
      <c r="V69" s="358" t="n"/>
      <c r="W69" s="358" t="n"/>
      <c r="X69" s="358" t="n"/>
      <c r="Y69" s="358" t="n"/>
      <c r="Z69" s="358" t="n"/>
      <c r="AA69" s="358" t="n"/>
      <c r="AB69" s="358" t="n"/>
    </row>
    <row r="70" ht="15" customHeight="1">
      <c r="A70" s="371" t="inlineStr">
        <is>
          <t>-</t>
        </is>
      </c>
      <c r="B70" s="641">
        <f>IF('Dash Board'!O18="kN","The unit kN can only be directly converted to other force units.","The conversion factor of 1 "&amp;Software!E21&amp;" = "&amp;Software!K35&amp;" kN is only applicable in conversion of force units.")</f>
        <v/>
      </c>
      <c r="C70" s="329" t="n"/>
      <c r="D70" s="329" t="n"/>
      <c r="E70" s="329" t="n"/>
      <c r="F70" s="329" t="n"/>
      <c r="G70" s="329" t="n"/>
      <c r="H70" s="329" t="n"/>
      <c r="I70" s="329" t="n"/>
      <c r="J70" s="329" t="n"/>
      <c r="K70" s="329" t="n"/>
      <c r="L70" s="329" t="n"/>
      <c r="M70" s="329" t="n"/>
      <c r="N70" s="329" t="n"/>
      <c r="O70" s="329" t="n"/>
      <c r="P70" s="329" t="n"/>
      <c r="Q70" s="329" t="n"/>
      <c r="R70" s="329" t="n"/>
      <c r="S70" s="354" t="n"/>
      <c r="T70" s="354" t="n"/>
      <c r="U70" s="354" t="n"/>
      <c r="V70" s="354" t="n"/>
      <c r="W70" s="354" t="n"/>
      <c r="X70" s="354" t="n"/>
      <c r="Y70" s="354" t="n"/>
      <c r="Z70" s="354" t="n"/>
      <c r="AA70" s="358" t="n"/>
      <c r="AB70" s="358" t="n"/>
    </row>
    <row r="71" hidden="1" ht="15" customHeight="1">
      <c r="A71" s="371" t="inlineStr">
        <is>
          <t>-</t>
        </is>
      </c>
      <c r="B71" s="641">
        <f>"The testing machine's indicator make/model: "&amp;IF('Dash Board'!D26="","none",'Dash Board'!D26)&amp;" with serial number of: "&amp;'Dash Board'!D27&amp;"."</f>
        <v/>
      </c>
      <c r="C71" s="329" t="n"/>
      <c r="D71" s="329" t="n"/>
      <c r="E71" s="329" t="n"/>
      <c r="F71" s="329" t="n"/>
      <c r="G71" s="329" t="n"/>
      <c r="H71" s="329" t="n"/>
      <c r="I71" s="329" t="n"/>
      <c r="J71" s="329" t="n"/>
      <c r="K71" s="329" t="n"/>
      <c r="L71" s="329" t="n"/>
      <c r="M71" s="329" t="n"/>
      <c r="N71" s="329" t="n"/>
      <c r="O71" s="329" t="n"/>
      <c r="P71" s="329" t="n"/>
      <c r="Q71" s="329" t="n"/>
      <c r="R71" s="329" t="n"/>
      <c r="S71" s="354" t="n"/>
      <c r="T71" s="354" t="n"/>
      <c r="U71" s="354" t="n"/>
      <c r="V71" s="354" t="n"/>
      <c r="W71" s="354" t="n"/>
      <c r="X71" s="354" t="n"/>
      <c r="Y71" s="354" t="n"/>
      <c r="Z71" s="354" t="n"/>
      <c r="AA71" s="358" t="n"/>
      <c r="AB71" s="358" t="n"/>
    </row>
    <row r="72" hidden="1" ht="15" customHeight="1">
      <c r="A72" s="371" t="inlineStr">
        <is>
          <t>-</t>
        </is>
      </c>
      <c r="B72" s="641">
        <f>"The testing machine's indicator make/model: "&amp;'Dash Board'!D26&amp;" with serial number of: "&amp;'Dash Board'!D27&amp;"."</f>
        <v/>
      </c>
      <c r="C72" s="329" t="n"/>
      <c r="D72" s="329" t="n"/>
      <c r="E72" s="329" t="n"/>
      <c r="F72" s="329" t="n"/>
      <c r="G72" s="329" t="n"/>
      <c r="H72" s="329" t="n"/>
      <c r="I72" s="329" t="n"/>
      <c r="J72" s="329" t="n"/>
      <c r="K72" s="329" t="n"/>
      <c r="L72" s="329" t="n"/>
      <c r="M72" s="329" t="n"/>
      <c r="N72" s="329" t="n"/>
      <c r="O72" s="329" t="n"/>
      <c r="P72" s="329" t="n"/>
      <c r="Q72" s="329" t="n"/>
      <c r="R72" s="329" t="n"/>
      <c r="S72" s="354" t="n"/>
      <c r="T72" s="354" t="n"/>
      <c r="U72" s="354" t="n"/>
      <c r="V72" s="354" t="n"/>
      <c r="W72" s="354" t="n"/>
      <c r="X72" s="354" t="n"/>
      <c r="Y72" s="354" t="n"/>
      <c r="Z72" s="354" t="n"/>
      <c r="AA72" s="358" t="n"/>
      <c r="AB72" s="358" t="n"/>
    </row>
    <row r="73" ht="15.75" customHeight="1">
      <c r="A73" s="371" t="inlineStr">
        <is>
          <t>-</t>
        </is>
      </c>
      <c r="B73" s="641">
        <f>"The testing machine was calibrated at the "&amp;'Dash Board'!N7&amp;" of "&amp;'Dash Board'!D7&amp;" at "&amp;'Dash Board'!D8&amp;IF('Dash Board'!D9&lt;&gt;"",", "&amp;'Dash Board'!D9&amp;"."," is used during the calibration.")</f>
        <v/>
      </c>
      <c r="C73" s="329" t="n"/>
      <c r="D73" s="329" t="n"/>
      <c r="E73" s="329" t="n"/>
      <c r="F73" s="329" t="n"/>
      <c r="G73" s="329" t="n"/>
      <c r="H73" s="329" t="n"/>
      <c r="I73" s="329" t="n"/>
      <c r="J73" s="329" t="n"/>
      <c r="K73" s="329" t="n"/>
      <c r="L73" s="329" t="n"/>
      <c r="M73" s="329" t="n"/>
      <c r="N73" s="329" t="n"/>
      <c r="O73" s="329" t="n"/>
      <c r="P73" s="329" t="n"/>
      <c r="Q73" s="329" t="n"/>
      <c r="R73" s="329" t="n"/>
      <c r="S73" s="358" t="n"/>
      <c r="T73" s="358" t="n"/>
      <c r="U73" s="358" t="n"/>
      <c r="V73" s="358" t="n"/>
      <c r="W73" s="358" t="n"/>
      <c r="X73" s="358" t="n"/>
      <c r="Y73" s="358" t="n"/>
      <c r="Z73" s="358" t="n"/>
      <c r="AA73" s="358" t="n"/>
      <c r="AB73" s="358" t="n"/>
    </row>
    <row r="74" ht="29.25" customHeight="1">
      <c r="A74" s="371" t="n"/>
      <c r="B74" s="329" t="n"/>
      <c r="C74" s="329" t="n"/>
      <c r="D74" s="329" t="n"/>
      <c r="E74" s="329" t="n"/>
      <c r="F74" s="329" t="n"/>
      <c r="G74" s="329" t="n"/>
      <c r="H74" s="329" t="n"/>
      <c r="I74" s="329" t="n"/>
      <c r="J74" s="329" t="n"/>
      <c r="K74" s="329" t="n"/>
      <c r="L74" s="329" t="n"/>
      <c r="M74" s="329" t="n"/>
      <c r="N74" s="329" t="n"/>
      <c r="O74" s="329" t="n"/>
      <c r="P74" s="329" t="n"/>
      <c r="Q74" s="329" t="n"/>
      <c r="R74" s="329" t="n"/>
      <c r="S74" s="358" t="n"/>
      <c r="T74" s="358" t="n"/>
      <c r="U74" s="358" t="n"/>
      <c r="V74" s="358" t="n"/>
      <c r="W74" s="358" t="n"/>
      <c r="X74" s="358" t="n"/>
      <c r="Y74" s="358" t="n"/>
      <c r="Z74" s="358" t="n"/>
      <c r="AA74" s="358" t="n"/>
      <c r="AB74" s="358" t="n"/>
    </row>
    <row r="75" ht="15" customHeight="1">
      <c r="A75" s="371" t="n"/>
      <c r="B75" s="372" t="n"/>
      <c r="C75" s="372" t="n"/>
      <c r="D75" s="372" t="n"/>
      <c r="E75" s="372" t="n"/>
      <c r="F75" s="372" t="n"/>
      <c r="G75" s="372" t="n"/>
      <c r="H75" s="372" t="n"/>
      <c r="I75" s="372" t="n"/>
      <c r="J75" s="372" t="n"/>
      <c r="K75" s="372" t="n"/>
      <c r="L75" s="372" t="n"/>
      <c r="M75" s="372" t="n"/>
      <c r="N75" s="372" t="n"/>
      <c r="O75" s="372" t="n"/>
      <c r="P75" s="372" t="n"/>
      <c r="Q75" s="372" t="n"/>
      <c r="R75" s="372" t="n"/>
      <c r="S75" s="372" t="n"/>
      <c r="T75" s="372" t="n"/>
      <c r="U75" s="372" t="n"/>
      <c r="V75" s="372" t="n"/>
      <c r="W75" s="372" t="n"/>
      <c r="X75" s="372" t="n"/>
      <c r="Y75" s="372" t="n"/>
      <c r="Z75" s="372" t="n"/>
      <c r="AA75" s="358" t="n"/>
      <c r="AB75" s="358" t="n"/>
    </row>
    <row r="76" ht="15" customHeight="1">
      <c r="A76" s="342" t="n"/>
      <c r="B76" s="358" t="n"/>
      <c r="C76" s="358" t="n"/>
      <c r="D76" s="358" t="n"/>
      <c r="E76" s="358" t="n"/>
      <c r="F76" s="358" t="n"/>
      <c r="G76" s="358" t="n"/>
      <c r="H76" s="358" t="n"/>
      <c r="I76" s="358" t="n"/>
      <c r="J76" s="358" t="n"/>
      <c r="K76" s="358" t="n"/>
      <c r="L76" s="358" t="n"/>
      <c r="M76" s="358" t="n"/>
      <c r="N76" s="358" t="n"/>
      <c r="O76" s="358" t="n"/>
      <c r="P76" s="335" t="n"/>
      <c r="Q76" s="335" t="n"/>
      <c r="R76" s="335" t="n"/>
      <c r="S76" s="335" t="n"/>
      <c r="T76" s="335" t="n"/>
      <c r="U76" s="335" t="n"/>
      <c r="V76" s="335" t="n"/>
      <c r="W76" s="335" t="n"/>
      <c r="X76" s="335" t="n"/>
      <c r="Y76" s="335" t="n"/>
      <c r="Z76" s="335" t="n"/>
      <c r="AA76" s="335" t="n"/>
      <c r="AB76" s="335" t="n"/>
    </row>
    <row r="77" ht="15" customHeight="1">
      <c r="A77" s="638">
        <f>'Dash Board'!N10</f>
        <v/>
      </c>
      <c r="B77" s="329" t="n"/>
      <c r="C77" s="329" t="n"/>
      <c r="D77" s="329" t="n"/>
      <c r="E77" s="329" t="n"/>
      <c r="F77" s="329" t="n"/>
      <c r="G77" s="329" t="n"/>
      <c r="H77" s="329" t="n"/>
      <c r="I77" s="329" t="n"/>
      <c r="J77" s="335" t="n"/>
      <c r="K77" s="335" t="n"/>
      <c r="L77" s="335" t="n"/>
      <c r="M77" s="358" t="n"/>
      <c r="N77" s="358" t="n"/>
      <c r="O77" s="358" t="n"/>
      <c r="P77" s="335" t="n"/>
      <c r="Q77" s="335" t="n"/>
      <c r="R77" s="335" t="n"/>
      <c r="S77" s="335" t="n"/>
      <c r="T77" s="335" t="n"/>
      <c r="U77" s="335" t="n"/>
      <c r="V77" s="335" t="n"/>
      <c r="W77" s="335" t="n"/>
      <c r="X77" s="335" t="n"/>
      <c r="Y77" s="335" t="n"/>
      <c r="Z77" s="335" t="n"/>
      <c r="AA77" s="335" t="n"/>
      <c r="AB77" s="335" t="n"/>
    </row>
    <row r="78" ht="15.75" customHeight="1">
      <c r="A78" s="638">
        <f>VLOOKUP(A77,calibratorsdb[],2,FALSE)</f>
        <v/>
      </c>
      <c r="B78" s="329" t="n"/>
      <c r="C78" s="329" t="n"/>
      <c r="D78" s="329" t="n"/>
      <c r="E78" s="329" t="n"/>
      <c r="F78" s="329" t="n"/>
      <c r="G78" s="329" t="n"/>
      <c r="H78" s="329" t="n"/>
      <c r="I78" s="329" t="n"/>
      <c r="J78" s="335" t="n"/>
      <c r="K78" s="335" t="n"/>
      <c r="L78" s="335" t="n"/>
      <c r="M78" s="358" t="n"/>
      <c r="N78" s="358" t="n"/>
      <c r="O78" s="358" t="n"/>
      <c r="P78" s="335" t="n"/>
      <c r="Q78" s="335" t="n"/>
      <c r="R78" s="335" t="n"/>
      <c r="S78" s="335" t="n"/>
      <c r="T78" s="335" t="n"/>
      <c r="U78" s="335" t="n"/>
      <c r="V78" s="335" t="n"/>
      <c r="W78" s="335" t="n"/>
      <c r="X78" s="335" t="n"/>
      <c r="Y78" s="335" t="n"/>
      <c r="Z78" s="335" t="n"/>
      <c r="AA78" s="335" t="n"/>
      <c r="AB78" s="335" t="n"/>
    </row>
    <row r="79" ht="15.75" customHeight="1">
      <c r="A79" s="638" t="n"/>
      <c r="B79" s="329" t="n"/>
      <c r="C79" s="329" t="n"/>
      <c r="D79" s="329" t="n"/>
      <c r="E79" s="329" t="n"/>
      <c r="F79" s="329" t="n"/>
      <c r="G79" s="329" t="n"/>
      <c r="H79" s="329" t="n"/>
      <c r="I79" s="329" t="n"/>
      <c r="J79" s="335" t="n"/>
      <c r="K79" s="335" t="n"/>
      <c r="L79" s="335" t="n"/>
      <c r="M79" s="358" t="n"/>
      <c r="N79" s="358" t="n"/>
      <c r="O79" s="358" t="n"/>
      <c r="P79" s="335" t="n"/>
      <c r="Q79" s="335" t="n"/>
      <c r="R79" s="335" t="n"/>
      <c r="S79" s="335" t="n"/>
      <c r="T79" s="335" t="n"/>
      <c r="U79" s="335" t="n"/>
      <c r="V79" s="335" t="n"/>
      <c r="W79" s="335" t="n"/>
      <c r="X79" s="335" t="n"/>
      <c r="Y79" s="335" t="n"/>
      <c r="Z79" s="335" t="n"/>
      <c r="AA79" s="335" t="n"/>
      <c r="AB79" s="335" t="n"/>
    </row>
    <row r="80" ht="15.75" customHeight="1">
      <c r="A80" s="638" t="n"/>
      <c r="B80" s="638" t="n"/>
      <c r="C80" s="638" t="n"/>
      <c r="D80" s="638" t="n"/>
      <c r="E80" s="638" t="n"/>
      <c r="F80" s="638" t="n"/>
      <c r="G80" s="638" t="n"/>
      <c r="H80" s="638" t="n"/>
      <c r="I80" s="638" t="n"/>
      <c r="J80" s="335" t="n"/>
      <c r="K80" s="335" t="n"/>
      <c r="L80" s="335" t="n"/>
      <c r="M80" s="358" t="n"/>
      <c r="N80" s="358" t="n"/>
      <c r="O80" s="358" t="n"/>
      <c r="P80" s="335" t="n"/>
      <c r="Q80" s="335" t="n"/>
      <c r="R80" s="335" t="n"/>
      <c r="S80" s="335" t="n"/>
      <c r="T80" s="335" t="n"/>
      <c r="U80" s="335" t="n"/>
      <c r="V80" s="335" t="n"/>
      <c r="W80" s="335" t="n"/>
      <c r="X80" s="335" t="n"/>
      <c r="Y80" s="335" t="n"/>
      <c r="Z80" s="335" t="n"/>
      <c r="AA80" s="335" t="n"/>
      <c r="AB80" s="335" t="n"/>
    </row>
    <row r="81" ht="15.75" customHeight="1">
      <c r="A81" s="638">
        <f>IF('Dash Board'!N11&lt;&gt;"none",'Dash Board'!N11,"")</f>
        <v/>
      </c>
      <c r="B81" s="329" t="n"/>
      <c r="C81" s="329" t="n"/>
      <c r="D81" s="329" t="n"/>
      <c r="E81" s="329" t="n"/>
      <c r="F81" s="329" t="n"/>
      <c r="G81" s="329" t="n"/>
      <c r="H81" s="329" t="n"/>
      <c r="I81" s="329" t="n"/>
      <c r="J81" s="331">
        <f>IF(A81&lt;&gt;"","","For the Chief, National Metrology Laboratory")</f>
        <v/>
      </c>
      <c r="K81" s="358" t="n"/>
      <c r="L81" s="358" t="n"/>
      <c r="M81" s="358" t="n"/>
      <c r="N81" s="358" t="n"/>
      <c r="Q81" s="335" t="n"/>
      <c r="R81" s="335" t="n"/>
      <c r="S81" s="335" t="n"/>
      <c r="T81" s="335" t="n"/>
      <c r="U81" s="335" t="n"/>
      <c r="V81" s="335" t="n"/>
      <c r="W81" s="335" t="n"/>
      <c r="X81" s="335" t="n"/>
      <c r="Y81" s="335" t="n"/>
      <c r="Z81" s="335" t="n"/>
      <c r="AA81" s="335" t="n"/>
      <c r="AB81" s="335" t="n"/>
    </row>
    <row r="82" ht="15.75" customHeight="1">
      <c r="A82" s="638">
        <f>IF(A81="","",VLOOKUP(A81,calibratorsdb[],2,FALSE))</f>
        <v/>
      </c>
      <c r="B82" s="329" t="n"/>
      <c r="C82" s="329" t="n"/>
      <c r="D82" s="329" t="n"/>
      <c r="E82" s="329" t="n"/>
      <c r="F82" s="329" t="n"/>
      <c r="G82" s="329" t="n"/>
      <c r="H82" s="329" t="n"/>
      <c r="I82" s="329" t="n"/>
      <c r="J82" s="358" t="n"/>
      <c r="K82" s="358" t="n"/>
      <c r="L82" s="358" t="n"/>
      <c r="M82" s="358" t="n"/>
      <c r="N82" s="358" t="n"/>
      <c r="Q82" s="335" t="n"/>
      <c r="R82" s="335" t="n"/>
      <c r="S82" s="335" t="n"/>
      <c r="T82" s="335" t="n"/>
      <c r="U82" s="335" t="n"/>
      <c r="V82" s="335" t="n"/>
      <c r="W82" s="335" t="n"/>
      <c r="X82" s="335" t="n"/>
      <c r="Y82" s="335" t="n"/>
      <c r="Z82" s="335" t="n"/>
      <c r="AA82" s="335" t="n"/>
      <c r="AB82" s="335" t="n"/>
    </row>
    <row r="83" ht="15.75" customHeight="1">
      <c r="A83" s="638" t="n"/>
      <c r="B83" s="638" t="n"/>
      <c r="C83" s="638" t="n"/>
      <c r="D83" s="638" t="n"/>
      <c r="E83" s="638" t="n"/>
      <c r="F83" s="638" t="n"/>
      <c r="G83" s="638" t="n"/>
      <c r="H83" s="638" t="n"/>
      <c r="I83" s="638" t="n"/>
      <c r="J83" s="358" t="n"/>
      <c r="K83" s="358" t="n"/>
      <c r="L83" s="358" t="n"/>
      <c r="M83" s="358" t="n"/>
      <c r="N83" s="358" t="n"/>
      <c r="Q83" s="335" t="n"/>
      <c r="R83" s="335" t="n"/>
      <c r="S83" s="335" t="n"/>
      <c r="T83" s="335" t="n"/>
      <c r="U83" s="335" t="n"/>
      <c r="V83" s="335" t="n"/>
      <c r="W83" s="335" t="n"/>
      <c r="X83" s="335" t="n"/>
      <c r="Y83" s="335" t="n"/>
      <c r="Z83" s="335" t="n"/>
      <c r="AA83" s="335" t="n"/>
      <c r="AB83" s="335" t="n"/>
    </row>
    <row r="84" ht="15.75" customHeight="1">
      <c r="A84" s="638" t="n"/>
      <c r="B84" s="638" t="n"/>
      <c r="C84" s="638" t="n"/>
      <c r="D84" s="638" t="n"/>
      <c r="E84" s="638" t="n"/>
      <c r="F84" s="638" t="n"/>
      <c r="G84" s="638" t="n"/>
      <c r="H84" s="638" t="n"/>
      <c r="I84" s="638" t="n"/>
      <c r="J84" s="639">
        <f>IF(A81&lt;&gt;"","","MARYNESS I. SALAZAR")</f>
        <v/>
      </c>
      <c r="K84" s="329" t="n"/>
      <c r="L84" s="329" t="n"/>
      <c r="M84" s="329" t="n"/>
      <c r="N84" s="329" t="n"/>
      <c r="O84" s="329" t="n"/>
      <c r="P84" s="329" t="n"/>
      <c r="Q84" s="329" t="n"/>
      <c r="R84" s="335" t="n"/>
      <c r="S84" s="335" t="n"/>
      <c r="T84" s="335" t="n"/>
      <c r="U84" s="335" t="n"/>
      <c r="V84" s="335" t="n"/>
      <c r="W84" s="335" t="n"/>
      <c r="X84" s="335" t="n"/>
      <c r="Y84" s="335" t="n"/>
      <c r="Z84" s="335" t="n"/>
      <c r="AA84" s="335" t="n"/>
      <c r="AB84" s="335" t="n"/>
    </row>
    <row r="85" ht="15.6" customHeight="1">
      <c r="A85" s="342" t="n"/>
      <c r="B85" s="342" t="n"/>
      <c r="C85" s="358" t="n"/>
      <c r="D85" s="358" t="n"/>
      <c r="E85" s="358" t="n"/>
      <c r="F85" s="358" t="n"/>
      <c r="G85" s="358" t="n"/>
      <c r="H85" s="358" t="n"/>
      <c r="I85" s="358" t="n"/>
      <c r="J85" s="640">
        <f>IF(A81&lt;&gt;"","For the Chief, National Metrology Laboratory","Head, Pressure and Force Standards Section")</f>
        <v/>
      </c>
      <c r="K85" s="329" t="n"/>
      <c r="L85" s="329" t="n"/>
      <c r="M85" s="329" t="n"/>
      <c r="N85" s="329" t="n"/>
      <c r="O85" s="329" t="n"/>
      <c r="P85" s="329" t="n"/>
      <c r="Q85" s="329" t="n"/>
      <c r="R85" s="366" t="n"/>
      <c r="S85" s="366" t="n"/>
      <c r="T85" s="366" t="n"/>
      <c r="U85" s="366" t="n"/>
      <c r="V85" s="366" t="n"/>
      <c r="W85" s="366" t="n"/>
      <c r="X85" s="366" t="n"/>
      <c r="Y85" s="366" t="n"/>
      <c r="Z85" s="335" t="n"/>
      <c r="AA85" s="335" t="n"/>
      <c r="AB85" s="335" t="n"/>
    </row>
    <row r="86" ht="15" customHeight="1">
      <c r="A86" s="342" t="n"/>
      <c r="B86" s="342" t="n"/>
      <c r="C86" s="335" t="n"/>
      <c r="D86" s="335" t="n"/>
      <c r="E86" s="335" t="n"/>
      <c r="F86" s="335" t="n"/>
      <c r="G86" s="335" t="n"/>
      <c r="H86" s="335" t="n"/>
      <c r="I86" s="335" t="n"/>
      <c r="J86" s="335" t="n"/>
      <c r="K86" s="335" t="n"/>
      <c r="L86" s="335" t="n"/>
      <c r="M86" s="335" t="n"/>
      <c r="N86" s="335" t="n"/>
      <c r="O86" s="335" t="n"/>
      <c r="Q86" s="335" t="n"/>
      <c r="R86" s="335" t="n"/>
      <c r="S86" s="335" t="n"/>
      <c r="T86" s="335" t="n"/>
      <c r="U86" s="335" t="n"/>
      <c r="V86" s="335" t="n"/>
      <c r="W86" s="335" t="n"/>
      <c r="X86" s="335" t="n"/>
      <c r="Y86" s="335" t="n"/>
      <c r="Z86" s="335" t="n"/>
      <c r="AA86" s="335" t="n"/>
      <c r="AB86" s="335" t="n"/>
    </row>
    <row r="87" ht="15" customHeight="1">
      <c r="A87" s="342" t="n"/>
      <c r="B87" s="342" t="n"/>
      <c r="C87" s="335" t="n"/>
      <c r="D87" s="335" t="n"/>
      <c r="E87" s="335" t="n"/>
      <c r="F87" s="335" t="n"/>
      <c r="G87" s="335" t="n"/>
      <c r="H87" s="335" t="n"/>
      <c r="I87" s="335" t="n"/>
      <c r="J87" s="335" t="n"/>
      <c r="K87" s="335" t="n"/>
      <c r="L87" s="335" t="n"/>
      <c r="M87" s="335" t="n"/>
      <c r="N87" s="335" t="n"/>
      <c r="O87" s="335" t="n"/>
      <c r="P87" s="335" t="n"/>
      <c r="Q87" s="335" t="n"/>
      <c r="R87" s="335" t="n"/>
      <c r="S87" s="335" t="n"/>
      <c r="T87" s="335" t="n"/>
      <c r="U87" s="335" t="n"/>
      <c r="V87" s="335" t="n"/>
      <c r="W87" s="335" t="n"/>
      <c r="X87" s="335" t="n"/>
      <c r="Y87" s="335" t="n"/>
      <c r="Z87" s="335" t="n"/>
      <c r="AA87" s="335" t="n"/>
      <c r="AB87" s="335" t="n"/>
    </row>
    <row r="88" ht="15.75" customHeight="1">
      <c r="A88" s="342" t="n"/>
      <c r="B88" s="342" t="n"/>
      <c r="C88" s="335" t="n"/>
      <c r="D88" s="335" t="n"/>
      <c r="E88" s="335" t="n"/>
      <c r="F88" s="335" t="n"/>
      <c r="G88" s="335" t="n"/>
      <c r="H88" s="335" t="n"/>
      <c r="I88" s="335" t="n"/>
      <c r="J88" s="638">
        <f>IF(A81&lt;&gt;"","MARYNESS I. SALAZAR","")</f>
        <v/>
      </c>
      <c r="K88" s="329" t="n"/>
      <c r="L88" s="329" t="n"/>
      <c r="M88" s="329" t="n"/>
      <c r="N88" s="329" t="n"/>
      <c r="O88" s="329" t="n"/>
      <c r="P88" s="329" t="n"/>
      <c r="Q88" s="329" t="n"/>
      <c r="R88" s="335" t="n"/>
      <c r="S88" s="335" t="n"/>
      <c r="T88" s="335" t="n"/>
      <c r="U88" s="335" t="n"/>
      <c r="V88" s="335" t="n"/>
      <c r="W88" s="335" t="n"/>
      <c r="X88" s="335" t="n"/>
      <c r="Y88" s="335" t="n"/>
      <c r="Z88" s="366" t="n"/>
      <c r="AA88" s="358" t="n"/>
      <c r="AB88" s="358" t="n"/>
    </row>
    <row r="89" ht="15.75" customHeight="1">
      <c r="A89" s="342" t="n"/>
      <c r="B89" s="342" t="n"/>
      <c r="C89" s="335" t="n"/>
      <c r="D89" s="335" t="n"/>
      <c r="E89" s="335" t="n"/>
      <c r="F89" s="335" t="n"/>
      <c r="G89" s="335" t="n"/>
      <c r="H89" s="335" t="n"/>
      <c r="I89" s="335" t="n"/>
      <c r="J89" s="638">
        <f>IF(A81&lt;&gt;"","Head, Pressure and Force Standards Section","")</f>
        <v/>
      </c>
      <c r="K89" s="329" t="n"/>
      <c r="L89" s="329" t="n"/>
      <c r="M89" s="329" t="n"/>
      <c r="N89" s="329" t="n"/>
      <c r="O89" s="329" t="n"/>
      <c r="P89" s="329" t="n"/>
      <c r="Q89" s="329" t="n"/>
      <c r="R89" s="335" t="n"/>
      <c r="S89" s="335" t="n"/>
      <c r="T89" s="335" t="n"/>
      <c r="U89" s="335" t="n"/>
      <c r="V89" s="335" t="n"/>
      <c r="W89" s="335" t="n"/>
      <c r="X89" s="335" t="n"/>
      <c r="Y89" s="335" t="n"/>
      <c r="Z89" s="366" t="n"/>
      <c r="AA89" s="358" t="n"/>
      <c r="AB89" s="358" t="n"/>
    </row>
    <row r="90" ht="33" customHeight="1">
      <c r="B90" s="373" t="n"/>
      <c r="G90" s="373" t="n"/>
      <c r="H90" s="373" t="n"/>
      <c r="J90" s="374" t="n"/>
      <c r="K90" s="374" t="n"/>
      <c r="L90" s="374" t="n"/>
      <c r="M90" s="374" t="n"/>
      <c r="N90" s="374" t="n"/>
    </row>
    <row r="91">
      <c r="B91" s="373" t="inlineStr">
        <is>
          <t xml:space="preserve"> Page 2 of 2</t>
        </is>
      </c>
      <c r="E91" s="375" t="n"/>
      <c r="O91" s="376" t="n"/>
    </row>
    <row r="92">
      <c r="B92" s="373">
        <f>"Calibration Certificate No. "&amp;'Dash Board'!D18</f>
        <v/>
      </c>
      <c r="C92" s="373" t="n"/>
      <c r="D92" s="373" t="n"/>
      <c r="E92" s="373" t="n"/>
      <c r="F92" s="373" t="n"/>
      <c r="G92" s="373" t="n"/>
      <c r="H92" s="373" t="n"/>
    </row>
  </sheetData>
  <sheetProtection selectLockedCells="0" selectUnlockedCells="0" algorithmName="SHA-512" sheet="1" objects="1" insertRows="1" insertHyperlinks="1" autoFilter="1" scenarios="1" formatColumns="1" deleteColumns="1" insertColumns="1" pivotTables="1" deleteRows="1" formatCells="1" saltValue="8KE9Ce0Vzx7jobmEPcon6A==" formatRows="1" sort="1" spinCount="100000" hashValue="m9d2mWmKZktPkCgecCwt9zmLS0VQWjhrp5zyTSVU1Ntne71OzYYPABz/DxDvPuryeLLarq2CoG8n/3zFfhZjKA=="/>
  <mergeCells count="126">
    <mergeCell ref="L33:N33"/>
    <mergeCell ref="A7:R7"/>
    <mergeCell ref="B72:R72"/>
    <mergeCell ref="G23:H23"/>
    <mergeCell ref="L35:N35"/>
    <mergeCell ref="I26:J26"/>
    <mergeCell ref="A26:C26"/>
    <mergeCell ref="J84:Q84"/>
    <mergeCell ref="H9:R9"/>
    <mergeCell ref="L25:N25"/>
    <mergeCell ref="D28:F28"/>
    <mergeCell ref="A47:F47"/>
    <mergeCell ref="B70:R70"/>
    <mergeCell ref="I25:J25"/>
    <mergeCell ref="J89:Q89"/>
    <mergeCell ref="D30:F30"/>
    <mergeCell ref="G34:H34"/>
    <mergeCell ref="D29:F29"/>
    <mergeCell ref="J48:L48"/>
    <mergeCell ref="A34:C34"/>
    <mergeCell ref="O32:R32"/>
    <mergeCell ref="H13:R13"/>
    <mergeCell ref="O26:R26"/>
    <mergeCell ref="O23:R24"/>
    <mergeCell ref="O35:R35"/>
    <mergeCell ref="L32:N32"/>
    <mergeCell ref="B68:R68"/>
    <mergeCell ref="O25:R25"/>
    <mergeCell ref="H15:R15"/>
    <mergeCell ref="A79:I79"/>
    <mergeCell ref="H18:R18"/>
    <mergeCell ref="I30:J30"/>
    <mergeCell ref="O27:R27"/>
    <mergeCell ref="L24:N24"/>
    <mergeCell ref="D27:F27"/>
    <mergeCell ref="H10:R10"/>
    <mergeCell ref="L26:N26"/>
    <mergeCell ref="I32:J32"/>
    <mergeCell ref="A32:C32"/>
    <mergeCell ref="L34:N34"/>
    <mergeCell ref="A29:C29"/>
    <mergeCell ref="D25:F25"/>
    <mergeCell ref="M47:R47"/>
    <mergeCell ref="A53:R53"/>
    <mergeCell ref="H17:R17"/>
    <mergeCell ref="H11:R11"/>
    <mergeCell ref="G24:H24"/>
    <mergeCell ref="L36:N36"/>
    <mergeCell ref="I24:J24"/>
    <mergeCell ref="A31:C31"/>
    <mergeCell ref="G33:H33"/>
    <mergeCell ref="I33:J33"/>
    <mergeCell ref="O29:R29"/>
    <mergeCell ref="A48:F48"/>
    <mergeCell ref="H19:R19"/>
    <mergeCell ref="A77:I77"/>
    <mergeCell ref="A24:C24"/>
    <mergeCell ref="G26:H26"/>
    <mergeCell ref="G35:H35"/>
    <mergeCell ref="I35:J35"/>
    <mergeCell ref="O31:R31"/>
    <mergeCell ref="H12:R12"/>
    <mergeCell ref="L28:N28"/>
    <mergeCell ref="D31:F31"/>
    <mergeCell ref="G25:H25"/>
    <mergeCell ref="B73:R74"/>
    <mergeCell ref="A78:I78"/>
    <mergeCell ref="H14:R14"/>
    <mergeCell ref="V61:W61"/>
    <mergeCell ref="A25:C25"/>
    <mergeCell ref="D32:F32"/>
    <mergeCell ref="L23:N23"/>
    <mergeCell ref="H60:I60"/>
    <mergeCell ref="J47:L47"/>
    <mergeCell ref="O34:R34"/>
    <mergeCell ref="O28:R28"/>
    <mergeCell ref="A41:Z41"/>
    <mergeCell ref="D33:F33"/>
    <mergeCell ref="A28:C28"/>
    <mergeCell ref="G47:I47"/>
    <mergeCell ref="A43:R43"/>
    <mergeCell ref="O36:R36"/>
    <mergeCell ref="O30:R30"/>
    <mergeCell ref="L27:N27"/>
    <mergeCell ref="B69:R69"/>
    <mergeCell ref="D35:F35"/>
    <mergeCell ref="I23:J23"/>
    <mergeCell ref="A30:C30"/>
    <mergeCell ref="D34:F34"/>
    <mergeCell ref="A82:I82"/>
    <mergeCell ref="G32:H32"/>
    <mergeCell ref="D36:F36"/>
    <mergeCell ref="M48:R48"/>
    <mergeCell ref="A6:R6"/>
    <mergeCell ref="I34:J34"/>
    <mergeCell ref="G27:H27"/>
    <mergeCell ref="L30:N30"/>
    <mergeCell ref="A27:C27"/>
    <mergeCell ref="I27:J27"/>
    <mergeCell ref="G36:H36"/>
    <mergeCell ref="I36:J36"/>
    <mergeCell ref="J88:Q88"/>
    <mergeCell ref="L29:N29"/>
    <mergeCell ref="B71:R71"/>
    <mergeCell ref="A33:C33"/>
    <mergeCell ref="A55:R55"/>
    <mergeCell ref="A23:F23"/>
    <mergeCell ref="L31:N31"/>
    <mergeCell ref="G28:H28"/>
    <mergeCell ref="I28:J28"/>
    <mergeCell ref="H61:I61"/>
    <mergeCell ref="A35:C35"/>
    <mergeCell ref="O33:R33"/>
    <mergeCell ref="D24:F24"/>
    <mergeCell ref="A81:I81"/>
    <mergeCell ref="G30:H30"/>
    <mergeCell ref="B66:R67"/>
    <mergeCell ref="J85:Q85"/>
    <mergeCell ref="D26:F26"/>
    <mergeCell ref="A40:R40"/>
    <mergeCell ref="G29:H29"/>
    <mergeCell ref="I29:J29"/>
    <mergeCell ref="A36:C36"/>
    <mergeCell ref="G48:I48"/>
    <mergeCell ref="G31:H31"/>
    <mergeCell ref="I31:J31"/>
  </mergeCells>
  <pageMargins left="0.7" right="0.7" top="0.75" bottom="0" header="0.3" footer="0.5"/>
  <pageSetup orientation="portrait" paperSize="9" fitToHeight="2"/>
  <headerFooter differentFirst="1">
    <oddHeader/>
    <oddFooter/>
    <evenHeader/>
    <evenFooter/>
    <firstHeader/>
    <firstFooter/>
  </headerFooter>
  <rowBreaks count="1" manualBreakCount="1">
    <brk id="43" min="0" max="17" man="1"/>
  </rowBreaks>
</worksheet>
</file>

<file path=xl/worksheets/sheet8.xml><?xml version="1.0" encoding="utf-8"?>
<worksheet xmlns="http://schemas.openxmlformats.org/spreadsheetml/2006/main">
  <sheetPr>
    <outlinePr summaryBelow="1" summaryRight="1"/>
    <pageSetUpPr/>
  </sheetPr>
  <dimension ref="A1:AN94"/>
  <sheetViews>
    <sheetView tabSelected="1" view="pageLayout" topLeftCell="A58" zoomScale="115" zoomScaleNormal="130" zoomScaleSheetLayoutView="96" zoomScalePageLayoutView="115" workbookViewId="0">
      <selection activeCell="J78" sqref="J78"/>
    </sheetView>
  </sheetViews>
  <sheetFormatPr baseColWidth="8" defaultColWidth="8.85546875" defaultRowHeight="15"/>
  <cols>
    <col width="2.5703125" customWidth="1" style="329" min="1" max="1"/>
    <col width="3.42578125" customWidth="1" style="329" min="2" max="3"/>
    <col width="3.28515625" customWidth="1" style="329" min="4" max="4"/>
    <col width="2" customWidth="1" style="329" min="5" max="5"/>
    <col width="6.7109375" customWidth="1" style="329" min="6" max="6"/>
    <col width="2" customWidth="1" style="329" min="7" max="7"/>
    <col width="6.5703125" customWidth="1" style="329" min="8" max="8"/>
    <col width="5.7109375" customWidth="1" style="329" min="9" max="9"/>
    <col width="7.28515625" customWidth="1" style="329" min="10" max="10"/>
    <col width="7.140625" customWidth="1" style="329" min="11" max="11"/>
    <col width="3.42578125" customWidth="1" style="329" min="12" max="12"/>
    <col width="5.28515625" customWidth="1" style="329" min="13" max="13"/>
    <col width="3.85546875" customWidth="1" style="329" min="14" max="14"/>
    <col width="2.140625" customWidth="1" style="329" min="15" max="15"/>
    <col width="2.5703125" customWidth="1" style="329" min="16" max="16"/>
    <col width="4.42578125" customWidth="1" style="329" min="17" max="17"/>
    <col width="8.42578125" customWidth="1" style="329" min="18" max="18"/>
    <col width="3.140625" customWidth="1" style="329" min="19" max="19"/>
    <col width="3.42578125" customWidth="1" style="329" min="20" max="23"/>
    <col width="3.140625" customWidth="1" style="329" min="24" max="24"/>
    <col width="3.7109375" customWidth="1" style="329" min="25" max="25"/>
    <col width="3.5703125" customWidth="1" style="329" min="26" max="26"/>
    <col width="3.7109375" customWidth="1" style="329" min="27" max="27"/>
    <col hidden="1" width="255.7109375" customWidth="1" style="329" min="28" max="28"/>
    <col width="3.7109375" customWidth="1" style="329" min="29" max="37"/>
    <col width="8.85546875" customWidth="1" style="329" min="38" max="16384"/>
  </cols>
  <sheetData>
    <row r="1"/>
    <row r="2"/>
    <row r="3"/>
    <row r="4"/>
    <row r="5"/>
    <row r="6" ht="18.75" customHeight="1">
      <c r="A6" s="664" t="inlineStr">
        <is>
          <t xml:space="preserve">     CALIBRATION CERTIFICATE</t>
        </is>
      </c>
      <c r="B6" s="329" t="n"/>
      <c r="C6" s="329" t="n"/>
      <c r="D6" s="329" t="n"/>
      <c r="E6" s="329" t="n"/>
      <c r="F6" s="329" t="n"/>
      <c r="G6" s="329" t="n"/>
      <c r="H6" s="329" t="n"/>
      <c r="I6" s="329" t="n"/>
      <c r="J6" s="329" t="n"/>
      <c r="K6" s="329" t="n"/>
      <c r="L6" s="329" t="n"/>
      <c r="M6" s="329" t="n"/>
      <c r="N6" s="329" t="n"/>
      <c r="O6" s="329" t="n"/>
      <c r="P6" s="329" t="n"/>
      <c r="Q6" s="329" t="n"/>
      <c r="R6" s="329" t="n"/>
      <c r="S6" s="329" t="n"/>
      <c r="T6" s="329" t="n"/>
    </row>
    <row r="7" ht="15.75" customHeight="1">
      <c r="A7" s="665">
        <f>"No. "&amp;'Dash Board'!D18</f>
        <v/>
      </c>
      <c r="B7" s="329" t="n"/>
      <c r="C7" s="329" t="n"/>
      <c r="D7" s="329" t="n"/>
      <c r="E7" s="329" t="n"/>
      <c r="F7" s="329" t="n"/>
      <c r="G7" s="329" t="n"/>
      <c r="H7" s="329" t="n"/>
      <c r="I7" s="329" t="n"/>
      <c r="J7" s="329" t="n"/>
      <c r="K7" s="329" t="n"/>
      <c r="L7" s="329" t="n"/>
      <c r="M7" s="329" t="n"/>
      <c r="N7" s="329" t="n"/>
      <c r="O7" s="329" t="n"/>
      <c r="P7" s="329" t="n"/>
      <c r="Q7" s="329" t="n"/>
      <c r="R7" s="329" t="n"/>
      <c r="S7" s="329" t="n"/>
      <c r="T7" s="329" t="n"/>
    </row>
    <row r="8" ht="15" customHeight="1"/>
    <row r="9" ht="15.75" customHeight="1">
      <c r="A9" s="331" t="inlineStr">
        <is>
          <t>Date of Calibration</t>
        </is>
      </c>
      <c r="B9" s="332" t="n"/>
      <c r="C9" s="332" t="n"/>
      <c r="D9" s="332" t="n"/>
      <c r="E9" s="331" t="n"/>
      <c r="F9" s="331" t="n"/>
      <c r="G9" s="644" t="inlineStr">
        <is>
          <t>:</t>
        </is>
      </c>
      <c r="H9" s="866">
        <f>'Dash Board'!D17</f>
        <v/>
      </c>
      <c r="I9" s="329" t="n"/>
      <c r="J9" s="329" t="n"/>
      <c r="K9" s="329" t="n"/>
      <c r="L9" s="329" t="n"/>
      <c r="M9" s="329" t="n"/>
      <c r="N9" s="329" t="n"/>
      <c r="O9" s="329" t="n"/>
      <c r="P9" s="329" t="n"/>
      <c r="Q9" s="329" t="n"/>
      <c r="R9" s="329" t="n"/>
      <c r="S9" s="329" t="n"/>
      <c r="T9" s="329" t="n"/>
    </row>
    <row r="10" ht="15.75" customHeight="1">
      <c r="A10" s="331" t="inlineStr">
        <is>
          <t>Calibration Item</t>
        </is>
      </c>
      <c r="B10" s="332" t="n"/>
      <c r="C10" s="332" t="n"/>
      <c r="D10" s="332" t="n"/>
      <c r="E10" s="331" t="n"/>
      <c r="F10" s="331" t="n"/>
      <c r="G10" s="644" t="inlineStr">
        <is>
          <t>:</t>
        </is>
      </c>
      <c r="H10" s="866">
        <f>'Dash Board'!D19&amp;IF('Dash Board'!D20&lt;&gt;""," ("&amp;'Dash Board'!D20&amp;")","")</f>
        <v/>
      </c>
      <c r="I10" s="329" t="n"/>
      <c r="J10" s="329" t="n"/>
      <c r="K10" s="329" t="n"/>
      <c r="L10" s="329" t="n"/>
      <c r="M10" s="329" t="n"/>
      <c r="N10" s="329" t="n"/>
      <c r="O10" s="329" t="n"/>
      <c r="P10" s="329" t="n"/>
      <c r="Q10" s="329" t="n"/>
      <c r="R10" s="329" t="n"/>
      <c r="S10" s="329" t="n"/>
      <c r="T10" s="329" t="n"/>
    </row>
    <row r="11" ht="15.75" customHeight="1">
      <c r="A11" s="332" t="n"/>
      <c r="B11" s="331" t="inlineStr">
        <is>
          <t>Capacity</t>
        </is>
      </c>
      <c r="C11" s="332" t="n"/>
      <c r="D11" s="332" t="n"/>
      <c r="E11" s="332" t="n"/>
      <c r="F11" s="331" t="n"/>
      <c r="G11" s="644" t="inlineStr">
        <is>
          <t>:</t>
        </is>
      </c>
      <c r="H11" s="866">
        <f>Data!K6</f>
        <v/>
      </c>
      <c r="I11" s="329" t="n"/>
      <c r="J11" s="329" t="n"/>
      <c r="K11" s="329" t="n"/>
      <c r="L11" s="329" t="n"/>
      <c r="M11" s="329" t="n"/>
      <c r="N11" s="329" t="n"/>
      <c r="O11" s="329" t="n"/>
      <c r="P11" s="329" t="n"/>
      <c r="Q11" s="329" t="n"/>
      <c r="R11" s="329" t="n"/>
      <c r="S11" s="329" t="n"/>
      <c r="T11" s="329" t="n"/>
    </row>
    <row r="12" ht="15.75" customHeight="1">
      <c r="A12" s="332" t="n"/>
      <c r="B12" s="331" t="inlineStr">
        <is>
          <t>Measurement Range</t>
        </is>
      </c>
      <c r="C12" s="332" t="n"/>
      <c r="D12" s="332" t="n"/>
      <c r="E12" s="332" t="n"/>
      <c r="F12" s="331" t="n"/>
      <c r="G12" s="644" t="inlineStr">
        <is>
          <t>:</t>
        </is>
      </c>
      <c r="H12" s="866">
        <f>Data!K7</f>
        <v/>
      </c>
      <c r="I12" s="329" t="n"/>
      <c r="J12" s="329" t="n"/>
      <c r="K12" s="329" t="n"/>
      <c r="L12" s="329" t="n"/>
      <c r="M12" s="329" t="n"/>
      <c r="N12" s="329" t="n"/>
      <c r="O12" s="329" t="n"/>
      <c r="P12" s="329" t="n"/>
      <c r="Q12" s="329" t="n"/>
      <c r="R12" s="329" t="n"/>
      <c r="S12" s="329" t="n"/>
      <c r="T12" s="329" t="n"/>
    </row>
    <row r="13" ht="15.75" customHeight="1">
      <c r="A13" s="332" t="n"/>
      <c r="B13" s="331">
        <f>'Dash Board'!K21</f>
        <v/>
      </c>
      <c r="C13" s="332" t="n"/>
      <c r="D13" s="332" t="n"/>
      <c r="E13" s="332" t="n"/>
      <c r="F13" s="331" t="n"/>
      <c r="G13" s="644" t="inlineStr">
        <is>
          <t>:</t>
        </is>
      </c>
      <c r="H13" s="866">
        <f>Data!K10</f>
        <v/>
      </c>
      <c r="I13" s="329" t="n"/>
      <c r="J13" s="329" t="n"/>
      <c r="K13" s="329" t="n"/>
      <c r="L13" s="329" t="n"/>
      <c r="M13" s="329" t="n"/>
      <c r="N13" s="329" t="n"/>
      <c r="O13" s="329" t="n"/>
      <c r="P13" s="329" t="n"/>
      <c r="Q13" s="329" t="n"/>
      <c r="R13" s="329" t="n"/>
      <c r="S13" s="329" t="n"/>
      <c r="T13" s="329" t="n"/>
    </row>
    <row r="14" ht="15.75" customHeight="1">
      <c r="A14" s="332" t="n"/>
      <c r="B14" s="331" t="inlineStr">
        <is>
          <t>Make / Model</t>
        </is>
      </c>
      <c r="C14" s="332" t="n"/>
      <c r="D14" s="332" t="n"/>
      <c r="E14" s="332" t="n"/>
      <c r="F14" s="331" t="n"/>
      <c r="G14" s="644" t="inlineStr">
        <is>
          <t>:</t>
        </is>
      </c>
      <c r="H14" s="866">
        <f>IF('Dash Board'!D21="Yes",'Dash Board'!D23&amp;" (Load Cell); "&amp;'Dash Board'!D26&amp;" (Indicator)",'Dash Board'!D23&amp;"; "&amp;'Dash Board'!D26&amp;" ")</f>
        <v/>
      </c>
      <c r="I14" s="329" t="n"/>
      <c r="J14" s="329" t="n"/>
      <c r="K14" s="329" t="n"/>
      <c r="L14" s="329" t="n"/>
      <c r="M14" s="329" t="n"/>
      <c r="N14" s="329" t="n"/>
      <c r="O14" s="329" t="n"/>
      <c r="P14" s="329" t="n"/>
      <c r="Q14" s="329" t="n"/>
      <c r="R14" s="329" t="n"/>
      <c r="S14" s="329" t="n"/>
      <c r="T14" s="329" t="n"/>
    </row>
    <row r="15" ht="15.75" customHeight="1">
      <c r="A15" s="332" t="n"/>
      <c r="B15" s="331" t="inlineStr">
        <is>
          <t>Serial No.</t>
        </is>
      </c>
      <c r="C15" s="332" t="n"/>
      <c r="D15" s="332" t="n"/>
      <c r="E15" s="332" t="n"/>
      <c r="F15" s="332" t="n"/>
      <c r="G15" s="644" t="inlineStr">
        <is>
          <t>:</t>
        </is>
      </c>
      <c r="H15" s="866">
        <f>IF('Dash Board'!D21="Yes",'Dash Board'!D24&amp;" (Load Cell)"&amp;'Dash Board'!D27&amp;" (Indicator)",IF('Dash Board'!D26&lt;&gt;"",'Dash Board'!D24&amp;"; "&amp;'Dash Board'!D27&amp;" (Indicator)",'Dash Board'!D24))</f>
        <v/>
      </c>
      <c r="I15" s="329" t="n"/>
      <c r="J15" s="329" t="n"/>
      <c r="K15" s="329" t="n"/>
      <c r="L15" s="329" t="n"/>
      <c r="M15" s="329" t="n"/>
      <c r="N15" s="329" t="n"/>
      <c r="O15" s="329" t="n"/>
      <c r="P15" s="329" t="n"/>
      <c r="Q15" s="329" t="n"/>
      <c r="R15" s="329" t="n"/>
      <c r="S15" s="329" t="n"/>
      <c r="T15" s="329" t="n"/>
    </row>
    <row r="16" hidden="1" ht="15.6" customHeight="1">
      <c r="A16" s="332" t="n"/>
      <c r="B16" s="331" t="n"/>
      <c r="C16" s="332" t="n"/>
      <c r="D16" s="332" t="n"/>
      <c r="E16" s="332" t="n"/>
      <c r="F16" s="332" t="n"/>
      <c r="G16" s="644" t="n"/>
      <c r="H16" s="337">
        <f>Software!O21&amp; " (Indicator)"</f>
        <v/>
      </c>
      <c r="I16" s="437" t="n"/>
      <c r="J16" s="437" t="n"/>
      <c r="K16" s="336" t="n"/>
      <c r="L16" s="336" t="n"/>
      <c r="M16" s="336" t="n"/>
      <c r="N16" s="336" t="n"/>
      <c r="O16" s="336" t="n"/>
      <c r="P16" s="336" t="n"/>
      <c r="Q16" s="336" t="n"/>
      <c r="R16" s="336" t="n"/>
      <c r="S16" s="336" t="n"/>
      <c r="T16" s="336" t="n"/>
    </row>
    <row r="17" ht="16.9" customHeight="1">
      <c r="A17" s="331" t="inlineStr">
        <is>
          <t>Customer</t>
        </is>
      </c>
      <c r="B17" s="332" t="n"/>
      <c r="C17" s="332" t="n"/>
      <c r="D17" s="332" t="n"/>
      <c r="E17" s="331" t="n"/>
      <c r="F17" s="331" t="n"/>
      <c r="G17" s="644" t="inlineStr">
        <is>
          <t>:</t>
        </is>
      </c>
      <c r="H17" s="866">
        <f>UPPER('Dash Board'!D7)</f>
        <v/>
      </c>
      <c r="I17" s="329" t="n"/>
      <c r="J17" s="329" t="n"/>
      <c r="K17" s="329" t="n"/>
      <c r="L17" s="329" t="n"/>
      <c r="M17" s="329" t="n"/>
      <c r="N17" s="329" t="n"/>
      <c r="O17" s="329" t="n"/>
      <c r="P17" s="329" t="n"/>
      <c r="Q17" s="329" t="n"/>
      <c r="R17" s="329" t="n"/>
      <c r="S17" s="329" t="n"/>
      <c r="T17" s="329" t="n"/>
    </row>
    <row r="18" ht="16.5" customHeight="1">
      <c r="A18" s="332" t="n"/>
      <c r="B18" s="332" t="n"/>
      <c r="C18" s="331" t="n"/>
      <c r="D18" s="331" t="n"/>
      <c r="E18" s="331" t="n"/>
      <c r="F18" s="331" t="n"/>
      <c r="G18" s="331" t="n"/>
      <c r="H18" s="866">
        <f>'Dash Board'!D8</f>
        <v/>
      </c>
      <c r="I18" s="329" t="n"/>
      <c r="J18" s="329" t="n"/>
      <c r="K18" s="329" t="n"/>
      <c r="L18" s="329" t="n"/>
      <c r="M18" s="329" t="n"/>
      <c r="N18" s="329" t="n"/>
      <c r="O18" s="329" t="n"/>
      <c r="P18" s="329" t="n"/>
      <c r="Q18" s="329" t="n"/>
      <c r="R18" s="329" t="n"/>
      <c r="S18" s="329" t="n"/>
      <c r="T18" s="329" t="n"/>
    </row>
    <row r="19" ht="16.5" customHeight="1">
      <c r="A19" s="342" t="n"/>
      <c r="B19" s="342" t="n"/>
      <c r="C19" s="335" t="n"/>
      <c r="D19" s="335" t="n"/>
      <c r="E19" s="335" t="n"/>
      <c r="F19" s="335" t="n"/>
      <c r="G19" s="335" t="n"/>
      <c r="H19" s="866">
        <f>IF('Dash Board'!D9&lt;&gt;0,'Dash Board'!D9,"")</f>
        <v/>
      </c>
      <c r="I19" s="329" t="n"/>
      <c r="J19" s="329" t="n"/>
      <c r="K19" s="329" t="n"/>
      <c r="L19" s="329" t="n"/>
      <c r="M19" s="329" t="n"/>
      <c r="N19" s="329" t="n"/>
      <c r="O19" s="329" t="n"/>
      <c r="P19" s="329" t="n"/>
      <c r="Q19" s="329" t="n"/>
      <c r="R19" s="329" t="n"/>
      <c r="S19" s="329" t="n"/>
      <c r="T19" s="329" t="n"/>
    </row>
    <row r="20" ht="34.5" customHeight="1">
      <c r="B20" s="342" t="n"/>
      <c r="C20" s="335" t="n"/>
      <c r="D20" s="335" t="n"/>
      <c r="E20" s="335" t="n"/>
      <c r="F20" s="335" t="n"/>
      <c r="G20" s="335" t="n"/>
      <c r="H20" s="335" t="n"/>
      <c r="I20" s="343" t="n"/>
      <c r="J20" s="344" t="n"/>
      <c r="K20" s="343" t="n"/>
      <c r="L20" s="343" t="n"/>
      <c r="M20" s="343" t="n"/>
      <c r="N20" s="343" t="n"/>
      <c r="O20" s="343" t="n"/>
      <c r="P20" s="343" t="n"/>
      <c r="Q20" s="343" t="n"/>
      <c r="R20" s="343" t="n"/>
      <c r="S20" s="343" t="n"/>
      <c r="T20" s="343" t="n"/>
    </row>
    <row r="21" ht="15.75" customHeight="1">
      <c r="A21" s="335" t="inlineStr">
        <is>
          <t>MEASUREMENT RESULTS:</t>
        </is>
      </c>
      <c r="B21" s="342" t="n"/>
      <c r="D21" s="342" t="n"/>
      <c r="E21" s="335" t="n"/>
      <c r="F21" s="335" t="n"/>
      <c r="G21" s="335" t="n"/>
      <c r="H21" s="335" t="n"/>
      <c r="I21" s="335" t="n"/>
      <c r="J21" s="335" t="n"/>
      <c r="K21" s="335" t="n"/>
      <c r="L21" s="335" t="n"/>
      <c r="M21" s="335" t="n"/>
      <c r="N21" s="335" t="n"/>
      <c r="O21" s="335" t="n"/>
      <c r="P21" s="335" t="n"/>
      <c r="Q21" s="335" t="n"/>
      <c r="R21" s="335" t="n"/>
      <c r="S21" s="335" t="n"/>
      <c r="T21" s="335" t="n"/>
    </row>
    <row r="22" ht="21" customHeight="1">
      <c r="A22" s="335" t="n"/>
      <c r="B22" s="342" t="n"/>
      <c r="D22" s="342" t="n"/>
      <c r="E22" s="335" t="n"/>
      <c r="F22" s="335" t="n"/>
      <c r="G22" s="335" t="n"/>
      <c r="H22" s="335" t="n"/>
      <c r="I22" s="335" t="n"/>
      <c r="J22" s="335" t="n"/>
      <c r="K22" s="335" t="n"/>
      <c r="L22" s="335" t="n"/>
      <c r="M22" s="335" t="n"/>
      <c r="N22" s="335" t="n"/>
      <c r="O22" s="335" t="n"/>
      <c r="P22" s="335" t="n"/>
      <c r="Q22" s="335" t="n"/>
      <c r="R22" s="335" t="n"/>
      <c r="S22" s="335" t="n"/>
      <c r="T22" s="335" t="n"/>
    </row>
    <row r="23" ht="51.6" customHeight="1">
      <c r="A23" s="438" t="n"/>
      <c r="C23" s="652" t="inlineStr">
        <is>
          <t xml:space="preserve">Applied
Force                       (F std )  </t>
        </is>
      </c>
      <c r="D23" s="761" t="n"/>
      <c r="E23" s="761" t="n"/>
      <c r="F23" s="762" t="n"/>
      <c r="G23" s="652" t="inlineStr">
        <is>
          <t>Indicated
Force                      (F ind)</t>
        </is>
      </c>
      <c r="H23" s="761" t="n"/>
      <c r="I23" s="762" t="n"/>
      <c r="J23" s="652" t="inlineStr">
        <is>
          <t xml:space="preserve">
Deviation
(F ind - F std)
</t>
        </is>
      </c>
      <c r="K23" s="762" t="n"/>
      <c r="L23" s="652" t="inlineStr">
        <is>
          <t>Relative 
Expanded Uncertainty</t>
        </is>
      </c>
      <c r="M23" s="761" t="n"/>
      <c r="N23" s="761" t="n"/>
      <c r="O23" s="762" t="n"/>
      <c r="P23" s="652" t="inlineStr">
        <is>
          <t>Relative 
Accuracy 
Error</t>
        </is>
      </c>
      <c r="Q23" s="761" t="n"/>
      <c r="R23" s="762" t="n"/>
      <c r="S23" s="335" t="n"/>
      <c r="T23" s="335" t="n"/>
    </row>
    <row r="24" ht="24" customHeight="1">
      <c r="A24" s="668" t="n"/>
      <c r="B24" s="439" t="n"/>
      <c r="C24" s="659" t="inlineStr">
        <is>
          <t>kgf</t>
        </is>
      </c>
      <c r="D24" s="761" t="n"/>
      <c r="E24" s="761" t="n"/>
      <c r="F24" s="762" t="n"/>
      <c r="G24" s="659" t="inlineStr">
        <is>
          <t>kgf</t>
        </is>
      </c>
      <c r="H24" s="761" t="n"/>
      <c r="I24" s="762" t="n"/>
      <c r="J24" s="659" t="inlineStr">
        <is>
          <t>kgf</t>
        </is>
      </c>
      <c r="K24" s="762" t="n"/>
      <c r="L24" s="659" t="inlineStr">
        <is>
          <t>%</t>
        </is>
      </c>
      <c r="M24" s="761" t="n"/>
      <c r="N24" s="761" t="n"/>
      <c r="O24" s="762" t="n"/>
      <c r="P24" s="652" t="inlineStr">
        <is>
          <t>%</t>
        </is>
      </c>
      <c r="Q24" s="761" t="n"/>
      <c r="R24" s="762" t="n"/>
    </row>
    <row r="25" ht="24" customHeight="1">
      <c r="A25" s="668" t="n"/>
      <c r="B25" s="668" t="n"/>
      <c r="C25" s="637" t="n">
        <v>0</v>
      </c>
      <c r="D25" s="761" t="n"/>
      <c r="E25" s="761" t="n"/>
      <c r="F25" s="762" t="n"/>
      <c r="G25" s="637" t="n">
        <v>0</v>
      </c>
      <c r="H25" s="761" t="n"/>
      <c r="I25" s="762" t="n"/>
      <c r="J25" s="659" t="n">
        <v>0</v>
      </c>
      <c r="K25" s="762" t="n"/>
      <c r="L25" s="637">
        <f>Data!I89</f>
        <v/>
      </c>
      <c r="M25" s="761" t="n"/>
      <c r="N25" s="761" t="n"/>
      <c r="O25" s="762" t="n"/>
      <c r="P25" s="667">
        <f>Data!J89</f>
        <v/>
      </c>
      <c r="Q25" s="761" t="n"/>
      <c r="R25" s="762" t="n"/>
    </row>
    <row r="26" ht="24" customHeight="1">
      <c r="A26" s="668" t="n"/>
      <c r="B26" s="668" t="n"/>
      <c r="C26" s="876">
        <f>Data!C26</f>
        <v/>
      </c>
      <c r="D26" s="761" t="n"/>
      <c r="E26" s="761" t="n"/>
      <c r="F26" s="762" t="n"/>
      <c r="G26" s="876">
        <f>Data!L26</f>
        <v/>
      </c>
      <c r="H26" s="761" t="n"/>
      <c r="I26" s="762" t="n"/>
      <c r="J26" s="659">
        <f>G26-C26</f>
        <v/>
      </c>
      <c r="K26" s="762" t="n"/>
      <c r="L26" s="637">
        <f>Data!I90</f>
        <v/>
      </c>
      <c r="M26" s="761" t="n"/>
      <c r="N26" s="761" t="n"/>
      <c r="O26" s="762" t="n"/>
      <c r="P26" s="667">
        <f>Data!J90</f>
        <v/>
      </c>
      <c r="Q26" s="761" t="n"/>
      <c r="R26" s="762" t="n"/>
    </row>
    <row r="27" ht="24" customHeight="1">
      <c r="A27" s="668" t="n"/>
      <c r="B27" s="668" t="n"/>
      <c r="C27" s="876">
        <f>Data!C27</f>
        <v/>
      </c>
      <c r="D27" s="761" t="n"/>
      <c r="E27" s="761" t="n"/>
      <c r="F27" s="762" t="n"/>
      <c r="G27" s="876">
        <f>Data!L27</f>
        <v/>
      </c>
      <c r="H27" s="761" t="n"/>
      <c r="I27" s="762" t="n"/>
      <c r="J27" s="659">
        <f>G27-C27</f>
        <v/>
      </c>
      <c r="K27" s="762" t="n"/>
      <c r="L27" s="637">
        <f>Data!I91</f>
        <v/>
      </c>
      <c r="M27" s="761" t="n"/>
      <c r="N27" s="761" t="n"/>
      <c r="O27" s="762" t="n"/>
      <c r="P27" s="667">
        <f>Data!J91</f>
        <v/>
      </c>
      <c r="Q27" s="761" t="n"/>
      <c r="R27" s="762" t="n"/>
    </row>
    <row r="28" ht="24" customHeight="1">
      <c r="A28" s="668" t="n"/>
      <c r="B28" s="668" t="n"/>
      <c r="C28" s="876">
        <f>Data!C28</f>
        <v/>
      </c>
      <c r="D28" s="761" t="n"/>
      <c r="E28" s="761" t="n"/>
      <c r="F28" s="762" t="n"/>
      <c r="G28" s="876">
        <f>Data!L28</f>
        <v/>
      </c>
      <c r="H28" s="761" t="n"/>
      <c r="I28" s="762" t="n"/>
      <c r="J28" s="659">
        <f>G28-C28</f>
        <v/>
      </c>
      <c r="K28" s="762" t="n"/>
      <c r="L28" s="637">
        <f>Data!I92</f>
        <v/>
      </c>
      <c r="M28" s="761" t="n"/>
      <c r="N28" s="761" t="n"/>
      <c r="O28" s="762" t="n"/>
      <c r="P28" s="667">
        <f>Data!J92</f>
        <v/>
      </c>
      <c r="Q28" s="761" t="n"/>
      <c r="R28" s="762" t="n"/>
    </row>
    <row r="29" ht="24" customHeight="1">
      <c r="A29" s="668" t="n"/>
      <c r="B29" s="668" t="n"/>
      <c r="C29" s="876">
        <f>Data!C29</f>
        <v/>
      </c>
      <c r="D29" s="761" t="n"/>
      <c r="E29" s="761" t="n"/>
      <c r="F29" s="762" t="n"/>
      <c r="G29" s="876">
        <f>Data!L29</f>
        <v/>
      </c>
      <c r="H29" s="761" t="n"/>
      <c r="I29" s="762" t="n"/>
      <c r="J29" s="659">
        <f>G29-C29</f>
        <v/>
      </c>
      <c r="K29" s="762" t="n"/>
      <c r="L29" s="637">
        <f>Data!I93</f>
        <v/>
      </c>
      <c r="M29" s="761" t="n"/>
      <c r="N29" s="761" t="n"/>
      <c r="O29" s="762" t="n"/>
      <c r="P29" s="667">
        <f>Data!J93</f>
        <v/>
      </c>
      <c r="Q29" s="761" t="n"/>
      <c r="R29" s="762" t="n"/>
    </row>
    <row r="30" ht="24" customHeight="1">
      <c r="A30" s="668" t="n"/>
      <c r="B30" s="668" t="n"/>
      <c r="C30" s="876">
        <f>Data!C30</f>
        <v/>
      </c>
      <c r="D30" s="761" t="n"/>
      <c r="E30" s="761" t="n"/>
      <c r="F30" s="762" t="n"/>
      <c r="G30" s="876">
        <f>Data!L30</f>
        <v/>
      </c>
      <c r="H30" s="761" t="n"/>
      <c r="I30" s="762" t="n"/>
      <c r="J30" s="659">
        <f>G30-C30</f>
        <v/>
      </c>
      <c r="K30" s="762" t="n"/>
      <c r="L30" s="637">
        <f>Data!I94</f>
        <v/>
      </c>
      <c r="M30" s="761" t="n"/>
      <c r="N30" s="761" t="n"/>
      <c r="O30" s="762" t="n"/>
      <c r="P30" s="667">
        <f>Data!J94</f>
        <v/>
      </c>
      <c r="Q30" s="761" t="n"/>
      <c r="R30" s="762" t="n"/>
    </row>
    <row r="31" ht="15" customHeight="1">
      <c r="A31" s="335" t="n"/>
      <c r="B31" s="872" t="n"/>
      <c r="C31" s="668" t="n"/>
      <c r="D31" s="329" t="n"/>
      <c r="E31" s="329" t="n"/>
      <c r="F31" s="329" t="n"/>
      <c r="G31" s="872" t="n"/>
      <c r="H31" s="872" t="n"/>
      <c r="I31" s="351" t="n"/>
      <c r="J31" s="351" t="n"/>
      <c r="K31" s="668" t="n"/>
      <c r="L31" s="351" t="n"/>
      <c r="M31" s="351" t="n"/>
      <c r="N31" s="351" t="n"/>
      <c r="O31" s="873" t="n"/>
      <c r="P31" s="873" t="n"/>
      <c r="Q31" s="873" t="n"/>
      <c r="R31" s="873" t="n"/>
    </row>
    <row r="32" ht="15.75" customHeight="1">
      <c r="A32" s="335" t="n"/>
      <c r="B32" s="872" t="n"/>
      <c r="C32" s="872" t="n"/>
      <c r="D32" s="872" t="n"/>
      <c r="E32" s="872" t="n"/>
      <c r="F32" s="872" t="n"/>
      <c r="G32" s="872" t="n"/>
      <c r="H32" s="872" t="n"/>
      <c r="I32" s="351" t="n"/>
      <c r="J32" s="351" t="n"/>
      <c r="K32" s="668" t="n"/>
      <c r="L32" s="351" t="n"/>
      <c r="M32" s="351" t="n"/>
      <c r="N32" s="351" t="n"/>
      <c r="O32" s="873" t="n"/>
      <c r="P32" s="873" t="n"/>
      <c r="Q32" s="873" t="n"/>
      <c r="R32" s="873" t="n"/>
    </row>
    <row r="33" ht="15.75" customHeight="1">
      <c r="A33" s="335" t="inlineStr">
        <is>
          <t>UNCERTAINTY OF MEASUREMENT:</t>
        </is>
      </c>
      <c r="B33" s="342" t="n"/>
      <c r="C33" s="335" t="n"/>
      <c r="D33" s="342" t="n"/>
      <c r="E33" s="335" t="n"/>
      <c r="F33" s="335" t="n"/>
      <c r="G33" s="335" t="n"/>
      <c r="H33" s="335" t="n"/>
      <c r="I33" s="335" t="n"/>
      <c r="J33" s="335" t="n"/>
      <c r="K33" s="335" t="n"/>
      <c r="L33" s="335" t="n"/>
      <c r="M33" s="335" t="n"/>
      <c r="N33" s="335" t="n"/>
      <c r="O33" s="335" t="n"/>
      <c r="P33" s="335" t="n"/>
      <c r="Q33" s="335" t="n"/>
      <c r="R33" s="335" t="n"/>
    </row>
    <row r="34" ht="7.15" customHeight="1">
      <c r="A34" s="335" t="n"/>
      <c r="B34" s="342" t="n"/>
      <c r="C34" s="335" t="n"/>
      <c r="D34" s="342" t="n"/>
      <c r="E34" s="335" t="n"/>
      <c r="F34" s="335" t="n"/>
      <c r="G34" s="335" t="n"/>
      <c r="H34" s="335" t="n"/>
      <c r="I34" s="335" t="n"/>
      <c r="J34" s="335" t="n"/>
      <c r="K34" s="335" t="n"/>
      <c r="L34" s="335" t="n"/>
      <c r="M34" s="335" t="n"/>
      <c r="N34" s="335" t="n"/>
      <c r="O34" s="335" t="n"/>
      <c r="P34" s="335" t="n"/>
      <c r="Q34" s="335" t="n"/>
      <c r="R34" s="335" t="n"/>
    </row>
    <row r="35" ht="109.9" customHeight="1">
      <c r="A35" s="641" t="inlineStr">
        <is>
          <t>The uncertainty stated is the expanded uncertainty obtained by multiplying the standard uncertainty by the coverage factor k = 2. It has been determined in accordance with the “JCGM 100:2008 Evaluation of measurement data- Guide to the expression of uncertainty in measurement”. The value of the measurand lies within the assigned range of values with a probability of  approximately 95%.</t>
        </is>
      </c>
      <c r="B35" s="329" t="n"/>
      <c r="C35" s="329" t="n"/>
      <c r="D35" s="329" t="n"/>
      <c r="E35" s="329" t="n"/>
      <c r="F35" s="329" t="n"/>
      <c r="G35" s="329" t="n"/>
      <c r="H35" s="329" t="n"/>
      <c r="I35" s="329" t="n"/>
      <c r="J35" s="329" t="n"/>
      <c r="K35" s="329" t="n"/>
      <c r="L35" s="329" t="n"/>
      <c r="M35" s="329" t="n"/>
      <c r="N35" s="329" t="n"/>
      <c r="O35" s="329" t="n"/>
      <c r="P35" s="329" t="n"/>
      <c r="Q35" s="329" t="n"/>
      <c r="R35" s="329" t="n"/>
      <c r="S35" s="329" t="n"/>
      <c r="T35" s="329" t="n"/>
    </row>
    <row r="36" ht="18.75" customHeight="1">
      <c r="A36" s="647" t="n"/>
      <c r="B36" s="647" t="n"/>
      <c r="C36" s="647" t="n"/>
      <c r="D36" s="647" t="n"/>
      <c r="E36" s="647" t="n"/>
      <c r="F36" s="647" t="n"/>
      <c r="G36" s="647" t="n"/>
      <c r="H36" s="647" t="n"/>
      <c r="I36" s="647" t="n"/>
      <c r="J36" s="647" t="n"/>
      <c r="K36" s="647" t="n"/>
      <c r="L36" s="647" t="n"/>
      <c r="M36" s="647" t="n"/>
      <c r="N36" s="647" t="n"/>
      <c r="O36" s="647" t="n"/>
      <c r="P36" s="647" t="n"/>
      <c r="Q36" s="647" t="n"/>
      <c r="R36" s="647" t="n"/>
      <c r="S36" s="647" t="n"/>
      <c r="T36" s="647" t="n"/>
    </row>
    <row r="37" ht="15" customHeight="1">
      <c r="A37" s="647" t="inlineStr">
        <is>
          <t>Page 1 of 2</t>
        </is>
      </c>
      <c r="B37" s="329" t="n"/>
      <c r="C37" s="329" t="n"/>
      <c r="D37" s="329" t="n"/>
      <c r="E37" s="329" t="n"/>
      <c r="F37" s="329" t="n"/>
      <c r="G37" s="329" t="n"/>
      <c r="H37" s="329" t="n"/>
      <c r="I37" s="329" t="n"/>
      <c r="J37" s="329" t="n"/>
      <c r="K37" s="329" t="n"/>
      <c r="L37" s="329" t="n"/>
      <c r="M37" s="329" t="n"/>
      <c r="N37" s="329" t="n"/>
      <c r="O37" s="329" t="n"/>
      <c r="P37" s="329" t="n"/>
      <c r="Q37" s="329" t="n"/>
      <c r="R37" s="329" t="n"/>
      <c r="S37" s="647" t="n"/>
      <c r="T37" s="647" t="n"/>
    </row>
    <row r="38" ht="15" customHeight="1">
      <c r="A38" s="647" t="n"/>
      <c r="B38" s="647" t="n"/>
      <c r="C38" s="647" t="n"/>
      <c r="D38" s="647" t="n"/>
      <c r="E38" s="647" t="n"/>
      <c r="F38" s="647" t="n"/>
      <c r="G38" s="647" t="n"/>
      <c r="H38" s="647" t="n"/>
      <c r="I38" s="647" t="n"/>
      <c r="J38" s="647" t="n"/>
      <c r="K38" s="647" t="n"/>
      <c r="L38" s="647" t="n"/>
      <c r="M38" s="647" t="n"/>
      <c r="N38" s="647" t="n"/>
      <c r="O38" s="647" t="n"/>
      <c r="P38" s="647" t="n"/>
      <c r="Q38" s="647" t="n"/>
      <c r="R38" s="647" t="n"/>
      <c r="S38" s="647" t="n"/>
      <c r="T38" s="647" t="n"/>
    </row>
    <row r="39" ht="15.75" customHeight="1">
      <c r="A39" s="335" t="inlineStr">
        <is>
          <t>STANDARD USED :</t>
        </is>
      </c>
      <c r="B39" s="342" t="n"/>
      <c r="C39" s="335" t="n"/>
      <c r="D39" s="335" t="n"/>
      <c r="E39" s="335" t="n"/>
      <c r="F39" s="335" t="n"/>
      <c r="G39" s="335" t="n"/>
      <c r="H39" s="335" t="n"/>
      <c r="I39" s="335" t="n"/>
      <c r="J39" s="335" t="n"/>
      <c r="K39" s="335" t="n"/>
      <c r="L39" s="335" t="n"/>
      <c r="M39" s="335" t="n"/>
      <c r="N39" s="335" t="n"/>
      <c r="O39" s="335" t="n"/>
      <c r="P39" s="335" t="n"/>
      <c r="Q39" s="335" t="n"/>
      <c r="R39" s="335" t="n"/>
      <c r="S39" s="335" t="n"/>
      <c r="T39" s="335" t="n"/>
    </row>
    <row r="40" ht="6.75" customHeight="1">
      <c r="A40" s="342" t="n"/>
      <c r="B40" s="342" t="n"/>
      <c r="C40" s="335" t="n"/>
      <c r="D40" s="335" t="n"/>
      <c r="E40" s="335" t="n"/>
      <c r="F40" s="335" t="n"/>
      <c r="G40" s="335" t="n"/>
      <c r="H40" s="335" t="n"/>
      <c r="I40" s="335" t="n"/>
      <c r="J40" s="335" t="n"/>
      <c r="K40" s="335" t="n"/>
      <c r="L40" s="335" t="n"/>
      <c r="M40" s="335" t="n"/>
      <c r="N40" s="335" t="n"/>
      <c r="O40" s="335" t="n"/>
      <c r="P40" s="335" t="n"/>
      <c r="Q40" s="335" t="n"/>
      <c r="R40" s="335" t="n"/>
      <c r="S40" s="335" t="n"/>
      <c r="T40" s="335" t="n"/>
    </row>
    <row r="41" ht="21" customHeight="1">
      <c r="A41" s="648" t="inlineStr">
        <is>
          <t>Name of Standard</t>
        </is>
      </c>
      <c r="B41" s="761" t="n"/>
      <c r="C41" s="761" t="n"/>
      <c r="D41" s="761" t="n"/>
      <c r="E41" s="761" t="n"/>
      <c r="F41" s="761" t="n"/>
      <c r="G41" s="762" t="n"/>
      <c r="H41" s="648" t="inlineStr">
        <is>
          <t>Make/Model</t>
        </is>
      </c>
      <c r="I41" s="761" t="n"/>
      <c r="J41" s="762" t="n"/>
      <c r="K41" s="645" t="inlineStr">
        <is>
          <t>Calibration Certificate No.</t>
        </is>
      </c>
      <c r="L41" s="761" t="n"/>
      <c r="M41" s="761" t="n"/>
      <c r="N41" s="761" t="n"/>
      <c r="O41" s="761" t="n"/>
      <c r="P41" s="762" t="n"/>
      <c r="Q41" s="648" t="inlineStr">
        <is>
          <t>Traceability</t>
        </is>
      </c>
      <c r="R41" s="761" t="n"/>
      <c r="S41" s="761" t="n"/>
      <c r="T41" s="762" t="n"/>
    </row>
    <row r="42" ht="47.25" customHeight="1">
      <c r="A42" s="645">
        <f>IF('Dash Board'!D19="Axle Weighing Scale","Force Measuring Instrument
SN "&amp;Data!C44,"Load Cell
SN "&amp;Data!C44)</f>
        <v/>
      </c>
      <c r="B42" s="761" t="n"/>
      <c r="C42" s="761" t="n"/>
      <c r="D42" s="761" t="n"/>
      <c r="E42" s="761" t="n"/>
      <c r="F42" s="761" t="n"/>
      <c r="G42" s="762" t="n"/>
      <c r="H42" s="645">
        <f>IFERROR(Data!C42,Software!E36)</f>
        <v/>
      </c>
      <c r="I42" s="761" t="n"/>
      <c r="J42" s="762" t="n"/>
      <c r="K42" s="645" t="inlineStr">
        <is>
          <t>02-2025-FORC-0072</t>
        </is>
      </c>
      <c r="L42" s="761" t="n"/>
      <c r="M42" s="761" t="n"/>
      <c r="N42" s="761" t="n"/>
      <c r="O42" s="761" t="n"/>
      <c r="P42" s="762" t="n"/>
      <c r="Q42" s="645" t="inlineStr">
        <is>
          <t>Traceable to the SI through NMD-ITDI</t>
        </is>
      </c>
      <c r="R42" s="761" t="n"/>
      <c r="S42" s="761" t="n"/>
      <c r="T42" s="762" t="n"/>
    </row>
    <row r="43" ht="15" customHeight="1">
      <c r="A43" s="639" t="n"/>
      <c r="B43" s="639" t="n"/>
      <c r="C43" s="639" t="n"/>
      <c r="D43" s="639" t="n"/>
      <c r="E43" s="639" t="n"/>
      <c r="F43" s="639" t="n"/>
      <c r="G43" s="639" t="n"/>
      <c r="H43" s="639" t="n"/>
      <c r="I43" s="639" t="n"/>
      <c r="J43" s="639" t="n"/>
      <c r="K43" s="639" t="n"/>
      <c r="L43" s="639" t="n"/>
      <c r="M43" s="639" t="n"/>
      <c r="N43" s="639" t="n"/>
      <c r="O43" s="639" t="n"/>
      <c r="P43" s="639" t="n"/>
      <c r="Q43" s="639" t="n"/>
      <c r="R43" s="639" t="n"/>
      <c r="S43" s="358" t="n"/>
      <c r="T43" s="358" t="n"/>
    </row>
    <row r="44" ht="15" customHeight="1">
      <c r="A44" s="639" t="n"/>
      <c r="B44" s="639" t="n"/>
      <c r="C44" s="639" t="n"/>
      <c r="D44" s="639" t="n"/>
      <c r="E44" s="639" t="n"/>
      <c r="F44" s="639" t="n"/>
      <c r="G44" s="639" t="n"/>
      <c r="H44" s="639" t="n"/>
      <c r="I44" s="639" t="n"/>
      <c r="J44" s="639" t="n"/>
      <c r="K44" s="639" t="n"/>
      <c r="L44" s="639" t="n"/>
      <c r="M44" s="639" t="n"/>
      <c r="N44" s="639" t="n"/>
      <c r="O44" s="639" t="n"/>
      <c r="P44" s="639" t="n"/>
      <c r="Q44" s="639" t="n"/>
      <c r="R44" s="639" t="n"/>
      <c r="S44" s="358" t="n"/>
      <c r="T44" s="358" t="n"/>
    </row>
    <row r="45" ht="15.75" customHeight="1">
      <c r="A45" s="335" t="inlineStr">
        <is>
          <t>CALIBRATION PROCEDURE:</t>
        </is>
      </c>
      <c r="B45" s="342" t="n"/>
      <c r="C45" s="335" t="n"/>
      <c r="D45" s="335" t="n"/>
      <c r="E45" s="335" t="n"/>
      <c r="F45" s="335" t="n"/>
      <c r="G45" s="335" t="n"/>
      <c r="H45" s="335" t="n"/>
      <c r="I45" s="335" t="n"/>
      <c r="J45" s="335" t="n"/>
      <c r="K45" s="335" t="n"/>
      <c r="L45" s="335" t="n"/>
      <c r="M45" s="335" t="n"/>
      <c r="N45" s="335" t="n"/>
      <c r="O45" s="335" t="n"/>
      <c r="P45" s="335" t="n"/>
      <c r="Q45" s="335" t="n"/>
      <c r="R45" s="335" t="n"/>
      <c r="S45" s="335" t="n"/>
      <c r="T45" s="335" t="n"/>
    </row>
    <row r="46" ht="6.75" customHeight="1">
      <c r="A46" s="342" t="n"/>
      <c r="B46" s="342" t="n"/>
      <c r="C46" s="335" t="n"/>
      <c r="D46" s="335" t="n"/>
      <c r="E46" s="335" t="n"/>
      <c r="F46" s="335" t="n"/>
      <c r="G46" s="335" t="n"/>
      <c r="H46" s="335" t="n"/>
      <c r="I46" s="335" t="n"/>
      <c r="J46" s="335" t="n"/>
      <c r="K46" s="335" t="n"/>
      <c r="L46" s="335" t="n"/>
      <c r="M46" s="335" t="n"/>
      <c r="N46" s="335" t="n"/>
      <c r="O46" s="335" t="n"/>
      <c r="P46" s="335" t="n"/>
      <c r="Q46" s="335" t="n"/>
      <c r="R46" s="335" t="n"/>
      <c r="S46" s="335" t="n"/>
      <c r="T46" s="335" t="n"/>
    </row>
    <row r="47" hidden="1" ht="31.9" customHeight="1">
      <c r="A47" s="641">
        <f>"The "&amp;LOWER('Dash Board'!D19)&amp;" ("&amp;LOWER('Dash Board'!D20)&amp;") under calibration was subjected to specified force values which were applied on the working standard and readings were noted."</f>
        <v/>
      </c>
      <c r="B47" s="329" t="n"/>
      <c r="C47" s="329" t="n"/>
      <c r="D47" s="329" t="n"/>
      <c r="E47" s="329" t="n"/>
      <c r="F47" s="329" t="n"/>
      <c r="G47" s="329" t="n"/>
      <c r="H47" s="329" t="n"/>
      <c r="I47" s="329" t="n"/>
      <c r="J47" s="329" t="n"/>
      <c r="K47" s="329" t="n"/>
      <c r="L47" s="329" t="n"/>
      <c r="M47" s="329" t="n"/>
      <c r="N47" s="329" t="n"/>
      <c r="O47" s="329" t="n"/>
      <c r="P47" s="329" t="n"/>
      <c r="Q47" s="329" t="n"/>
      <c r="R47" s="329" t="n"/>
      <c r="S47" s="335" t="n"/>
      <c r="T47" s="335" t="n"/>
    </row>
    <row r="48" hidden="1" ht="15.75" customHeight="1">
      <c r="A48" s="342" t="n"/>
      <c r="B48" s="342" t="n"/>
      <c r="C48" s="335" t="n"/>
      <c r="D48" s="335" t="n"/>
      <c r="E48" s="335" t="n"/>
      <c r="F48" s="335" t="n"/>
      <c r="G48" s="335" t="n"/>
      <c r="H48" s="335" t="n"/>
      <c r="I48" s="335" t="n"/>
      <c r="J48" s="335" t="n"/>
      <c r="K48" s="335" t="n"/>
      <c r="L48" s="335" t="n"/>
      <c r="M48" s="335" t="n"/>
      <c r="N48" s="335" t="n"/>
      <c r="O48" s="335" t="n"/>
      <c r="P48" s="335" t="n"/>
      <c r="Q48" s="335" t="n"/>
      <c r="R48" s="335" t="n"/>
      <c r="S48" s="335" t="n"/>
      <c r="T48" s="335" t="n"/>
    </row>
    <row r="49" ht="33" customHeight="1">
      <c r="A49" s="641" t="inlineStr">
        <is>
          <t>The axle weighing scale was subjected to specified force values in comparison with force reference  standard values. Three (3) series of increasing force values were applied to the axle weighing scale.</t>
        </is>
      </c>
      <c r="B49" s="329" t="n"/>
      <c r="C49" s="329" t="n"/>
      <c r="D49" s="329" t="n"/>
      <c r="E49" s="329" t="n"/>
      <c r="F49" s="329" t="n"/>
      <c r="G49" s="329" t="n"/>
      <c r="H49" s="329" t="n"/>
      <c r="I49" s="329" t="n"/>
      <c r="J49" s="329" t="n"/>
      <c r="K49" s="329" t="n"/>
      <c r="L49" s="329" t="n"/>
      <c r="M49" s="329" t="n"/>
      <c r="N49" s="329" t="n"/>
      <c r="O49" s="329" t="n"/>
      <c r="P49" s="329" t="n"/>
      <c r="Q49" s="329" t="n"/>
      <c r="R49" s="329" t="n"/>
      <c r="S49" s="329" t="n"/>
      <c r="T49" s="329" t="n"/>
    </row>
    <row r="50" ht="7.5" customHeight="1">
      <c r="A50" s="646" t="n"/>
      <c r="B50" s="329" t="n"/>
      <c r="C50" s="329" t="n"/>
      <c r="D50" s="329" t="n"/>
      <c r="E50" s="329" t="n"/>
      <c r="F50" s="329" t="n"/>
      <c r="G50" s="329" t="n"/>
      <c r="H50" s="329" t="n"/>
      <c r="I50" s="329" t="n"/>
      <c r="J50" s="329" t="n"/>
      <c r="K50" s="329" t="n"/>
      <c r="L50" s="329" t="n"/>
      <c r="M50" s="329" t="n"/>
      <c r="N50" s="329" t="n"/>
      <c r="O50" s="329" t="n"/>
      <c r="P50" s="329" t="n"/>
      <c r="Q50" s="329" t="n"/>
      <c r="R50" s="329" t="n"/>
      <c r="S50" s="329" t="n"/>
      <c r="T50" s="329" t="n"/>
    </row>
    <row r="51" ht="48" customHeight="1">
      <c r="A51" s="641" t="inlineStr">
        <is>
          <t>The relevant references for this axle weighing scale calibration are the ISO 7500-1:2018 "Metallic materials-Calibration and verification of static uniaxial testing machine'' and TP-PFSS-F-FORC-02: (version 1) "Calibration of Axle Weighing Scales" .</t>
        </is>
      </c>
      <c r="B51" s="329" t="n"/>
      <c r="C51" s="329" t="n"/>
      <c r="D51" s="329" t="n"/>
      <c r="E51" s="329" t="n"/>
      <c r="F51" s="329" t="n"/>
      <c r="G51" s="329" t="n"/>
      <c r="H51" s="329" t="n"/>
      <c r="I51" s="329" t="n"/>
      <c r="J51" s="329" t="n"/>
      <c r="K51" s="329" t="n"/>
      <c r="L51" s="329" t="n"/>
      <c r="M51" s="329" t="n"/>
      <c r="N51" s="329" t="n"/>
      <c r="O51" s="329" t="n"/>
      <c r="P51" s="329" t="n"/>
      <c r="Q51" s="329" t="n"/>
      <c r="R51" s="329" t="n"/>
      <c r="S51" s="329" t="n"/>
      <c r="T51" s="329" t="n"/>
    </row>
    <row r="52" ht="15" customHeight="1">
      <c r="A52" s="646" t="n"/>
      <c r="B52" s="646" t="n"/>
      <c r="C52" s="646" t="n"/>
      <c r="D52" s="646" t="n"/>
      <c r="E52" s="646" t="n"/>
      <c r="F52" s="646" t="n"/>
      <c r="G52" s="646" t="n"/>
      <c r="H52" s="646" t="n"/>
      <c r="I52" s="646" t="n"/>
      <c r="J52" s="646" t="n"/>
      <c r="K52" s="646" t="n"/>
      <c r="L52" s="646" t="n"/>
      <c r="M52" s="646" t="n"/>
      <c r="N52" s="646" t="n"/>
      <c r="O52" s="646" t="n"/>
      <c r="P52" s="646" t="n"/>
      <c r="Q52" s="646" t="n"/>
      <c r="R52" s="646" t="n"/>
      <c r="S52" s="646" t="n"/>
      <c r="T52" s="646" t="n"/>
    </row>
    <row r="53" ht="15.75" customHeight="1">
      <c r="A53" s="335" t="inlineStr">
        <is>
          <t>ENVIRONMENTAL CONDITIONS:</t>
        </is>
      </c>
      <c r="B53" s="342" t="n"/>
      <c r="C53" s="335" t="n"/>
      <c r="D53" s="342" t="n"/>
      <c r="E53" s="335" t="n"/>
      <c r="F53" s="335" t="n"/>
      <c r="G53" s="335" t="n"/>
      <c r="H53" s="335" t="n"/>
      <c r="I53" s="335" t="n"/>
      <c r="J53" s="335" t="n"/>
      <c r="K53" s="335" t="n"/>
      <c r="L53" s="335" t="n"/>
      <c r="M53" s="335" t="n"/>
      <c r="N53" s="335" t="n"/>
      <c r="O53" s="335" t="n"/>
      <c r="P53" s="335" t="n"/>
      <c r="Q53" s="335" t="n"/>
      <c r="R53" s="335" t="n"/>
      <c r="S53" s="335" t="n"/>
      <c r="T53" s="335" t="n"/>
    </row>
    <row r="54" ht="6.75" customHeight="1">
      <c r="A54" s="342" t="n"/>
      <c r="B54" s="342" t="n"/>
      <c r="C54" s="335" t="n"/>
      <c r="D54" s="335" t="n"/>
      <c r="E54" s="335" t="n"/>
      <c r="F54" s="335" t="n"/>
      <c r="G54" s="335" t="n"/>
      <c r="H54" s="335" t="n"/>
      <c r="I54" s="335" t="n"/>
      <c r="J54" s="335" t="n"/>
      <c r="K54" s="335" t="n"/>
      <c r="L54" s="335" t="n"/>
      <c r="M54" s="335" t="n"/>
      <c r="N54" s="335" t="n"/>
      <c r="O54" s="335" t="n"/>
      <c r="P54" s="335" t="n"/>
      <c r="Q54" s="335" t="n"/>
      <c r="R54" s="335" t="n"/>
      <c r="S54" s="335" t="n"/>
      <c r="T54" s="335" t="n"/>
    </row>
    <row r="55" ht="15.6" customHeight="1">
      <c r="A55" s="342" t="n"/>
      <c r="B55" s="335" t="inlineStr">
        <is>
          <t>Ambient Temperature</t>
        </is>
      </c>
      <c r="D55" s="335" t="n"/>
      <c r="E55" s="335" t="n"/>
      <c r="F55" s="335" t="n"/>
      <c r="G55" s="342" t="n"/>
      <c r="H55" s="642">
        <f>": ("&amp;ROUND(AVERAGE(Data!K43:L43),0)&amp;" ± 2) °C "</f>
        <v/>
      </c>
      <c r="I55" s="329" t="n"/>
      <c r="K55" s="638" t="n"/>
      <c r="M55" s="874" t="n"/>
      <c r="N55" s="874" t="n"/>
      <c r="O55" s="874" t="n"/>
      <c r="P55" s="874" t="n"/>
      <c r="Q55" s="874" t="n"/>
      <c r="R55" s="874" t="n"/>
      <c r="S55" s="342" t="n"/>
      <c r="T55" s="342" t="n"/>
    </row>
    <row r="56" ht="15.6" customHeight="1">
      <c r="A56" s="342" t="n"/>
      <c r="B56" s="335" t="inlineStr">
        <is>
          <t>Relative Humidity</t>
        </is>
      </c>
      <c r="D56" s="335" t="n"/>
      <c r="E56" s="335" t="n"/>
      <c r="F56" s="335" t="n"/>
      <c r="G56" s="342" t="n"/>
      <c r="H56" s="642">
        <f>": ("&amp;ROUND(AVERAGE(Data!K44:L44),0)&amp;" ± 5) % "</f>
        <v/>
      </c>
      <c r="I56" s="329" t="n"/>
      <c r="K56" s="638" t="n"/>
      <c r="M56" s="366" t="n"/>
      <c r="N56" s="366" t="n"/>
      <c r="O56" s="366" t="n"/>
      <c r="P56" s="366" t="n"/>
      <c r="Q56" s="366" t="n"/>
      <c r="R56" s="366" t="n"/>
      <c r="S56" s="875" t="n"/>
      <c r="T56" s="875" t="n"/>
    </row>
    <row r="57" ht="15.6" customHeight="1">
      <c r="A57" s="342" t="n"/>
      <c r="B57" s="335" t="n"/>
      <c r="D57" s="335" t="n"/>
      <c r="E57" s="335" t="n"/>
      <c r="F57" s="335" t="n"/>
      <c r="G57" s="342" t="n"/>
      <c r="H57" s="643" t="n"/>
      <c r="I57" s="643" t="n"/>
      <c r="K57" s="638" t="n"/>
      <c r="M57" s="366" t="n"/>
      <c r="N57" s="366" t="n"/>
      <c r="O57" s="366" t="n"/>
      <c r="P57" s="366" t="n"/>
      <c r="Q57" s="366" t="n"/>
      <c r="R57" s="366" t="n"/>
      <c r="S57" s="875" t="n"/>
      <c r="T57" s="875" t="n"/>
    </row>
    <row r="58" ht="15.75" customHeight="1">
      <c r="A58" s="331" t="inlineStr">
        <is>
          <t>REMARKS:</t>
        </is>
      </c>
      <c r="B58" s="342" t="n"/>
      <c r="C58" s="335" t="n"/>
      <c r="E58" s="335" t="n"/>
      <c r="F58" s="335" t="n"/>
      <c r="G58" s="335" t="n"/>
      <c r="H58" s="335" t="n"/>
      <c r="I58" s="335" t="n"/>
      <c r="J58" s="335" t="n"/>
      <c r="K58" s="335" t="n"/>
      <c r="L58" s="335" t="n"/>
      <c r="M58" s="335" t="n"/>
      <c r="N58" s="335" t="n"/>
      <c r="O58" s="335" t="n"/>
      <c r="P58" s="335" t="n"/>
      <c r="Q58" s="335" t="n"/>
      <c r="R58" s="335" t="n"/>
      <c r="S58" s="335" t="n"/>
      <c r="T58" s="335" t="n"/>
    </row>
    <row r="59" ht="6.75" customHeight="1">
      <c r="B59" s="342" t="n"/>
      <c r="C59" s="335" t="n"/>
      <c r="D59" s="335" t="n"/>
      <c r="E59" s="335" t="n"/>
      <c r="F59" s="335" t="n"/>
      <c r="G59" s="335" t="n"/>
      <c r="H59" s="335" t="n"/>
      <c r="I59" s="335" t="n"/>
      <c r="J59" s="335" t="n"/>
      <c r="K59" s="335" t="n"/>
      <c r="L59" s="335" t="n"/>
      <c r="M59" s="335" t="n"/>
      <c r="N59" s="335" t="n"/>
      <c r="O59" s="335" t="n"/>
      <c r="P59" s="335" t="n"/>
      <c r="Q59" s="335" t="n"/>
      <c r="R59" s="335" t="n"/>
      <c r="S59" s="335" t="n"/>
      <c r="T59" s="335" t="n"/>
    </row>
    <row r="60" ht="15.75" customHeight="1">
      <c r="A60" s="369" t="inlineStr">
        <is>
          <t>-</t>
        </is>
      </c>
      <c r="B60" s="641">
        <f>"The above results were those obtained at the time of calibration and refer only to the axle weighing scale calibrated in static "&amp;LOWER('Dash Board'!N17)&amp;" mode."</f>
        <v/>
      </c>
      <c r="C60" s="329" t="n"/>
      <c r="D60" s="329" t="n"/>
      <c r="E60" s="329" t="n"/>
      <c r="F60" s="329" t="n"/>
      <c r="G60" s="329" t="n"/>
      <c r="H60" s="329" t="n"/>
      <c r="I60" s="329" t="n"/>
      <c r="J60" s="329" t="n"/>
      <c r="K60" s="329" t="n"/>
      <c r="L60" s="329" t="n"/>
      <c r="M60" s="329" t="n"/>
      <c r="N60" s="329" t="n"/>
      <c r="O60" s="329" t="n"/>
      <c r="P60" s="329" t="n"/>
      <c r="Q60" s="329" t="n"/>
      <c r="R60" s="329" t="n"/>
      <c r="S60" s="329" t="n"/>
      <c r="T60" s="329" t="n"/>
    </row>
    <row r="61" ht="15.75" customHeight="1">
      <c r="A61" s="369" t="n"/>
      <c r="B61" s="329" t="n"/>
      <c r="C61" s="329" t="n"/>
      <c r="D61" s="329" t="n"/>
      <c r="E61" s="329" t="n"/>
      <c r="F61" s="329" t="n"/>
      <c r="G61" s="329" t="n"/>
      <c r="H61" s="329" t="n"/>
      <c r="I61" s="329" t="n"/>
      <c r="J61" s="329" t="n"/>
      <c r="K61" s="329" t="n"/>
      <c r="L61" s="329" t="n"/>
      <c r="M61" s="329" t="n"/>
      <c r="N61" s="329" t="n"/>
      <c r="O61" s="329" t="n"/>
      <c r="P61" s="329" t="n"/>
      <c r="Q61" s="329" t="n"/>
      <c r="R61" s="329" t="n"/>
      <c r="S61" s="329" t="n"/>
      <c r="T61" s="329" t="n"/>
    </row>
    <row r="62" hidden="1" ht="15.75" customHeight="1">
      <c r="A62" s="369" t="inlineStr">
        <is>
          <t>-</t>
        </is>
      </c>
      <c r="B62" s="669">
        <f>"The overall performance of this "&amp;LOWER('Dash Board'!D19)&amp;" was "&amp;IF(COUNTIFS(O26:R30,"-")&gt;2,"UNSATISFACTORY.","SATISFACTORY.")</f>
        <v/>
      </c>
      <c r="C62" s="329" t="n"/>
      <c r="D62" s="329" t="n"/>
      <c r="E62" s="329" t="n"/>
      <c r="F62" s="329" t="n"/>
      <c r="G62" s="329" t="n"/>
      <c r="H62" s="329" t="n"/>
      <c r="I62" s="329" t="n"/>
      <c r="J62" s="329" t="n"/>
      <c r="K62" s="329" t="n"/>
      <c r="L62" s="329" t="n"/>
      <c r="M62" s="329" t="n"/>
      <c r="N62" s="329" t="n"/>
      <c r="O62" s="329" t="n"/>
      <c r="P62" s="329" t="n"/>
      <c r="Q62" s="329" t="n"/>
      <c r="R62" s="329" t="n"/>
      <c r="S62" s="345" t="n"/>
      <c r="T62" s="345" t="n"/>
    </row>
    <row r="63" ht="30" customHeight="1">
      <c r="A63" s="370" t="inlineStr">
        <is>
          <t>-</t>
        </is>
      </c>
      <c r="B63" s="641">
        <f>"No adjustment was performed on the "&amp;LOWER('Dash Board'!D19)&amp;". The user should determine suitability of the "&amp;LOWER('Dash Board'!D19)&amp;" for its intended use."</f>
        <v/>
      </c>
      <c r="C63" s="329" t="n"/>
      <c r="D63" s="329" t="n"/>
      <c r="E63" s="329" t="n"/>
      <c r="F63" s="329" t="n"/>
      <c r="G63" s="329" t="n"/>
      <c r="H63" s="329" t="n"/>
      <c r="I63" s="329" t="n"/>
      <c r="J63" s="329" t="n"/>
      <c r="K63" s="329" t="n"/>
      <c r="L63" s="329" t="n"/>
      <c r="M63" s="329" t="n"/>
      <c r="N63" s="329" t="n"/>
      <c r="O63" s="329" t="n"/>
      <c r="P63" s="329" t="n"/>
      <c r="Q63" s="329" t="n"/>
      <c r="R63" s="329" t="n"/>
      <c r="S63" s="329" t="n"/>
      <c r="T63" s="329" t="n"/>
    </row>
    <row r="64" hidden="1" ht="15.4" customHeight="1">
      <c r="A64" s="370" t="inlineStr">
        <is>
          <t>-</t>
        </is>
      </c>
      <c r="B64" s="641">
        <f>IF('Dash Board'!O18="kN","The unit kN can only be directly converted to other force units.","The conversion factor is 1 "&amp;'Dash Board'!O18&amp;" = "&amp;Data!K18&amp;" kN.")</f>
        <v/>
      </c>
      <c r="C64" s="329" t="n"/>
      <c r="D64" s="329" t="n"/>
      <c r="E64" s="329" t="n"/>
      <c r="F64" s="329" t="n"/>
      <c r="G64" s="329" t="n"/>
      <c r="H64" s="329" t="n"/>
      <c r="I64" s="329" t="n"/>
      <c r="J64" s="329" t="n"/>
      <c r="K64" s="329" t="n"/>
      <c r="L64" s="329" t="n"/>
      <c r="M64" s="329" t="n"/>
      <c r="N64" s="329" t="n"/>
      <c r="O64" s="329" t="n"/>
      <c r="P64" s="329" t="n"/>
      <c r="Q64" s="329" t="n"/>
      <c r="R64" s="329" t="n"/>
      <c r="S64" s="358" t="n"/>
      <c r="T64" s="358" t="n"/>
    </row>
    <row r="65" ht="10.5" customHeight="1">
      <c r="A65" s="369" t="n"/>
      <c r="B65" s="430" t="n"/>
      <c r="C65" s="430" t="n"/>
      <c r="D65" s="430" t="n"/>
      <c r="E65" s="430" t="n"/>
      <c r="F65" s="430" t="n"/>
      <c r="G65" s="430" t="n"/>
      <c r="H65" s="430" t="n"/>
      <c r="I65" s="430" t="n"/>
      <c r="J65" s="430" t="n"/>
      <c r="K65" s="430" t="n"/>
      <c r="L65" s="430" t="n"/>
      <c r="M65" s="430" t="n"/>
      <c r="N65" s="430" t="n"/>
      <c r="O65" s="430" t="n"/>
      <c r="P65" s="430" t="n"/>
      <c r="Q65" s="430" t="n"/>
      <c r="R65" s="430" t="n"/>
      <c r="S65" s="358" t="n"/>
      <c r="T65" s="358" t="n"/>
    </row>
    <row r="66" ht="4.5" customHeight="1">
      <c r="A66" s="371" t="n"/>
      <c r="B66" s="372" t="n"/>
      <c r="C66" s="372" t="n"/>
      <c r="D66" s="372" t="n"/>
      <c r="E66" s="372" t="n"/>
      <c r="F66" s="372" t="n"/>
      <c r="G66" s="372" t="n"/>
      <c r="H66" s="372" t="n"/>
      <c r="I66" s="372" t="n"/>
      <c r="J66" s="372" t="n"/>
      <c r="K66" s="372" t="n"/>
      <c r="L66" s="372" t="n"/>
      <c r="M66" s="372" t="n"/>
      <c r="N66" s="372" t="n"/>
      <c r="O66" s="372" t="n"/>
      <c r="P66" s="372" t="n"/>
      <c r="Q66" s="372" t="n"/>
      <c r="R66" s="372" t="n"/>
      <c r="S66" s="372" t="n"/>
      <c r="T66" s="372" t="n"/>
    </row>
    <row r="67" ht="1.5" customHeight="1">
      <c r="A67" s="371" t="n"/>
      <c r="B67" s="372" t="n"/>
      <c r="C67" s="372" t="n"/>
      <c r="D67" s="372" t="n"/>
      <c r="E67" s="372" t="n"/>
      <c r="F67" s="372" t="n"/>
      <c r="G67" s="372" t="n"/>
      <c r="H67" s="372" t="n"/>
      <c r="I67" s="372" t="n"/>
      <c r="J67" s="372" t="n"/>
      <c r="K67" s="372" t="n"/>
      <c r="L67" s="372" t="n"/>
      <c r="M67" s="372" t="n"/>
      <c r="N67" s="372" t="n"/>
      <c r="O67" s="372" t="n"/>
      <c r="P67" s="372" t="n"/>
      <c r="Q67" s="372" t="n"/>
      <c r="R67" s="372" t="n"/>
      <c r="S67" s="372" t="n"/>
      <c r="T67" s="372" t="n"/>
    </row>
    <row r="68" ht="2.25" customHeight="1">
      <c r="A68" s="371" t="n"/>
      <c r="B68" s="372" t="n"/>
      <c r="C68" s="372" t="n"/>
      <c r="D68" s="372" t="n"/>
      <c r="E68" s="372" t="n"/>
      <c r="F68" s="372" t="n"/>
      <c r="G68" s="372" t="n"/>
      <c r="H68" s="372" t="n"/>
      <c r="I68" s="372" t="n"/>
      <c r="J68" s="372" t="n"/>
      <c r="K68" s="372" t="n"/>
      <c r="L68" s="372" t="n"/>
      <c r="M68" s="372" t="n"/>
      <c r="N68" s="372" t="n"/>
      <c r="O68" s="372" t="n"/>
      <c r="P68" s="372" t="n"/>
      <c r="Q68" s="372" t="n"/>
      <c r="R68" s="372" t="n"/>
      <c r="S68" s="372" t="n"/>
      <c r="T68" s="372" t="n"/>
    </row>
    <row r="69" ht="5.25" customHeight="1">
      <c r="A69" s="342" t="n"/>
      <c r="B69" s="358" t="n"/>
      <c r="C69" s="358" t="n"/>
      <c r="D69" s="358" t="n"/>
      <c r="E69" s="358" t="n"/>
      <c r="F69" s="358" t="n"/>
      <c r="G69" s="358" t="n"/>
      <c r="H69" s="358" t="n"/>
      <c r="I69" s="358" t="n"/>
      <c r="J69" s="358" t="n"/>
      <c r="K69" s="358" t="n"/>
      <c r="L69" s="358" t="n"/>
      <c r="M69" s="358" t="n"/>
      <c r="N69" s="358" t="n"/>
      <c r="O69" s="358" t="n"/>
      <c r="P69" s="335" t="n"/>
      <c r="Q69" s="335" t="n"/>
      <c r="R69" s="335" t="n"/>
      <c r="S69" s="335" t="n"/>
      <c r="T69" s="335" t="n"/>
    </row>
    <row r="70" hidden="1" ht="15" customHeight="1">
      <c r="A70" s="638">
        <f>UPPER('Dash Board'!N10)</f>
        <v/>
      </c>
      <c r="B70" s="329" t="n"/>
      <c r="C70" s="329" t="n"/>
      <c r="D70" s="329" t="n"/>
      <c r="E70" s="329" t="n"/>
      <c r="F70" s="329" t="n"/>
      <c r="G70" s="329" t="n"/>
      <c r="H70" s="329" t="n"/>
      <c r="I70" s="329" t="n"/>
      <c r="J70" s="335" t="n"/>
      <c r="K70" s="335" t="n"/>
      <c r="L70" s="335" t="n"/>
      <c r="M70" s="358" t="n"/>
      <c r="N70" s="358" t="n"/>
      <c r="O70" s="358" t="n"/>
      <c r="P70" s="335" t="n"/>
      <c r="Q70" s="335" t="n"/>
      <c r="R70" s="335" t="n"/>
      <c r="S70" s="335" t="n"/>
      <c r="T70" s="335" t="n"/>
    </row>
    <row r="71" hidden="1" ht="15.75" customHeight="1">
      <c r="A71" s="638">
        <f>VLOOKUP(A70,calibratorsdb[#Data],2,FALSE)</f>
        <v/>
      </c>
      <c r="B71" s="329" t="n"/>
      <c r="C71" s="329" t="n"/>
      <c r="D71" s="329" t="n"/>
      <c r="E71" s="329" t="n"/>
      <c r="F71" s="329" t="n"/>
      <c r="G71" s="329" t="n"/>
      <c r="H71" s="329" t="n"/>
      <c r="I71" s="329" t="n"/>
      <c r="J71" s="335" t="n"/>
      <c r="K71" s="335" t="n"/>
      <c r="L71" s="335" t="n"/>
      <c r="M71" s="358" t="n"/>
      <c r="N71" s="358" t="n"/>
      <c r="O71" s="358" t="n"/>
      <c r="P71" s="335" t="n"/>
      <c r="Q71" s="335" t="n"/>
      <c r="R71" s="335" t="n"/>
      <c r="S71" s="335" t="n"/>
      <c r="T71" s="335" t="n"/>
    </row>
    <row r="72" ht="8.25" customHeight="1">
      <c r="A72" s="638" t="n"/>
      <c r="B72" s="329" t="n"/>
      <c r="C72" s="329" t="n"/>
      <c r="D72" s="329" t="n"/>
      <c r="E72" s="329" t="n"/>
      <c r="F72" s="329" t="n"/>
      <c r="G72" s="329" t="n"/>
      <c r="H72" s="329" t="n"/>
      <c r="I72" s="329" t="n"/>
      <c r="J72" s="335" t="n"/>
      <c r="K72" s="335" t="n"/>
      <c r="L72" s="335" t="n"/>
      <c r="M72" s="358" t="n"/>
      <c r="N72" s="358" t="n"/>
      <c r="O72" s="358" t="n"/>
      <c r="P72" s="335" t="n"/>
      <c r="Q72" s="335" t="n"/>
      <c r="R72" s="335" t="n"/>
      <c r="S72" s="335" t="n"/>
      <c r="T72" s="335" t="n"/>
    </row>
    <row r="73" ht="15.75" customHeight="1">
      <c r="A73" s="638" t="n"/>
      <c r="B73" s="638" t="n"/>
      <c r="C73" s="638" t="n"/>
      <c r="D73" s="638" t="n"/>
      <c r="E73" s="638" t="n"/>
      <c r="F73" s="638" t="n"/>
      <c r="G73" s="638" t="n"/>
      <c r="H73" s="638" t="n"/>
      <c r="I73" s="638" t="n"/>
      <c r="J73" s="335" t="n"/>
      <c r="K73" s="335" t="n"/>
      <c r="L73" s="335" t="n"/>
      <c r="M73" s="358" t="n"/>
      <c r="N73" s="358" t="n"/>
      <c r="O73" s="358" t="n"/>
      <c r="P73" s="335" t="n"/>
      <c r="Q73" s="335" t="n"/>
      <c r="R73" s="335" t="n"/>
      <c r="S73" s="335" t="n"/>
      <c r="T73" s="335" t="n"/>
    </row>
    <row r="74" ht="15.75" customHeight="1">
      <c r="A74" s="638">
        <f>UPPER(IF('Dash Board'!N11&lt;&gt;"none",'Dash Board'!N11,""))</f>
        <v/>
      </c>
      <c r="B74" s="329" t="n"/>
      <c r="C74" s="329" t="n"/>
      <c r="D74" s="329" t="n"/>
      <c r="E74" s="329" t="n"/>
      <c r="F74" s="329" t="n"/>
      <c r="G74" s="329" t="n"/>
      <c r="H74" s="329" t="n"/>
      <c r="I74" s="329" t="n"/>
      <c r="J74" s="331">
        <f>IF(A74&lt;&gt;"","","For the Chief, National Metrology Laboratory")</f>
        <v/>
      </c>
      <c r="K74" s="331" t="n"/>
      <c r="L74" s="331" t="n"/>
      <c r="M74" s="331" t="n"/>
      <c r="N74" s="331" t="n"/>
      <c r="O74" s="331" t="n"/>
      <c r="P74" s="331" t="n"/>
      <c r="Q74" s="331" t="n"/>
      <c r="R74" s="335" t="n"/>
      <c r="S74" s="335" t="n"/>
      <c r="T74" s="335" t="n"/>
    </row>
    <row r="75" ht="15.75" customHeight="1">
      <c r="A75" s="638">
        <f>IF(A74="","",VLOOKUP(A74,calibratorsdb[#Data],2,FALSE))</f>
        <v/>
      </c>
      <c r="B75" s="329" t="n"/>
      <c r="C75" s="329" t="n"/>
      <c r="D75" s="329" t="n"/>
      <c r="E75" s="329" t="n"/>
      <c r="F75" s="329" t="n"/>
      <c r="G75" s="329" t="n"/>
      <c r="H75" s="329" t="n"/>
      <c r="I75" s="329" t="n"/>
      <c r="J75" s="358" t="n"/>
      <c r="K75" s="358" t="n"/>
      <c r="L75" s="358" t="n"/>
      <c r="M75" s="358" t="n"/>
      <c r="N75" s="358" t="n"/>
      <c r="Q75" s="335" t="n"/>
      <c r="R75" s="335" t="n"/>
      <c r="S75" s="335" t="n"/>
      <c r="T75" s="335" t="n"/>
    </row>
    <row r="76" ht="15.75" customHeight="1">
      <c r="A76" s="638" t="n"/>
      <c r="B76" s="638" t="n"/>
      <c r="C76" s="638" t="n"/>
      <c r="D76" s="638" t="n"/>
      <c r="E76" s="638" t="n"/>
      <c r="F76" s="638" t="n"/>
      <c r="G76" s="638" t="n"/>
      <c r="H76" s="638" t="n"/>
      <c r="I76" s="638" t="n"/>
      <c r="J76" s="358" t="n"/>
      <c r="K76" s="358" t="n"/>
      <c r="L76" s="358" t="n"/>
      <c r="M76" s="358" t="n"/>
      <c r="N76" s="358" t="n"/>
      <c r="Q76" s="335" t="n"/>
      <c r="R76" s="335" t="n"/>
      <c r="S76" s="335" t="n"/>
      <c r="T76" s="335" t="n"/>
    </row>
    <row r="77" ht="15.75" customHeight="1">
      <c r="A77" s="638" t="n"/>
      <c r="B77" s="638" t="n"/>
      <c r="C77" s="638" t="n"/>
      <c r="D77" s="638" t="n"/>
      <c r="E77" s="638" t="n"/>
      <c r="F77" s="638" t="n"/>
      <c r="G77" s="638" t="n"/>
      <c r="H77" s="638" t="n"/>
      <c r="I77" s="638" t="n"/>
      <c r="J77" s="639">
        <f>IF(A74&lt;&gt;"","","RADLEY F. MANALO")</f>
        <v/>
      </c>
      <c r="K77" s="329" t="n"/>
      <c r="L77" s="329" t="n"/>
      <c r="M77" s="329" t="n"/>
      <c r="N77" s="329" t="n"/>
      <c r="O77" s="358" t="n"/>
      <c r="P77" s="358" t="n"/>
      <c r="Q77" s="358" t="n"/>
      <c r="R77" s="335" t="n"/>
      <c r="S77" s="335" t="n"/>
      <c r="T77" s="335" t="n"/>
    </row>
    <row r="78" ht="15.6" customHeight="1">
      <c r="A78" s="342" t="n"/>
      <c r="B78" s="342" t="n"/>
      <c r="C78" s="358" t="n"/>
      <c r="D78" s="358" t="n"/>
      <c r="E78" s="358" t="n"/>
      <c r="F78" s="358" t="n"/>
      <c r="G78" s="358" t="n"/>
      <c r="H78" s="358" t="n"/>
      <c r="I78" s="358" t="n"/>
      <c r="M78" s="335">
        <f>IF(A74&lt;&gt;"","Issued under the autority of: ","Chief")</f>
        <v/>
      </c>
      <c r="N78" s="335" t="n"/>
      <c r="O78" s="335" t="n"/>
      <c r="P78" s="366" t="n"/>
      <c r="Q78" s="366" t="n"/>
      <c r="R78" s="366" t="n"/>
      <c r="S78" s="366" t="n"/>
      <c r="T78" s="366" t="n"/>
    </row>
    <row r="79" ht="15" customHeight="1">
      <c r="A79" s="342" t="n"/>
      <c r="B79" s="342" t="n"/>
      <c r="C79" s="335" t="n"/>
      <c r="D79" s="335" t="n"/>
      <c r="E79" s="335" t="n"/>
      <c r="F79" s="335" t="n"/>
      <c r="G79" s="335" t="n"/>
      <c r="H79" s="335" t="n"/>
      <c r="I79" s="335" t="n"/>
      <c r="J79" s="638">
        <f>IF(A74&lt;&gt;"","","Pressure and Force Standards Section")</f>
        <v/>
      </c>
      <c r="K79" s="329" t="n"/>
      <c r="L79" s="329" t="n"/>
      <c r="M79" s="329" t="n"/>
      <c r="N79" s="329" t="n"/>
      <c r="O79" s="335" t="n"/>
      <c r="P79" s="434" t="n"/>
      <c r="Q79" s="335" t="n"/>
      <c r="R79" s="335" t="n"/>
      <c r="S79" s="335" t="n"/>
      <c r="T79" s="335" t="n"/>
    </row>
    <row r="80" ht="15" customHeight="1">
      <c r="A80" s="342" t="n"/>
      <c r="B80" s="342" t="n"/>
      <c r="C80" s="335" t="n"/>
      <c r="D80" s="335" t="n"/>
      <c r="E80" s="335" t="n"/>
      <c r="F80" s="335" t="n"/>
      <c r="G80" s="335" t="n"/>
      <c r="H80" s="335" t="n"/>
      <c r="I80" s="335" t="n"/>
      <c r="J80" s="335">
        <f>IF(A74&lt;&gt;"","","Date issued: _____________________")</f>
        <v/>
      </c>
      <c r="K80" s="335" t="n"/>
      <c r="L80" s="335" t="n"/>
      <c r="M80" s="335" t="n"/>
      <c r="N80" s="335" t="n"/>
      <c r="O80" s="335" t="n"/>
      <c r="P80" s="335" t="n"/>
      <c r="Q80" s="335" t="n"/>
      <c r="R80" s="335" t="n"/>
      <c r="S80" s="335" t="n"/>
      <c r="T80" s="335" t="n"/>
    </row>
    <row r="81" ht="15.75" customHeight="1">
      <c r="A81" s="342" t="n"/>
      <c r="B81" s="342" t="n"/>
      <c r="C81" s="335" t="n"/>
      <c r="D81" s="335" t="n"/>
      <c r="E81" s="335" t="n"/>
      <c r="F81" s="335" t="n"/>
      <c r="G81" s="335" t="n"/>
      <c r="H81" s="335" t="n"/>
      <c r="I81" s="335" t="n"/>
      <c r="M81" s="335">
        <f>IF(A74&lt;&gt;"","MICHAEL JASON A. SOLIS","")</f>
        <v/>
      </c>
      <c r="N81" s="335" t="n"/>
      <c r="O81" s="335" t="n"/>
      <c r="P81" s="335" t="n"/>
      <c r="Q81" s="335" t="n"/>
      <c r="R81" s="335" t="n"/>
      <c r="S81" s="335" t="n"/>
      <c r="T81" s="335" t="n"/>
    </row>
    <row r="82" ht="15.75" customHeight="1">
      <c r="A82" s="342" t="n"/>
      <c r="B82" s="342" t="n"/>
      <c r="C82" s="335" t="n"/>
      <c r="D82" s="335" t="n"/>
      <c r="E82" s="335" t="n"/>
      <c r="F82" s="335" t="n"/>
      <c r="G82" s="335" t="n"/>
      <c r="H82" s="335" t="n"/>
      <c r="I82" s="335" t="n"/>
      <c r="L82" s="335" t="n"/>
      <c r="M82" s="335" t="n"/>
      <c r="N82" s="335" t="n"/>
      <c r="P82" s="335">
        <f>IF(A74&lt;&gt;"","Chief","")</f>
        <v/>
      </c>
      <c r="Q82" s="335" t="n"/>
      <c r="R82" s="335" t="n"/>
      <c r="S82" s="335" t="n"/>
      <c r="T82" s="335" t="n"/>
    </row>
    <row r="83" ht="15.75" customHeight="1">
      <c r="A83" s="342" t="n"/>
      <c r="B83" s="342" t="n"/>
      <c r="C83" s="335" t="n"/>
      <c r="D83" s="335" t="n"/>
      <c r="E83" s="335" t="n"/>
      <c r="F83" s="335" t="n"/>
      <c r="G83" s="335" t="n"/>
      <c r="H83" s="335" t="n"/>
      <c r="I83" s="335" t="n"/>
      <c r="K83" s="436">
        <f>IF(A74&lt;&gt;"","Date issued: _________________________","")</f>
        <v/>
      </c>
      <c r="L83" s="638" t="n"/>
      <c r="M83" s="877" t="n">
        <v>46161</v>
      </c>
      <c r="N83" s="397" t="n"/>
      <c r="O83" s="397" t="n"/>
      <c r="P83" s="397" t="n"/>
      <c r="Q83" s="397" t="n"/>
      <c r="R83" s="397" t="n"/>
      <c r="S83" s="335" t="n"/>
      <c r="T83" s="335" t="n"/>
    </row>
    <row r="84" ht="15.75" customHeight="1">
      <c r="A84" s="342" t="n"/>
      <c r="B84" s="342" t="n"/>
      <c r="C84" s="335" t="n"/>
      <c r="D84" s="335" t="n"/>
      <c r="E84" s="335" t="n"/>
      <c r="F84" s="335" t="n"/>
      <c r="G84" s="335" t="n"/>
      <c r="H84" s="335" t="n"/>
      <c r="I84" s="335" t="n"/>
      <c r="K84" s="638" t="n"/>
      <c r="L84" s="638" t="n"/>
      <c r="M84" s="638" t="n"/>
      <c r="N84" s="638" t="n"/>
      <c r="O84" s="638" t="n"/>
      <c r="P84" s="638" t="n"/>
      <c r="Q84" s="638" t="n"/>
      <c r="R84" s="335" t="n"/>
      <c r="S84" s="335" t="n"/>
      <c r="T84" s="335" t="n"/>
    </row>
    <row r="85" ht="15.75" customHeight="1">
      <c r="A85" s="671" t="inlineStr">
        <is>
          <t>-End of Report-</t>
        </is>
      </c>
      <c r="B85" s="329" t="n"/>
      <c r="C85" s="329" t="n"/>
      <c r="D85" s="329" t="n"/>
      <c r="E85" s="329" t="n"/>
      <c r="F85" s="329" t="n"/>
      <c r="G85" s="329" t="n"/>
      <c r="H85" s="329" t="n"/>
      <c r="I85" s="329" t="n"/>
      <c r="J85" s="329" t="n"/>
      <c r="K85" s="329" t="n"/>
      <c r="L85" s="329" t="n"/>
      <c r="M85" s="329" t="n"/>
      <c r="N85" s="329" t="n"/>
      <c r="O85" s="329" t="n"/>
      <c r="P85" s="329" t="n"/>
      <c r="Q85" s="329" t="n"/>
      <c r="R85" s="329" t="n"/>
      <c r="S85" s="329" t="n"/>
      <c r="T85" s="329" t="n"/>
    </row>
    <row r="86" ht="15.75" customHeight="1">
      <c r="A86" s="671" t="n"/>
      <c r="B86" s="671" t="n"/>
      <c r="C86" s="671" t="n"/>
      <c r="D86" s="671" t="n"/>
      <c r="E86" s="671" t="n"/>
      <c r="F86" s="671" t="n"/>
      <c r="G86" s="671" t="n"/>
      <c r="H86" s="671" t="n"/>
      <c r="I86" s="671" t="n"/>
      <c r="J86" s="671" t="n"/>
      <c r="K86" s="671" t="n"/>
      <c r="L86" s="671" t="n"/>
      <c r="M86" s="671" t="n"/>
      <c r="N86" s="671" t="n"/>
      <c r="O86" s="671" t="n"/>
      <c r="P86" s="671" t="n"/>
      <c r="Q86" s="671" t="n"/>
      <c r="R86" s="671" t="n"/>
      <c r="S86" s="671" t="n"/>
      <c r="T86" s="671" t="n"/>
    </row>
    <row r="87">
      <c r="B87" s="373" t="n"/>
      <c r="G87" s="373" t="n"/>
      <c r="H87" s="373" t="n"/>
      <c r="J87" s="374" t="n"/>
      <c r="K87" s="374" t="n"/>
      <c r="L87" s="374" t="n"/>
      <c r="M87" s="374" t="n"/>
      <c r="N87" s="374" t="n"/>
    </row>
    <row r="88">
      <c r="E88" s="375" t="n"/>
      <c r="O88" s="376" t="n"/>
    </row>
    <row r="89">
      <c r="C89" s="373" t="n"/>
      <c r="D89" s="373" t="n"/>
      <c r="E89" s="373" t="n"/>
      <c r="F89" s="373" t="n"/>
      <c r="G89" s="373" t="n"/>
      <c r="H89" s="373" t="n"/>
    </row>
    <row r="90"/>
    <row r="91"/>
    <row r="92"/>
    <row r="93">
      <c r="B93" s="373" t="inlineStr">
        <is>
          <t xml:space="preserve"> Page 2 of 2</t>
        </is>
      </c>
    </row>
    <row r="94">
      <c r="B94" s="373">
        <f>"Calibration Certificate No. "&amp;'Dash Board'!D18</f>
        <v/>
      </c>
    </row>
  </sheetData>
  <mergeCells count="82">
    <mergeCell ref="P27:R27"/>
    <mergeCell ref="H55:I55"/>
    <mergeCell ref="A51:T51"/>
    <mergeCell ref="J28:K28"/>
    <mergeCell ref="L27:O27"/>
    <mergeCell ref="G24:I24"/>
    <mergeCell ref="J77:N77"/>
    <mergeCell ref="P28:R28"/>
    <mergeCell ref="A7:T7"/>
    <mergeCell ref="G26:I26"/>
    <mergeCell ref="C24:F24"/>
    <mergeCell ref="P30:R30"/>
    <mergeCell ref="L28:O28"/>
    <mergeCell ref="C26:F26"/>
    <mergeCell ref="H9:T9"/>
    <mergeCell ref="A85:T85"/>
    <mergeCell ref="A35:T35"/>
    <mergeCell ref="J23:K23"/>
    <mergeCell ref="C27:F27"/>
    <mergeCell ref="G28:I28"/>
    <mergeCell ref="H13:T13"/>
    <mergeCell ref="B62:R62"/>
    <mergeCell ref="A74:I74"/>
    <mergeCell ref="G30:I30"/>
    <mergeCell ref="C28:F28"/>
    <mergeCell ref="H15:T15"/>
    <mergeCell ref="H56:I56"/>
    <mergeCell ref="A71:I71"/>
    <mergeCell ref="H18:T18"/>
    <mergeCell ref="C30:F30"/>
    <mergeCell ref="J27:K27"/>
    <mergeCell ref="J79:N79"/>
    <mergeCell ref="H10:T10"/>
    <mergeCell ref="H42:J42"/>
    <mergeCell ref="P29:R29"/>
    <mergeCell ref="G27:I27"/>
    <mergeCell ref="L30:O30"/>
    <mergeCell ref="H17:T17"/>
    <mergeCell ref="L29:O29"/>
    <mergeCell ref="H19:T19"/>
    <mergeCell ref="J29:K29"/>
    <mergeCell ref="K41:P41"/>
    <mergeCell ref="A75:I75"/>
    <mergeCell ref="H12:T12"/>
    <mergeCell ref="P23:R23"/>
    <mergeCell ref="A49:T49"/>
    <mergeCell ref="A37:R37"/>
    <mergeCell ref="B63:T63"/>
    <mergeCell ref="H14:T14"/>
    <mergeCell ref="J24:K24"/>
    <mergeCell ref="K42:P42"/>
    <mergeCell ref="G29:I29"/>
    <mergeCell ref="Q42:T42"/>
    <mergeCell ref="B60:T61"/>
    <mergeCell ref="J26:K26"/>
    <mergeCell ref="J25:K25"/>
    <mergeCell ref="C29:F29"/>
    <mergeCell ref="L24:O24"/>
    <mergeCell ref="M83:R83"/>
    <mergeCell ref="C31:F31"/>
    <mergeCell ref="P25:R25"/>
    <mergeCell ref="L26:O26"/>
    <mergeCell ref="G23:I23"/>
    <mergeCell ref="B64:R64"/>
    <mergeCell ref="H11:T11"/>
    <mergeCell ref="L25:O25"/>
    <mergeCell ref="C23:F23"/>
    <mergeCell ref="Q41:T41"/>
    <mergeCell ref="J30:K30"/>
    <mergeCell ref="A6:T6"/>
    <mergeCell ref="A47:R47"/>
    <mergeCell ref="A72:I72"/>
    <mergeCell ref="G25:I25"/>
    <mergeCell ref="P24:R24"/>
    <mergeCell ref="A50:T50"/>
    <mergeCell ref="C25:F25"/>
    <mergeCell ref="A41:G41"/>
    <mergeCell ref="P26:R26"/>
    <mergeCell ref="L23:O23"/>
    <mergeCell ref="H41:J41"/>
    <mergeCell ref="A70:I70"/>
    <mergeCell ref="A42:G42"/>
  </mergeCells>
  <pageMargins left="0.7" right="0.7" top="0.75" bottom="0" header="0.3" footer="0.5"/>
  <pageSetup orientation="portrait" paperSize="9" fitToHeight="2"/>
  <headerFooter differentFirst="1">
    <oddHeader/>
    <oddFooter/>
    <evenHeader/>
    <evenFooter/>
    <firstHeader/>
    <firstFooter/>
  </headerFooter>
  <rowBreaks count="1" manualBreakCount="1">
    <brk id="37" min="0" max="16383" man="1"/>
  </rowBreaks>
</worksheet>
</file>

<file path=xl/worksheets/sheet9.xml><?xml version="1.0" encoding="utf-8"?>
<worksheet xmlns="http://schemas.openxmlformats.org/spreadsheetml/2006/main">
  <sheetPr codeName="Sheet6">
    <outlinePr summaryBelow="1" summaryRight="1"/>
    <pageSetUpPr/>
  </sheetPr>
  <dimension ref="A6:AY87"/>
  <sheetViews>
    <sheetView view="pageBreakPreview" topLeftCell="A13" zoomScale="145" zoomScaleNormal="100" zoomScaleSheetLayoutView="145" zoomScalePageLayoutView="115" workbookViewId="0">
      <selection activeCell="N41" sqref="N41"/>
    </sheetView>
  </sheetViews>
  <sheetFormatPr baseColWidth="8" defaultColWidth="9.140625" defaultRowHeight="15"/>
  <cols>
    <col width="2.28515625" customWidth="1" style="113" min="1" max="1"/>
    <col width="3.42578125" customWidth="1" style="113" min="2" max="6"/>
    <col width="3.7109375" customWidth="1" style="113" min="7" max="7"/>
    <col width="3.140625" customWidth="1" style="113" min="8" max="8"/>
    <col width="1.140625" customWidth="1" style="113" min="9" max="9"/>
    <col width="3.42578125" customWidth="1" style="113" min="10" max="10"/>
    <col width="4.85546875" customWidth="1" style="113" min="11" max="11"/>
    <col width="3.42578125" customWidth="1" style="113" min="12" max="13"/>
    <col width="5.140625" customWidth="1" style="113" min="14" max="14"/>
    <col width="3.42578125" customWidth="1" style="113" min="15" max="16"/>
    <col width="4.7109375" customWidth="1" style="113" min="17" max="17"/>
    <col width="3.42578125" customWidth="1" style="113" min="18" max="22"/>
    <col width="3.140625" customWidth="1" style="113" min="23" max="23"/>
    <col width="3.7109375" customWidth="1" style="113" min="24" max="24"/>
    <col width="4.28515625" customWidth="1" style="113" min="25" max="25"/>
    <col width="3.7109375" customWidth="1" style="113" min="26" max="36"/>
    <col width="9.140625" customWidth="1" style="113" min="37" max="16384"/>
  </cols>
  <sheetData>
    <row r="5" ht="7.5" customHeight="1"/>
    <row r="6" ht="18.75" customHeight="1">
      <c r="B6" s="114" t="n"/>
      <c r="C6" s="114" t="n"/>
      <c r="D6" s="114" t="n"/>
      <c r="E6" s="114" t="n"/>
      <c r="F6" s="114" t="n"/>
      <c r="G6" s="114" t="n"/>
      <c r="H6" s="114" t="n"/>
      <c r="I6" s="114" t="n"/>
      <c r="J6" s="114" t="n"/>
      <c r="K6" s="114" t="n"/>
      <c r="L6" s="114" t="n"/>
      <c r="M6" s="114" t="n"/>
      <c r="N6" s="114" t="n"/>
      <c r="O6" s="114" t="n"/>
      <c r="P6" s="114" t="n"/>
      <c r="Q6" s="114" t="n"/>
      <c r="R6" s="114" t="n"/>
      <c r="S6" s="114" t="n"/>
      <c r="T6" s="716" t="inlineStr">
        <is>
          <t>Form No. F5.5.2</t>
        </is>
      </c>
    </row>
    <row r="7" ht="13.5" customHeight="1">
      <c r="G7" s="717" t="n"/>
      <c r="L7" s="115" t="n"/>
      <c r="M7" s="114" t="n"/>
      <c r="N7" s="114" t="n"/>
      <c r="O7" s="114" t="n"/>
      <c r="P7" s="114" t="n"/>
      <c r="Q7" s="114" t="n"/>
      <c r="R7" s="114" t="n"/>
      <c r="S7" s="114" t="n"/>
      <c r="T7" s="718" t="inlineStr">
        <is>
          <t>Version 2   Page 1 of 1</t>
        </is>
      </c>
    </row>
    <row r="8" ht="15" customHeight="1"/>
    <row r="9" ht="15" customHeight="1">
      <c r="A9" s="719" t="inlineStr">
        <is>
          <t>CALIBRATION RECORD</t>
        </is>
      </c>
      <c r="Z9" s="116" t="n"/>
      <c r="AA9" s="116" t="n"/>
    </row>
    <row r="10" ht="15.75" customHeight="1">
      <c r="A10" s="720" t="inlineStr">
        <is>
          <t>(Use as first page of Data Sheet for any calibration or measurement work performed.)</t>
        </is>
      </c>
      <c r="Z10" s="116" t="n"/>
      <c r="AA10" s="116" t="n"/>
    </row>
    <row r="11" ht="15.75" customHeight="1">
      <c r="A11" s="117" t="n"/>
      <c r="B11" s="118" t="n"/>
      <c r="C11" s="118" t="n"/>
      <c r="D11" s="118" t="n"/>
      <c r="E11" s="117" t="n"/>
      <c r="F11" s="117" t="n"/>
      <c r="G11" s="118" t="n"/>
      <c r="H11" s="682" t="n"/>
      <c r="I11" s="721" t="n"/>
      <c r="X11" s="117" t="n"/>
      <c r="Y11" s="117" t="n"/>
      <c r="Z11" s="116" t="n"/>
      <c r="AA11" s="116" t="n"/>
    </row>
    <row r="12" ht="16.5" customHeight="1">
      <c r="A12" s="120" t="inlineStr">
        <is>
          <t>Request Reference No.:</t>
        </is>
      </c>
      <c r="B12" s="121" t="n"/>
      <c r="C12" s="122" t="n"/>
      <c r="D12" s="122" t="n"/>
      <c r="E12" s="122" t="n"/>
      <c r="F12" s="121" t="n"/>
      <c r="G12" s="122" t="n"/>
      <c r="H12" s="123" t="n"/>
      <c r="I12" s="124" t="n"/>
      <c r="J12" s="125">
        <f>'Dash Board'!$D$18</f>
        <v/>
      </c>
      <c r="K12" s="122" t="n"/>
      <c r="L12" s="126" t="n"/>
      <c r="M12" s="126" t="n"/>
      <c r="N12" s="126" t="n"/>
      <c r="O12" s="121" t="n"/>
      <c r="P12" s="727" t="n"/>
      <c r="Q12" s="810" t="n"/>
      <c r="R12" s="810" t="n"/>
      <c r="S12" s="810" t="n"/>
      <c r="T12" s="121" t="n"/>
      <c r="U12" s="121" t="n"/>
      <c r="V12" s="121" t="n"/>
      <c r="W12" s="126" t="n"/>
      <c r="X12" s="121" t="n"/>
      <c r="Y12" s="127" t="n"/>
      <c r="Z12" s="116" t="n"/>
      <c r="AA12" s="116" t="n"/>
    </row>
    <row r="13" ht="16.5" customHeight="1">
      <c r="A13" s="120" t="inlineStr">
        <is>
          <t>Instrument:</t>
        </is>
      </c>
      <c r="B13" s="121" t="n"/>
      <c r="C13" s="122" t="n"/>
      <c r="D13" s="122" t="n"/>
      <c r="E13" s="122" t="n"/>
      <c r="F13" s="121" t="n"/>
      <c r="G13" s="122" t="n"/>
      <c r="H13" s="123" t="n"/>
      <c r="I13" s="128" t="n"/>
      <c r="J13" s="125">
        <f>'Dash Board'!$D$19</f>
        <v/>
      </c>
      <c r="K13" s="126" t="n"/>
      <c r="L13" s="129" t="n"/>
      <c r="M13" s="122" t="n"/>
      <c r="N13" s="121" t="n"/>
      <c r="O13" s="121" t="n"/>
      <c r="P13" s="121" t="n"/>
      <c r="Q13" s="121" t="n"/>
      <c r="R13" s="121" t="n"/>
      <c r="S13" s="121" t="n"/>
      <c r="T13" s="121" t="n"/>
      <c r="U13" s="121" t="n"/>
      <c r="V13" s="121" t="n"/>
      <c r="W13" s="121" t="n"/>
      <c r="X13" s="121" t="n"/>
      <c r="Y13" s="127" t="n"/>
      <c r="Z13" s="116" t="n"/>
      <c r="AA13" s="116" t="n"/>
    </row>
    <row r="14" ht="16.5" customHeight="1">
      <c r="A14" s="120" t="inlineStr">
        <is>
          <t>Make / Model No.</t>
        </is>
      </c>
      <c r="B14" s="121" t="n"/>
      <c r="C14" s="122" t="n"/>
      <c r="D14" s="122" t="n"/>
      <c r="E14" s="122" t="n"/>
      <c r="F14" s="121" t="n"/>
      <c r="G14" s="122" t="n"/>
      <c r="H14" s="123" t="n"/>
      <c r="I14" s="128" t="n"/>
      <c r="J14" s="125">
        <f>'Dash Board'!$D$23</f>
        <v/>
      </c>
      <c r="K14" s="130" t="n"/>
      <c r="L14" s="130" t="n"/>
      <c r="M14" s="130" t="n"/>
      <c r="N14" s="130" t="n"/>
      <c r="O14" s="130" t="n"/>
      <c r="P14" s="130" t="n"/>
      <c r="Q14" s="130" t="n"/>
      <c r="R14" s="130" t="n"/>
      <c r="S14" s="130" t="n"/>
      <c r="T14" s="126" t="n"/>
      <c r="U14" s="126" t="n"/>
      <c r="V14" s="126" t="n"/>
      <c r="W14" s="126" t="n"/>
      <c r="X14" s="121" t="n"/>
      <c r="Y14" s="127" t="n"/>
      <c r="Z14" s="116" t="n"/>
      <c r="AA14" s="116" t="n"/>
    </row>
    <row r="15" ht="16.5" customHeight="1">
      <c r="A15" s="120" t="inlineStr">
        <is>
          <t>Customer:</t>
        </is>
      </c>
      <c r="B15" s="121" t="n"/>
      <c r="C15" s="122" t="n"/>
      <c r="D15" s="122" t="n"/>
      <c r="E15" s="122" t="n"/>
      <c r="F15" s="121" t="n"/>
      <c r="G15" s="122" t="n"/>
      <c r="H15" s="123" t="n"/>
      <c r="I15" s="128" t="n"/>
      <c r="J15" s="125">
        <f>'Dash Board'!$D$7</f>
        <v/>
      </c>
      <c r="K15" s="126" t="n"/>
      <c r="L15" s="126" t="n"/>
      <c r="M15" s="131" t="n"/>
      <c r="N15" s="131" t="n"/>
      <c r="O15" s="131" t="n"/>
      <c r="P15" s="131" t="n"/>
      <c r="Q15" s="131" t="n"/>
      <c r="R15" s="131" t="n"/>
      <c r="S15" s="131" t="n"/>
      <c r="T15" s="126" t="n"/>
      <c r="U15" s="126" t="n"/>
      <c r="V15" s="126" t="n"/>
      <c r="W15" s="126" t="n"/>
      <c r="X15" s="121" t="n"/>
      <c r="Y15" s="127" t="n"/>
      <c r="Z15" s="116" t="n"/>
      <c r="AA15" s="116" t="n"/>
    </row>
    <row r="16" ht="15.75" customHeight="1">
      <c r="A16" s="120" t="inlineStr">
        <is>
          <t>Environmental Conditions:</t>
        </is>
      </c>
      <c r="B16" s="121" t="n"/>
      <c r="C16" s="122" t="n"/>
      <c r="D16" s="122" t="n"/>
      <c r="E16" s="122" t="n"/>
      <c r="F16" s="121" t="n"/>
      <c r="G16" s="122" t="n"/>
      <c r="H16" s="123" t="n"/>
      <c r="I16" s="741">
        <f>"("&amp;ROUND(AVERAGE(Data!J43:K43),0)&amp;" ± 2) °C"</f>
        <v/>
      </c>
      <c r="J16" s="810" t="n"/>
      <c r="K16" s="810" t="n"/>
      <c r="L16" s="810" t="n"/>
      <c r="M16" s="441" t="n"/>
      <c r="N16" s="441" t="n"/>
      <c r="O16" s="441" t="n"/>
      <c r="P16" s="441" t="n"/>
      <c r="Q16" s="442" t="n"/>
      <c r="R16" s="878">
        <f>"("&amp;ROUND(AVERAGE(Data!J44:K44),0)&amp;" ± 5) % "</f>
        <v/>
      </c>
      <c r="S16" s="810" t="n"/>
      <c r="T16" s="810" t="n"/>
      <c r="U16" s="810" t="n"/>
      <c r="V16" s="810" t="n"/>
      <c r="W16" s="810" t="n"/>
      <c r="X16" s="810" t="n"/>
      <c r="Y16" s="793" t="n"/>
      <c r="Z16" s="116" t="n"/>
      <c r="AA16" s="116" t="n"/>
    </row>
    <row r="17" ht="16.9" customHeight="1">
      <c r="A17" s="120" t="inlineStr">
        <is>
          <t>Calibration Procedure:</t>
        </is>
      </c>
      <c r="B17" s="121" t="n"/>
      <c r="C17" s="122" t="n"/>
      <c r="D17" s="122" t="n"/>
      <c r="E17" s="122" t="n"/>
      <c r="F17" s="121" t="n"/>
      <c r="G17" s="122" t="n"/>
      <c r="H17" s="123" t="n"/>
      <c r="I17" s="128" t="n"/>
      <c r="J17" s="125" t="inlineStr">
        <is>
          <t>ISO 7500/1</t>
        </is>
      </c>
      <c r="K17" s="130" t="n"/>
      <c r="L17" s="130" t="n"/>
      <c r="M17" s="130" t="n"/>
      <c r="N17" s="130" t="n"/>
      <c r="O17" s="130" t="n"/>
      <c r="P17" s="130" t="n"/>
      <c r="Q17" s="130" t="n"/>
      <c r="R17" s="130" t="n"/>
      <c r="S17" s="130" t="n"/>
      <c r="T17" s="130" t="n"/>
      <c r="U17" s="130" t="n"/>
      <c r="V17" s="132" t="n"/>
      <c r="W17" s="130" t="n"/>
      <c r="X17" s="130" t="n"/>
      <c r="Y17" s="133" t="n"/>
      <c r="Z17" s="116" t="n"/>
      <c r="AA17" s="116" t="n"/>
    </row>
    <row r="18" ht="16.5" customHeight="1">
      <c r="A18" s="120" t="inlineStr">
        <is>
          <t>Date of Calibration:</t>
        </is>
      </c>
      <c r="B18" s="121" t="n"/>
      <c r="C18" s="122" t="n"/>
      <c r="D18" s="122" t="n"/>
      <c r="E18" s="122" t="n"/>
      <c r="F18" s="121" t="n"/>
      <c r="G18" s="122" t="n"/>
      <c r="H18" s="123" t="n"/>
      <c r="I18" s="879" t="n">
        <v>43152</v>
      </c>
      <c r="J18" s="880">
        <f>'Dash Board'!$D$17</f>
        <v/>
      </c>
      <c r="K18" s="810" t="n"/>
      <c r="L18" s="810" t="n"/>
      <c r="M18" s="810" t="n"/>
      <c r="N18" s="810" t="n"/>
      <c r="O18" s="810" t="n"/>
      <c r="P18" s="130" t="n"/>
      <c r="Q18" s="135" t="inlineStr">
        <is>
          <t xml:space="preserve">Calibrated by: </t>
        </is>
      </c>
      <c r="R18" s="130" t="n"/>
      <c r="S18" s="130" t="n"/>
      <c r="T18" s="130" t="n"/>
      <c r="U18" s="432" t="inlineStr">
        <is>
          <t>RFM</t>
        </is>
      </c>
      <c r="V18" s="121" t="n"/>
      <c r="W18" s="130" t="n"/>
      <c r="X18" s="130" t="n"/>
      <c r="Y18" s="133" t="n"/>
      <c r="Z18" s="136" t="n"/>
      <c r="AA18" s="116" t="n"/>
    </row>
    <row r="19" ht="19.5" customHeight="1">
      <c r="A19" s="137" t="n"/>
      <c r="B19" s="137" t="n"/>
      <c r="C19" s="116" t="n"/>
      <c r="D19" s="116" t="n"/>
      <c r="E19" s="116" t="n"/>
      <c r="F19" s="116" t="n"/>
      <c r="G19" s="116" t="n"/>
      <c r="H19" s="138" t="n"/>
      <c r="I19" s="115" t="n"/>
      <c r="J19" s="139" t="n"/>
      <c r="K19" s="139" t="n"/>
      <c r="L19" s="139" t="n"/>
      <c r="M19" s="139" t="n"/>
      <c r="N19" s="139" t="n"/>
      <c r="O19" s="139" t="n"/>
      <c r="P19" s="139" t="n"/>
      <c r="Q19" s="139" t="n"/>
      <c r="R19" s="139" t="n"/>
      <c r="S19" s="139" t="n"/>
      <c r="T19" s="139" t="n"/>
      <c r="U19" s="139" t="n"/>
      <c r="V19" s="139" t="n"/>
      <c r="W19" s="139" t="n"/>
      <c r="X19" s="139" t="n"/>
      <c r="Y19" s="139" t="n"/>
      <c r="Z19" s="136" t="n"/>
      <c r="AA19" s="116" t="n"/>
    </row>
    <row r="20" ht="15" customHeight="1">
      <c r="B20" s="140" t="inlineStr">
        <is>
          <t>Standards and Equipment Used:</t>
        </is>
      </c>
      <c r="C20" s="116" t="n"/>
      <c r="D20" s="116" t="n"/>
      <c r="E20" s="116" t="n"/>
      <c r="F20" s="116" t="n"/>
      <c r="G20" s="116" t="n"/>
      <c r="H20" s="138" t="n"/>
      <c r="I20" s="141" t="n"/>
      <c r="J20" s="138" t="n"/>
      <c r="K20" s="138" t="n"/>
      <c r="L20" s="138" t="n"/>
      <c r="M20" s="138" t="n"/>
      <c r="N20" s="138" t="n"/>
      <c r="O20" s="138" t="n"/>
      <c r="P20" s="138" t="n"/>
      <c r="Q20" s="138" t="n"/>
      <c r="R20" s="138" t="n"/>
      <c r="S20" s="138" t="n"/>
      <c r="T20" s="138" t="n"/>
      <c r="U20" s="138" t="n"/>
      <c r="V20" s="142" t="n"/>
      <c r="W20" s="136" t="n"/>
      <c r="X20" s="136" t="n"/>
      <c r="Y20" s="136" t="n"/>
      <c r="Z20" s="136" t="n"/>
      <c r="AA20" s="116" t="n"/>
    </row>
    <row r="21" ht="8.25" customHeight="1">
      <c r="B21" s="140" t="n"/>
      <c r="C21" s="116" t="n"/>
      <c r="D21" s="116" t="n"/>
      <c r="E21" s="116" t="n"/>
      <c r="F21" s="116" t="n"/>
      <c r="G21" s="116" t="n"/>
      <c r="H21" s="138" t="n"/>
      <c r="I21" s="141" t="n"/>
      <c r="J21" s="138" t="n"/>
      <c r="K21" s="138" t="n"/>
      <c r="L21" s="138" t="n"/>
      <c r="M21" s="138" t="n"/>
      <c r="N21" s="138" t="n"/>
      <c r="O21" s="138" t="n"/>
      <c r="P21" s="138" t="n"/>
      <c r="Q21" s="138" t="n"/>
      <c r="R21" s="138" t="n"/>
      <c r="S21" s="138" t="n"/>
      <c r="T21" s="138" t="n"/>
      <c r="U21" s="138" t="n"/>
      <c r="V21" s="142" t="n"/>
      <c r="W21" s="136" t="n"/>
      <c r="X21" s="136" t="n"/>
      <c r="Y21" s="136" t="n"/>
      <c r="Z21" s="136" t="n"/>
      <c r="AA21" s="116" t="n"/>
    </row>
    <row r="22" ht="45.75" customHeight="1">
      <c r="A22" s="881" t="inlineStr">
        <is>
          <t>Description</t>
        </is>
      </c>
      <c r="B22" s="810" t="n"/>
      <c r="C22" s="810" t="n"/>
      <c r="D22" s="810" t="n"/>
      <c r="E22" s="810" t="n"/>
      <c r="F22" s="810" t="n"/>
      <c r="G22" s="810" t="n"/>
      <c r="H22" s="793" t="n"/>
      <c r="I22" s="882" t="inlineStr">
        <is>
          <t>Make / 
Model No.</t>
        </is>
      </c>
      <c r="J22" s="810" t="n"/>
      <c r="K22" s="810" t="n"/>
      <c r="L22" s="810" t="n"/>
      <c r="M22" s="810" t="n"/>
      <c r="N22" s="793" t="n"/>
      <c r="O22" s="882" t="inlineStr">
        <is>
          <t>Serial No.</t>
        </is>
      </c>
      <c r="P22" s="810" t="n"/>
      <c r="Q22" s="810" t="n"/>
      <c r="R22" s="810" t="n"/>
      <c r="S22" s="810" t="n"/>
      <c r="T22" s="810" t="n"/>
      <c r="U22" s="810" t="n"/>
      <c r="V22" s="793" t="n"/>
      <c r="W22" s="883" t="inlineStr">
        <is>
          <t>Date of Next Calibration</t>
        </is>
      </c>
      <c r="X22" s="810" t="n"/>
      <c r="Y22" s="793" t="n"/>
      <c r="Z22" s="136" t="n"/>
      <c r="AA22" s="116" t="n"/>
    </row>
    <row r="23" ht="18" customHeight="1">
      <c r="A23" s="884" t="inlineStr">
        <is>
          <t>working standard (UTM)</t>
        </is>
      </c>
      <c r="B23" s="810" t="n"/>
      <c r="C23" s="810" t="n"/>
      <c r="D23" s="810" t="n"/>
      <c r="E23" s="810" t="n"/>
      <c r="F23" s="810" t="n"/>
      <c r="G23" s="810" t="n"/>
      <c r="H23" s="793" t="n"/>
      <c r="I23" s="885">
        <f>Data!C42</f>
        <v/>
      </c>
      <c r="J23" s="810" t="n"/>
      <c r="K23" s="810" t="n"/>
      <c r="L23" s="810" t="n"/>
      <c r="M23" s="810" t="n"/>
      <c r="N23" s="793" t="n"/>
      <c r="O23" s="884">
        <f>"SN "&amp;Data!C44</f>
        <v/>
      </c>
      <c r="P23" s="810" t="n"/>
      <c r="Q23" s="810" t="n"/>
      <c r="R23" s="810" t="n"/>
      <c r="S23" s="810" t="n"/>
      <c r="T23" s="810" t="n"/>
      <c r="U23" s="810" t="n"/>
      <c r="V23" s="793" t="n"/>
      <c r="W23" s="886" t="n"/>
      <c r="X23" s="810" t="n"/>
      <c r="Y23" s="793" t="n"/>
      <c r="Z23" s="143" t="n"/>
      <c r="AA23" s="116" t="n"/>
    </row>
    <row r="24" ht="18" customFormat="1" customHeight="1" s="144">
      <c r="A24" s="884" t="inlineStr">
        <is>
          <t>Thermohygrometer</t>
        </is>
      </c>
      <c r="B24" s="810" t="n"/>
      <c r="C24" s="810" t="n"/>
      <c r="D24" s="810" t="n"/>
      <c r="E24" s="810" t="n"/>
      <c r="F24" s="810" t="n"/>
      <c r="G24" s="810" t="n"/>
      <c r="H24" s="793" t="n"/>
      <c r="I24" s="884" t="inlineStr">
        <is>
          <t>TandD/TR-73U</t>
        </is>
      </c>
      <c r="J24" s="810" t="n"/>
      <c r="K24" s="810" t="n"/>
      <c r="L24" s="810" t="n"/>
      <c r="M24" s="810" t="n"/>
      <c r="N24" s="793" t="n"/>
      <c r="O24" s="884" t="inlineStr">
        <is>
          <t>104-104</t>
        </is>
      </c>
      <c r="P24" s="810" t="n"/>
      <c r="Q24" s="810" t="n"/>
      <c r="R24" s="810" t="n"/>
      <c r="S24" s="810" t="n"/>
      <c r="T24" s="810" t="n"/>
      <c r="U24" s="810" t="n"/>
      <c r="V24" s="793" t="n"/>
      <c r="W24" s="887" t="n"/>
      <c r="X24" s="810" t="n"/>
      <c r="Y24" s="793" t="n"/>
      <c r="AD24" s="722" t="n"/>
      <c r="AJ24" s="722" t="n"/>
      <c r="AP24" s="722" t="n"/>
      <c r="AU24" s="711" t="n"/>
    </row>
    <row r="25" ht="18" customHeight="1">
      <c r="A25" s="884" t="n"/>
      <c r="B25" s="810" t="n"/>
      <c r="C25" s="810" t="n"/>
      <c r="D25" s="810" t="n"/>
      <c r="E25" s="810" t="n"/>
      <c r="F25" s="810" t="n"/>
      <c r="G25" s="810" t="n"/>
      <c r="H25" s="793" t="n"/>
      <c r="I25" s="884" t="n"/>
      <c r="J25" s="810" t="n"/>
      <c r="K25" s="810" t="n"/>
      <c r="L25" s="810" t="n"/>
      <c r="M25" s="810" t="n"/>
      <c r="N25" s="793" t="n"/>
      <c r="O25" s="884" t="n"/>
      <c r="P25" s="810" t="n"/>
      <c r="Q25" s="810" t="n"/>
      <c r="R25" s="810" t="n"/>
      <c r="S25" s="810" t="n"/>
      <c r="T25" s="810" t="n"/>
      <c r="U25" s="810" t="n"/>
      <c r="V25" s="793" t="n"/>
      <c r="W25" s="888" t="n"/>
      <c r="X25" s="810" t="n"/>
      <c r="Y25" s="793" t="n"/>
      <c r="Z25" s="143" t="n"/>
      <c r="AA25" s="116" t="n"/>
      <c r="AD25" s="712" t="n"/>
      <c r="AJ25" s="712" t="n"/>
      <c r="AP25" s="712" t="n"/>
      <c r="AU25" s="712" t="n"/>
    </row>
    <row r="26" ht="18" customHeight="1">
      <c r="A26" s="884" t="n"/>
      <c r="B26" s="810" t="n"/>
      <c r="C26" s="810" t="n"/>
      <c r="D26" s="810" t="n"/>
      <c r="E26" s="810" t="n"/>
      <c r="F26" s="810" t="n"/>
      <c r="G26" s="810" t="n"/>
      <c r="H26" s="793" t="n"/>
      <c r="I26" s="884" t="n"/>
      <c r="J26" s="810" t="n"/>
      <c r="K26" s="810" t="n"/>
      <c r="L26" s="810" t="n"/>
      <c r="M26" s="810" t="n"/>
      <c r="N26" s="793" t="n"/>
      <c r="O26" s="884" t="n"/>
      <c r="P26" s="810" t="n"/>
      <c r="Q26" s="810" t="n"/>
      <c r="R26" s="810" t="n"/>
      <c r="S26" s="810" t="n"/>
      <c r="T26" s="810" t="n"/>
      <c r="U26" s="810" t="n"/>
      <c r="V26" s="793" t="n"/>
      <c r="W26" s="888" t="n"/>
      <c r="X26" s="810" t="n"/>
      <c r="Y26" s="793" t="n"/>
      <c r="Z26" s="143" t="n"/>
      <c r="AA26" s="116" t="n"/>
      <c r="AD26" s="889" t="n"/>
      <c r="AJ26" s="686" t="n"/>
      <c r="AP26" s="889" t="n"/>
      <c r="AU26" s="889" t="n"/>
    </row>
    <row r="27" ht="18" customHeight="1">
      <c r="A27" s="884" t="n"/>
      <c r="B27" s="810" t="n"/>
      <c r="C27" s="810" t="n"/>
      <c r="D27" s="810" t="n"/>
      <c r="E27" s="810" t="n"/>
      <c r="F27" s="810" t="n"/>
      <c r="G27" s="810" t="n"/>
      <c r="H27" s="793" t="n"/>
      <c r="I27" s="884" t="n"/>
      <c r="J27" s="810" t="n"/>
      <c r="K27" s="810" t="n"/>
      <c r="L27" s="810" t="n"/>
      <c r="M27" s="810" t="n"/>
      <c r="N27" s="793" t="n"/>
      <c r="O27" s="884" t="n"/>
      <c r="P27" s="810" t="n"/>
      <c r="Q27" s="810" t="n"/>
      <c r="R27" s="810" t="n"/>
      <c r="S27" s="810" t="n"/>
      <c r="T27" s="810" t="n"/>
      <c r="U27" s="810" t="n"/>
      <c r="V27" s="793" t="n"/>
      <c r="W27" s="888" t="n"/>
      <c r="X27" s="810" t="n"/>
      <c r="Y27" s="793" t="n"/>
      <c r="Z27" s="143" t="n"/>
      <c r="AA27" s="116" t="n"/>
      <c r="AD27" s="889" t="n"/>
      <c r="AJ27" s="686" t="n"/>
      <c r="AP27" s="889" t="n"/>
      <c r="AU27" s="889" t="n"/>
    </row>
    <row r="28" ht="18" customHeight="1">
      <c r="A28" s="884" t="n"/>
      <c r="B28" s="810" t="n"/>
      <c r="C28" s="810" t="n"/>
      <c r="D28" s="810" t="n"/>
      <c r="E28" s="810" t="n"/>
      <c r="F28" s="810" t="n"/>
      <c r="G28" s="810" t="n"/>
      <c r="H28" s="793" t="n"/>
      <c r="I28" s="884" t="n"/>
      <c r="J28" s="810" t="n"/>
      <c r="K28" s="810" t="n"/>
      <c r="L28" s="810" t="n"/>
      <c r="M28" s="810" t="n"/>
      <c r="N28" s="793" t="n"/>
      <c r="O28" s="884" t="n"/>
      <c r="P28" s="810" t="n"/>
      <c r="Q28" s="810" t="n"/>
      <c r="R28" s="810" t="n"/>
      <c r="S28" s="810" t="n"/>
      <c r="T28" s="810" t="n"/>
      <c r="U28" s="810" t="n"/>
      <c r="V28" s="793" t="n"/>
      <c r="W28" s="888" t="n"/>
      <c r="X28" s="810" t="n"/>
      <c r="Y28" s="793" t="n"/>
      <c r="Z28" s="143" t="n"/>
      <c r="AA28" s="116" t="n"/>
      <c r="AD28" s="889" t="n"/>
      <c r="AJ28" s="686" t="n"/>
      <c r="AP28" s="889" t="n"/>
      <c r="AU28" s="889" t="n"/>
    </row>
    <row r="29" ht="18" customHeight="1">
      <c r="A29" s="884" t="n"/>
      <c r="B29" s="810" t="n"/>
      <c r="C29" s="810" t="n"/>
      <c r="D29" s="810" t="n"/>
      <c r="E29" s="810" t="n"/>
      <c r="F29" s="810" t="n"/>
      <c r="G29" s="810" t="n"/>
      <c r="H29" s="793" t="n"/>
      <c r="I29" s="884" t="n"/>
      <c r="J29" s="810" t="n"/>
      <c r="K29" s="810" t="n"/>
      <c r="L29" s="810" t="n"/>
      <c r="M29" s="810" t="n"/>
      <c r="N29" s="793" t="n"/>
      <c r="O29" s="884" t="n"/>
      <c r="P29" s="810" t="n"/>
      <c r="Q29" s="810" t="n"/>
      <c r="R29" s="810" t="n"/>
      <c r="S29" s="810" t="n"/>
      <c r="T29" s="810" t="n"/>
      <c r="U29" s="810" t="n"/>
      <c r="V29" s="793" t="n"/>
      <c r="W29" s="888" t="n"/>
      <c r="X29" s="810" t="n"/>
      <c r="Y29" s="793" t="n"/>
      <c r="Z29" s="143" t="n"/>
      <c r="AA29" s="116" t="n"/>
      <c r="AD29" s="889" t="n"/>
      <c r="AJ29" s="686" t="n"/>
      <c r="AP29" s="889" t="n"/>
      <c r="AU29" s="889" t="n"/>
    </row>
    <row r="30" ht="18" customHeight="1">
      <c r="A30" s="884" t="n"/>
      <c r="B30" s="810" t="n"/>
      <c r="C30" s="810" t="n"/>
      <c r="D30" s="810" t="n"/>
      <c r="E30" s="810" t="n"/>
      <c r="F30" s="810" t="n"/>
      <c r="G30" s="810" t="n"/>
      <c r="H30" s="793" t="n"/>
      <c r="I30" s="884" t="n"/>
      <c r="J30" s="810" t="n"/>
      <c r="K30" s="810" t="n"/>
      <c r="L30" s="810" t="n"/>
      <c r="M30" s="810" t="n"/>
      <c r="N30" s="793" t="n"/>
      <c r="O30" s="884" t="n"/>
      <c r="P30" s="810" t="n"/>
      <c r="Q30" s="810" t="n"/>
      <c r="R30" s="810" t="n"/>
      <c r="S30" s="810" t="n"/>
      <c r="T30" s="810" t="n"/>
      <c r="U30" s="810" t="n"/>
      <c r="V30" s="793" t="n"/>
      <c r="W30" s="888" t="n"/>
      <c r="X30" s="810" t="n"/>
      <c r="Y30" s="793" t="n"/>
      <c r="Z30" s="143" t="n"/>
      <c r="AA30" s="116" t="n"/>
      <c r="AD30" s="889" t="n"/>
      <c r="AJ30" s="686" t="n"/>
      <c r="AP30" s="889" t="n"/>
      <c r="AU30" s="889" t="n"/>
    </row>
    <row r="31" ht="19.15" customHeight="1">
      <c r="B31" s="889" t="n"/>
      <c r="H31" s="686" t="n"/>
      <c r="N31" s="889" t="n"/>
      <c r="S31" s="686" t="n"/>
      <c r="Y31" s="116" t="n"/>
      <c r="Z31" s="116" t="n"/>
      <c r="AA31" s="116" t="n"/>
      <c r="AD31" s="889" t="n"/>
      <c r="AJ31" s="686" t="n"/>
      <c r="AP31" s="889" t="n"/>
      <c r="AU31" s="889" t="n"/>
    </row>
    <row r="32" ht="19.15" customHeight="1">
      <c r="B32" s="890" t="inlineStr">
        <is>
          <t>Remarks:</t>
        </is>
      </c>
      <c r="C32" s="890" t="n"/>
      <c r="D32" s="890" t="n"/>
      <c r="E32" s="890" t="n"/>
      <c r="F32" s="890" t="n"/>
      <c r="G32" s="890" t="n"/>
      <c r="H32" s="890" t="n"/>
      <c r="I32" s="890" t="n"/>
      <c r="J32" s="891" t="n"/>
      <c r="K32" s="147" t="n"/>
      <c r="L32" s="147" t="n"/>
      <c r="M32" s="147" t="n"/>
      <c r="N32" s="889" t="n"/>
      <c r="S32" s="686" t="n"/>
      <c r="Y32" s="116" t="n"/>
      <c r="Z32" s="116" t="n"/>
      <c r="AA32" s="116" t="n"/>
    </row>
    <row r="33" ht="15" customHeight="1">
      <c r="A33" s="892" t="n"/>
      <c r="B33" s="802" t="n"/>
      <c r="C33" s="802" t="n"/>
      <c r="D33" s="802" t="n"/>
      <c r="E33" s="802" t="n"/>
      <c r="F33" s="802" t="n"/>
      <c r="G33" s="802" t="n"/>
      <c r="H33" s="802" t="n"/>
      <c r="I33" s="802" t="n"/>
      <c r="J33" s="802" t="n"/>
      <c r="K33" s="802" t="n"/>
      <c r="L33" s="802" t="n"/>
      <c r="M33" s="802" t="n"/>
      <c r="N33" s="802" t="n"/>
      <c r="O33" s="802" t="n"/>
      <c r="P33" s="802" t="n"/>
      <c r="Q33" s="802" t="n"/>
      <c r="R33" s="802" t="n"/>
      <c r="S33" s="802" t="n"/>
      <c r="T33" s="802" t="n"/>
      <c r="U33" s="802" t="n"/>
      <c r="V33" s="802" t="n"/>
      <c r="W33" s="802" t="n"/>
      <c r="X33" s="802" t="n"/>
      <c r="Y33" s="817" t="n"/>
      <c r="Z33" s="116" t="n"/>
      <c r="AA33" s="116" t="n"/>
    </row>
    <row r="34" ht="15" customHeight="1">
      <c r="A34" s="893" t="n"/>
      <c r="Y34" s="760" t="n"/>
      <c r="Z34" s="116" t="n"/>
      <c r="AA34" s="116" t="n"/>
    </row>
    <row r="35" ht="16.5" customHeight="1">
      <c r="A35" s="893" t="n"/>
      <c r="Y35" s="760" t="n"/>
      <c r="Z35" s="143" t="n"/>
      <c r="AA35" s="116" t="n"/>
    </row>
    <row r="36" ht="12" customHeight="1">
      <c r="A36" s="893" t="n"/>
      <c r="Y36" s="760" t="n"/>
    </row>
    <row r="37" ht="12" customHeight="1">
      <c r="A37" s="893" t="n"/>
      <c r="Y37" s="760" t="n"/>
    </row>
    <row r="38" ht="27" customHeight="1">
      <c r="A38" s="822" t="n"/>
      <c r="B38" s="803" t="n"/>
      <c r="C38" s="803" t="n"/>
      <c r="D38" s="803" t="n"/>
      <c r="E38" s="803" t="n"/>
      <c r="F38" s="803" t="n"/>
      <c r="G38" s="803" t="n"/>
      <c r="H38" s="803" t="n"/>
      <c r="I38" s="803" t="n"/>
      <c r="J38" s="803" t="n"/>
      <c r="K38" s="803" t="n"/>
      <c r="L38" s="803" t="n"/>
      <c r="M38" s="803" t="n"/>
      <c r="N38" s="803" t="n"/>
      <c r="O38" s="803" t="n"/>
      <c r="P38" s="803" t="n"/>
      <c r="Q38" s="803" t="n"/>
      <c r="R38" s="803" t="n"/>
      <c r="S38" s="803" t="n"/>
      <c r="T38" s="803" t="n"/>
      <c r="U38" s="803" t="n"/>
      <c r="V38" s="803" t="n"/>
      <c r="W38" s="803" t="n"/>
      <c r="X38" s="803" t="n"/>
      <c r="Y38" s="819" t="n"/>
    </row>
    <row r="39" ht="16.5" customHeight="1">
      <c r="Z39" s="148" t="n"/>
      <c r="AA39" s="116" t="n"/>
    </row>
    <row r="40" ht="16.5" customHeight="1">
      <c r="Q40" s="894" t="inlineStr">
        <is>
          <t>Checked by:</t>
        </is>
      </c>
      <c r="R40" s="802" t="n"/>
      <c r="S40" s="802" t="n"/>
      <c r="T40" s="802" t="n"/>
      <c r="U40" s="802" t="n"/>
      <c r="V40" s="802" t="n"/>
      <c r="W40" s="802" t="n"/>
      <c r="X40" s="802" t="n"/>
      <c r="Y40" s="817" t="n"/>
      <c r="Z40" s="148" t="n"/>
      <c r="AA40" s="116" t="n"/>
    </row>
    <row r="41" ht="16.5" customHeight="1">
      <c r="A41" s="676" t="n"/>
      <c r="B41" s="676" t="n"/>
      <c r="C41" s="676" t="n"/>
      <c r="D41" s="676" t="n"/>
      <c r="E41" s="676" t="n"/>
      <c r="F41" s="676" t="n"/>
      <c r="G41" s="676" t="n"/>
      <c r="H41" s="676" t="n"/>
      <c r="I41" s="676" t="n"/>
      <c r="J41" s="676" t="n"/>
      <c r="K41" s="676" t="n"/>
      <c r="L41" s="676" t="n"/>
      <c r="M41" s="676" t="n"/>
      <c r="N41" s="676" t="n"/>
      <c r="O41" s="676" t="n"/>
      <c r="P41" s="676" t="n"/>
      <c r="Q41" s="893" t="n"/>
      <c r="Y41" s="760" t="n"/>
      <c r="Z41" s="148" t="n"/>
      <c r="AA41" s="116" t="n"/>
    </row>
    <row r="42" ht="16.5" customHeight="1">
      <c r="A42" s="676" t="n"/>
      <c r="B42" s="676" t="n"/>
      <c r="C42" s="676" t="n"/>
      <c r="D42" s="676" t="n"/>
      <c r="E42" s="676" t="n"/>
      <c r="F42" s="676" t="n"/>
      <c r="G42" s="676" t="n"/>
      <c r="H42" s="676" t="n"/>
      <c r="I42" s="676" t="n"/>
      <c r="J42" s="676" t="n"/>
      <c r="K42" s="676" t="n"/>
      <c r="L42" s="676" t="n"/>
      <c r="M42" s="676" t="n"/>
      <c r="N42" s="676" t="n"/>
      <c r="O42" s="676" t="n"/>
      <c r="P42" s="676" t="n"/>
      <c r="Q42" s="893" t="n"/>
      <c r="Y42" s="760" t="n"/>
      <c r="Z42" s="148" t="n"/>
      <c r="AA42" s="116" t="n"/>
    </row>
    <row r="43" ht="15.75" customHeight="1">
      <c r="A43" s="116" t="n"/>
      <c r="B43" s="137" t="n"/>
      <c r="C43" s="116" t="n"/>
      <c r="D43" s="116" t="n"/>
      <c r="E43" s="116" t="n"/>
      <c r="F43" s="116" t="n"/>
      <c r="G43" s="116" t="n"/>
      <c r="H43" s="116" t="n"/>
      <c r="I43" s="116" t="n"/>
      <c r="J43" s="116" t="n"/>
      <c r="K43" s="116" t="n"/>
      <c r="L43" s="116" t="n"/>
      <c r="M43" s="116" t="n"/>
      <c r="N43" s="116" t="n"/>
      <c r="O43" s="116" t="n"/>
      <c r="P43" s="116" t="n"/>
      <c r="Q43" s="822" t="n"/>
      <c r="R43" s="803" t="n"/>
      <c r="S43" s="803" t="n"/>
      <c r="T43" s="803" t="n"/>
      <c r="U43" s="803" t="n"/>
      <c r="V43" s="803" t="n"/>
      <c r="W43" s="803" t="n"/>
      <c r="X43" s="803" t="n"/>
      <c r="Y43" s="819" t="n"/>
      <c r="Z43" s="116" t="n"/>
      <c r="AA43" s="116" t="n"/>
    </row>
    <row r="44" ht="15.75" customHeight="1">
      <c r="A44" s="116" t="n"/>
      <c r="B44" s="137" t="n"/>
      <c r="C44" s="116" t="n"/>
      <c r="D44" s="116" t="n"/>
      <c r="E44" s="116" t="n"/>
      <c r="F44" s="116" t="n"/>
      <c r="G44" s="116" t="n"/>
      <c r="H44" s="116" t="n"/>
      <c r="I44" s="116" t="n"/>
      <c r="J44" s="116" t="n"/>
      <c r="K44" s="116" t="n"/>
      <c r="L44" s="116" t="n"/>
      <c r="M44" s="116" t="n"/>
      <c r="N44" s="116" t="n"/>
      <c r="O44" s="116" t="n"/>
      <c r="P44" s="116" t="n"/>
      <c r="Q44" s="116" t="n"/>
      <c r="R44" s="116" t="n"/>
      <c r="S44" s="116" t="n"/>
      <c r="T44" s="116" t="n"/>
      <c r="U44" s="116" t="n"/>
      <c r="V44" s="116" t="n"/>
      <c r="W44" s="116" t="n"/>
      <c r="X44" s="116" t="n"/>
      <c r="Y44" s="116" t="n"/>
      <c r="Z44" s="116" t="n"/>
      <c r="AA44" s="116" t="n"/>
    </row>
    <row r="45">
      <c r="A45" s="684" t="n"/>
      <c r="B45" s="684" t="n"/>
      <c r="C45" s="684" t="n"/>
      <c r="D45" s="684" t="n"/>
      <c r="E45" s="684" t="n"/>
      <c r="F45" s="684" t="n"/>
      <c r="G45" s="684" t="n"/>
      <c r="H45" s="684" t="n"/>
      <c r="I45" s="684" t="n"/>
      <c r="J45" s="684" t="n"/>
      <c r="K45" s="684" t="n"/>
      <c r="L45" s="684" t="n"/>
      <c r="M45" s="684" t="n"/>
      <c r="N45" s="684" t="n"/>
      <c r="O45" s="684" t="n"/>
      <c r="P45" s="684" t="n"/>
      <c r="Q45" s="684" t="n"/>
      <c r="R45" s="684" t="n"/>
      <c r="S45" s="684" t="n"/>
      <c r="T45" s="684" t="n"/>
      <c r="U45" s="684" t="n"/>
      <c r="V45" s="684" t="n"/>
      <c r="W45" s="684" t="n"/>
      <c r="X45" s="684" t="n"/>
      <c r="Y45" s="684" t="n"/>
      <c r="Z45" s="684" t="n"/>
      <c r="AA45" s="684" t="n"/>
    </row>
    <row r="46">
      <c r="A46" s="684" t="n"/>
      <c r="G46" s="684" t="n"/>
      <c r="M46" s="684" t="n"/>
      <c r="T46" s="684" t="n"/>
      <c r="Z46" s="684" t="n"/>
      <c r="AA46" s="684" t="n"/>
    </row>
    <row r="47" ht="56.25" customHeight="1">
      <c r="A47" s="684" t="n"/>
      <c r="G47" s="684" t="n"/>
      <c r="M47" s="684" t="n"/>
      <c r="T47" s="684" t="n"/>
      <c r="Z47" s="684" t="n"/>
      <c r="AA47" s="684" t="n"/>
      <c r="AK47" s="712" t="n"/>
    </row>
    <row r="48" ht="15.75" customHeight="1">
      <c r="A48" s="684" t="n"/>
      <c r="B48" s="684" t="n"/>
      <c r="C48" s="684" t="n"/>
      <c r="D48" s="684" t="n"/>
      <c r="E48" s="684" t="n"/>
      <c r="F48" s="684" t="n"/>
      <c r="G48" s="684" t="n"/>
      <c r="H48" s="684" t="n"/>
      <c r="I48" s="684" t="n"/>
      <c r="J48" s="684" t="n"/>
      <c r="K48" s="684" t="n"/>
      <c r="L48" s="684" t="n"/>
      <c r="M48" s="684" t="n"/>
      <c r="N48" s="684" t="n"/>
      <c r="O48" s="684" t="n"/>
      <c r="P48" s="684" t="n"/>
      <c r="Q48" s="684" t="n"/>
      <c r="R48" s="684" t="n"/>
      <c r="S48" s="684" t="n"/>
      <c r="T48" s="684" t="n"/>
      <c r="U48" s="684" t="n"/>
      <c r="V48" s="684" t="n"/>
      <c r="W48" s="684" t="n"/>
      <c r="X48" s="684" t="n"/>
      <c r="Y48" s="684" t="n"/>
      <c r="Z48" s="684" t="n"/>
      <c r="AA48" s="684" t="n"/>
      <c r="AK48" s="712" t="n"/>
    </row>
    <row r="49" ht="15" customHeight="1">
      <c r="A49" s="684" t="n"/>
      <c r="B49" s="684" t="n"/>
      <c r="C49" s="684" t="n"/>
      <c r="D49" s="684" t="n"/>
      <c r="E49" s="684" t="n"/>
      <c r="F49" s="684" t="n"/>
      <c r="G49" s="684" t="n"/>
      <c r="H49" s="684" t="n"/>
      <c r="I49" s="684" t="n"/>
      <c r="J49" s="684" t="n"/>
      <c r="K49" s="684" t="n"/>
      <c r="L49" s="684" t="n"/>
      <c r="M49" s="684" t="n"/>
      <c r="N49" s="684" t="n"/>
      <c r="O49" s="684" t="n"/>
      <c r="P49" s="684" t="n"/>
      <c r="Q49" s="684" t="n"/>
      <c r="R49" s="684" t="n"/>
      <c r="S49" s="684" t="n"/>
      <c r="T49" s="684" t="n"/>
      <c r="U49" s="684" t="n"/>
      <c r="V49" s="684" t="n"/>
      <c r="W49" s="684" t="n"/>
      <c r="X49" s="684" t="n"/>
      <c r="Y49" s="684" t="n"/>
      <c r="Z49" s="684" t="n"/>
      <c r="AA49" s="684" t="n"/>
    </row>
    <row r="50">
      <c r="A50" s="684" t="n"/>
      <c r="B50" s="684" t="n"/>
      <c r="C50" s="684" t="n"/>
      <c r="D50" s="684" t="n"/>
      <c r="E50" s="684" t="n"/>
      <c r="F50" s="684" t="n"/>
      <c r="G50" s="684" t="n"/>
      <c r="H50" s="684" t="n"/>
      <c r="I50" s="684" t="n"/>
      <c r="J50" s="684" t="n"/>
      <c r="K50" s="684" t="n"/>
      <c r="L50" s="684" t="n"/>
      <c r="M50" s="684" t="n"/>
      <c r="N50" s="684" t="n"/>
      <c r="O50" s="684" t="n"/>
      <c r="P50" s="684" t="n"/>
      <c r="Q50" s="684" t="n"/>
      <c r="R50" s="684" t="n"/>
      <c r="S50" s="684" t="n"/>
      <c r="T50" s="684" t="n"/>
      <c r="U50" s="684" t="n"/>
      <c r="V50" s="684" t="n"/>
      <c r="W50" s="684" t="n"/>
      <c r="X50" s="684" t="n"/>
      <c r="Y50" s="684" t="n"/>
      <c r="Z50" s="684" t="n"/>
      <c r="AA50" s="684" t="n"/>
    </row>
    <row r="51" ht="8.25" customHeight="1">
      <c r="A51" s="137" t="n"/>
      <c r="B51" s="137" t="n"/>
      <c r="C51" s="116" t="n"/>
      <c r="D51" s="116" t="n"/>
      <c r="E51" s="116" t="n"/>
      <c r="F51" s="116" t="n"/>
      <c r="G51" s="116" t="n"/>
      <c r="H51" s="116" t="n"/>
      <c r="I51" s="116" t="n"/>
      <c r="J51" s="116" t="n"/>
      <c r="K51" s="116" t="n"/>
      <c r="L51" s="116" t="n"/>
      <c r="M51" s="116" t="n"/>
      <c r="N51" s="116" t="n"/>
      <c r="O51" s="116" t="n"/>
      <c r="P51" s="116" t="n"/>
      <c r="Q51" s="116" t="n"/>
      <c r="R51" s="116" t="n"/>
      <c r="S51" s="116" t="n"/>
      <c r="T51" s="116" t="n"/>
      <c r="U51" s="116" t="n"/>
      <c r="V51" s="116" t="n"/>
      <c r="W51" s="116" t="n"/>
      <c r="X51" s="116" t="n"/>
      <c r="Y51" s="116" t="n"/>
      <c r="Z51" s="116" t="n"/>
      <c r="AA51" s="116" t="n"/>
    </row>
    <row r="52" ht="63" customHeight="1">
      <c r="A52" s="679" t="n"/>
      <c r="Z52" s="116" t="n"/>
      <c r="AA52" s="116" t="n"/>
    </row>
    <row r="53" ht="9.75" customHeight="1">
      <c r="A53" s="679" t="n"/>
      <c r="B53" s="679" t="n"/>
      <c r="C53" s="679" t="n"/>
      <c r="D53" s="679" t="n"/>
      <c r="E53" s="679" t="n"/>
      <c r="F53" s="679" t="n"/>
      <c r="G53" s="679" t="n"/>
      <c r="H53" s="679" t="n"/>
      <c r="I53" s="679" t="n"/>
      <c r="J53" s="679" t="n"/>
      <c r="K53" s="679" t="n"/>
      <c r="L53" s="679" t="n"/>
      <c r="M53" s="679" t="n"/>
      <c r="N53" s="679" t="n"/>
      <c r="O53" s="679" t="n"/>
      <c r="P53" s="679" t="n"/>
      <c r="Q53" s="679" t="n"/>
      <c r="R53" s="679" t="n"/>
      <c r="S53" s="679" t="n"/>
      <c r="T53" s="679" t="n"/>
      <c r="U53" s="679" t="n"/>
      <c r="V53" s="679" t="n"/>
      <c r="W53" s="679" t="n"/>
      <c r="X53" s="679" t="n"/>
      <c r="Y53" s="679" t="n"/>
      <c r="Z53" s="116" t="n"/>
      <c r="AA53" s="116" t="n"/>
    </row>
    <row r="54" ht="30.75" customHeight="1">
      <c r="A54" s="679" t="n"/>
      <c r="Z54" s="116" t="n"/>
      <c r="AA54" s="116" t="n"/>
    </row>
    <row r="55" ht="15" customHeight="1">
      <c r="A55" s="117" t="n"/>
      <c r="B55" s="117" t="n"/>
      <c r="C55" s="117" t="n"/>
      <c r="D55" s="117" t="n"/>
      <c r="E55" s="117" t="n"/>
      <c r="F55" s="117" t="n"/>
      <c r="G55" s="117" t="n"/>
      <c r="H55" s="117" t="n"/>
      <c r="I55" s="117" t="n"/>
      <c r="J55" s="117" t="n"/>
      <c r="K55" s="117" t="n"/>
      <c r="L55" s="117" t="n"/>
      <c r="M55" s="117" t="n"/>
      <c r="N55" s="117" t="n"/>
      <c r="O55" s="117" t="n"/>
      <c r="P55" s="117" t="n"/>
      <c r="Q55" s="117" t="n"/>
      <c r="R55" s="117" t="n"/>
      <c r="S55" s="117" t="n"/>
      <c r="T55" s="117" t="n"/>
      <c r="U55" s="117" t="n"/>
      <c r="V55" s="117" t="n"/>
      <c r="W55" s="117" t="n"/>
      <c r="X55" s="152" t="n"/>
      <c r="Y55" s="152" t="n"/>
      <c r="Z55" s="152" t="n"/>
      <c r="AA55" s="116" t="n"/>
    </row>
    <row r="56" ht="15.75" customHeight="1">
      <c r="A56" s="116" t="n"/>
      <c r="B56" s="137" t="n"/>
      <c r="C56" s="116" t="n"/>
      <c r="D56" s="137" t="n"/>
      <c r="E56" s="116" t="n"/>
      <c r="F56" s="116" t="n"/>
      <c r="G56" s="116" t="n"/>
      <c r="H56" s="116" t="n"/>
      <c r="I56" s="116" t="n"/>
      <c r="J56" s="116" t="n"/>
      <c r="K56" s="116" t="n"/>
      <c r="L56" s="116" t="n"/>
      <c r="M56" s="116" t="n"/>
      <c r="N56" s="116" t="n"/>
      <c r="O56" s="116" t="n"/>
      <c r="P56" s="116" t="n"/>
      <c r="Q56" s="116" t="n"/>
      <c r="R56" s="116" t="n"/>
      <c r="S56" s="116" t="n"/>
      <c r="T56" s="116" t="n"/>
      <c r="U56" s="116" t="n"/>
      <c r="V56" s="116" t="n"/>
      <c r="W56" s="116" t="n"/>
      <c r="X56" s="116" t="n"/>
      <c r="Y56" s="116" t="n"/>
      <c r="Z56" s="116" t="n"/>
      <c r="AA56" s="116" t="n"/>
    </row>
    <row r="57" ht="15.75" customHeight="1">
      <c r="A57" s="137" t="n"/>
      <c r="B57" s="137" t="n"/>
      <c r="C57" s="116" t="n"/>
      <c r="D57" s="116" t="n"/>
      <c r="E57" s="116" t="n"/>
      <c r="F57" s="116" t="n"/>
      <c r="G57" s="116" t="n"/>
      <c r="H57" s="116" t="n"/>
      <c r="I57" s="116" t="n"/>
      <c r="J57" s="116" t="n"/>
      <c r="K57" s="116" t="n"/>
      <c r="L57" s="116" t="n"/>
      <c r="M57" s="116" t="n"/>
      <c r="N57" s="116" t="n"/>
      <c r="O57" s="116" t="n"/>
      <c r="P57" s="116" t="n"/>
      <c r="Q57" s="116" t="n"/>
      <c r="R57" s="116" t="n"/>
      <c r="S57" s="116" t="n"/>
      <c r="T57" s="116" t="n"/>
      <c r="U57" s="116" t="n"/>
      <c r="V57" s="116" t="n"/>
      <c r="W57" s="116" t="n"/>
      <c r="X57" s="116" t="n"/>
      <c r="Y57" s="116" t="n"/>
      <c r="Z57" s="116" t="n"/>
      <c r="AA57" s="116" t="n"/>
    </row>
    <row r="58" ht="15.75" customHeight="1">
      <c r="A58" s="137" t="n"/>
      <c r="B58" s="137" t="n"/>
      <c r="C58" s="116" t="n"/>
      <c r="D58" s="116" t="n"/>
      <c r="E58" s="116" t="n"/>
      <c r="F58" s="116" t="n"/>
      <c r="G58" s="137" t="n"/>
      <c r="H58" s="116" t="n"/>
      <c r="J58" s="674" t="n"/>
      <c r="K58" s="681" t="n"/>
      <c r="R58" s="137" t="n"/>
      <c r="S58" s="137" t="n"/>
      <c r="T58" s="137" t="n"/>
      <c r="U58" s="137" t="n"/>
      <c r="V58" s="137" t="n"/>
      <c r="W58" s="137" t="n"/>
      <c r="Y58" s="116" t="n"/>
      <c r="Z58" s="116" t="n"/>
      <c r="AA58" s="116" t="n"/>
    </row>
    <row r="59" ht="15.75" customHeight="1">
      <c r="A59" s="137" t="n"/>
      <c r="B59" s="137" t="n"/>
      <c r="C59" s="116" t="n"/>
      <c r="D59" s="116" t="n"/>
      <c r="E59" s="116" t="n"/>
      <c r="F59" s="116" t="n"/>
      <c r="G59" s="137" t="n"/>
      <c r="H59" s="116" t="n"/>
      <c r="J59" s="674" t="n"/>
      <c r="K59" s="681" t="n"/>
      <c r="R59" s="895" t="n"/>
      <c r="S59" s="895" t="n"/>
      <c r="T59" s="137" t="n"/>
      <c r="U59" s="682" t="n"/>
      <c r="W59" s="682" t="n"/>
      <c r="Y59" s="116" t="n"/>
      <c r="Z59" s="116" t="n"/>
      <c r="AA59" s="116" t="n"/>
    </row>
    <row r="60" ht="15.75" customHeight="1">
      <c r="A60" s="137" t="n"/>
      <c r="B60" s="137" t="n"/>
      <c r="C60" s="116" t="n"/>
      <c r="D60" s="116" t="n"/>
      <c r="E60" s="116" t="n"/>
      <c r="F60" s="116" t="n"/>
      <c r="G60" s="137" t="n"/>
      <c r="H60" s="116" t="n"/>
      <c r="J60" s="674" t="n"/>
      <c r="K60" s="681" t="n"/>
      <c r="R60" s="891" t="n"/>
      <c r="T60" s="137" t="n"/>
      <c r="U60" s="682" t="n"/>
      <c r="W60" s="682" t="n"/>
      <c r="X60" s="116" t="n"/>
      <c r="Y60" s="116" t="n"/>
      <c r="Z60" s="116" t="n"/>
      <c r="AA60" s="116" t="n"/>
    </row>
    <row r="61" ht="15" customHeight="1">
      <c r="A61" s="137" t="n"/>
      <c r="B61" s="137" t="n"/>
      <c r="C61" s="116" t="n"/>
      <c r="D61" s="116" t="n"/>
      <c r="E61" s="116" t="n"/>
      <c r="F61" s="116" t="n"/>
      <c r="G61" s="137" t="n"/>
      <c r="H61" s="116" t="n"/>
      <c r="J61" s="674" t="n"/>
      <c r="K61" s="681" t="n"/>
      <c r="L61" s="681" t="n"/>
      <c r="M61" s="681" t="n"/>
      <c r="N61" s="681" t="n"/>
      <c r="O61" s="681" t="n"/>
      <c r="P61" s="681" t="n"/>
      <c r="Q61" s="681" t="n"/>
      <c r="R61" s="891" t="n"/>
      <c r="S61" s="891" t="n"/>
      <c r="T61" s="137" t="n"/>
      <c r="U61" s="682" t="n"/>
      <c r="V61" s="682" t="n"/>
      <c r="W61" s="682" t="n"/>
      <c r="X61" s="116" t="n"/>
      <c r="Y61" s="116" t="n"/>
      <c r="Z61" s="116" t="n"/>
      <c r="AA61" s="116" t="n"/>
    </row>
    <row r="62" ht="15" customHeight="1">
      <c r="A62" s="137" t="n"/>
      <c r="B62" s="137" t="n"/>
      <c r="C62" s="116" t="n"/>
      <c r="D62" s="116" t="n"/>
      <c r="E62" s="116" t="n"/>
      <c r="F62" s="116" t="n"/>
      <c r="G62" s="116" t="n"/>
      <c r="H62" s="116" t="n"/>
      <c r="I62" s="116" t="n"/>
      <c r="J62" s="116" t="n"/>
      <c r="K62" s="116" t="n"/>
      <c r="L62" s="116" t="n"/>
      <c r="M62" s="116" t="n"/>
      <c r="N62" s="116" t="n"/>
      <c r="O62" s="116" t="n"/>
      <c r="P62" s="116" t="n"/>
      <c r="Q62" s="116" t="n"/>
      <c r="R62" s="116" t="n"/>
      <c r="S62" s="116" t="n"/>
      <c r="T62" s="116" t="n"/>
      <c r="U62" s="116" t="n"/>
      <c r="V62" s="116" t="n"/>
      <c r="W62" s="116" t="n"/>
      <c r="X62" s="116" t="n"/>
      <c r="Y62" s="116" t="n"/>
      <c r="Z62" s="116" t="n"/>
      <c r="AA62" s="116" t="n"/>
    </row>
    <row r="63" ht="15.75" customHeight="1">
      <c r="A63" s="117" t="n"/>
      <c r="B63" s="137" t="n"/>
      <c r="C63" s="116" t="n"/>
      <c r="E63" s="116" t="n"/>
      <c r="F63" s="116" t="n"/>
      <c r="G63" s="116" t="n"/>
      <c r="H63" s="116" t="n"/>
      <c r="I63" s="116" t="n"/>
      <c r="J63" s="116" t="n"/>
      <c r="K63" s="116" t="n"/>
      <c r="L63" s="116" t="n"/>
      <c r="M63" s="116" t="n"/>
      <c r="N63" s="116" t="n"/>
      <c r="O63" s="116" t="n"/>
      <c r="P63" s="116" t="n"/>
      <c r="Q63" s="116" t="n"/>
      <c r="R63" s="116" t="n"/>
      <c r="S63" s="116" t="n"/>
      <c r="T63" s="116" t="n"/>
      <c r="U63" s="116" t="n"/>
      <c r="V63" s="116" t="n"/>
      <c r="W63" s="116" t="n"/>
      <c r="X63" s="116" t="n"/>
      <c r="Y63" s="116" t="n"/>
      <c r="Z63" s="116" t="n"/>
      <c r="AA63" s="116" t="n"/>
    </row>
    <row r="64" ht="15.75" customHeight="1">
      <c r="B64" s="137" t="n"/>
      <c r="C64" s="116" t="n"/>
      <c r="D64" s="116" t="n"/>
      <c r="E64" s="116" t="n"/>
      <c r="F64" s="116" t="n"/>
      <c r="G64" s="116" t="n"/>
      <c r="H64" s="116" t="n"/>
      <c r="I64" s="116" t="n"/>
      <c r="J64" s="116" t="n"/>
      <c r="K64" s="116" t="n"/>
      <c r="L64" s="116" t="n"/>
      <c r="M64" s="116" t="n"/>
      <c r="N64" s="116" t="n"/>
      <c r="O64" s="116" t="n"/>
      <c r="P64" s="116" t="n"/>
      <c r="Q64" s="116" t="n"/>
      <c r="R64" s="116" t="n"/>
      <c r="S64" s="116" t="n"/>
      <c r="T64" s="116" t="n"/>
      <c r="U64" s="116" t="n"/>
      <c r="V64" s="116" t="n"/>
      <c r="W64" s="116" t="n"/>
      <c r="X64" s="116" t="n"/>
      <c r="Y64" s="116" t="n"/>
      <c r="Z64" s="116" t="n"/>
      <c r="AA64" s="116" t="n"/>
    </row>
    <row r="65" ht="15.75" customHeight="1">
      <c r="A65" s="156" t="n"/>
      <c r="B65" s="677" t="n"/>
      <c r="Z65" s="152" t="n"/>
      <c r="AA65" s="152" t="n"/>
    </row>
    <row r="66" ht="15.75" customHeight="1">
      <c r="A66" s="156" t="n"/>
      <c r="Z66" s="152" t="n"/>
      <c r="AA66" s="152" t="n"/>
    </row>
    <row r="67" ht="15.75" customHeight="1">
      <c r="A67" s="156" t="n"/>
      <c r="B67" s="678" t="n"/>
      <c r="Z67" s="152" t="n"/>
      <c r="AA67" s="152" t="n"/>
    </row>
    <row r="68" ht="1.5" customHeight="1">
      <c r="A68" s="156" t="n"/>
      <c r="Z68" s="152" t="n"/>
      <c r="AA68" s="152" t="n"/>
    </row>
    <row r="69" ht="15.75" customHeight="1">
      <c r="A69" s="156" t="n"/>
      <c r="B69" s="679" t="n"/>
      <c r="Z69" s="152" t="n"/>
      <c r="AA69" s="152" t="n"/>
    </row>
    <row r="70" ht="15.75" customHeight="1">
      <c r="A70" s="156" t="n"/>
      <c r="Z70" s="152" t="n"/>
      <c r="AA70" s="152" t="n"/>
    </row>
    <row r="71" ht="15.75" customHeight="1">
      <c r="A71" s="156" t="n"/>
      <c r="B71" s="678" t="n"/>
      <c r="Z71" s="152" t="n"/>
      <c r="AA71" s="152" t="n"/>
    </row>
    <row r="72" ht="15.75" customHeight="1">
      <c r="A72" s="156" t="n"/>
      <c r="B72" s="678" t="n"/>
      <c r="C72" s="678" t="n"/>
      <c r="D72" s="678" t="n"/>
      <c r="E72" s="678" t="n"/>
      <c r="F72" s="678" t="n"/>
      <c r="G72" s="678" t="n"/>
      <c r="H72" s="678" t="n"/>
      <c r="I72" s="678" t="n"/>
      <c r="J72" s="678" t="n"/>
      <c r="K72" s="678" t="n"/>
      <c r="L72" s="678" t="n"/>
      <c r="M72" s="678" t="n"/>
      <c r="N72" s="678" t="n"/>
      <c r="O72" s="678" t="n"/>
      <c r="P72" s="678" t="n"/>
      <c r="Q72" s="678" t="n"/>
      <c r="R72" s="678" t="n"/>
      <c r="S72" s="678" t="n"/>
      <c r="T72" s="678" t="n"/>
      <c r="U72" s="678" t="n"/>
      <c r="V72" s="678" t="n"/>
      <c r="W72" s="678" t="n"/>
      <c r="X72" s="678" t="n"/>
      <c r="Y72" s="678" t="n"/>
      <c r="Z72" s="152" t="n"/>
      <c r="AA72" s="152" t="n"/>
    </row>
    <row r="73" ht="15.75" customHeight="1">
      <c r="A73" s="137" t="n"/>
      <c r="B73" s="152" t="n"/>
      <c r="C73" s="152" t="n"/>
      <c r="D73" s="152" t="n"/>
      <c r="E73" s="152" t="n"/>
      <c r="F73" s="152" t="n"/>
      <c r="G73" s="152" t="n"/>
      <c r="H73" s="152" t="n"/>
      <c r="I73" s="152" t="n"/>
      <c r="J73" s="152" t="n"/>
      <c r="K73" s="152" t="n"/>
      <c r="L73" s="152" t="n"/>
      <c r="M73" s="152" t="n"/>
      <c r="N73" s="152" t="n"/>
      <c r="O73" s="116" t="n"/>
      <c r="P73" s="116" t="n"/>
      <c r="Q73" s="116" t="n"/>
      <c r="R73" s="116" t="n"/>
      <c r="S73" s="116" t="n"/>
      <c r="T73" s="116" t="n"/>
      <c r="U73" s="116" t="n"/>
      <c r="V73" s="116" t="n"/>
      <c r="W73" s="116" t="n"/>
      <c r="X73" s="116" t="n"/>
      <c r="Y73" s="116" t="n"/>
      <c r="Z73" s="116" t="n"/>
      <c r="AA73" s="116" t="n"/>
    </row>
    <row r="74" ht="15.75" customHeight="1">
      <c r="A74" s="674" t="n"/>
      <c r="L74" s="152" t="n"/>
      <c r="M74" s="152" t="n"/>
      <c r="N74" s="152" t="n"/>
      <c r="O74" s="116" t="n"/>
      <c r="P74" s="116" t="n"/>
      <c r="Q74" s="116" t="n"/>
      <c r="R74" s="116" t="n"/>
      <c r="S74" s="116" t="n"/>
      <c r="T74" s="116" t="n"/>
      <c r="U74" s="116" t="n"/>
      <c r="V74" s="116" t="n"/>
      <c r="W74" s="116" t="n"/>
      <c r="X74" s="116" t="n"/>
      <c r="Y74" s="116" t="n"/>
      <c r="Z74" s="116" t="n"/>
      <c r="AA74" s="116" t="n"/>
    </row>
    <row r="75" ht="15.75" customHeight="1">
      <c r="A75" s="680" t="n"/>
      <c r="L75" s="152" t="n"/>
      <c r="M75" s="152" t="n"/>
      <c r="N75" s="152" t="n"/>
      <c r="O75" s="116" t="n"/>
      <c r="P75" s="116" t="n"/>
      <c r="Q75" s="116" t="n"/>
      <c r="R75" s="116" t="n"/>
      <c r="S75" s="116" t="n"/>
      <c r="T75" s="116" t="n"/>
      <c r="U75" s="116" t="n"/>
      <c r="V75" s="116" t="n"/>
      <c r="W75" s="116" t="n"/>
      <c r="X75" s="116" t="n"/>
      <c r="Y75" s="116" t="n"/>
      <c r="Z75" s="116" t="n"/>
      <c r="AA75" s="116" t="n"/>
    </row>
    <row r="76" ht="15.75" customHeight="1">
      <c r="A76" s="674" t="n"/>
      <c r="L76" s="152" t="n"/>
      <c r="M76" s="152" t="n"/>
      <c r="N76" s="152" t="n"/>
      <c r="O76" s="116" t="n"/>
      <c r="P76" s="116" t="n"/>
      <c r="Q76" s="116" t="n"/>
      <c r="R76" s="116" t="n"/>
      <c r="S76" s="116" t="n"/>
      <c r="T76" s="116" t="n"/>
      <c r="U76" s="116" t="n"/>
      <c r="V76" s="116" t="n"/>
      <c r="W76" s="116" t="n"/>
      <c r="X76" s="116" t="n"/>
      <c r="Y76" s="116" t="n"/>
      <c r="Z76" s="116" t="n"/>
      <c r="AA76" s="116" t="n"/>
    </row>
    <row r="77" ht="15.75" customHeight="1">
      <c r="A77" s="137" t="n"/>
      <c r="B77" s="137" t="n"/>
      <c r="C77" s="152" t="n"/>
      <c r="D77" s="152" t="n"/>
      <c r="E77" s="152" t="n"/>
      <c r="F77" s="152" t="n"/>
      <c r="G77" s="152" t="n"/>
      <c r="H77" s="152" t="n"/>
      <c r="I77" s="152" t="n"/>
      <c r="J77" s="152" t="n"/>
      <c r="K77" s="152" t="n"/>
      <c r="L77" s="152" t="n"/>
      <c r="M77" s="152" t="n"/>
      <c r="P77" s="116" t="n"/>
      <c r="Q77" s="116" t="n"/>
      <c r="R77" s="116" t="n"/>
      <c r="S77" s="116" t="n"/>
      <c r="T77" s="116" t="n"/>
      <c r="U77" s="116" t="n"/>
      <c r="V77" s="116" t="n"/>
      <c r="W77" s="116" t="n"/>
      <c r="X77" s="116" t="n"/>
      <c r="Y77" s="116" t="n"/>
      <c r="Z77" s="116" t="n"/>
      <c r="AA77" s="116" t="n"/>
    </row>
    <row r="78" ht="15.75" customHeight="1">
      <c r="A78" s="137" t="n"/>
      <c r="B78" s="137" t="n"/>
      <c r="C78" s="152" t="n"/>
      <c r="D78" s="152" t="n"/>
      <c r="E78" s="152" t="n"/>
      <c r="F78" s="152" t="n"/>
      <c r="G78" s="152" t="n"/>
      <c r="H78" s="152" t="n"/>
      <c r="I78" s="152" t="n"/>
      <c r="J78" s="152" t="n"/>
      <c r="K78" s="152" t="n"/>
      <c r="L78" s="675" t="n"/>
      <c r="Y78" s="116" t="n"/>
      <c r="Z78" s="116" t="n"/>
      <c r="AA78" s="116" t="n"/>
    </row>
    <row r="79" ht="15.75" customHeight="1">
      <c r="A79" s="137" t="n"/>
      <c r="B79" s="137" t="n"/>
      <c r="C79" s="116" t="n"/>
      <c r="D79" s="116" t="n"/>
      <c r="E79" s="116" t="n"/>
      <c r="F79" s="116" t="n"/>
      <c r="G79" s="116" t="n"/>
      <c r="H79" s="116" t="n"/>
      <c r="I79" s="116" t="n"/>
      <c r="J79" s="116" t="n"/>
      <c r="K79" s="116" t="n"/>
      <c r="L79" s="116" t="n"/>
      <c r="M79" s="116" t="n"/>
      <c r="N79" s="116" t="n"/>
      <c r="P79" s="116" t="n"/>
      <c r="Q79" s="116" t="n"/>
      <c r="R79" s="116" t="n"/>
      <c r="S79" s="116" t="n"/>
      <c r="T79" s="116" t="n"/>
      <c r="U79" s="116" t="n"/>
      <c r="V79" s="116" t="n"/>
      <c r="W79" s="116" t="n"/>
      <c r="X79" s="116" t="n"/>
      <c r="Y79" s="116" t="n"/>
      <c r="Z79" s="116" t="n"/>
      <c r="AA79" s="116" t="n"/>
    </row>
    <row r="80" ht="15.75" customHeight="1">
      <c r="A80" s="137" t="n"/>
      <c r="B80" s="137" t="n"/>
      <c r="C80" s="116" t="n"/>
      <c r="D80" s="116" t="n"/>
      <c r="E80" s="116" t="n"/>
      <c r="F80" s="116" t="n"/>
      <c r="G80" s="116" t="n"/>
      <c r="H80" s="116" t="n"/>
      <c r="I80" s="116" t="n"/>
      <c r="J80" s="116" t="n"/>
      <c r="K80" s="116" t="n"/>
      <c r="L80" s="116" t="n"/>
      <c r="M80" s="116" t="n"/>
      <c r="N80" s="116" t="n"/>
      <c r="O80" s="116" t="n"/>
      <c r="P80" s="116" t="n"/>
      <c r="Q80" s="116" t="n"/>
      <c r="R80" s="116" t="n"/>
      <c r="S80" s="116" t="n"/>
      <c r="T80" s="116" t="n"/>
      <c r="U80" s="116" t="n"/>
      <c r="V80" s="116" t="n"/>
      <c r="W80" s="116" t="n"/>
      <c r="X80" s="116" t="n"/>
      <c r="Y80" s="116" t="n"/>
      <c r="Z80" s="116" t="n"/>
      <c r="AA80" s="116" t="n"/>
    </row>
    <row r="81" ht="15.75" customHeight="1">
      <c r="A81" s="137" t="n"/>
      <c r="B81" s="137" t="n"/>
      <c r="C81" s="116" t="n"/>
      <c r="D81" s="116" t="n"/>
      <c r="E81" s="116" t="n"/>
      <c r="F81" s="116" t="n"/>
      <c r="G81" s="116" t="n"/>
      <c r="H81" s="116" t="n"/>
      <c r="I81" s="116" t="n"/>
      <c r="J81" s="116" t="n"/>
      <c r="K81" s="116" t="n"/>
      <c r="L81" s="674" t="n"/>
      <c r="Y81" s="158" t="n"/>
      <c r="Z81" s="152" t="n"/>
      <c r="AA81" s="152" t="n"/>
    </row>
    <row r="82" ht="15.75" customHeight="1">
      <c r="A82" s="137" t="n"/>
      <c r="B82" s="137" t="n"/>
      <c r="C82" s="116" t="n"/>
      <c r="D82" s="116" t="n"/>
      <c r="E82" s="116" t="n"/>
      <c r="F82" s="116" t="n"/>
      <c r="G82" s="116" t="n"/>
      <c r="H82" s="116" t="n"/>
      <c r="I82" s="116" t="n"/>
      <c r="J82" s="116" t="n"/>
      <c r="K82" s="116" t="n"/>
      <c r="L82" s="674" t="n"/>
      <c r="Y82" s="158" t="n"/>
      <c r="Z82" s="152" t="n"/>
      <c r="AA82" s="152" t="n"/>
    </row>
    <row r="83">
      <c r="B83" s="159" t="n"/>
      <c r="E83" s="160" t="n"/>
      <c r="N83" s="676" t="n"/>
    </row>
    <row r="85" ht="9.75" customHeight="1">
      <c r="N85" s="676" t="n"/>
    </row>
    <row r="86">
      <c r="B86" s="159" t="n"/>
      <c r="E86" s="160" t="n"/>
      <c r="N86" s="161" t="n"/>
    </row>
    <row r="87">
      <c r="B87" s="673" t="n"/>
      <c r="G87" s="159" t="n"/>
    </row>
  </sheetData>
  <mergeCells count="115">
    <mergeCell ref="B65:Y66"/>
    <mergeCell ref="I22:N22"/>
    <mergeCell ref="I28:N28"/>
    <mergeCell ref="AP24:AT24"/>
    <mergeCell ref="M47:S47"/>
    <mergeCell ref="N83:Q83"/>
    <mergeCell ref="A47:F47"/>
    <mergeCell ref="AJ24:AO24"/>
    <mergeCell ref="AP26:AT26"/>
    <mergeCell ref="A25:H25"/>
    <mergeCell ref="AU30:AY30"/>
    <mergeCell ref="A9:Y9"/>
    <mergeCell ref="I23:N23"/>
    <mergeCell ref="AJ26:AO26"/>
    <mergeCell ref="G46:L46"/>
    <mergeCell ref="AJ25:AO25"/>
    <mergeCell ref="AP30:AT30"/>
    <mergeCell ref="I16:L16"/>
    <mergeCell ref="S31:X31"/>
    <mergeCell ref="B67:Y68"/>
    <mergeCell ref="A54:Y54"/>
    <mergeCell ref="A29:H29"/>
    <mergeCell ref="B69:Y70"/>
    <mergeCell ref="B31:G31"/>
    <mergeCell ref="I26:N26"/>
    <mergeCell ref="O23:V23"/>
    <mergeCell ref="W30:Y30"/>
    <mergeCell ref="U60:V60"/>
    <mergeCell ref="I25:N25"/>
    <mergeCell ref="R60:S60"/>
    <mergeCell ref="A24:H24"/>
    <mergeCell ref="AJ28:AO28"/>
    <mergeCell ref="U59:V59"/>
    <mergeCell ref="AD31:AI31"/>
    <mergeCell ref="N32:R32"/>
    <mergeCell ref="W22:Y22"/>
    <mergeCell ref="O24:V24"/>
    <mergeCell ref="L81:X81"/>
    <mergeCell ref="AU28:AY28"/>
    <mergeCell ref="AJ30:AO30"/>
    <mergeCell ref="A10:Y10"/>
    <mergeCell ref="AD26:AI26"/>
    <mergeCell ref="A27:H27"/>
    <mergeCell ref="T7:Y7"/>
    <mergeCell ref="L82:X82"/>
    <mergeCell ref="I29:N29"/>
    <mergeCell ref="A74:K74"/>
    <mergeCell ref="G47:L47"/>
    <mergeCell ref="O25:V25"/>
    <mergeCell ref="J18:O18"/>
    <mergeCell ref="K60:Q60"/>
    <mergeCell ref="A76:K76"/>
    <mergeCell ref="O27:V27"/>
    <mergeCell ref="AP27:AT27"/>
    <mergeCell ref="A22:H22"/>
    <mergeCell ref="A33:Y38"/>
    <mergeCell ref="W24:Y24"/>
    <mergeCell ref="AJ27:AO27"/>
    <mergeCell ref="A28:H28"/>
    <mergeCell ref="W26:Y26"/>
    <mergeCell ref="AP28:AT28"/>
    <mergeCell ref="AD28:AI28"/>
    <mergeCell ref="A30:H30"/>
    <mergeCell ref="A46:F46"/>
    <mergeCell ref="AD25:AI25"/>
    <mergeCell ref="AD30:AI30"/>
    <mergeCell ref="A52:Y52"/>
    <mergeCell ref="O26:V26"/>
    <mergeCell ref="AU27:AY27"/>
    <mergeCell ref="AJ29:AO29"/>
    <mergeCell ref="A26:H26"/>
    <mergeCell ref="B87:F87"/>
    <mergeCell ref="W29:Y29"/>
    <mergeCell ref="W23:Y23"/>
    <mergeCell ref="AJ31:AO31"/>
    <mergeCell ref="I30:N30"/>
    <mergeCell ref="AD24:AI24"/>
    <mergeCell ref="N85:P85"/>
    <mergeCell ref="I11:W11"/>
    <mergeCell ref="K59:Q59"/>
    <mergeCell ref="AP25:AT25"/>
    <mergeCell ref="B71:Y71"/>
    <mergeCell ref="M46:S46"/>
    <mergeCell ref="Q40:Y43"/>
    <mergeCell ref="O28:V28"/>
    <mergeCell ref="AU29:AY29"/>
    <mergeCell ref="P12:S12"/>
    <mergeCell ref="AD27:AI27"/>
    <mergeCell ref="O30:V30"/>
    <mergeCell ref="AU31:AY31"/>
    <mergeCell ref="G7:K7"/>
    <mergeCell ref="I24:N24"/>
    <mergeCell ref="R16:Y16"/>
    <mergeCell ref="W27:Y27"/>
    <mergeCell ref="O29:V29"/>
    <mergeCell ref="AP29:AT29"/>
    <mergeCell ref="AU24:AY24"/>
    <mergeCell ref="A75:K75"/>
    <mergeCell ref="O22:V22"/>
    <mergeCell ref="T6:Y6"/>
    <mergeCell ref="AP31:AT31"/>
    <mergeCell ref="T46:Y46"/>
    <mergeCell ref="AU26:AY26"/>
    <mergeCell ref="S32:X32"/>
    <mergeCell ref="W28:Y28"/>
    <mergeCell ref="L78:X78"/>
    <mergeCell ref="A23:H23"/>
    <mergeCell ref="AU25:AY25"/>
    <mergeCell ref="W25:Y25"/>
    <mergeCell ref="N31:R31"/>
    <mergeCell ref="I27:N27"/>
    <mergeCell ref="AD29:AI29"/>
    <mergeCell ref="K58:Q58"/>
    <mergeCell ref="H31:M31"/>
    <mergeCell ref="T47:Y47"/>
  </mergeCells>
  <printOptions horizontalCentered="1"/>
  <pageMargins left="0.25" right="0.25" top="0.75" bottom="0.75" header="0.3" footer="0.3"/>
  <pageSetup orientation="portrait" paperSize="9" fitToHeight="2"/>
  <headerFooter differentFirst="1">
    <oddHeader/>
    <oddFooter/>
    <evenHeader/>
    <evenFooter/>
    <firstHeader/>
    <firstFooter/>
  </headerFooter>
</worksheet>
</file>

<file path=xl/worksheets/sheet10.xml><?xml version="1.0" encoding="utf-8"?>
<worksheet xmlns="http://schemas.openxmlformats.org/spreadsheetml/2006/main">
  <sheetPr codeName="Sheet12">
    <outlinePr summaryBelow="1" summaryRight="1"/>
    <pageSetUpPr/>
  </sheetPr>
  <dimension ref="A1:Q9"/>
  <sheetViews>
    <sheetView workbookViewId="0">
      <selection activeCell="F4" sqref="F4"/>
    </sheetView>
  </sheetViews>
  <sheetFormatPr baseColWidth="8" defaultRowHeight="15"/>
  <cols>
    <col width="18.7109375" customWidth="1" min="1" max="1"/>
    <col width="10.5703125" customWidth="1" min="5" max="5"/>
    <col width="18.5703125" bestFit="1" customWidth="1" min="11" max="11"/>
  </cols>
  <sheetData>
    <row r="1">
      <c r="A1" t="inlineStr">
        <is>
          <t>Types of Machine</t>
        </is>
      </c>
      <c r="E1" t="inlineStr">
        <is>
          <t>Name</t>
        </is>
      </c>
      <c r="F1" t="inlineStr">
        <is>
          <t>Position</t>
        </is>
      </c>
      <c r="J1" t="inlineStr">
        <is>
          <t>Unit</t>
        </is>
      </c>
      <c r="K1" t="inlineStr">
        <is>
          <t>equivalence to kN</t>
        </is>
      </c>
    </row>
    <row r="2">
      <c r="A2" t="inlineStr">
        <is>
          <t>Box Compression Machine</t>
        </is>
      </c>
      <c r="E2" t="inlineStr">
        <is>
          <t>Ahdrian Camilo C. Gernale</t>
        </is>
      </c>
      <c r="F2" t="inlineStr">
        <is>
          <t>Science Research Specialist II</t>
        </is>
      </c>
      <c r="J2" t="inlineStr">
        <is>
          <t>kgf</t>
        </is>
      </c>
      <c r="K2" t="n">
        <v>0.00980665</v>
      </c>
    </row>
    <row r="3">
      <c r="A3" t="inlineStr">
        <is>
          <t>Axle Weighing Scale</t>
        </is>
      </c>
      <c r="E3" t="inlineStr">
        <is>
          <t>Radley F. Manalo</t>
        </is>
      </c>
      <c r="F3" t="inlineStr">
        <is>
          <t>Senior Science Research Specialist</t>
        </is>
      </c>
      <c r="J3" t="inlineStr">
        <is>
          <t>lbf</t>
        </is>
      </c>
      <c r="K3" t="n">
        <v>0.00444822</v>
      </c>
    </row>
    <row r="4">
      <c r="A4" t="inlineStr">
        <is>
          <t>Universal Testing Machine</t>
        </is>
      </c>
      <c r="E4" t="inlineStr">
        <is>
          <t>Glenn Joseph C. Franes</t>
        </is>
      </c>
      <c r="F4" t="inlineStr">
        <is>
          <t>Science Research Specialist I</t>
        </is>
      </c>
      <c r="J4" t="inlineStr">
        <is>
          <t>tonf</t>
        </is>
      </c>
      <c r="K4">
        <f>K2*1000</f>
        <v/>
      </c>
    </row>
    <row r="5">
      <c r="A5" t="inlineStr">
        <is>
          <t>Edge Crush Testing Machine</t>
        </is>
      </c>
      <c r="E5" t="inlineStr">
        <is>
          <t>Maryness I. Salazar</t>
        </is>
      </c>
      <c r="F5" t="inlineStr">
        <is>
          <t>Section Head</t>
        </is>
      </c>
      <c r="J5" t="inlineStr">
        <is>
          <t>n</t>
        </is>
      </c>
      <c r="K5" t="n">
        <v>0.0001</v>
      </c>
      <c r="N5" t="n">
        <v>1000</v>
      </c>
      <c r="O5" t="inlineStr">
        <is>
          <t>kg</t>
        </is>
      </c>
      <c r="P5" t="n">
        <v>1</v>
      </c>
      <c r="Q5" t="inlineStr">
        <is>
          <t>ton</t>
        </is>
      </c>
    </row>
    <row r="6">
      <c r="A6" t="inlineStr">
        <is>
          <t>Ring Crush Testing Machine</t>
        </is>
      </c>
      <c r="E6" t="inlineStr">
        <is>
          <t>Pierre Jordan M. Mendoza</t>
        </is>
      </c>
      <c r="F6" t="inlineStr">
        <is>
          <t>Science Research Specialist I</t>
        </is>
      </c>
    </row>
    <row r="7">
      <c r="A7" t="inlineStr">
        <is>
          <t>Compression Testing Machine</t>
        </is>
      </c>
    </row>
    <row r="8">
      <c r="A8" t="inlineStr">
        <is>
          <t>Tensile Testing Machine</t>
        </is>
      </c>
    </row>
    <row r="9">
      <c r="A9" t="inlineStr">
        <is>
          <t>Force Measuring Instrument</t>
        </is>
      </c>
    </row>
  </sheetData>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codeName="Sheet3">
    <outlinePr summaryBelow="1" summaryRight="1"/>
    <pageSetUpPr/>
  </sheetPr>
  <dimension ref="A1:B11"/>
  <sheetViews>
    <sheetView workbookViewId="0">
      <selection activeCell="B2" sqref="B2"/>
    </sheetView>
  </sheetViews>
  <sheetFormatPr baseColWidth="8" defaultRowHeight="15"/>
  <sheetData>
    <row r="1">
      <c r="A1" t="inlineStr">
        <is>
          <t>Force, N</t>
        </is>
      </c>
    </row>
    <row r="2">
      <c r="A2" t="n">
        <v>0</v>
      </c>
      <c r="B2" t="n">
        <v>0</v>
      </c>
    </row>
    <row r="3">
      <c r="A3" t="n">
        <v>196.133</v>
      </c>
      <c r="B3" t="n">
        <v>0.19612</v>
      </c>
    </row>
    <row r="4">
      <c r="A4" t="n">
        <v>392.266</v>
      </c>
      <c r="B4" t="n">
        <v>0.39222</v>
      </c>
    </row>
    <row r="5">
      <c r="A5" t="n">
        <v>588.399</v>
      </c>
      <c r="B5" t="n">
        <v>0.58832</v>
      </c>
    </row>
    <row r="6">
      <c r="A6" t="n">
        <v>748.532</v>
      </c>
      <c r="B6" t="n">
        <v>0.78444</v>
      </c>
    </row>
    <row r="7">
      <c r="A7" t="n">
        <v>980.665</v>
      </c>
      <c r="B7" t="n">
        <v>0.98056</v>
      </c>
    </row>
    <row r="8">
      <c r="A8" t="n">
        <v>1176.798</v>
      </c>
      <c r="B8" t="n">
        <v>1.17669</v>
      </c>
    </row>
    <row r="9">
      <c r="A9" t="n">
        <v>1569.064</v>
      </c>
      <c r="B9" t="n">
        <v>1.37282</v>
      </c>
    </row>
    <row r="10">
      <c r="A10" t="n">
        <v>1765.197</v>
      </c>
      <c r="B10" t="n">
        <v>1.56897</v>
      </c>
    </row>
    <row r="11">
      <c r="A11" t="n">
        <v>1961.33</v>
      </c>
      <c r="B11" t="n">
        <v>1.76512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2013-02-04T06:15:51Z</dcterms:created>
  <dcterms:modified xsi:type="dcterms:W3CDTF">2026-06-01T00:30:16Z</dcterms:modified>
  <cp:lastModifiedBy>nusr</cp:lastModifiedBy>
  <cp:lastPrinted>2026-03-04T00:30:04Z</cp:lastPrinted>
</cp:coreProperties>
</file>